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South KY/Analysis/"/>
    </mc:Choice>
  </mc:AlternateContent>
  <xr:revisionPtr revIDLastSave="25" documentId="8_{E3A1EC69-A055-4D24-B6E7-B7C2A1CFCACC}" xr6:coauthVersionLast="47" xr6:coauthVersionMax="47" xr10:uidLastSave="{465C4272-DF08-461A-A1FD-2F208F63A898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Detail'!$A$1:$R$230</definedName>
    <definedName name="_xlnm.Print_Area" localSheetId="2">'Notice Table'!$A$1:$G$102</definedName>
    <definedName name="_xlnm.Print_Area" localSheetId="0">Summary!$A$1:$O$37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3" l="1"/>
  <c r="F101" i="3"/>
  <c r="G101" i="3"/>
  <c r="E102" i="3"/>
  <c r="F102" i="3"/>
  <c r="G102" i="3"/>
  <c r="G100" i="3"/>
  <c r="F100" i="3"/>
  <c r="E100" i="3"/>
  <c r="D99" i="3"/>
  <c r="A225" i="1"/>
  <c r="A226" i="1" s="1"/>
  <c r="A227" i="1" s="1"/>
  <c r="A228" i="1" s="1"/>
  <c r="L228" i="1"/>
  <c r="L227" i="1"/>
  <c r="L226" i="1"/>
  <c r="L2" i="2" l="1"/>
  <c r="F61" i="3"/>
  <c r="E61" i="3"/>
  <c r="G160" i="1"/>
  <c r="I160" i="1"/>
  <c r="O160" i="1" s="1"/>
  <c r="L35" i="2" l="1"/>
  <c r="I23" i="2"/>
  <c r="G158" i="1" l="1"/>
  <c r="E8" i="1"/>
  <c r="E9" i="1"/>
  <c r="G23" i="1"/>
  <c r="G11" i="1" s="1"/>
  <c r="E32" i="1"/>
  <c r="E33" i="1"/>
  <c r="G47" i="1"/>
  <c r="E56" i="1"/>
  <c r="E58" i="1"/>
  <c r="E90" i="1"/>
  <c r="E129" i="1"/>
  <c r="E130" i="1"/>
  <c r="E239" i="1" l="1"/>
  <c r="E234" i="1"/>
  <c r="E235" i="1" s="1"/>
  <c r="E236" i="1" s="1"/>
  <c r="G208" i="1" l="1"/>
  <c r="G207" i="1"/>
  <c r="G133" i="1"/>
  <c r="G132" i="1"/>
  <c r="G121" i="1"/>
  <c r="G120" i="1"/>
  <c r="G109" i="1"/>
  <c r="G108" i="1"/>
  <c r="G93" i="1"/>
  <c r="G92" i="1"/>
  <c r="G77" i="1"/>
  <c r="G76" i="1"/>
  <c r="G61" i="1"/>
  <c r="G60" i="1"/>
  <c r="G36" i="1"/>
  <c r="G12" i="1"/>
  <c r="G35" i="1"/>
  <c r="F130" i="1"/>
  <c r="F129" i="1"/>
  <c r="F118" i="1"/>
  <c r="F117" i="1"/>
  <c r="F106" i="1"/>
  <c r="F105" i="1"/>
  <c r="F104" i="1"/>
  <c r="F103" i="1"/>
  <c r="F102" i="1"/>
  <c r="F101" i="1"/>
  <c r="F90" i="1"/>
  <c r="F89" i="1"/>
  <c r="F88" i="1"/>
  <c r="F87" i="1"/>
  <c r="F86" i="1"/>
  <c r="F85" i="1"/>
  <c r="F74" i="1"/>
  <c r="F73" i="1"/>
  <c r="F72" i="1"/>
  <c r="F71" i="1"/>
  <c r="F70" i="1"/>
  <c r="F69" i="1"/>
  <c r="F58" i="1"/>
  <c r="F57" i="1"/>
  <c r="F56" i="1"/>
  <c r="F45" i="1"/>
  <c r="F44" i="1"/>
  <c r="F33" i="1"/>
  <c r="F32" i="1"/>
  <c r="F21" i="1"/>
  <c r="F20" i="1"/>
  <c r="F9" i="1"/>
  <c r="F8" i="1"/>
  <c r="H205" i="1"/>
  <c r="H201" i="1"/>
  <c r="H202" i="1" s="1"/>
  <c r="H200" i="1"/>
  <c r="H188" i="1"/>
  <c r="H186" i="1"/>
  <c r="H187" i="1" s="1"/>
  <c r="H185" i="1"/>
  <c r="H183" i="1"/>
  <c r="F205" i="1"/>
  <c r="F201" i="1"/>
  <c r="F202" i="1" s="1"/>
  <c r="F200" i="1"/>
  <c r="F188" i="1"/>
  <c r="F186" i="1"/>
  <c r="F187" i="1" s="1"/>
  <c r="F185" i="1"/>
  <c r="F183" i="1"/>
  <c r="H170" i="1"/>
  <c r="F170" i="1"/>
  <c r="F146" i="1"/>
  <c r="F145" i="1"/>
  <c r="F144" i="1"/>
  <c r="H145" i="1"/>
  <c r="H146" i="1"/>
  <c r="H144" i="1"/>
  <c r="I13" i="1"/>
  <c r="I207" i="1" l="1"/>
  <c r="I132" i="1"/>
  <c r="I120" i="1"/>
  <c r="I108" i="1"/>
  <c r="I92" i="1"/>
  <c r="I76" i="1"/>
  <c r="I60" i="1"/>
  <c r="I47" i="1"/>
  <c r="I35" i="1"/>
  <c r="I23" i="1"/>
  <c r="I11" i="1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F71" i="3"/>
  <c r="E71" i="3"/>
  <c r="E98" i="1" l="1"/>
  <c r="E82" i="1" l="1"/>
  <c r="E129" i="3" s="1"/>
  <c r="E53" i="1"/>
  <c r="E29" i="1"/>
  <c r="E125" i="3" s="1"/>
  <c r="E39" i="3" l="1"/>
  <c r="F39" i="3"/>
  <c r="E35" i="3"/>
  <c r="F35" i="3"/>
  <c r="E36" i="3"/>
  <c r="F36" i="3"/>
  <c r="E37" i="3"/>
  <c r="F37" i="3"/>
  <c r="E38" i="3"/>
  <c r="F38" i="3"/>
  <c r="E28" i="3"/>
  <c r="F28" i="3"/>
  <c r="E29" i="3"/>
  <c r="F29" i="3"/>
  <c r="E30" i="3"/>
  <c r="F30" i="3"/>
  <c r="E31" i="3"/>
  <c r="F31" i="3"/>
  <c r="E32" i="3"/>
  <c r="F32" i="3"/>
  <c r="E23" i="3"/>
  <c r="F23" i="3"/>
  <c r="E24" i="3"/>
  <c r="F24" i="3"/>
  <c r="E25" i="3"/>
  <c r="F25" i="3"/>
  <c r="E21" i="3"/>
  <c r="F21" i="3"/>
  <c r="E22" i="3"/>
  <c r="F22" i="3"/>
  <c r="F20" i="3"/>
  <c r="E20" i="3"/>
  <c r="E17" i="3"/>
  <c r="F17" i="3"/>
  <c r="E18" i="3"/>
  <c r="F18" i="3"/>
  <c r="E126" i="1"/>
  <c r="C80" i="3"/>
  <c r="D80" i="3"/>
  <c r="C50" i="3"/>
  <c r="D50" i="3"/>
  <c r="D46" i="3"/>
  <c r="C46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F94" i="3"/>
  <c r="E95" i="3"/>
  <c r="F95" i="3"/>
  <c r="E96" i="3"/>
  <c r="F96" i="3"/>
  <c r="E97" i="3"/>
  <c r="F97" i="3"/>
  <c r="E98" i="3"/>
  <c r="F98" i="3"/>
  <c r="F47" i="3"/>
  <c r="F48" i="3"/>
  <c r="E49" i="3"/>
  <c r="F49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N220" i="1"/>
  <c r="G217" i="1"/>
  <c r="G218" i="1"/>
  <c r="G89" i="1"/>
  <c r="G105" i="1"/>
  <c r="G104" i="1"/>
  <c r="G103" i="1"/>
  <c r="G102" i="1"/>
  <c r="G88" i="1"/>
  <c r="E41" i="1"/>
  <c r="I21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61" i="1"/>
  <c r="G161" i="1"/>
  <c r="I159" i="1"/>
  <c r="G159" i="1"/>
  <c r="I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99" i="1"/>
  <c r="G199" i="1"/>
  <c r="I198" i="1"/>
  <c r="G198" i="1"/>
  <c r="I197" i="1"/>
  <c r="G197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03" i="1"/>
  <c r="I104" i="1"/>
  <c r="I102" i="1"/>
  <c r="I105" i="1"/>
  <c r="I89" i="1"/>
  <c r="I88" i="1"/>
  <c r="I87" i="1" l="1"/>
  <c r="G87" i="1"/>
  <c r="I86" i="1"/>
  <c r="G86" i="1"/>
  <c r="I70" i="1"/>
  <c r="G70" i="1"/>
  <c r="I71" i="1"/>
  <c r="G71" i="1"/>
  <c r="I72" i="1"/>
  <c r="G72" i="1"/>
  <c r="I73" i="1"/>
  <c r="G73" i="1"/>
  <c r="I57" i="1"/>
  <c r="G57" i="1"/>
  <c r="G13" i="1"/>
  <c r="G14" i="1"/>
  <c r="G220" i="1" s="1"/>
  <c r="O70" i="1" l="1"/>
  <c r="I69" i="1" l="1"/>
  <c r="G69" i="1"/>
  <c r="E132" i="3"/>
  <c r="E138" i="1"/>
  <c r="E133" i="3" s="1"/>
  <c r="E114" i="1"/>
  <c r="E131" i="3" s="1"/>
  <c r="E130" i="3"/>
  <c r="E66" i="1"/>
  <c r="E128" i="3" s="1"/>
  <c r="E127" i="3"/>
  <c r="E126" i="3"/>
  <c r="E17" i="1" l="1"/>
  <c r="E124" i="3" s="1"/>
  <c r="E45" i="3" l="1"/>
  <c r="F45" i="3"/>
  <c r="F44" i="3"/>
  <c r="E44" i="3"/>
  <c r="C43" i="3"/>
  <c r="D43" i="3"/>
  <c r="E42" i="3"/>
  <c r="F42" i="3"/>
  <c r="F41" i="3"/>
  <c r="E41" i="3"/>
  <c r="C40" i="3"/>
  <c r="D40" i="3"/>
  <c r="F34" i="3"/>
  <c r="E34" i="3"/>
  <c r="C33" i="3"/>
  <c r="D33" i="3"/>
  <c r="F27" i="3"/>
  <c r="E27" i="3"/>
  <c r="C26" i="3"/>
  <c r="D26" i="3"/>
  <c r="C19" i="3"/>
  <c r="D19" i="3"/>
  <c r="F16" i="3"/>
  <c r="E16" i="3"/>
  <c r="C15" i="3"/>
  <c r="D15" i="3"/>
  <c r="E14" i="3"/>
  <c r="C13" i="3"/>
  <c r="D13" i="3"/>
  <c r="E12" i="3"/>
  <c r="F12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I130" i="1" l="1"/>
  <c r="C14" i="2"/>
  <c r="C15" i="2"/>
  <c r="B15" i="2"/>
  <c r="B14" i="2"/>
  <c r="C115" i="3" l="1"/>
  <c r="C132" i="3"/>
  <c r="C116" i="3"/>
  <c r="C133" i="3"/>
  <c r="D116" i="3"/>
  <c r="D133" i="3"/>
  <c r="D132" i="3"/>
  <c r="D115" i="3"/>
  <c r="M132" i="1"/>
  <c r="N132" i="1" s="1"/>
  <c r="F14" i="3"/>
  <c r="F9" i="3"/>
  <c r="G136" i="1"/>
  <c r="I135" i="1"/>
  <c r="M135" i="1" s="1"/>
  <c r="I134" i="1"/>
  <c r="M134" i="1" s="1"/>
  <c r="N134" i="1" s="1"/>
  <c r="I133" i="1"/>
  <c r="M133" i="1" s="1"/>
  <c r="N133" i="1" s="1"/>
  <c r="G130" i="1"/>
  <c r="I129" i="1"/>
  <c r="G129" i="1"/>
  <c r="G131" i="1" l="1"/>
  <c r="D15" i="2" s="1"/>
  <c r="I136" i="1"/>
  <c r="I131" i="1"/>
  <c r="M136" i="1"/>
  <c r="A1" i="3"/>
  <c r="G137" i="1" l="1"/>
  <c r="G138" i="1" s="1"/>
  <c r="E15" i="2"/>
  <c r="I137" i="1"/>
  <c r="I138" i="1" s="1"/>
  <c r="N136" i="1"/>
  <c r="J130" i="1"/>
  <c r="J129" i="1"/>
  <c r="G124" i="1"/>
  <c r="I123" i="1"/>
  <c r="M123" i="1" s="1"/>
  <c r="I122" i="1"/>
  <c r="M122" i="1" s="1"/>
  <c r="N122" i="1" s="1"/>
  <c r="I121" i="1"/>
  <c r="M121" i="1" s="1"/>
  <c r="N121" i="1" s="1"/>
  <c r="M120" i="1"/>
  <c r="I118" i="1"/>
  <c r="G118" i="1"/>
  <c r="I117" i="1"/>
  <c r="G117" i="1"/>
  <c r="G15" i="2" l="1"/>
  <c r="J131" i="1"/>
  <c r="G119" i="1"/>
  <c r="D14" i="2" s="1"/>
  <c r="I119" i="1"/>
  <c r="N120" i="1"/>
  <c r="M124" i="1"/>
  <c r="I124" i="1"/>
  <c r="E14" i="2" l="1"/>
  <c r="G125" i="1"/>
  <c r="G126" i="1" s="1"/>
  <c r="J118" i="1"/>
  <c r="J117" i="1"/>
  <c r="I125" i="1"/>
  <c r="I126" i="1" s="1"/>
  <c r="N124" i="1"/>
  <c r="O124" i="1" s="1"/>
  <c r="G14" i="2" l="1"/>
  <c r="J119" i="1"/>
  <c r="G78" i="1" l="1"/>
  <c r="G219" i="1" s="1"/>
  <c r="C13" i="2" l="1"/>
  <c r="B13" i="2"/>
  <c r="C12" i="2"/>
  <c r="I74" i="1"/>
  <c r="G74" i="1"/>
  <c r="I58" i="1"/>
  <c r="G58" i="1"/>
  <c r="C128" i="3" l="1"/>
  <c r="C111" i="3"/>
  <c r="C127" i="3"/>
  <c r="C110" i="3"/>
  <c r="D128" i="3"/>
  <c r="D111" i="3"/>
  <c r="I21" i="1"/>
  <c r="G21" i="1"/>
  <c r="G64" i="1" l="1"/>
  <c r="I63" i="1"/>
  <c r="M63" i="1" s="1"/>
  <c r="I62" i="1"/>
  <c r="M62" i="1" s="1"/>
  <c r="N62" i="1" s="1"/>
  <c r="I61" i="1"/>
  <c r="M61" i="1" s="1"/>
  <c r="N61" i="1" s="1"/>
  <c r="M60" i="1"/>
  <c r="I56" i="1"/>
  <c r="G56" i="1"/>
  <c r="I45" i="1"/>
  <c r="G45" i="1"/>
  <c r="I33" i="1"/>
  <c r="G33" i="1"/>
  <c r="I59" i="1" l="1"/>
  <c r="J57" i="1" s="1"/>
  <c r="G59" i="1"/>
  <c r="N60" i="1"/>
  <c r="M64" i="1"/>
  <c r="I64" i="1"/>
  <c r="G65" i="1" l="1"/>
  <c r="G66" i="1" s="1"/>
  <c r="D13" i="2"/>
  <c r="E13" i="2"/>
  <c r="J58" i="1"/>
  <c r="I65" i="1"/>
  <c r="I66" i="1" s="1"/>
  <c r="J56" i="1"/>
  <c r="N64" i="1"/>
  <c r="O6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20" i="1"/>
  <c r="G13" i="2"/>
  <c r="J59" i="1"/>
  <c r="I111" i="1"/>
  <c r="M111" i="1" s="1"/>
  <c r="I109" i="1"/>
  <c r="M109" i="1" s="1"/>
  <c r="I95" i="1"/>
  <c r="M95" i="1" s="1"/>
  <c r="I94" i="1"/>
  <c r="I93" i="1"/>
  <c r="I79" i="1"/>
  <c r="M79" i="1" s="1"/>
  <c r="I78" i="1"/>
  <c r="I77" i="1"/>
  <c r="M77" i="1" s="1"/>
  <c r="I50" i="1"/>
  <c r="M50" i="1" s="1"/>
  <c r="I49" i="1"/>
  <c r="M49" i="1" s="1"/>
  <c r="I48" i="1"/>
  <c r="M48" i="1" s="1"/>
  <c r="I38" i="1"/>
  <c r="M38" i="1" s="1"/>
  <c r="I36" i="1"/>
  <c r="I26" i="1"/>
  <c r="M26" i="1" s="1"/>
  <c r="I25" i="1"/>
  <c r="M25" i="1" s="1"/>
  <c r="I24" i="1"/>
  <c r="M24" i="1" s="1"/>
  <c r="I14" i="1"/>
  <c r="I12" i="1"/>
  <c r="B31" i="2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I218" i="1"/>
  <c r="I220" i="1"/>
  <c r="E31" i="2" s="1"/>
  <c r="M13" i="1"/>
  <c r="M12" i="1"/>
  <c r="M94" i="1"/>
  <c r="M14" i="1"/>
  <c r="M220" i="1" s="1"/>
  <c r="M93" i="1"/>
  <c r="M78" i="1"/>
  <c r="I27" i="1"/>
  <c r="I51" i="1"/>
  <c r="M36" i="1"/>
  <c r="G39" i="1"/>
  <c r="G112" i="1"/>
  <c r="I37" i="1"/>
  <c r="M37" i="1" s="1"/>
  <c r="I110" i="1"/>
  <c r="G15" i="1"/>
  <c r="D31" i="2"/>
  <c r="G96" i="1"/>
  <c r="G80" i="1"/>
  <c r="G51" i="1"/>
  <c r="G27" i="1"/>
  <c r="I219" i="1" l="1"/>
  <c r="I221" i="1" s="1"/>
  <c r="J31" i="2"/>
  <c r="I96" i="1"/>
  <c r="I15" i="1"/>
  <c r="I80" i="1"/>
  <c r="I112" i="1"/>
  <c r="M110" i="1"/>
  <c r="I39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E30" i="2" l="1"/>
  <c r="E29" i="2"/>
  <c r="D30" i="2"/>
  <c r="D29" i="2"/>
  <c r="C11" i="2"/>
  <c r="C19" i="2"/>
  <c r="C20" i="2"/>
  <c r="C23" i="2"/>
  <c r="C16" i="2"/>
  <c r="B16" i="2"/>
  <c r="B23" i="2"/>
  <c r="B20" i="2"/>
  <c r="B19" i="2"/>
  <c r="B12" i="2"/>
  <c r="B11" i="2"/>
  <c r="C10" i="2"/>
  <c r="C9" i="2"/>
  <c r="B10" i="2"/>
  <c r="B9" i="2"/>
  <c r="N78" i="1"/>
  <c r="N77" i="1"/>
  <c r="M76" i="1"/>
  <c r="N49" i="1"/>
  <c r="N48" i="1"/>
  <c r="M47" i="1"/>
  <c r="N25" i="1"/>
  <c r="N24" i="1"/>
  <c r="M23" i="1"/>
  <c r="N36" i="1"/>
  <c r="M35" i="1"/>
  <c r="I32" i="1"/>
  <c r="G32" i="1"/>
  <c r="N94" i="1"/>
  <c r="N93" i="1"/>
  <c r="M92" i="1"/>
  <c r="I90" i="1"/>
  <c r="G90" i="1"/>
  <c r="I85" i="1"/>
  <c r="G85" i="1"/>
  <c r="N110" i="1"/>
  <c r="N109" i="1"/>
  <c r="M108" i="1"/>
  <c r="I106" i="1"/>
  <c r="G106" i="1"/>
  <c r="I101" i="1"/>
  <c r="G101" i="1"/>
  <c r="C126" i="3" l="1"/>
  <c r="C109" i="3"/>
  <c r="C124" i="3"/>
  <c r="C107" i="3"/>
  <c r="C117" i="3"/>
  <c r="C134" i="3"/>
  <c r="D134" i="3"/>
  <c r="D117" i="3"/>
  <c r="C131" i="3"/>
  <c r="C114" i="3"/>
  <c r="C108" i="3"/>
  <c r="C125" i="3"/>
  <c r="D126" i="3"/>
  <c r="D109" i="3"/>
  <c r="C113" i="3"/>
  <c r="C130" i="3"/>
  <c r="C112" i="3"/>
  <c r="C129" i="3"/>
  <c r="D131" i="3"/>
  <c r="D114" i="3"/>
  <c r="D113" i="3"/>
  <c r="D130" i="3"/>
  <c r="D129" i="3"/>
  <c r="D112" i="3"/>
  <c r="D127" i="3"/>
  <c r="D110" i="3"/>
  <c r="D108" i="3"/>
  <c r="D125" i="3"/>
  <c r="D107" i="3"/>
  <c r="D124" i="3"/>
  <c r="N23" i="1"/>
  <c r="M27" i="1"/>
  <c r="N108" i="1"/>
  <c r="M112" i="1"/>
  <c r="N92" i="1"/>
  <c r="M96" i="1"/>
  <c r="N76" i="1"/>
  <c r="M80" i="1"/>
  <c r="N47" i="1"/>
  <c r="M51" i="1"/>
  <c r="N35" i="1"/>
  <c r="M39" i="1"/>
  <c r="N39" i="1" s="1"/>
  <c r="O39" i="1" s="1"/>
  <c r="G221" i="1"/>
  <c r="E28" i="2"/>
  <c r="E32" i="2" s="1"/>
  <c r="G46" i="1"/>
  <c r="D12" i="2" s="1"/>
  <c r="D28" i="2"/>
  <c r="D32" i="2" s="1"/>
  <c r="G22" i="1"/>
  <c r="D10" i="2" s="1"/>
  <c r="G75" i="1"/>
  <c r="I75" i="1"/>
  <c r="I46" i="1"/>
  <c r="I22" i="1"/>
  <c r="G34" i="1"/>
  <c r="N37" i="1"/>
  <c r="I34" i="1"/>
  <c r="G91" i="1"/>
  <c r="G107" i="1"/>
  <c r="D23" i="2" s="1"/>
  <c r="I91" i="1"/>
  <c r="I107" i="1"/>
  <c r="G162" i="1"/>
  <c r="G206" i="1" s="1"/>
  <c r="I162" i="1"/>
  <c r="I206" i="1" s="1"/>
  <c r="J160" i="1" s="1"/>
  <c r="G211" i="1"/>
  <c r="M209" i="1"/>
  <c r="M219" i="1" s="1"/>
  <c r="M208" i="1"/>
  <c r="M218" i="1" s="1"/>
  <c r="M207" i="1"/>
  <c r="B29" i="2"/>
  <c r="B30" i="2"/>
  <c r="B28" i="2"/>
  <c r="M11" i="1"/>
  <c r="I9" i="1"/>
  <c r="I8" i="1"/>
  <c r="G9" i="1"/>
  <c r="G8" i="1"/>
  <c r="A2" i="1"/>
  <c r="A1" i="1"/>
  <c r="A9" i="2"/>
  <c r="A10" i="2" s="1"/>
  <c r="A11" i="2" s="1"/>
  <c r="A12" i="2" s="1"/>
  <c r="A13" i="2" s="1"/>
  <c r="J106" i="1" l="1"/>
  <c r="K107" i="1"/>
  <c r="A14" i="2"/>
  <c r="A15" i="2" s="1"/>
  <c r="A16" i="2" s="1"/>
  <c r="A17" i="2" s="1"/>
  <c r="A18" i="2" s="1"/>
  <c r="A19" i="2" s="1"/>
  <c r="A20" i="2" s="1"/>
  <c r="A21" i="2" s="1"/>
  <c r="M217" i="1"/>
  <c r="M221" i="1" s="1"/>
  <c r="J88" i="1"/>
  <c r="J89" i="1"/>
  <c r="J86" i="1"/>
  <c r="J87" i="1"/>
  <c r="J69" i="1"/>
  <c r="J71" i="1"/>
  <c r="J72" i="1"/>
  <c r="J73" i="1"/>
  <c r="J70" i="1"/>
  <c r="J74" i="1"/>
  <c r="J85" i="1"/>
  <c r="J90" i="1"/>
  <c r="J105" i="1"/>
  <c r="J102" i="1"/>
  <c r="J103" i="1"/>
  <c r="J104" i="1"/>
  <c r="J101" i="1"/>
  <c r="M15" i="1"/>
  <c r="N207" i="1"/>
  <c r="J21" i="1"/>
  <c r="E12" i="2"/>
  <c r="J45" i="1"/>
  <c r="N208" i="1"/>
  <c r="N209" i="1"/>
  <c r="J30" i="2"/>
  <c r="J33" i="1"/>
  <c r="J32" i="1"/>
  <c r="G52" i="1"/>
  <c r="G53" i="1" s="1"/>
  <c r="G28" i="1"/>
  <c r="G29" i="1" s="1"/>
  <c r="N12" i="1"/>
  <c r="J29" i="2"/>
  <c r="N13" i="1"/>
  <c r="G81" i="1"/>
  <c r="G82" i="1" s="1"/>
  <c r="D19" i="2"/>
  <c r="G40" i="1"/>
  <c r="G41" i="1" s="1"/>
  <c r="D11" i="2"/>
  <c r="I52" i="1"/>
  <c r="I53" i="1" s="1"/>
  <c r="I40" i="1"/>
  <c r="I41" i="1" s="1"/>
  <c r="E11" i="2"/>
  <c r="I97" i="1"/>
  <c r="I98" i="1" s="1"/>
  <c r="E20" i="2"/>
  <c r="I113" i="1"/>
  <c r="I114" i="1" s="1"/>
  <c r="E23" i="2"/>
  <c r="G23" i="2" s="1"/>
  <c r="G113" i="1"/>
  <c r="G114" i="1" s="1"/>
  <c r="G97" i="1"/>
  <c r="G98" i="1" s="1"/>
  <c r="D20" i="2"/>
  <c r="I28" i="1"/>
  <c r="I29" i="1" s="1"/>
  <c r="E10" i="2"/>
  <c r="I81" i="1"/>
  <c r="I82" i="1" s="1"/>
  <c r="E19" i="2"/>
  <c r="N51" i="1"/>
  <c r="O51" i="1" s="1"/>
  <c r="N80" i="1"/>
  <c r="O80" i="1" s="1"/>
  <c r="N27" i="1"/>
  <c r="O27" i="1" s="1"/>
  <c r="N96" i="1"/>
  <c r="O96" i="1" s="1"/>
  <c r="N112" i="1"/>
  <c r="O112" i="1" s="1"/>
  <c r="G10" i="1"/>
  <c r="G216" i="1" s="1"/>
  <c r="I10" i="1"/>
  <c r="I216" i="1" s="1"/>
  <c r="I222" i="1" s="1"/>
  <c r="I211" i="1"/>
  <c r="N11" i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E21" i="2"/>
  <c r="F19" i="2" s="1"/>
  <c r="G19" i="2"/>
  <c r="D21" i="2"/>
  <c r="G20" i="2"/>
  <c r="F20" i="2"/>
  <c r="N219" i="1"/>
  <c r="N217" i="1"/>
  <c r="N218" i="1"/>
  <c r="J193" i="1"/>
  <c r="J195" i="1"/>
  <c r="J188" i="1"/>
  <c r="J196" i="1"/>
  <c r="J189" i="1"/>
  <c r="J182" i="1"/>
  <c r="J187" i="1"/>
  <c r="J184" i="1"/>
  <c r="J194" i="1"/>
  <c r="J186" i="1"/>
  <c r="J192" i="1"/>
  <c r="J190" i="1"/>
  <c r="J191" i="1"/>
  <c r="J183" i="1"/>
  <c r="J185" i="1"/>
  <c r="J143" i="1"/>
  <c r="J142" i="1"/>
  <c r="J158" i="1"/>
  <c r="J151" i="1"/>
  <c r="J154" i="1"/>
  <c r="J147" i="1"/>
  <c r="J145" i="1"/>
  <c r="J150" i="1"/>
  <c r="J153" i="1"/>
  <c r="J156" i="1"/>
  <c r="J144" i="1"/>
  <c r="J161" i="1"/>
  <c r="J146" i="1"/>
  <c r="J149" i="1"/>
  <c r="J157" i="1"/>
  <c r="J152" i="1"/>
  <c r="J159" i="1"/>
  <c r="J155" i="1"/>
  <c r="J197" i="1"/>
  <c r="J165" i="1"/>
  <c r="J169" i="1"/>
  <c r="J170" i="1"/>
  <c r="J164" i="1"/>
  <c r="J199" i="1"/>
  <c r="J198" i="1"/>
  <c r="J168" i="1"/>
  <c r="J163" i="1"/>
  <c r="J166" i="1"/>
  <c r="J167" i="1"/>
  <c r="J171" i="1"/>
  <c r="G222" i="1"/>
  <c r="G12" i="2"/>
  <c r="G10" i="2"/>
  <c r="G11" i="2"/>
  <c r="D16" i="2"/>
  <c r="J107" i="1"/>
  <c r="J46" i="1"/>
  <c r="J28" i="2"/>
  <c r="J32" i="2" s="1"/>
  <c r="J34" i="1"/>
  <c r="E16" i="2"/>
  <c r="J22" i="1"/>
  <c r="J91" i="1"/>
  <c r="J204" i="1"/>
  <c r="J205" i="1"/>
  <c r="J203" i="1"/>
  <c r="J201" i="1"/>
  <c r="J202" i="1"/>
  <c r="J200" i="1"/>
  <c r="J9" i="1"/>
  <c r="J8" i="1"/>
  <c r="J75" i="1"/>
  <c r="G212" i="1"/>
  <c r="E9" i="2"/>
  <c r="G16" i="1"/>
  <c r="D9" i="2"/>
  <c r="J162" i="1"/>
  <c r="I212" i="1"/>
  <c r="M211" i="1"/>
  <c r="I16" i="1"/>
  <c r="I17" i="1" s="1"/>
  <c r="N15" i="1"/>
  <c r="J206" i="1" l="1"/>
  <c r="G21" i="2"/>
  <c r="H21" i="2" s="1"/>
  <c r="F21" i="2"/>
  <c r="N221" i="1"/>
  <c r="G16" i="2"/>
  <c r="G9" i="2"/>
  <c r="D17" i="2"/>
  <c r="E17" i="2"/>
  <c r="E25" i="2" s="1"/>
  <c r="G17" i="1"/>
  <c r="N211" i="1"/>
  <c r="O211" i="1" s="1"/>
  <c r="J10" i="1"/>
  <c r="H20" i="2" l="1"/>
  <c r="I20" i="2" s="1"/>
  <c r="K91" i="1" s="1"/>
  <c r="H19" i="2"/>
  <c r="I19" i="2" s="1"/>
  <c r="K75" i="1" s="1"/>
  <c r="D25" i="2"/>
  <c r="D34" i="2" s="1"/>
  <c r="D36" i="2" s="1"/>
  <c r="D37" i="2" s="1"/>
  <c r="G17" i="2"/>
  <c r="G25" i="2" s="1"/>
  <c r="F15" i="2"/>
  <c r="F14" i="2"/>
  <c r="F13" i="2"/>
  <c r="F9" i="2"/>
  <c r="F12" i="2"/>
  <c r="F10" i="2"/>
  <c r="F16" i="2"/>
  <c r="F17" i="2"/>
  <c r="F11" i="2"/>
  <c r="I21" i="2" l="1"/>
  <c r="H9" i="2"/>
  <c r="I9" i="2" s="1"/>
  <c r="K10" i="1" s="1"/>
  <c r="H10" i="2"/>
  <c r="I10" i="2" s="1"/>
  <c r="K22" i="1" s="1"/>
  <c r="H11" i="2"/>
  <c r="I11" i="2" s="1"/>
  <c r="K34" i="1" s="1"/>
  <c r="H12" i="2"/>
  <c r="I12" i="2" s="1"/>
  <c r="K46" i="1" s="1"/>
  <c r="H14" i="2"/>
  <c r="I14" i="2" s="1"/>
  <c r="K119" i="1" s="1"/>
  <c r="S119" i="1" s="1"/>
  <c r="L118" i="1" s="1"/>
  <c r="H16" i="2"/>
  <c r="I16" i="2" s="1"/>
  <c r="K206" i="1" s="1"/>
  <c r="H15" i="2"/>
  <c r="I15" i="2" s="1"/>
  <c r="K131" i="1" s="1"/>
  <c r="H13" i="2"/>
  <c r="I13" i="2" s="1"/>
  <c r="K59" i="1" s="1"/>
  <c r="E34" i="2"/>
  <c r="K76" i="1" l="1"/>
  <c r="S75" i="1"/>
  <c r="K23" i="1"/>
  <c r="S22" i="1"/>
  <c r="L21" i="1" s="1"/>
  <c r="S131" i="1"/>
  <c r="L130" i="1" s="1"/>
  <c r="K132" i="1"/>
  <c r="S206" i="1"/>
  <c r="L160" i="1" s="1"/>
  <c r="G61" i="3" s="1"/>
  <c r="H61" i="3" s="1"/>
  <c r="I61" i="3" s="1"/>
  <c r="K207" i="1"/>
  <c r="S34" i="1"/>
  <c r="K35" i="1"/>
  <c r="S10" i="1"/>
  <c r="K11" i="1"/>
  <c r="S107" i="1"/>
  <c r="K108" i="1"/>
  <c r="S91" i="1"/>
  <c r="K92" i="1"/>
  <c r="S46" i="1"/>
  <c r="L45" i="1" s="1"/>
  <c r="K47" i="1"/>
  <c r="S59" i="1"/>
  <c r="L57" i="1" s="1"/>
  <c r="G17" i="3" s="1"/>
  <c r="H17" i="3" s="1"/>
  <c r="I17" i="3" s="1"/>
  <c r="K60" i="1"/>
  <c r="K120" i="1"/>
  <c r="L117" i="1"/>
  <c r="G41" i="3" s="1"/>
  <c r="H41" i="3" s="1"/>
  <c r="I41" i="3" s="1"/>
  <c r="G42" i="3"/>
  <c r="H42" i="3" s="1"/>
  <c r="I42" i="3" s="1"/>
  <c r="I17" i="2"/>
  <c r="I25" i="2" s="1"/>
  <c r="M160" i="1" l="1"/>
  <c r="T160" i="1"/>
  <c r="L176" i="1"/>
  <c r="T176" i="1" s="1"/>
  <c r="L172" i="1"/>
  <c r="G71" i="3" s="1"/>
  <c r="H71" i="3" s="1"/>
  <c r="I71" i="3" s="1"/>
  <c r="L180" i="1"/>
  <c r="G79" i="3" s="1"/>
  <c r="H79" i="3" s="1"/>
  <c r="I79" i="3" s="1"/>
  <c r="L179" i="1"/>
  <c r="G78" i="3" s="1"/>
  <c r="H78" i="3" s="1"/>
  <c r="I78" i="3" s="1"/>
  <c r="L178" i="1"/>
  <c r="G77" i="3" s="1"/>
  <c r="H77" i="3" s="1"/>
  <c r="I77" i="3" s="1"/>
  <c r="L177" i="1"/>
  <c r="G76" i="3" s="1"/>
  <c r="H76" i="3" s="1"/>
  <c r="I76" i="3" s="1"/>
  <c r="L175" i="1"/>
  <c r="G74" i="3" s="1"/>
  <c r="H74" i="3" s="1"/>
  <c r="I74" i="3" s="1"/>
  <c r="L174" i="1"/>
  <c r="G73" i="3" s="1"/>
  <c r="H73" i="3" s="1"/>
  <c r="I73" i="3" s="1"/>
  <c r="L173" i="1"/>
  <c r="G72" i="3" s="1"/>
  <c r="H72" i="3" s="1"/>
  <c r="I72" i="3" s="1"/>
  <c r="M57" i="1"/>
  <c r="N57" i="1" s="1"/>
  <c r="O57" i="1" s="1"/>
  <c r="T57" i="1"/>
  <c r="L88" i="1"/>
  <c r="G30" i="3" s="1"/>
  <c r="H30" i="3" s="1"/>
  <c r="I30" i="3" s="1"/>
  <c r="L87" i="1"/>
  <c r="G29" i="3" s="1"/>
  <c r="H29" i="3" s="1"/>
  <c r="I29" i="3" s="1"/>
  <c r="L86" i="1"/>
  <c r="G28" i="3" s="1"/>
  <c r="H28" i="3" s="1"/>
  <c r="I28" i="3" s="1"/>
  <c r="L89" i="1"/>
  <c r="G31" i="3" s="1"/>
  <c r="H31" i="3" s="1"/>
  <c r="I31" i="3" s="1"/>
  <c r="L90" i="1"/>
  <c r="G32" i="3" s="1"/>
  <c r="H32" i="3" s="1"/>
  <c r="I32" i="3" s="1"/>
  <c r="L74" i="1"/>
  <c r="L73" i="1"/>
  <c r="G24" i="3" s="1"/>
  <c r="H24" i="3" s="1"/>
  <c r="I24" i="3" s="1"/>
  <c r="L72" i="1"/>
  <c r="G23" i="3" s="1"/>
  <c r="H23" i="3" s="1"/>
  <c r="I23" i="3" s="1"/>
  <c r="L70" i="1"/>
  <c r="G21" i="3" s="1"/>
  <c r="H21" i="3" s="1"/>
  <c r="I21" i="3" s="1"/>
  <c r="L71" i="1"/>
  <c r="G22" i="3" s="1"/>
  <c r="H22" i="3" s="1"/>
  <c r="I22" i="3" s="1"/>
  <c r="L69" i="1"/>
  <c r="L56" i="1"/>
  <c r="G16" i="3" s="1"/>
  <c r="H16" i="3" s="1"/>
  <c r="I16" i="3" s="1"/>
  <c r="L58" i="1"/>
  <c r="G18" i="3" s="1"/>
  <c r="H18" i="3" s="1"/>
  <c r="I18" i="3" s="1"/>
  <c r="L103" i="1"/>
  <c r="L106" i="1"/>
  <c r="L9" i="1"/>
  <c r="G14" i="3" s="1"/>
  <c r="H14" i="3" s="1"/>
  <c r="I14" i="3" s="1"/>
  <c r="L32" i="1"/>
  <c r="G11" i="3" s="1"/>
  <c r="H11" i="3" s="1"/>
  <c r="I11" i="3" s="1"/>
  <c r="L33" i="1"/>
  <c r="G12" i="3" s="1"/>
  <c r="H12" i="3" s="1"/>
  <c r="I12" i="3" s="1"/>
  <c r="T181" i="1"/>
  <c r="L191" i="1"/>
  <c r="G87" i="3" s="1"/>
  <c r="H87" i="3" s="1"/>
  <c r="I87" i="3" s="1"/>
  <c r="L184" i="1"/>
  <c r="G82" i="3" s="1"/>
  <c r="H82" i="3" s="1"/>
  <c r="I82" i="3" s="1"/>
  <c r="L186" i="1"/>
  <c r="G83" i="3" s="1"/>
  <c r="H83" i="3" s="1"/>
  <c r="I83" i="3" s="1"/>
  <c r="L190" i="1"/>
  <c r="G86" i="3" s="1"/>
  <c r="H86" i="3" s="1"/>
  <c r="I86" i="3" s="1"/>
  <c r="L183" i="1"/>
  <c r="L192" i="1"/>
  <c r="G88" i="3" s="1"/>
  <c r="H88" i="3" s="1"/>
  <c r="I88" i="3" s="1"/>
  <c r="L185" i="1"/>
  <c r="L195" i="1"/>
  <c r="G91" i="3" s="1"/>
  <c r="H91" i="3" s="1"/>
  <c r="I91" i="3" s="1"/>
  <c r="L188" i="1"/>
  <c r="G84" i="3" s="1"/>
  <c r="H84" i="3" s="1"/>
  <c r="I84" i="3" s="1"/>
  <c r="L196" i="1"/>
  <c r="G92" i="3" s="1"/>
  <c r="H92" i="3" s="1"/>
  <c r="I92" i="3" s="1"/>
  <c r="L189" i="1"/>
  <c r="G85" i="3" s="1"/>
  <c r="H85" i="3" s="1"/>
  <c r="I85" i="3" s="1"/>
  <c r="L182" i="1"/>
  <c r="G81" i="3" s="1"/>
  <c r="H81" i="3" s="1"/>
  <c r="I81" i="3" s="1"/>
  <c r="L194" i="1"/>
  <c r="G90" i="3" s="1"/>
  <c r="H90" i="3" s="1"/>
  <c r="I90" i="3" s="1"/>
  <c r="L187" i="1"/>
  <c r="L193" i="1"/>
  <c r="G89" i="3" s="1"/>
  <c r="H89" i="3" s="1"/>
  <c r="I89" i="3" s="1"/>
  <c r="L154" i="1"/>
  <c r="G56" i="3" s="1"/>
  <c r="H56" i="3" s="1"/>
  <c r="I56" i="3" s="1"/>
  <c r="L147" i="1"/>
  <c r="G49" i="3" s="1"/>
  <c r="H49" i="3" s="1"/>
  <c r="I49" i="3" s="1"/>
  <c r="L159" i="1"/>
  <c r="G60" i="3" s="1"/>
  <c r="H60" i="3" s="1"/>
  <c r="I60" i="3" s="1"/>
  <c r="L156" i="1"/>
  <c r="G58" i="3" s="1"/>
  <c r="H58" i="3" s="1"/>
  <c r="I58" i="3" s="1"/>
  <c r="L149" i="1"/>
  <c r="G51" i="3" s="1"/>
  <c r="H51" i="3" s="1"/>
  <c r="I51" i="3" s="1"/>
  <c r="L142" i="1"/>
  <c r="G47" i="3" s="1"/>
  <c r="H47" i="3" s="1"/>
  <c r="I47" i="3" s="1"/>
  <c r="L153" i="1"/>
  <c r="G55" i="3" s="1"/>
  <c r="H55" i="3" s="1"/>
  <c r="I55" i="3" s="1"/>
  <c r="L146" i="1"/>
  <c r="L155" i="1"/>
  <c r="G57" i="3" s="1"/>
  <c r="H57" i="3" s="1"/>
  <c r="I57" i="3" s="1"/>
  <c r="L158" i="1"/>
  <c r="L151" i="1"/>
  <c r="G53" i="3" s="1"/>
  <c r="H53" i="3" s="1"/>
  <c r="I53" i="3" s="1"/>
  <c r="L143" i="1"/>
  <c r="G48" i="3" s="1"/>
  <c r="H48" i="3" s="1"/>
  <c r="I48" i="3" s="1"/>
  <c r="L161" i="1"/>
  <c r="G62" i="3" s="1"/>
  <c r="H62" i="3" s="1"/>
  <c r="I62" i="3" s="1"/>
  <c r="L145" i="1"/>
  <c r="L152" i="1"/>
  <c r="G54" i="3" s="1"/>
  <c r="H54" i="3" s="1"/>
  <c r="I54" i="3" s="1"/>
  <c r="L144" i="1"/>
  <c r="L157" i="1"/>
  <c r="G59" i="3" s="1"/>
  <c r="H59" i="3" s="1"/>
  <c r="I59" i="3" s="1"/>
  <c r="L150" i="1"/>
  <c r="G52" i="3" s="1"/>
  <c r="H52" i="3" s="1"/>
  <c r="I52" i="3" s="1"/>
  <c r="L169" i="1"/>
  <c r="L198" i="1"/>
  <c r="G94" i="3" s="1"/>
  <c r="H94" i="3" s="1"/>
  <c r="I94" i="3" s="1"/>
  <c r="L166" i="1"/>
  <c r="G67" i="3" s="1"/>
  <c r="H67" i="3" s="1"/>
  <c r="I67" i="3" s="1"/>
  <c r="L170" i="1"/>
  <c r="L171" i="1"/>
  <c r="G70" i="3" s="1"/>
  <c r="H70" i="3" s="1"/>
  <c r="I70" i="3" s="1"/>
  <c r="L163" i="1"/>
  <c r="G64" i="3" s="1"/>
  <c r="H64" i="3" s="1"/>
  <c r="I64" i="3" s="1"/>
  <c r="L168" i="1"/>
  <c r="G69" i="3" s="1"/>
  <c r="H69" i="3" s="1"/>
  <c r="I69" i="3" s="1"/>
  <c r="L199" i="1"/>
  <c r="G95" i="3" s="1"/>
  <c r="H95" i="3" s="1"/>
  <c r="I95" i="3" s="1"/>
  <c r="L167" i="1"/>
  <c r="G68" i="3" s="1"/>
  <c r="H68" i="3" s="1"/>
  <c r="I68" i="3" s="1"/>
  <c r="L197" i="1"/>
  <c r="G93" i="3" s="1"/>
  <c r="H93" i="3" s="1"/>
  <c r="I93" i="3" s="1"/>
  <c r="L165" i="1"/>
  <c r="G66" i="3" s="1"/>
  <c r="H66" i="3" s="1"/>
  <c r="I66" i="3" s="1"/>
  <c r="L164" i="1"/>
  <c r="G65" i="3" s="1"/>
  <c r="H65" i="3" s="1"/>
  <c r="I65" i="3" s="1"/>
  <c r="L102" i="1"/>
  <c r="G35" i="3" s="1"/>
  <c r="H35" i="3" s="1"/>
  <c r="I35" i="3" s="1"/>
  <c r="L104" i="1"/>
  <c r="G37" i="3" s="1"/>
  <c r="H37" i="3" s="1"/>
  <c r="I37" i="3" s="1"/>
  <c r="L105" i="1"/>
  <c r="G38" i="3" s="1"/>
  <c r="H38" i="3" s="1"/>
  <c r="I38" i="3" s="1"/>
  <c r="L129" i="1"/>
  <c r="G44" i="3" s="1"/>
  <c r="H44" i="3" s="1"/>
  <c r="I44" i="3" s="1"/>
  <c r="L101" i="1"/>
  <c r="G34" i="3" s="1"/>
  <c r="H34" i="3" s="1"/>
  <c r="I34" i="3" s="1"/>
  <c r="L204" i="1"/>
  <c r="G98" i="3" s="1"/>
  <c r="H98" i="3" s="1"/>
  <c r="I98" i="3" s="1"/>
  <c r="L8" i="1"/>
  <c r="G6" i="3" s="1"/>
  <c r="H6" i="3" s="1"/>
  <c r="I6" i="3" s="1"/>
  <c r="L203" i="1"/>
  <c r="G97" i="3" s="1"/>
  <c r="H97" i="3" s="1"/>
  <c r="I97" i="3" s="1"/>
  <c r="L205" i="1"/>
  <c r="L202" i="1"/>
  <c r="L162" i="1"/>
  <c r="G63" i="3" s="1"/>
  <c r="H63" i="3" s="1"/>
  <c r="I63" i="3" s="1"/>
  <c r="L200" i="1"/>
  <c r="L201" i="1"/>
  <c r="G96" i="3" s="1"/>
  <c r="H96" i="3" s="1"/>
  <c r="I96" i="3" s="1"/>
  <c r="L85" i="1"/>
  <c r="G27" i="3" s="1"/>
  <c r="H27" i="3" s="1"/>
  <c r="I27" i="3" s="1"/>
  <c r="M130" i="1"/>
  <c r="G45" i="3"/>
  <c r="H45" i="3" s="1"/>
  <c r="I45" i="3" s="1"/>
  <c r="M118" i="1"/>
  <c r="N118" i="1" s="1"/>
  <c r="O118" i="1" s="1"/>
  <c r="T118" i="1"/>
  <c r="T117" i="1"/>
  <c r="M117" i="1"/>
  <c r="N117" i="1" s="1"/>
  <c r="T130" i="1"/>
  <c r="N160" i="1" l="1"/>
  <c r="G75" i="3"/>
  <c r="H75" i="3" s="1"/>
  <c r="I75" i="3" s="1"/>
  <c r="T172" i="1"/>
  <c r="T175" i="1"/>
  <c r="T179" i="1"/>
  <c r="T177" i="1"/>
  <c r="T178" i="1"/>
  <c r="T173" i="1"/>
  <c r="T180" i="1"/>
  <c r="T174" i="1"/>
  <c r="T103" i="1"/>
  <c r="G36" i="3"/>
  <c r="H36" i="3" s="1"/>
  <c r="I36" i="3" s="1"/>
  <c r="G25" i="3"/>
  <c r="H25" i="3" s="1"/>
  <c r="I25" i="3" s="1"/>
  <c r="M69" i="1"/>
  <c r="N69" i="1" s="1"/>
  <c r="O69" i="1" s="1"/>
  <c r="G20" i="3"/>
  <c r="H20" i="3" s="1"/>
  <c r="I20" i="3" s="1"/>
  <c r="G39" i="3"/>
  <c r="H39" i="3" s="1"/>
  <c r="I39" i="3" s="1"/>
  <c r="M103" i="1"/>
  <c r="N103" i="1" s="1"/>
  <c r="O103" i="1" s="1"/>
  <c r="T74" i="1"/>
  <c r="M56" i="1"/>
  <c r="N56" i="1" s="1"/>
  <c r="O56" i="1" s="1"/>
  <c r="T86" i="1"/>
  <c r="M86" i="1"/>
  <c r="N86" i="1" s="1"/>
  <c r="O86" i="1" s="1"/>
  <c r="T89" i="1"/>
  <c r="M89" i="1"/>
  <c r="N89" i="1" s="1"/>
  <c r="O89" i="1" s="1"/>
  <c r="M71" i="1"/>
  <c r="N71" i="1" s="1"/>
  <c r="O71" i="1" s="1"/>
  <c r="T71" i="1"/>
  <c r="T87" i="1"/>
  <c r="M87" i="1"/>
  <c r="N87" i="1" s="1"/>
  <c r="O87" i="1" s="1"/>
  <c r="M70" i="1"/>
  <c r="N70" i="1" s="1"/>
  <c r="T70" i="1"/>
  <c r="T88" i="1"/>
  <c r="M88" i="1"/>
  <c r="N88" i="1" s="1"/>
  <c r="O88" i="1" s="1"/>
  <c r="M72" i="1"/>
  <c r="N72" i="1" s="1"/>
  <c r="O72" i="1" s="1"/>
  <c r="T72" i="1"/>
  <c r="M74" i="1"/>
  <c r="N74" i="1" s="1"/>
  <c r="O74" i="1" s="1"/>
  <c r="T73" i="1"/>
  <c r="M73" i="1"/>
  <c r="N73" i="1" s="1"/>
  <c r="O73" i="1" s="1"/>
  <c r="T56" i="1"/>
  <c r="T32" i="1"/>
  <c r="M32" i="1"/>
  <c r="N32" i="1" s="1"/>
  <c r="O32" i="1" s="1"/>
  <c r="M9" i="1"/>
  <c r="N9" i="1" s="1"/>
  <c r="O9" i="1" s="1"/>
  <c r="G7" i="3"/>
  <c r="H7" i="3" s="1"/>
  <c r="I7" i="3" s="1"/>
  <c r="G9" i="3"/>
  <c r="H9" i="3" s="1"/>
  <c r="I9" i="3" s="1"/>
  <c r="T9" i="1"/>
  <c r="T106" i="1"/>
  <c r="M106" i="1"/>
  <c r="N106" i="1" s="1"/>
  <c r="O106" i="1" s="1"/>
  <c r="M187" i="1"/>
  <c r="T187" i="1"/>
  <c r="M185" i="1"/>
  <c r="T185" i="1"/>
  <c r="T194" i="1"/>
  <c r="M194" i="1"/>
  <c r="M192" i="1"/>
  <c r="T192" i="1"/>
  <c r="T182" i="1"/>
  <c r="M182" i="1"/>
  <c r="M183" i="1"/>
  <c r="T183" i="1"/>
  <c r="T189" i="1"/>
  <c r="M189" i="1"/>
  <c r="T190" i="1"/>
  <c r="M190" i="1"/>
  <c r="T196" i="1"/>
  <c r="M196" i="1"/>
  <c r="M186" i="1"/>
  <c r="T186" i="1"/>
  <c r="M188" i="1"/>
  <c r="T188" i="1"/>
  <c r="M195" i="1"/>
  <c r="T195" i="1"/>
  <c r="T184" i="1"/>
  <c r="M184" i="1"/>
  <c r="M193" i="1"/>
  <c r="T193" i="1"/>
  <c r="T191" i="1"/>
  <c r="M191" i="1"/>
  <c r="M153" i="1"/>
  <c r="T153" i="1"/>
  <c r="T161" i="1"/>
  <c r="M161" i="1"/>
  <c r="T141" i="1"/>
  <c r="M143" i="1"/>
  <c r="T143" i="1"/>
  <c r="T142" i="1"/>
  <c r="M142" i="1"/>
  <c r="M150" i="1"/>
  <c r="T150" i="1"/>
  <c r="M151" i="1"/>
  <c r="T151" i="1"/>
  <c r="T149" i="1"/>
  <c r="M149" i="1"/>
  <c r="T157" i="1"/>
  <c r="M157" i="1"/>
  <c r="M158" i="1"/>
  <c r="T158" i="1"/>
  <c r="M156" i="1"/>
  <c r="T156" i="1"/>
  <c r="M144" i="1"/>
  <c r="T144" i="1"/>
  <c r="T148" i="1"/>
  <c r="M159" i="1"/>
  <c r="T159" i="1"/>
  <c r="M152" i="1"/>
  <c r="T152" i="1"/>
  <c r="M155" i="1"/>
  <c r="T155" i="1"/>
  <c r="T147" i="1"/>
  <c r="M147" i="1"/>
  <c r="T145" i="1"/>
  <c r="M145" i="1"/>
  <c r="M146" i="1"/>
  <c r="T146" i="1"/>
  <c r="T154" i="1"/>
  <c r="M154" i="1"/>
  <c r="T168" i="1"/>
  <c r="M168" i="1"/>
  <c r="M163" i="1"/>
  <c r="T163" i="1"/>
  <c r="T164" i="1"/>
  <c r="M164" i="1"/>
  <c r="T171" i="1"/>
  <c r="M171" i="1"/>
  <c r="M170" i="1"/>
  <c r="T170" i="1"/>
  <c r="M165" i="1"/>
  <c r="T165" i="1"/>
  <c r="M166" i="1"/>
  <c r="T166" i="1"/>
  <c r="M197" i="1"/>
  <c r="T197" i="1"/>
  <c r="M198" i="1"/>
  <c r="T198" i="1"/>
  <c r="T167" i="1"/>
  <c r="M167" i="1"/>
  <c r="T169" i="1"/>
  <c r="M169" i="1"/>
  <c r="T199" i="1"/>
  <c r="M199" i="1"/>
  <c r="M104" i="1"/>
  <c r="T104" i="1"/>
  <c r="T102" i="1"/>
  <c r="M102" i="1"/>
  <c r="M105" i="1"/>
  <c r="T105" i="1"/>
  <c r="T129" i="1"/>
  <c r="M129" i="1"/>
  <c r="M131" i="1" s="1"/>
  <c r="P129" i="1" s="1"/>
  <c r="Q129" i="1" s="1"/>
  <c r="M204" i="1"/>
  <c r="N204" i="1" s="1"/>
  <c r="O204" i="1" s="1"/>
  <c r="T204" i="1"/>
  <c r="T205" i="1"/>
  <c r="M101" i="1"/>
  <c r="N101" i="1" s="1"/>
  <c r="T201" i="1"/>
  <c r="M8" i="1"/>
  <c r="N8" i="1" s="1"/>
  <c r="T33" i="1"/>
  <c r="T101" i="1"/>
  <c r="M58" i="1"/>
  <c r="N58" i="1" s="1"/>
  <c r="O58" i="1" s="1"/>
  <c r="M201" i="1"/>
  <c r="N201" i="1" s="1"/>
  <c r="O201" i="1" s="1"/>
  <c r="M203" i="1"/>
  <c r="N203" i="1" s="1"/>
  <c r="O203" i="1" s="1"/>
  <c r="M33" i="1"/>
  <c r="N33" i="1" s="1"/>
  <c r="O33" i="1" s="1"/>
  <c r="T203" i="1"/>
  <c r="M205" i="1"/>
  <c r="N205" i="1" s="1"/>
  <c r="O205" i="1" s="1"/>
  <c r="T58" i="1"/>
  <c r="T8" i="1"/>
  <c r="T202" i="1"/>
  <c r="M202" i="1"/>
  <c r="N202" i="1" s="1"/>
  <c r="O202" i="1" s="1"/>
  <c r="M162" i="1"/>
  <c r="N162" i="1" s="1"/>
  <c r="O162" i="1" s="1"/>
  <c r="T162" i="1"/>
  <c r="M200" i="1"/>
  <c r="N200" i="1" s="1"/>
  <c r="O200" i="1" s="1"/>
  <c r="T200" i="1"/>
  <c r="T85" i="1"/>
  <c r="M85" i="1"/>
  <c r="N85" i="1" s="1"/>
  <c r="O85" i="1" s="1"/>
  <c r="O117" i="1"/>
  <c r="N119" i="1"/>
  <c r="M119" i="1"/>
  <c r="P117" i="1" s="1"/>
  <c r="T45" i="1"/>
  <c r="M45" i="1"/>
  <c r="N130" i="1"/>
  <c r="O130" i="1" s="1"/>
  <c r="T90" i="1"/>
  <c r="M90" i="1"/>
  <c r="M206" i="1" l="1"/>
  <c r="P160" i="1" s="1"/>
  <c r="Q160" i="1" s="1"/>
  <c r="M75" i="1"/>
  <c r="J19" i="2" s="1"/>
  <c r="N10" i="1"/>
  <c r="O10" i="1" s="1"/>
  <c r="N190" i="1"/>
  <c r="O190" i="1" s="1"/>
  <c r="N192" i="1"/>
  <c r="O192" i="1" s="1"/>
  <c r="N189" i="1"/>
  <c r="O189" i="1" s="1"/>
  <c r="N194" i="1"/>
  <c r="O194" i="1" s="1"/>
  <c r="N193" i="1"/>
  <c r="O193" i="1" s="1"/>
  <c r="N188" i="1"/>
  <c r="O188" i="1" s="1"/>
  <c r="N184" i="1"/>
  <c r="O184" i="1" s="1"/>
  <c r="N186" i="1"/>
  <c r="O186" i="1" s="1"/>
  <c r="N183" i="1"/>
  <c r="O183" i="1" s="1"/>
  <c r="N185" i="1"/>
  <c r="O185" i="1" s="1"/>
  <c r="N191" i="1"/>
  <c r="O191" i="1" s="1"/>
  <c r="N196" i="1"/>
  <c r="O196" i="1" s="1"/>
  <c r="N182" i="1"/>
  <c r="O182" i="1" s="1"/>
  <c r="N195" i="1"/>
  <c r="O195" i="1" s="1"/>
  <c r="N187" i="1"/>
  <c r="O187" i="1" s="1"/>
  <c r="N145" i="1"/>
  <c r="O145" i="1" s="1"/>
  <c r="N159" i="1"/>
  <c r="O159" i="1" s="1"/>
  <c r="N158" i="1"/>
  <c r="O158" i="1" s="1"/>
  <c r="N150" i="1"/>
  <c r="O150" i="1" s="1"/>
  <c r="N147" i="1"/>
  <c r="O147" i="1" s="1"/>
  <c r="N157" i="1"/>
  <c r="O157" i="1" s="1"/>
  <c r="N142" i="1"/>
  <c r="N161" i="1"/>
  <c r="O161" i="1" s="1"/>
  <c r="N154" i="1"/>
  <c r="O154" i="1" s="1"/>
  <c r="N149" i="1"/>
  <c r="O149" i="1" s="1"/>
  <c r="N155" i="1"/>
  <c r="O155" i="1" s="1"/>
  <c r="N144" i="1"/>
  <c r="O144" i="1" s="1"/>
  <c r="N143" i="1"/>
  <c r="O143" i="1" s="1"/>
  <c r="N153" i="1"/>
  <c r="O153" i="1" s="1"/>
  <c r="N146" i="1"/>
  <c r="O146" i="1" s="1"/>
  <c r="N152" i="1"/>
  <c r="O152" i="1" s="1"/>
  <c r="N156" i="1"/>
  <c r="O156" i="1" s="1"/>
  <c r="N151" i="1"/>
  <c r="O151" i="1" s="1"/>
  <c r="N169" i="1"/>
  <c r="O169" i="1" s="1"/>
  <c r="N171" i="1"/>
  <c r="O171" i="1" s="1"/>
  <c r="N166" i="1"/>
  <c r="O166" i="1" s="1"/>
  <c r="N167" i="1"/>
  <c r="O167" i="1" s="1"/>
  <c r="N164" i="1"/>
  <c r="O164" i="1" s="1"/>
  <c r="N165" i="1"/>
  <c r="O165" i="1" s="1"/>
  <c r="N198" i="1"/>
  <c r="O198" i="1" s="1"/>
  <c r="N170" i="1"/>
  <c r="O170" i="1" s="1"/>
  <c r="N163" i="1"/>
  <c r="O163" i="1" s="1"/>
  <c r="N199" i="1"/>
  <c r="O199" i="1" s="1"/>
  <c r="N168" i="1"/>
  <c r="O168" i="1" s="1"/>
  <c r="N197" i="1"/>
  <c r="O197" i="1" s="1"/>
  <c r="N75" i="1"/>
  <c r="L19" i="2" s="1"/>
  <c r="N102" i="1"/>
  <c r="O102" i="1" s="1"/>
  <c r="N104" i="1"/>
  <c r="O104" i="1" s="1"/>
  <c r="N105" i="1"/>
  <c r="O105" i="1" s="1"/>
  <c r="N129" i="1"/>
  <c r="N131" i="1" s="1"/>
  <c r="M59" i="1"/>
  <c r="R59" i="1" s="1"/>
  <c r="N59" i="1"/>
  <c r="O8" i="1"/>
  <c r="M34" i="1"/>
  <c r="R34" i="1" s="1"/>
  <c r="N34" i="1"/>
  <c r="O34" i="1" s="1"/>
  <c r="M10" i="1"/>
  <c r="M107" i="1"/>
  <c r="M46" i="1"/>
  <c r="O101" i="1"/>
  <c r="M125" i="1"/>
  <c r="L14" i="2"/>
  <c r="R119" i="1"/>
  <c r="P118" i="1"/>
  <c r="Q118" i="1" s="1"/>
  <c r="J14" i="2"/>
  <c r="O14" i="2" s="1"/>
  <c r="N45" i="1"/>
  <c r="O45" i="1" s="1"/>
  <c r="R131" i="1"/>
  <c r="M137" i="1"/>
  <c r="J15" i="2"/>
  <c r="O15" i="2" s="1"/>
  <c r="P130" i="1"/>
  <c r="Q130" i="1" s="1"/>
  <c r="N90" i="1"/>
  <c r="M91" i="1"/>
  <c r="O119" i="1"/>
  <c r="Q117" i="1"/>
  <c r="O19" i="2" l="1"/>
  <c r="F112" i="3"/>
  <c r="M19" i="2"/>
  <c r="O142" i="1"/>
  <c r="N206" i="1"/>
  <c r="O206" i="1" s="1"/>
  <c r="R75" i="1"/>
  <c r="P74" i="1"/>
  <c r="Q74" i="1" s="1"/>
  <c r="P69" i="1"/>
  <c r="Q69" i="1" s="1"/>
  <c r="M81" i="1"/>
  <c r="P73" i="1"/>
  <c r="Q73" i="1" s="1"/>
  <c r="P72" i="1"/>
  <c r="Q72" i="1" s="1"/>
  <c r="P71" i="1"/>
  <c r="Q71" i="1" s="1"/>
  <c r="P70" i="1"/>
  <c r="Q70" i="1" s="1"/>
  <c r="P8" i="1"/>
  <c r="Q8" i="1" s="1"/>
  <c r="P195" i="1"/>
  <c r="Q195" i="1" s="1"/>
  <c r="P185" i="1"/>
  <c r="Q185" i="1" s="1"/>
  <c r="P188" i="1"/>
  <c r="Q188" i="1" s="1"/>
  <c r="P192" i="1"/>
  <c r="Q192" i="1" s="1"/>
  <c r="P182" i="1"/>
  <c r="Q182" i="1" s="1"/>
  <c r="P183" i="1"/>
  <c r="Q183" i="1" s="1"/>
  <c r="P193" i="1"/>
  <c r="Q193" i="1" s="1"/>
  <c r="P186" i="1"/>
  <c r="Q186" i="1" s="1"/>
  <c r="P196" i="1"/>
  <c r="Q196" i="1" s="1"/>
  <c r="P194" i="1"/>
  <c r="Q194" i="1" s="1"/>
  <c r="P190" i="1"/>
  <c r="Q190" i="1" s="1"/>
  <c r="P187" i="1"/>
  <c r="Q187" i="1" s="1"/>
  <c r="P191" i="1"/>
  <c r="Q191" i="1" s="1"/>
  <c r="P184" i="1"/>
  <c r="Q184" i="1" s="1"/>
  <c r="P189" i="1"/>
  <c r="Q189" i="1" s="1"/>
  <c r="P167" i="1"/>
  <c r="Q167" i="1" s="1"/>
  <c r="P153" i="1"/>
  <c r="Q153" i="1" s="1"/>
  <c r="P149" i="1"/>
  <c r="Q149" i="1" s="1"/>
  <c r="P142" i="1"/>
  <c r="Q142" i="1" s="1"/>
  <c r="P150" i="1"/>
  <c r="Q150" i="1" s="1"/>
  <c r="P152" i="1"/>
  <c r="Q152" i="1" s="1"/>
  <c r="P146" i="1"/>
  <c r="Q146" i="1" s="1"/>
  <c r="P170" i="1"/>
  <c r="Q170" i="1" s="1"/>
  <c r="P143" i="1"/>
  <c r="Q143" i="1" s="1"/>
  <c r="P154" i="1"/>
  <c r="Q154" i="1" s="1"/>
  <c r="P157" i="1"/>
  <c r="Q157" i="1" s="1"/>
  <c r="P158" i="1"/>
  <c r="Q158" i="1" s="1"/>
  <c r="P168" i="1"/>
  <c r="Q168" i="1" s="1"/>
  <c r="O75" i="1"/>
  <c r="P151" i="1"/>
  <c r="Q151" i="1" s="1"/>
  <c r="P144" i="1"/>
  <c r="Q144" i="1" s="1"/>
  <c r="P147" i="1"/>
  <c r="Q147" i="1" s="1"/>
  <c r="P159" i="1"/>
  <c r="Q159" i="1" s="1"/>
  <c r="P156" i="1"/>
  <c r="Q156" i="1" s="1"/>
  <c r="P155" i="1"/>
  <c r="Q155" i="1" s="1"/>
  <c r="P161" i="1"/>
  <c r="Q161" i="1" s="1"/>
  <c r="P145" i="1"/>
  <c r="Q145" i="1" s="1"/>
  <c r="P198" i="1"/>
  <c r="Q198" i="1" s="1"/>
  <c r="P166" i="1"/>
  <c r="Q166" i="1" s="1"/>
  <c r="P171" i="1"/>
  <c r="Q171" i="1" s="1"/>
  <c r="P199" i="1"/>
  <c r="Q199" i="1" s="1"/>
  <c r="P165" i="1"/>
  <c r="Q165" i="1" s="1"/>
  <c r="P163" i="1"/>
  <c r="Q163" i="1" s="1"/>
  <c r="P169" i="1"/>
  <c r="Q169" i="1" s="1"/>
  <c r="P197" i="1"/>
  <c r="Q197" i="1" s="1"/>
  <c r="P164" i="1"/>
  <c r="Q164" i="1" s="1"/>
  <c r="P103" i="1"/>
  <c r="Q103" i="1" s="1"/>
  <c r="P104" i="1"/>
  <c r="Q104" i="1" s="1"/>
  <c r="N107" i="1"/>
  <c r="L23" i="2" s="1"/>
  <c r="P102" i="1"/>
  <c r="Q102" i="1" s="1"/>
  <c r="P105" i="1"/>
  <c r="Q105" i="1" s="1"/>
  <c r="P89" i="1"/>
  <c r="Q89" i="1" s="1"/>
  <c r="P88" i="1"/>
  <c r="Q88" i="1" s="1"/>
  <c r="P86" i="1"/>
  <c r="Q86" i="1" s="1"/>
  <c r="P87" i="1"/>
  <c r="Q87" i="1" s="1"/>
  <c r="P57" i="1"/>
  <c r="Q57" i="1" s="1"/>
  <c r="P56" i="1"/>
  <c r="Q56" i="1" s="1"/>
  <c r="M65" i="1"/>
  <c r="M66" i="1" s="1"/>
  <c r="N66" i="1" s="1"/>
  <c r="O129" i="1"/>
  <c r="P9" i="1"/>
  <c r="Q9" i="1" s="1"/>
  <c r="J9" i="2"/>
  <c r="O9" i="2" s="1"/>
  <c r="J13" i="2"/>
  <c r="O13" i="2" s="1"/>
  <c r="P58" i="1"/>
  <c r="Q58" i="1" s="1"/>
  <c r="M113" i="1"/>
  <c r="M114" i="1" s="1"/>
  <c r="N114" i="1" s="1"/>
  <c r="F131" i="3" s="1"/>
  <c r="P33" i="1"/>
  <c r="Q33" i="1" s="1"/>
  <c r="P32" i="1"/>
  <c r="Q32" i="1" s="1"/>
  <c r="R107" i="1"/>
  <c r="P101" i="1"/>
  <c r="Q101" i="1" s="1"/>
  <c r="M40" i="1"/>
  <c r="M41" i="1" s="1"/>
  <c r="N41" i="1" s="1"/>
  <c r="O41" i="1" s="1"/>
  <c r="P106" i="1"/>
  <c r="Q106" i="1" s="1"/>
  <c r="J23" i="2"/>
  <c r="O23" i="2" s="1"/>
  <c r="J11" i="2"/>
  <c r="O11" i="2" s="1"/>
  <c r="J16" i="2"/>
  <c r="L16" i="2" s="1"/>
  <c r="F117" i="3" s="1"/>
  <c r="P203" i="1"/>
  <c r="Q203" i="1" s="1"/>
  <c r="R10" i="1"/>
  <c r="M16" i="1"/>
  <c r="M17" i="1" s="1"/>
  <c r="N17" i="1" s="1"/>
  <c r="O17" i="1" s="1"/>
  <c r="P201" i="1"/>
  <c r="Q201" i="1" s="1"/>
  <c r="P205" i="1"/>
  <c r="Q205" i="1" s="1"/>
  <c r="P202" i="1"/>
  <c r="Q202" i="1" s="1"/>
  <c r="P200" i="1"/>
  <c r="Q200" i="1" s="1"/>
  <c r="P204" i="1"/>
  <c r="Q204" i="1" s="1"/>
  <c r="P162" i="1"/>
  <c r="Q162" i="1" s="1"/>
  <c r="M212" i="1"/>
  <c r="N212" i="1" s="1"/>
  <c r="O212" i="1" s="1"/>
  <c r="N16" i="2" s="1"/>
  <c r="R206" i="1"/>
  <c r="J12" i="2"/>
  <c r="O12" i="2" s="1"/>
  <c r="N125" i="1"/>
  <c r="O125" i="1" s="1"/>
  <c r="N14" i="2" s="1"/>
  <c r="M126" i="1"/>
  <c r="N126" i="1" s="1"/>
  <c r="F132" i="3" s="1"/>
  <c r="M52" i="1"/>
  <c r="M53" i="1" s="1"/>
  <c r="P45" i="1"/>
  <c r="Q45" i="1" s="1"/>
  <c r="R46" i="1"/>
  <c r="N46" i="1"/>
  <c r="O46" i="1" s="1"/>
  <c r="M14" i="2"/>
  <c r="F115" i="3"/>
  <c r="O90" i="1"/>
  <c r="N91" i="1"/>
  <c r="P119" i="1"/>
  <c r="Q119" i="1" s="1"/>
  <c r="P131" i="1"/>
  <c r="Q131" i="1" s="1"/>
  <c r="N137" i="1"/>
  <c r="M138" i="1"/>
  <c r="N138" i="1" s="1"/>
  <c r="O131" i="1"/>
  <c r="L15" i="2"/>
  <c r="L9" i="2"/>
  <c r="L11" i="2"/>
  <c r="R91" i="1"/>
  <c r="P85" i="1"/>
  <c r="P90" i="1"/>
  <c r="Q90" i="1" s="1"/>
  <c r="J20" i="2"/>
  <c r="M97" i="1"/>
  <c r="O59" i="1"/>
  <c r="L13" i="2"/>
  <c r="M23" i="2" l="1"/>
  <c r="O20" i="2"/>
  <c r="O21" i="2" s="1"/>
  <c r="J21" i="2"/>
  <c r="K20" i="2" s="1"/>
  <c r="N81" i="1"/>
  <c r="O81" i="1" s="1"/>
  <c r="N19" i="2" s="1"/>
  <c r="G129" i="3" s="1"/>
  <c r="M82" i="1"/>
  <c r="N82" i="1" s="1"/>
  <c r="O107" i="1"/>
  <c r="F114" i="3"/>
  <c r="P75" i="1"/>
  <c r="Q75" i="1" s="1"/>
  <c r="N65" i="1"/>
  <c r="O65" i="1" s="1"/>
  <c r="N13" i="2" s="1"/>
  <c r="P59" i="1"/>
  <c r="Q59" i="1" s="1"/>
  <c r="N40" i="1"/>
  <c r="O40" i="1" s="1"/>
  <c r="N11" i="2" s="1"/>
  <c r="P10" i="1"/>
  <c r="Q10" i="1" s="1"/>
  <c r="M16" i="2"/>
  <c r="O16" i="2"/>
  <c r="P34" i="1"/>
  <c r="Q34" i="1" s="1"/>
  <c r="N16" i="1"/>
  <c r="O16" i="1" s="1"/>
  <c r="N9" i="2" s="1"/>
  <c r="F124" i="3"/>
  <c r="O114" i="1"/>
  <c r="N113" i="1"/>
  <c r="O113" i="1" s="1"/>
  <c r="N23" i="2" s="1"/>
  <c r="P107" i="1"/>
  <c r="Q107" i="1" s="1"/>
  <c r="F126" i="3"/>
  <c r="P206" i="1"/>
  <c r="Q206" i="1" s="1"/>
  <c r="P46" i="1"/>
  <c r="Q46" i="1" s="1"/>
  <c r="O138" i="1"/>
  <c r="F133" i="3"/>
  <c r="N97" i="1"/>
  <c r="O97" i="1" s="1"/>
  <c r="N20" i="2" s="1"/>
  <c r="M98" i="1"/>
  <c r="N98" i="1" s="1"/>
  <c r="F130" i="3" s="1"/>
  <c r="O66" i="1"/>
  <c r="F128" i="3"/>
  <c r="N52" i="1"/>
  <c r="L12" i="2"/>
  <c r="M12" i="2" s="1"/>
  <c r="M11" i="2"/>
  <c r="F109" i="3"/>
  <c r="M9" i="2"/>
  <c r="F107" i="3"/>
  <c r="M15" i="2"/>
  <c r="F116" i="3"/>
  <c r="M13" i="2"/>
  <c r="F111" i="3"/>
  <c r="G115" i="3"/>
  <c r="G132" i="3"/>
  <c r="O137" i="1"/>
  <c r="N15" i="2" s="1"/>
  <c r="G117" i="3"/>
  <c r="G134" i="3"/>
  <c r="L20" i="2"/>
  <c r="O91" i="1"/>
  <c r="P91" i="1"/>
  <c r="Q91" i="1" s="1"/>
  <c r="Q85" i="1"/>
  <c r="K21" i="2" l="1"/>
  <c r="K19" i="2"/>
  <c r="M20" i="2"/>
  <c r="L21" i="2"/>
  <c r="M21" i="2" s="1"/>
  <c r="G112" i="3"/>
  <c r="O52" i="1"/>
  <c r="N12" i="2" s="1"/>
  <c r="G110" i="3" s="1"/>
  <c r="N53" i="1"/>
  <c r="F129" i="3"/>
  <c r="O82" i="1"/>
  <c r="F110" i="3"/>
  <c r="G126" i="3"/>
  <c r="G109" i="3"/>
  <c r="G128" i="3"/>
  <c r="G111" i="3"/>
  <c r="F113" i="3"/>
  <c r="G107" i="3"/>
  <c r="G124" i="3"/>
  <c r="G114" i="3"/>
  <c r="G131" i="3"/>
  <c r="G133" i="3"/>
  <c r="G116" i="3"/>
  <c r="G113" i="3"/>
  <c r="G130" i="3"/>
  <c r="M21" i="1"/>
  <c r="G127" i="3" l="1"/>
  <c r="O53" i="1"/>
  <c r="F127" i="3"/>
  <c r="T21" i="1"/>
  <c r="N21" i="1"/>
  <c r="O21" i="1" s="1"/>
  <c r="N22" i="1" l="1"/>
  <c r="N216" i="1" s="1"/>
  <c r="N222" i="1" s="1"/>
  <c r="N224" i="1" s="1"/>
  <c r="M22" i="1"/>
  <c r="M216" i="1" l="1"/>
  <c r="M222" i="1" s="1"/>
  <c r="J10" i="2"/>
  <c r="O10" i="2" s="1"/>
  <c r="M28" i="1"/>
  <c r="M29" i="1" s="1"/>
  <c r="R22" i="1"/>
  <c r="P21" i="1"/>
  <c r="Q21" i="1" s="1"/>
  <c r="J17" i="2" l="1"/>
  <c r="J25" i="2" s="1"/>
  <c r="L10" i="2"/>
  <c r="O22" i="1"/>
  <c r="P22" i="1"/>
  <c r="Q22" i="1" s="1"/>
  <c r="N28" i="1"/>
  <c r="N29" i="1" s="1"/>
  <c r="O216" i="1"/>
  <c r="O29" i="1" l="1"/>
  <c r="F125" i="3"/>
  <c r="O28" i="1"/>
  <c r="N10" i="2" s="1"/>
  <c r="M10" i="2"/>
  <c r="F108" i="3"/>
  <c r="O17" i="2"/>
  <c r="K10" i="2"/>
  <c r="K11" i="2"/>
  <c r="K16" i="2"/>
  <c r="K13" i="2"/>
  <c r="J34" i="2"/>
  <c r="K17" i="2"/>
  <c r="K12" i="2"/>
  <c r="K9" i="2"/>
  <c r="L17" i="2"/>
  <c r="L25" i="2" s="1"/>
  <c r="M25" i="2" s="1"/>
  <c r="K14" i="2"/>
  <c r="K15" i="2"/>
  <c r="O222" i="1"/>
  <c r="L34" i="2" l="1"/>
  <c r="F118" i="3" s="1"/>
  <c r="O25" i="2"/>
  <c r="G125" i="3"/>
  <c r="G108" i="3"/>
  <c r="M17" i="2"/>
  <c r="N34" i="2" l="1"/>
  <c r="G118" i="3" s="1"/>
  <c r="L36" i="2"/>
  <c r="L37" i="2" s="1"/>
</calcChain>
</file>

<file path=xl/sharedStrings.xml><?xml version="1.0" encoding="utf-8"?>
<sst xmlns="http://schemas.openxmlformats.org/spreadsheetml/2006/main" count="301" uniqueCount="172">
  <si>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</si>
  <si>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</si>
  <si>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</si>
  <si>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</si>
  <si>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</si>
  <si>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</si>
  <si>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</si>
  <si>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</si>
  <si>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</si>
  <si>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</si>
  <si>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</si>
  <si>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</si>
  <si>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</si>
  <si>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</si>
  <si>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</si>
  <si>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</si>
  <si>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</si>
  <si>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</si>
  <si>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</si>
  <si>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</si>
  <si>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</si>
  <si>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</si>
  <si>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</si>
  <si>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</si>
  <si>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</si>
  <si>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</si>
  <si>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</si>
  <si>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</si>
  <si>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</si>
  <si>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</si>
  <si>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</si>
  <si>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</si>
  <si>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</si>
  <si>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</si>
  <si>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</si>
  <si>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</si>
  <si>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</si>
  <si>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</si>
  <si>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</si>
  <si>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</si>
  <si>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</si>
  <si>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</si>
  <si>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</si>
  <si>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</si>
  <si>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</si>
  <si>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</si>
  <si>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</si>
  <si>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</si>
  <si>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</si>
  <si>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</si>
  <si>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</si>
  <si>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</si>
  <si>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</si>
  <si>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</si>
  <si>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</si>
  <si>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</si>
  <si>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</si>
  <si>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</si>
  <si>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</si>
  <si>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</si>
  <si>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B</t>
  </si>
  <si>
    <t xml:space="preserve">    Envirowatts + NM</t>
  </si>
  <si>
    <t xml:space="preserve">    Prepay Fees</t>
  </si>
  <si>
    <t>Residential, Farm and Non-Farm Service (ETS)</t>
  </si>
  <si>
    <t>Residential, Farm and Non-Farm Service</t>
  </si>
  <si>
    <t>A-ETS</t>
  </si>
  <si>
    <t>Small Commercial Rate</t>
  </si>
  <si>
    <t>Small Commercial Rate (ETS)</t>
  </si>
  <si>
    <t>B-ETS</t>
  </si>
  <si>
    <t>LP</t>
  </si>
  <si>
    <t>Large Power Rate (500 KW to 4,999 KW)</t>
  </si>
  <si>
    <t>LP-1</t>
  </si>
  <si>
    <t>Large Power Rate (Excess of 50 kVA)</t>
  </si>
  <si>
    <t>Substation Charge 500-999 kW</t>
  </si>
  <si>
    <t>Substation Charge 1000-2999 kW</t>
  </si>
  <si>
    <t>Substation Charge 3000-7499 kW</t>
  </si>
  <si>
    <t>Large Power Rate (5,000 KW to 9,999 KW)</t>
  </si>
  <si>
    <t>LP-2</t>
  </si>
  <si>
    <t>SOUTH KENTUCKY RECC</t>
  </si>
  <si>
    <t>Substation Charge 7500-14799 kW</t>
  </si>
  <si>
    <t>Energy Charge-All Remaining - per kWh</t>
  </si>
  <si>
    <t>Energy Charge-First 400 - per kWh</t>
  </si>
  <si>
    <t>Large Power Rate (500 KW to 2,999 KW)</t>
  </si>
  <si>
    <t>LP-3</t>
  </si>
  <si>
    <t>Demand Charge per kW - Contract</t>
  </si>
  <si>
    <t>Demand Charge per kW - Excess</t>
  </si>
  <si>
    <t>Optional Power Service</t>
  </si>
  <si>
    <t>OPS</t>
  </si>
  <si>
    <t>All Electric Schools</t>
  </si>
  <si>
    <t>AES</t>
  </si>
  <si>
    <t>STL</t>
  </si>
  <si>
    <t>Mercury Vapor 175-Watt</t>
  </si>
  <si>
    <t>M/Vapor 400 Watt</t>
  </si>
  <si>
    <t>Sodium 160 Watt</t>
  </si>
  <si>
    <t>Sodium 360 Watt</t>
  </si>
  <si>
    <t>Sodium Cobra-HD 100 Watt</t>
  </si>
  <si>
    <t>LED 10,500 Lumens</t>
  </si>
  <si>
    <t>DSTL</t>
  </si>
  <si>
    <t>Metal Halide Acorn 100-Watt Metered</t>
  </si>
  <si>
    <t>Sodium Cobra on Existing Pole</t>
  </si>
  <si>
    <t>LED Cobra on Exisiting Pole</t>
  </si>
  <si>
    <t>LED Cobra on Exisiting Pole Metered</t>
  </si>
  <si>
    <t>14' Smooth Black Pole</t>
  </si>
  <si>
    <t>14' Fluted Pole</t>
  </si>
  <si>
    <t>LED 173 Watt Area</t>
  </si>
  <si>
    <t>Sodium Coba w 30' Aluminum Pole</t>
  </si>
  <si>
    <t>30' Square Steel Pole</t>
  </si>
  <si>
    <t>Metal Halide Galleria 1000-Watt</t>
  </si>
  <si>
    <t>Mercury Vapor on 8' Arm 400-Watt</t>
  </si>
  <si>
    <t>Mercury Vapor on 12' Arm 400-Watt</t>
  </si>
  <si>
    <t>Mercury Vapor on 16' Arm 400-Watt</t>
  </si>
  <si>
    <t>Metal Halide Galleria 400-Watt</t>
  </si>
  <si>
    <t>Metal Halide Lexington 100-Watt</t>
  </si>
  <si>
    <t>Metal Halide Lexington 100-Watt Metered</t>
  </si>
  <si>
    <t xml:space="preserve">Metal Halide Acorn 100-Watt </t>
  </si>
  <si>
    <t>Metal Halide Galleria 400-Watt Metered</t>
  </si>
  <si>
    <t>M/Vapor Sec L</t>
  </si>
  <si>
    <t>M/Vapor Sec L - Metered</t>
  </si>
  <si>
    <t>Sodium Sec L</t>
  </si>
  <si>
    <t>Sodium Sec L - Metered</t>
  </si>
  <si>
    <t xml:space="preserve">LED Sec L </t>
  </si>
  <si>
    <t>LED Sec L - Metered</t>
  </si>
  <si>
    <t>LED Dir Flood 200 Watt</t>
  </si>
  <si>
    <t>LED Dir Flood 200 Watt- Metered</t>
  </si>
  <si>
    <t>LED Dir Flood 391 Watt</t>
  </si>
  <si>
    <t>LED Dir Flood 391 Watt - Metered</t>
  </si>
  <si>
    <t>Sodium Dir 250-Watt</t>
  </si>
  <si>
    <t>Sodium Dir 250-Watt - Metered</t>
  </si>
  <si>
    <t>Metal Halide Dir 250-Watt</t>
  </si>
  <si>
    <t>Metal Halide Dir 250-Watt - Metered</t>
  </si>
  <si>
    <t>Metal Halide Dir 400-Watt</t>
  </si>
  <si>
    <t>Metal Halide Dir 400-Watt - Metered</t>
  </si>
  <si>
    <t>Metal Halide Dir 1000-Watt</t>
  </si>
  <si>
    <t>Metal Halide Dir 1000-Watt - Metered</t>
  </si>
  <si>
    <t>OLS</t>
  </si>
  <si>
    <t xml:space="preserve">A </t>
  </si>
  <si>
    <t>Street Lighting</t>
  </si>
  <si>
    <t>Decorative Street Lighting</t>
  </si>
  <si>
    <t>Outdoor Lighting/Security Lights</t>
  </si>
  <si>
    <t>Mercury Vapor or Sodium 0-20000 Lumens</t>
  </si>
  <si>
    <t>Mercury Vapor or Sodium Over 20000 Lumens</t>
  </si>
  <si>
    <t>STL-DSTL-OLS</t>
  </si>
  <si>
    <t xml:space="preserve">Customers  </t>
  </si>
  <si>
    <t>Sodium Cobra on 30' Aluminum Pole 7000 L Metd</t>
  </si>
  <si>
    <t>Sodium Cobra on 30' Aluminum Pole 15000 L Metd</t>
  </si>
  <si>
    <t>LED 173W Area Metered</t>
  </si>
  <si>
    <t>400 W Cobra MV 8' Arm Metered</t>
  </si>
  <si>
    <t>401 W Cobra MV 12' Arm Metered</t>
  </si>
  <si>
    <t>402 W Cobra MV 16' Arm Metered</t>
  </si>
  <si>
    <t>30' Aluminum Pole</t>
  </si>
  <si>
    <t xml:space="preserve">1000 Watt Galleria Metered </t>
  </si>
  <si>
    <t>Present &amp; Proposed Rates</t>
  </si>
  <si>
    <t>Incr</t>
  </si>
  <si>
    <t>2023 Rate</t>
  </si>
  <si>
    <t xml:space="preserve">          2023 Revenue</t>
  </si>
  <si>
    <t>FAC Roll In &gt;</t>
  </si>
  <si>
    <t>2023 Revenue</t>
  </si>
  <si>
    <t>Sodium Cobra on Existing Pole 15000 Lumens - Metered</t>
  </si>
  <si>
    <t>SubTotal Base Rate E</t>
  </si>
  <si>
    <t>SubTotal Base Rate C</t>
  </si>
  <si>
    <t xml:space="preserve">Rate B Increase Allocated by East Kentucky Power Cooperative:   </t>
  </si>
  <si>
    <t xml:space="preserve">Rate C Increase Allocated by East Kentucky Power Cooperative:   </t>
  </si>
  <si>
    <t xml:space="preserve">Remaining Increase Allocated by East Kentucky Power Cooperative:   </t>
  </si>
  <si>
    <t>Sodium Cobra on 30' Aluminum Pole 7,000-10,000 Lumens</t>
  </si>
  <si>
    <t>Sodium Cobra on 30' Aluminum Pole 15,000-28,000 Lumens</t>
  </si>
  <si>
    <t>250 W Cobra Head HPS @106KWH w/30' Alum Pole</t>
  </si>
  <si>
    <t>FAC Roll In</t>
  </si>
  <si>
    <t>Interruptible Service</t>
  </si>
  <si>
    <t>Demand Credit per kW - 200 Hrs</t>
  </si>
  <si>
    <t>Demand Credit per kW - 300 Hrs</t>
  </si>
  <si>
    <t>Demand Credit per kW - 400 Hrs</t>
  </si>
  <si>
    <t>12/2/25 Rate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</si>
</sst>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_(&quot;$&quot;* #,##0.000000_);_(&quot;$&quot;* \(#,##0.000000\);_(&quot;$&quot;* &quot;-&quot;??_);_(@_)"/>
    <numFmt numFmtId="172" formatCode="&quot;$&quot;#,##0"/>
    <numFmt numFmtId="173" formatCode="0.00000"/>
    <numFmt numFmtId="17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i/>
      <sz val="10"/>
      <color rgb="FF0000FF"/>
      <name val="Arial"/>
      <family val="2"/>
    </font>
    <font>
      <i/>
      <u/>
      <sz val="10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171" fontId="3" fillId="0" borderId="0" xfId="2" applyNumberFormat="1" applyFont="1"/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2" fontId="3" fillId="0" borderId="2" xfId="0" applyNumberFormat="1" applyFont="1" applyBorder="1"/>
    <xf numFmtId="10" fontId="3" fillId="0" borderId="2" xfId="3" applyNumberFormat="1" applyFont="1" applyBorder="1"/>
    <xf numFmtId="172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6" fillId="0" borderId="0" xfId="1" applyNumberFormat="1" applyFont="1" applyAlignment="1">
      <alignment horizontal="right"/>
    </xf>
    <xf numFmtId="0" fontId="10" fillId="0" borderId="0" xfId="0" applyFont="1"/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0" fontId="6" fillId="0" borderId="0" xfId="0" applyFont="1" applyAlignment="1">
      <alignment horizontal="left"/>
    </xf>
    <xf numFmtId="0" fontId="8" fillId="0" borderId="0" xfId="0" applyFont="1"/>
    <xf numFmtId="10" fontId="3" fillId="0" borderId="0" xfId="3" applyNumberFormat="1" applyFont="1" applyAlignment="1">
      <alignment horizontal="right"/>
    </xf>
    <xf numFmtId="0" fontId="6" fillId="0" borderId="0" xfId="0" applyFont="1"/>
    <xf numFmtId="0" fontId="6" fillId="0" borderId="2" xfId="0" applyFont="1" applyBorder="1"/>
    <xf numFmtId="165" fontId="6" fillId="0" borderId="0" xfId="0" applyNumberFormat="1" applyFont="1" applyAlignment="1">
      <alignment horizontal="center"/>
    </xf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43" fontId="6" fillId="0" borderId="0" xfId="1" applyFont="1" applyFill="1"/>
    <xf numFmtId="167" fontId="6" fillId="0" borderId="0" xfId="1" applyNumberFormat="1" applyFont="1" applyFill="1"/>
    <xf numFmtId="166" fontId="6" fillId="0" borderId="0" xfId="1" applyNumberFormat="1" applyFont="1" applyFill="1"/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164" fontId="6" fillId="0" borderId="0" xfId="1" applyNumberFormat="1" applyFont="1" applyFill="1"/>
    <xf numFmtId="165" fontId="6" fillId="0" borderId="0" xfId="2" applyNumberFormat="1" applyFont="1" applyFill="1"/>
    <xf numFmtId="10" fontId="6" fillId="0" borderId="0" xfId="3" applyNumberFormat="1" applyFont="1" applyFill="1"/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165" fontId="6" fillId="0" borderId="0" xfId="0" applyNumberFormat="1" applyFont="1"/>
    <xf numFmtId="168" fontId="6" fillId="0" borderId="0" xfId="3" applyNumberFormat="1" applyFont="1" applyFill="1"/>
    <xf numFmtId="0" fontId="6" fillId="0" borderId="5" xfId="0" applyFont="1" applyBorder="1"/>
    <xf numFmtId="165" fontId="6" fillId="0" borderId="5" xfId="2" applyNumberFormat="1" applyFont="1" applyFill="1" applyBorder="1"/>
    <xf numFmtId="43" fontId="6" fillId="0" borderId="5" xfId="1" applyFont="1" applyFill="1" applyBorder="1"/>
    <xf numFmtId="0" fontId="6" fillId="0" borderId="3" xfId="0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43" fontId="6" fillId="0" borderId="0" xfId="1" applyFont="1" applyFill="1" applyAlignment="1">
      <alignment horizontal="center"/>
    </xf>
    <xf numFmtId="165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5" xfId="0" applyNumberFormat="1" applyFont="1" applyBorder="1"/>
    <xf numFmtId="165" fontId="6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right"/>
    </xf>
    <xf numFmtId="10" fontId="6" fillId="0" borderId="0" xfId="3" applyNumberFormat="1" applyFont="1"/>
    <xf numFmtId="164" fontId="6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vertical="top" wrapText="1"/>
    </xf>
    <xf numFmtId="164" fontId="6" fillId="0" borderId="1" xfId="0" applyNumberFormat="1" applyFont="1" applyBorder="1"/>
    <xf numFmtId="0" fontId="12" fillId="0" borderId="0" xfId="0" applyFont="1"/>
    <xf numFmtId="165" fontId="6" fillId="0" borderId="0" xfId="2" applyNumberFormat="1" applyFont="1" applyAlignment="1"/>
    <xf numFmtId="165" fontId="6" fillId="0" borderId="2" xfId="2" applyNumberFormat="1" applyFont="1" applyBorder="1" applyAlignment="1"/>
    <xf numFmtId="165" fontId="6" fillId="0" borderId="0" xfId="2" applyNumberFormat="1" applyFont="1" applyBorder="1" applyAlignment="1"/>
    <xf numFmtId="165" fontId="6" fillId="0" borderId="2" xfId="0" applyNumberFormat="1" applyFont="1" applyBorder="1"/>
    <xf numFmtId="165" fontId="6" fillId="0" borderId="5" xfId="2" applyNumberFormat="1" applyFont="1" applyBorder="1" applyAlignment="1"/>
    <xf numFmtId="165" fontId="6" fillId="0" borderId="3" xfId="0" applyNumberFormat="1" applyFont="1" applyBorder="1"/>
    <xf numFmtId="10" fontId="6" fillId="0" borderId="0" xfId="3" applyNumberFormat="1" applyFont="1" applyAlignment="1"/>
    <xf numFmtId="0" fontId="6" fillId="0" borderId="6" xfId="0" applyFont="1" applyBorder="1"/>
    <xf numFmtId="10" fontId="6" fillId="0" borderId="0" xfId="0" applyNumberFormat="1" applyFont="1"/>
    <xf numFmtId="173" fontId="6" fillId="0" borderId="0" xfId="0" applyNumberFormat="1" applyFont="1"/>
    <xf numFmtId="10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74" fontId="3" fillId="0" borderId="0" xfId="3" applyNumberFormat="1" applyFont="1"/>
    <xf numFmtId="164" fontId="6" fillId="0" borderId="0" xfId="0" applyNumberFormat="1" applyFont="1"/>
    <xf numFmtId="164" fontId="13" fillId="4" borderId="1" xfId="0" applyNumberFormat="1" applyFont="1" applyFill="1" applyBorder="1"/>
    <xf numFmtId="0" fontId="6" fillId="0" borderId="6" xfId="0" applyFont="1" applyBorder="1" applyAlignment="1">
      <alignment horizontal="center"/>
    </xf>
    <xf numFmtId="165" fontId="6" fillId="0" borderId="0" xfId="2" applyNumberFormat="1" applyFont="1"/>
    <xf numFmtId="43" fontId="13" fillId="0" borderId="0" xfId="1" applyFont="1" applyFill="1"/>
    <xf numFmtId="170" fontId="13" fillId="0" borderId="0" xfId="2" applyNumberFormat="1" applyFont="1"/>
    <xf numFmtId="43" fontId="6" fillId="0" borderId="0" xfId="1" applyFont="1"/>
    <xf numFmtId="43" fontId="13" fillId="0" borderId="0" xfId="1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6" fillId="5" borderId="0" xfId="1" applyFont="1" applyFill="1"/>
    <xf numFmtId="166" fontId="6" fillId="5" borderId="0" xfId="1" applyNumberFormat="1" applyFont="1" applyFill="1"/>
    <xf numFmtId="0" fontId="6" fillId="5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66FF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8"/>
  <sheetViews>
    <sheetView view="pageBreakPreview" zoomScaleNormal="100" zoomScaleSheetLayoutView="100" workbookViewId="0">
      <selection activeCell="G12" sqref="G12"/>
    </sheetView>
  </sheetViews>
  <sheetFormatPr defaultColWidth="8.85546875" defaultRowHeight="12.75" x14ac:dyDescent="0.2"/>
  <cols>
    <col min="1" max="1" width="6" style="2" customWidth="1"/>
    <col min="2" max="2" width="42.28515625" style="2" bestFit="1" customWidth="1"/>
    <col min="3" max="3" width="14.28515625" style="13" bestFit="1" customWidth="1"/>
    <col min="4" max="4" width="18.42578125" style="84" hidden="1" customWidth="1"/>
    <col min="5" max="5" width="14.5703125" style="2" bestFit="1" customWidth="1"/>
    <col min="6" max="6" width="10.28515625" style="2" customWidth="1"/>
    <col min="7" max="7" width="13.85546875" style="2" bestFit="1" customWidth="1"/>
    <col min="8" max="8" width="10.42578125" style="2" bestFit="1" customWidth="1"/>
    <col min="9" max="9" width="12.7109375" style="2" bestFit="1" customWidth="1"/>
    <col min="10" max="10" width="14.5703125" style="2" bestFit="1" customWidth="1"/>
    <col min="11" max="11" width="11.7109375" style="2" customWidth="1"/>
    <col min="12" max="12" width="12.7109375" style="2" bestFit="1" customWidth="1"/>
    <col min="13" max="13" width="12.85546875" style="2" bestFit="1" customWidth="1"/>
    <col min="14" max="14" width="7.7109375" style="2" bestFit="1" customWidth="1"/>
    <col min="15" max="15" width="12.85546875" style="2" bestFit="1" customWidth="1"/>
    <col min="16" max="16" width="24.42578125" style="2" customWidth="1"/>
    <col min="17" max="17" width="11.28515625" style="2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78</v>
      </c>
    </row>
    <row r="2" spans="1:22" x14ac:dyDescent="0.2">
      <c r="A2" s="1" t="s">
        <v>0</v>
      </c>
      <c r="K2" s="24" t="s">
        <v>36</v>
      </c>
      <c r="L2" s="129">
        <f>L5+L4+L3</f>
        <v>5878043.2272129962</v>
      </c>
      <c r="M2" s="54"/>
      <c r="N2" s="143"/>
      <c r="P2" s="127"/>
      <c r="Q2" s="125"/>
    </row>
    <row r="3" spans="1:22" x14ac:dyDescent="0.2">
      <c r="A3" s="1"/>
      <c r="K3" s="24" t="s">
        <v>160</v>
      </c>
      <c r="L3" s="145">
        <v>558849.56967400108</v>
      </c>
      <c r="P3" s="127"/>
      <c r="Q3" s="125"/>
    </row>
    <row r="4" spans="1:22" x14ac:dyDescent="0.2">
      <c r="A4" s="1"/>
      <c r="K4" s="24" t="s">
        <v>161</v>
      </c>
      <c r="L4" s="145">
        <v>607994.85850200057</v>
      </c>
      <c r="P4" s="127"/>
      <c r="Q4" s="125"/>
    </row>
    <row r="5" spans="1:22" x14ac:dyDescent="0.2">
      <c r="A5" s="1"/>
      <c r="K5" s="24" t="s">
        <v>162</v>
      </c>
      <c r="L5" s="145">
        <v>4711198.7990369946</v>
      </c>
      <c r="M5" s="4"/>
      <c r="P5" s="83"/>
      <c r="Q5" s="126"/>
    </row>
    <row r="6" spans="1:22" x14ac:dyDescent="0.2">
      <c r="M6" s="4"/>
      <c r="N6" s="4"/>
    </row>
    <row r="7" spans="1:22" s="9" customFormat="1" ht="31.9" customHeight="1" x14ac:dyDescent="0.2">
      <c r="A7" s="7" t="s">
        <v>1</v>
      </c>
      <c r="B7" s="7" t="s">
        <v>2</v>
      </c>
      <c r="C7" s="8" t="s">
        <v>11</v>
      </c>
      <c r="D7" s="94" t="s">
        <v>156</v>
      </c>
      <c r="E7" s="10" t="s">
        <v>3</v>
      </c>
      <c r="F7" s="10" t="s">
        <v>20</v>
      </c>
      <c r="G7" s="10" t="s">
        <v>31</v>
      </c>
      <c r="H7" s="10" t="s">
        <v>32</v>
      </c>
      <c r="I7" s="10" t="s">
        <v>33</v>
      </c>
      <c r="J7" s="10" t="s">
        <v>4</v>
      </c>
      <c r="K7" s="10" t="s">
        <v>22</v>
      </c>
      <c r="L7" s="10" t="s">
        <v>44</v>
      </c>
      <c r="M7" s="8" t="s">
        <v>42</v>
      </c>
      <c r="N7" s="8" t="s">
        <v>43</v>
      </c>
      <c r="O7" s="10" t="s">
        <v>35</v>
      </c>
      <c r="Q7" s="2"/>
      <c r="R7" s="2"/>
      <c r="S7" s="2"/>
      <c r="T7" s="2"/>
      <c r="U7" s="2"/>
      <c r="V7" s="2"/>
    </row>
    <row r="8" spans="1:22" x14ac:dyDescent="0.2">
      <c r="A8" s="3">
        <v>1</v>
      </c>
      <c r="B8" s="29" t="s">
        <v>5</v>
      </c>
      <c r="C8" s="59"/>
      <c r="D8" s="130"/>
      <c r="E8" s="30"/>
      <c r="F8" s="31"/>
      <c r="G8" s="31"/>
      <c r="H8" s="9"/>
      <c r="I8" s="9"/>
      <c r="J8" s="30"/>
      <c r="K8" s="31"/>
      <c r="L8" s="30"/>
      <c r="M8" s="32"/>
      <c r="N8" s="32"/>
    </row>
    <row r="9" spans="1:22" x14ac:dyDescent="0.2">
      <c r="A9" s="3">
        <f>A8+1</f>
        <v>2</v>
      </c>
      <c r="B9" s="2" t="str">
        <f>'Billing Detail'!B7</f>
        <v>Residential, Farm and Non-Farm Service</v>
      </c>
      <c r="C9" s="13" t="str">
        <f>'Billing Detail'!C7</f>
        <v xml:space="preserve">A </v>
      </c>
      <c r="D9" s="131">
        <f>'Billing Detail'!G10</f>
        <v>87381773.533849999</v>
      </c>
      <c r="E9" s="33">
        <f>'Billing Detail'!I10</f>
        <v>96208198.648499995</v>
      </c>
      <c r="F9" s="32">
        <f t="shared" ref="F9:F17" si="0">E9/E$17</f>
        <v>0.73400101457697187</v>
      </c>
      <c r="G9" s="87">
        <f>E9</f>
        <v>96208198.648499995</v>
      </c>
      <c r="H9" s="88">
        <f t="shared" ref="H9:H16" si="1">G9/G$17</f>
        <v>0.73400101457697187</v>
      </c>
      <c r="I9" s="89">
        <f t="shared" ref="I9:I16" si="2">ROUND(L$5*H9,2)</f>
        <v>3458024.7</v>
      </c>
      <c r="J9" s="33">
        <f>'Billing Detail'!M10</f>
        <v>99667827.85255</v>
      </c>
      <c r="K9" s="32">
        <f t="shared" ref="K9:K17" si="3">J9/J$17</f>
        <v>0.73399909688969178</v>
      </c>
      <c r="L9" s="33">
        <f>'Billing Detail'!N10</f>
        <v>3459629.2040500119</v>
      </c>
      <c r="M9" s="32">
        <f>IF(E9=0,0,L9/E9)</f>
        <v>3.5959816862281016E-2</v>
      </c>
      <c r="N9" s="32">
        <f>'Billing Detail'!O16</f>
        <v>3.1487240608513503E-2</v>
      </c>
      <c r="O9" s="34">
        <f>J9-I9-E9</f>
        <v>1604.504050001502</v>
      </c>
    </row>
    <row r="10" spans="1:22" x14ac:dyDescent="0.2">
      <c r="A10" s="3">
        <f t="shared" ref="A10:A37" si="4">A9+1</f>
        <v>3</v>
      </c>
      <c r="B10" s="2" t="str">
        <f>'Billing Detail'!B19</f>
        <v>Residential, Farm and Non-Farm Service (ETS)</v>
      </c>
      <c r="C10" s="13" t="str">
        <f>'Billing Detail'!C19</f>
        <v>A-ETS</v>
      </c>
      <c r="D10" s="131">
        <f>'Billing Detail'!G22</f>
        <v>353703.90626000002</v>
      </c>
      <c r="E10" s="33">
        <f>'Billing Detail'!I22</f>
        <v>421318.71903000004</v>
      </c>
      <c r="F10" s="32">
        <f t="shared" si="0"/>
        <v>3.2143660475147219E-3</v>
      </c>
      <c r="G10" s="87">
        <f t="shared" ref="G10:G16" si="5">E10</f>
        <v>421318.71903000004</v>
      </c>
      <c r="H10" s="88">
        <f t="shared" si="1"/>
        <v>3.2143660475147219E-3</v>
      </c>
      <c r="I10" s="89">
        <f t="shared" si="2"/>
        <v>15143.52</v>
      </c>
      <c r="J10" s="33">
        <f>'Billing Detail'!M22</f>
        <v>436490.54408000002</v>
      </c>
      <c r="K10" s="32">
        <f t="shared" si="3"/>
        <v>3.214514372978915E-3</v>
      </c>
      <c r="L10" s="33">
        <f>'Billing Detail'!N22</f>
        <v>15171.825049999985</v>
      </c>
      <c r="M10" s="32">
        <f t="shared" ref="M10:M16" si="6">IF(E10=0,0,L10/E10)</f>
        <v>3.6010327490148077E-2</v>
      </c>
      <c r="N10" s="32">
        <f>'Billing Detail'!O28</f>
        <v>3.3138762530277734E-2</v>
      </c>
      <c r="O10" s="34">
        <f t="shared" ref="O10:O17" si="7">J10-I10-E10</f>
        <v>28.305049999966286</v>
      </c>
    </row>
    <row r="11" spans="1:22" x14ac:dyDescent="0.2">
      <c r="A11" s="3">
        <f t="shared" si="4"/>
        <v>4</v>
      </c>
      <c r="B11" s="2" t="str">
        <f>'Billing Detail'!B31</f>
        <v>Small Commercial Rate</v>
      </c>
      <c r="C11" s="13" t="str">
        <f>'Billing Detail'!C31</f>
        <v>B</v>
      </c>
      <c r="D11" s="131">
        <f>'Billing Detail'!G34</f>
        <v>8316919.9106399994</v>
      </c>
      <c r="E11" s="33">
        <f>'Billing Detail'!I34</f>
        <v>9128213.6711600013</v>
      </c>
      <c r="F11" s="32">
        <f t="shared" si="0"/>
        <v>6.9641862024523923E-2</v>
      </c>
      <c r="G11" s="87">
        <f t="shared" si="5"/>
        <v>9128213.6711600013</v>
      </c>
      <c r="H11" s="88">
        <f t="shared" si="1"/>
        <v>6.9641862024523923E-2</v>
      </c>
      <c r="I11" s="89">
        <f t="shared" si="2"/>
        <v>328096.65999999997</v>
      </c>
      <c r="J11" s="33">
        <f>'Billing Detail'!M34</f>
        <v>9456672.7376000006</v>
      </c>
      <c r="K11" s="32">
        <f t="shared" si="3"/>
        <v>6.9643227895451507E-2</v>
      </c>
      <c r="L11" s="33">
        <f>'Billing Detail'!N34</f>
        <v>328459.06643999973</v>
      </c>
      <c r="M11" s="32">
        <f t="shared" si="6"/>
        <v>3.5982841580247497E-2</v>
      </c>
      <c r="N11" s="32">
        <f>'Billing Detail'!O40</f>
        <v>3.5752377448439995E-2</v>
      </c>
      <c r="O11" s="34">
        <f t="shared" si="7"/>
        <v>362.40643999911845</v>
      </c>
    </row>
    <row r="12" spans="1:22" x14ac:dyDescent="0.2">
      <c r="A12" s="3">
        <f t="shared" si="4"/>
        <v>5</v>
      </c>
      <c r="B12" s="2" t="str">
        <f>'Billing Detail'!B43</f>
        <v>Small Commercial Rate (ETS)</v>
      </c>
      <c r="C12" s="13" t="str">
        <f>'Billing Detail'!C43</f>
        <v>B-ETS</v>
      </c>
      <c r="D12" s="131">
        <f>'Billing Detail'!G46</f>
        <v>1975.7033399999998</v>
      </c>
      <c r="E12" s="33">
        <f>'Billing Detail'!I46</f>
        <v>2316.92967</v>
      </c>
      <c r="F12" s="32">
        <f t="shared" si="0"/>
        <v>1.7676546826292785E-5</v>
      </c>
      <c r="G12" s="87">
        <f t="shared" si="5"/>
        <v>2316.92967</v>
      </c>
      <c r="H12" s="88">
        <f t="shared" si="1"/>
        <v>1.7676546826292785E-5</v>
      </c>
      <c r="I12" s="89">
        <f t="shared" si="2"/>
        <v>83.28</v>
      </c>
      <c r="J12" s="33">
        <f>'Billing Detail'!M46</f>
        <v>2400.1415099999999</v>
      </c>
      <c r="K12" s="32">
        <f t="shared" si="3"/>
        <v>1.7675730862257253E-5</v>
      </c>
      <c r="L12" s="33">
        <f>'Billing Detail'!N46</f>
        <v>83.211839999999938</v>
      </c>
      <c r="M12" s="32">
        <f t="shared" si="6"/>
        <v>3.5914702581369223E-2</v>
      </c>
      <c r="N12" s="32">
        <f>'Billing Detail'!O52</f>
        <v>3.3130903912191048E-2</v>
      </c>
      <c r="O12" s="34">
        <f t="shared" si="7"/>
        <v>-6.8160000000261789E-2</v>
      </c>
    </row>
    <row r="13" spans="1:22" x14ac:dyDescent="0.2">
      <c r="A13" s="3">
        <f t="shared" si="4"/>
        <v>6</v>
      </c>
      <c r="B13" s="2" t="str">
        <f>'Billing Detail'!B55</f>
        <v>Large Power Rate (Excess of 50 kVA)</v>
      </c>
      <c r="C13" s="13" t="str">
        <f>'Billing Detail'!C55</f>
        <v>LP</v>
      </c>
      <c r="D13" s="131">
        <f>'Billing Detail'!G59</f>
        <v>16057152.465339996</v>
      </c>
      <c r="E13" s="33">
        <f>'Billing Detail'!I59</f>
        <v>18280977.591139998</v>
      </c>
      <c r="F13" s="32">
        <f t="shared" si="0"/>
        <v>0.13947102521251553</v>
      </c>
      <c r="G13" s="87">
        <f t="shared" si="5"/>
        <v>18280977.591139998</v>
      </c>
      <c r="H13" s="88">
        <f t="shared" si="1"/>
        <v>0.13947102521251553</v>
      </c>
      <c r="I13" s="89">
        <f t="shared" si="2"/>
        <v>657075.73</v>
      </c>
      <c r="J13" s="33">
        <f>'Billing Detail'!M59</f>
        <v>18938177.988579996</v>
      </c>
      <c r="K13" s="32">
        <f t="shared" si="3"/>
        <v>0.13946933368427281</v>
      </c>
      <c r="L13" s="33">
        <f>'Billing Detail'!N59</f>
        <v>657200.39743999997</v>
      </c>
      <c r="M13" s="32">
        <f t="shared" ref="M13" si="8">IF(E13=0,0,L13/E13)</f>
        <v>3.5949959139959596E-2</v>
      </c>
      <c r="N13" s="32">
        <f>'Billing Detail'!O65</f>
        <v>3.5804826681060789E-2</v>
      </c>
      <c r="O13" s="34">
        <f t="shared" ref="O13" si="9">J13-I13-E13</f>
        <v>124.6674399971962</v>
      </c>
    </row>
    <row r="14" spans="1:22" x14ac:dyDescent="0.2">
      <c r="A14" s="3">
        <f t="shared" si="4"/>
        <v>7</v>
      </c>
      <c r="B14" s="2" t="str">
        <f>'Billing Detail'!B116</f>
        <v>Optional Power Service</v>
      </c>
      <c r="C14" s="13" t="str">
        <f>'Billing Detail'!C116</f>
        <v>OPS</v>
      </c>
      <c r="D14" s="131">
        <f>'Billing Detail'!G119</f>
        <v>1424733.39</v>
      </c>
      <c r="E14" s="33">
        <f>'Billing Detail'!I119</f>
        <v>1571276.88925</v>
      </c>
      <c r="F14" s="32">
        <f t="shared" si="0"/>
        <v>1.1987739580329726E-2</v>
      </c>
      <c r="G14" s="87">
        <f t="shared" si="5"/>
        <v>1571276.88925</v>
      </c>
      <c r="H14" s="88">
        <f t="shared" si="1"/>
        <v>1.1987739580329726E-2</v>
      </c>
      <c r="I14" s="89">
        <f t="shared" si="2"/>
        <v>56476.62</v>
      </c>
      <c r="J14" s="33">
        <f>'Billing Detail'!M119</f>
        <v>1627707.9797499999</v>
      </c>
      <c r="K14" s="32">
        <f t="shared" si="3"/>
        <v>1.1987179944406477E-2</v>
      </c>
      <c r="L14" s="33">
        <f>'Billing Detail'!N119</f>
        <v>56431.090499999977</v>
      </c>
      <c r="M14" s="32">
        <f t="shared" ref="M14:M15" si="10">IF(E14=0,0,L14/E14)</f>
        <v>3.5914160569710661E-2</v>
      </c>
      <c r="N14" s="32">
        <f>'Billing Detail'!O125</f>
        <v>3.5639562001468214E-2</v>
      </c>
      <c r="O14" s="34">
        <f t="shared" ref="O14:O15" si="11">J14-I14-E14</f>
        <v>-45.529500000178814</v>
      </c>
    </row>
    <row r="15" spans="1:22" x14ac:dyDescent="0.2">
      <c r="A15" s="3">
        <f t="shared" si="4"/>
        <v>8</v>
      </c>
      <c r="B15" s="2" t="str">
        <f>'Billing Detail'!B128</f>
        <v>All Electric Schools</v>
      </c>
      <c r="C15" s="13" t="str">
        <f>'Billing Detail'!C128</f>
        <v>AES</v>
      </c>
      <c r="D15" s="131">
        <f>'Billing Detail'!G131</f>
        <v>933658.85640000005</v>
      </c>
      <c r="E15" s="33">
        <f>'Billing Detail'!I131</f>
        <v>1061999.8742799999</v>
      </c>
      <c r="F15" s="32">
        <f t="shared" si="0"/>
        <v>8.1023134842187379E-3</v>
      </c>
      <c r="G15" s="87">
        <f t="shared" si="5"/>
        <v>1061999.8742799999</v>
      </c>
      <c r="H15" s="88">
        <f t="shared" si="1"/>
        <v>8.1023134842187379E-3</v>
      </c>
      <c r="I15" s="89">
        <f t="shared" si="2"/>
        <v>38171.61</v>
      </c>
      <c r="J15" s="33">
        <f>'Billing Detail'!M131</f>
        <v>1100121.8948799998</v>
      </c>
      <c r="K15" s="32">
        <f t="shared" si="3"/>
        <v>8.1017966851360118E-3</v>
      </c>
      <c r="L15" s="33">
        <f>'Billing Detail'!N131</f>
        <v>38122.020599999945</v>
      </c>
      <c r="M15" s="32">
        <f t="shared" si="10"/>
        <v>3.5896445492373898E-2</v>
      </c>
      <c r="N15" s="32">
        <f>'Billing Detail'!O137</f>
        <v>3.5722039438357563E-2</v>
      </c>
      <c r="O15" s="34">
        <f t="shared" si="11"/>
        <v>-49.589400000171736</v>
      </c>
    </row>
    <row r="16" spans="1:22" x14ac:dyDescent="0.2">
      <c r="A16" s="3">
        <f t="shared" si="4"/>
        <v>9</v>
      </c>
      <c r="B16" s="2" t="str">
        <f>'Billing Detail'!B140</f>
        <v>Lighting</v>
      </c>
      <c r="C16" s="13" t="str">
        <f>'Billing Detail'!C140</f>
        <v>STL-DSTL-OLS</v>
      </c>
      <c r="D16" s="131">
        <f>'Billing Detail'!G206</f>
        <v>4250746.1499999985</v>
      </c>
      <c r="E16" s="33">
        <f>'Billing Detail'!I206</f>
        <v>4399356.6199999992</v>
      </c>
      <c r="F16" s="32">
        <f t="shared" si="0"/>
        <v>3.3564002527099214E-2</v>
      </c>
      <c r="G16" s="87">
        <f t="shared" si="5"/>
        <v>4399356.6199999992</v>
      </c>
      <c r="H16" s="88">
        <f t="shared" si="1"/>
        <v>3.3564002527099214E-2</v>
      </c>
      <c r="I16" s="89">
        <f t="shared" si="2"/>
        <v>158126.69</v>
      </c>
      <c r="J16" s="33">
        <f>'Billing Detail'!M206</f>
        <v>4557999.34</v>
      </c>
      <c r="K16" s="32">
        <f t="shared" si="3"/>
        <v>3.3567174797200262E-2</v>
      </c>
      <c r="L16" s="33">
        <f t="shared" ref="L16:L17" si="12">J16-E16</f>
        <v>158642.72000000067</v>
      </c>
      <c r="M16" s="32">
        <f t="shared" si="6"/>
        <v>3.6060436491734259E-2</v>
      </c>
      <c r="N16" s="32">
        <f>'Billing Detail'!O212</f>
        <v>3.3079130082003499E-2</v>
      </c>
      <c r="O16" s="34">
        <f t="shared" si="7"/>
        <v>516.03000000026077</v>
      </c>
    </row>
    <row r="17" spans="1:19" ht="16.149999999999999" customHeight="1" x14ac:dyDescent="0.2">
      <c r="A17" s="3">
        <f t="shared" si="4"/>
        <v>10</v>
      </c>
      <c r="B17" s="35" t="s">
        <v>158</v>
      </c>
      <c r="C17" s="60"/>
      <c r="D17" s="132">
        <f>SUM(D9:D16)</f>
        <v>118720663.91582999</v>
      </c>
      <c r="E17" s="36">
        <f>SUM(E9:E16)</f>
        <v>131073658.94303</v>
      </c>
      <c r="F17" s="37">
        <f t="shared" si="0"/>
        <v>1</v>
      </c>
      <c r="G17" s="36">
        <f>SUM(G9:G16)</f>
        <v>131073658.94303</v>
      </c>
      <c r="H17" s="37">
        <v>1</v>
      </c>
      <c r="I17" s="36">
        <f>SUM(I9:I16)</f>
        <v>4711198.8100000015</v>
      </c>
      <c r="J17" s="36">
        <f>SUM(J9:J16)</f>
        <v>135787398.47894999</v>
      </c>
      <c r="K17" s="37">
        <f t="shared" si="3"/>
        <v>1</v>
      </c>
      <c r="L17" s="36">
        <f t="shared" si="12"/>
        <v>4713739.5359199941</v>
      </c>
      <c r="M17" s="37">
        <f t="shared" ref="M17" si="13">L17/E17</f>
        <v>3.5962523469103579E-2</v>
      </c>
      <c r="N17" s="37"/>
      <c r="O17" s="38">
        <f t="shared" si="7"/>
        <v>2540.7259199917316</v>
      </c>
    </row>
    <row r="18" spans="1:19" ht="16.149999999999999" customHeight="1" x14ac:dyDescent="0.2">
      <c r="A18" s="3">
        <f t="shared" si="4"/>
        <v>11</v>
      </c>
      <c r="D18" s="133"/>
      <c r="E18" s="39"/>
      <c r="F18" s="40"/>
      <c r="G18" s="39"/>
      <c r="H18" s="40"/>
      <c r="I18" s="39"/>
      <c r="J18" s="39"/>
      <c r="K18" s="40"/>
      <c r="L18" s="39"/>
      <c r="M18" s="40"/>
      <c r="N18" s="40"/>
      <c r="O18" s="34"/>
    </row>
    <row r="19" spans="1:19" ht="16.149999999999999" customHeight="1" x14ac:dyDescent="0.2">
      <c r="A19" s="3">
        <f t="shared" si="4"/>
        <v>12</v>
      </c>
      <c r="B19" s="2" t="str">
        <f>'Billing Detail'!B68</f>
        <v>Large Power Rate (500 KW to 4,999 KW)</v>
      </c>
      <c r="C19" s="13" t="str">
        <f>'Billing Detail'!C68</f>
        <v>LP-1</v>
      </c>
      <c r="D19" s="131">
        <f>'Billing Detail'!G75</f>
        <v>665848.51163999992</v>
      </c>
      <c r="E19" s="33">
        <f>'Billing Detail'!I75</f>
        <v>782499.6844599999</v>
      </c>
      <c r="F19" s="40">
        <f>E19/E21</f>
        <v>0.12312820332522784</v>
      </c>
      <c r="G19" s="39">
        <f>E19</f>
        <v>782499.6844599999</v>
      </c>
      <c r="H19" s="40">
        <f>G19/G21</f>
        <v>0.12312820332522784</v>
      </c>
      <c r="I19" s="89">
        <f>ROUND(L$4*H19,2)</f>
        <v>74861.31</v>
      </c>
      <c r="J19" s="33">
        <f>'Billing Detail'!M75</f>
        <v>857442.96660000004</v>
      </c>
      <c r="K19" s="40">
        <f>J19/J21</f>
        <v>0.12313985837301709</v>
      </c>
      <c r="L19" s="33">
        <f>'Billing Detail'!N75</f>
        <v>74943.282140000098</v>
      </c>
      <c r="M19" s="32">
        <f t="shared" ref="M19:M21" si="14">IF(E19=0,0,L19/E19)</f>
        <v>9.5774201099797479E-2</v>
      </c>
      <c r="N19" s="32">
        <f>'Billing Detail'!O81</f>
        <v>9.6546310674926389E-2</v>
      </c>
      <c r="O19" s="34">
        <f>J19-I19-E19</f>
        <v>81.972140000201762</v>
      </c>
    </row>
    <row r="20" spans="1:19" ht="16.149999999999999" customHeight="1" x14ac:dyDescent="0.2">
      <c r="A20" s="3">
        <f t="shared" si="4"/>
        <v>13</v>
      </c>
      <c r="B20" s="2" t="str">
        <f>'Billing Detail'!B84</f>
        <v>Large Power Rate (5,000 KW to 9,999 KW)</v>
      </c>
      <c r="C20" s="13" t="str">
        <f>'Billing Detail'!C84</f>
        <v>LP-2</v>
      </c>
      <c r="D20" s="131">
        <f>'Billing Detail'!G91</f>
        <v>4683516.6550099999</v>
      </c>
      <c r="E20" s="33">
        <f>'Billing Detail'!I91</f>
        <v>5572662.3606899995</v>
      </c>
      <c r="F20" s="40">
        <f>E20/E21</f>
        <v>0.87687179667477211</v>
      </c>
      <c r="G20" s="39">
        <f>E20</f>
        <v>5572662.3606899995</v>
      </c>
      <c r="H20" s="40">
        <f>G20/G21</f>
        <v>0.87687179667477211</v>
      </c>
      <c r="I20" s="89">
        <f>ROUND(L$4*H20,2)</f>
        <v>533133.54</v>
      </c>
      <c r="J20" s="33">
        <f>'Billing Detail'!M91</f>
        <v>6105720.528380001</v>
      </c>
      <c r="K20" s="40">
        <f>J20/J21</f>
        <v>0.87686014162698289</v>
      </c>
      <c r="L20" s="33">
        <f>'Billing Detail'!N91</f>
        <v>533058.1676900005</v>
      </c>
      <c r="M20" s="32">
        <f t="shared" si="14"/>
        <v>9.56559240786298E-2</v>
      </c>
      <c r="N20" s="53">
        <f>'Billing Detail'!O97</f>
        <v>9.6329118128846106E-2</v>
      </c>
      <c r="O20" s="34">
        <f>J20-I20-E20</f>
        <v>-75.372309998609126</v>
      </c>
    </row>
    <row r="21" spans="1:19" ht="16.149999999999999" customHeight="1" x14ac:dyDescent="0.2">
      <c r="A21" s="3">
        <f t="shared" si="4"/>
        <v>14</v>
      </c>
      <c r="B21" s="35" t="s">
        <v>159</v>
      </c>
      <c r="C21" s="60"/>
      <c r="D21" s="134">
        <f>SUM(D19:D20)</f>
        <v>5349365.16665</v>
      </c>
      <c r="E21" s="38">
        <f>SUM(E19:E20)</f>
        <v>6355162.0451499997</v>
      </c>
      <c r="F21" s="37">
        <f>E21/E21</f>
        <v>1</v>
      </c>
      <c r="G21" s="38">
        <f>SUM(G19:G20)</f>
        <v>6355162.0451499997</v>
      </c>
      <c r="H21" s="37">
        <f>G21/G21</f>
        <v>1</v>
      </c>
      <c r="I21" s="38">
        <f>SUM(I19:I20)</f>
        <v>607994.85000000009</v>
      </c>
      <c r="J21" s="38">
        <f>SUM(J19:J20)</f>
        <v>6963163.4949800009</v>
      </c>
      <c r="K21" s="37">
        <f>J21/J21</f>
        <v>1</v>
      </c>
      <c r="L21" s="38">
        <f>SUM(L19:L20)</f>
        <v>608001.44983000064</v>
      </c>
      <c r="M21" s="37">
        <f t="shared" si="14"/>
        <v>9.5670487315740835E-2</v>
      </c>
      <c r="N21" s="35"/>
      <c r="O21" s="38">
        <f>SUM(O19:O20)</f>
        <v>6.5998300015926361</v>
      </c>
    </row>
    <row r="22" spans="1:19" ht="16.149999999999999" customHeight="1" x14ac:dyDescent="0.2">
      <c r="A22" s="3">
        <f t="shared" si="4"/>
        <v>15</v>
      </c>
      <c r="D22" s="133"/>
      <c r="E22" s="39"/>
      <c r="F22" s="40"/>
      <c r="G22" s="39"/>
      <c r="H22" s="40"/>
      <c r="I22" s="39"/>
      <c r="J22" s="39"/>
      <c r="K22" s="40"/>
      <c r="L22" s="39"/>
      <c r="M22" s="40"/>
      <c r="N22" s="40"/>
      <c r="O22" s="34"/>
    </row>
    <row r="23" spans="1:19" ht="16.149999999999999" customHeight="1" x14ac:dyDescent="0.2">
      <c r="A23" s="3">
        <f t="shared" si="4"/>
        <v>16</v>
      </c>
      <c r="B23" s="2" t="str">
        <f>'Billing Detail'!B100</f>
        <v>Large Power Rate (500 KW to 2,999 KW)</v>
      </c>
      <c r="C23" s="13" t="str">
        <f>'Billing Detail'!C100</f>
        <v>LP-3</v>
      </c>
      <c r="D23" s="131">
        <f>'Billing Detail'!G107</f>
        <v>5129114.69197</v>
      </c>
      <c r="E23" s="33">
        <f>'Billing Detail'!I107</f>
        <v>6001997.8504999997</v>
      </c>
      <c r="F23" s="40">
        <v>1</v>
      </c>
      <c r="G23" s="39">
        <f>E23</f>
        <v>6001997.8504999997</v>
      </c>
      <c r="H23" s="40">
        <v>1</v>
      </c>
      <c r="I23" s="39">
        <f>L3</f>
        <v>558849.56967400108</v>
      </c>
      <c r="J23" s="33">
        <f>'Billing Detail'!M107</f>
        <v>6560340.4993399996</v>
      </c>
      <c r="K23" s="40">
        <v>1</v>
      </c>
      <c r="L23" s="33">
        <f>'Billing Detail'!N107</f>
        <v>558342.64884000027</v>
      </c>
      <c r="M23" s="32">
        <f t="shared" ref="M23" si="15">IF(E23=0,0,L23/E23)</f>
        <v>9.3026132755693547E-2</v>
      </c>
      <c r="N23" s="32">
        <f>'Billing Detail'!O113</f>
        <v>9.3516974245329301E-2</v>
      </c>
      <c r="O23" s="34">
        <f>J23-I23-E23</f>
        <v>-506.92083400115371</v>
      </c>
    </row>
    <row r="24" spans="1:19" ht="16.149999999999999" customHeight="1" x14ac:dyDescent="0.2">
      <c r="A24" s="3">
        <f t="shared" si="4"/>
        <v>17</v>
      </c>
      <c r="D24" s="133"/>
      <c r="E24" s="39"/>
      <c r="F24" s="40"/>
      <c r="G24" s="39"/>
      <c r="H24" s="40"/>
      <c r="I24" s="39"/>
      <c r="J24" s="39"/>
      <c r="K24" s="40"/>
      <c r="L24" s="39"/>
      <c r="M24" s="40"/>
      <c r="N24" s="40"/>
      <c r="O24" s="34"/>
    </row>
    <row r="25" spans="1:19" ht="16.149999999999999" customHeight="1" x14ac:dyDescent="0.2">
      <c r="A25" s="3">
        <f t="shared" si="4"/>
        <v>18</v>
      </c>
      <c r="B25" s="12" t="s">
        <v>41</v>
      </c>
      <c r="C25" s="61"/>
      <c r="D25" s="135">
        <f>D17+D21+D23</f>
        <v>129199143.77444999</v>
      </c>
      <c r="E25" s="41">
        <f>E17+E21+E23</f>
        <v>143430818.83868</v>
      </c>
      <c r="F25" s="80"/>
      <c r="G25" s="41">
        <f>G17+G21+G23</f>
        <v>143430818.83868</v>
      </c>
      <c r="H25" s="80"/>
      <c r="I25" s="41">
        <f>I17+I21+I23</f>
        <v>5878043.2296740031</v>
      </c>
      <c r="J25" s="41">
        <f>J17+J21+J23</f>
        <v>149310902.47327</v>
      </c>
      <c r="K25" s="80"/>
      <c r="L25" s="41">
        <f>L17+L21+L23</f>
        <v>5880083.6345899943</v>
      </c>
      <c r="M25" s="80">
        <f t="shared" ref="M25" si="16">L25/E25</f>
        <v>4.0995956672348517E-2</v>
      </c>
      <c r="N25" s="41"/>
      <c r="O25" s="41">
        <f>O17+O21+O23</f>
        <v>2040.4049159921706</v>
      </c>
    </row>
    <row r="26" spans="1:19" ht="12.6" customHeight="1" x14ac:dyDescent="0.2">
      <c r="A26" s="3">
        <f t="shared" si="4"/>
        <v>19</v>
      </c>
      <c r="S26" s="33"/>
    </row>
    <row r="27" spans="1:19" x14ac:dyDescent="0.2">
      <c r="A27" s="3">
        <f t="shared" si="4"/>
        <v>20</v>
      </c>
      <c r="B27" s="29" t="s">
        <v>7</v>
      </c>
      <c r="C27" s="59"/>
      <c r="D27" s="130"/>
    </row>
    <row r="28" spans="1:19" x14ac:dyDescent="0.2">
      <c r="A28" s="3">
        <f t="shared" si="4"/>
        <v>21</v>
      </c>
      <c r="B28" s="2" t="str">
        <f>'Billing Detail'!D11</f>
        <v xml:space="preserve">    FAC</v>
      </c>
      <c r="D28" s="131">
        <f>'Billing Detail'!G217</f>
        <v>12874562.805809999</v>
      </c>
      <c r="E28" s="33">
        <f>'Billing Detail'!I217</f>
        <v>-1208501.7884199983</v>
      </c>
      <c r="F28" s="42"/>
      <c r="G28" s="43"/>
      <c r="H28" s="43"/>
      <c r="I28" s="43"/>
      <c r="J28" s="33">
        <f>'Billing Detail'!M217</f>
        <v>-1208501.7884199983</v>
      </c>
      <c r="K28" s="44"/>
      <c r="L28" s="44"/>
      <c r="M28" s="43"/>
      <c r="N28" s="43"/>
    </row>
    <row r="29" spans="1:19" x14ac:dyDescent="0.2">
      <c r="A29" s="3">
        <f t="shared" si="4"/>
        <v>22</v>
      </c>
      <c r="B29" s="2" t="str">
        <f>'Billing Detail'!D12</f>
        <v xml:space="preserve">    ES</v>
      </c>
      <c r="D29" s="131">
        <f>'Billing Detail'!G218</f>
        <v>14589899.699999999</v>
      </c>
      <c r="E29" s="33">
        <f>'Billing Detail'!I218</f>
        <v>14972574.699999999</v>
      </c>
      <c r="F29" s="43"/>
      <c r="G29" s="43"/>
      <c r="H29" s="43"/>
      <c r="I29" s="43"/>
      <c r="J29" s="33">
        <f>'Billing Detail'!M218</f>
        <v>14972574.699999999</v>
      </c>
      <c r="K29" s="44"/>
      <c r="L29" s="44"/>
      <c r="M29" s="43"/>
      <c r="N29" s="43"/>
    </row>
    <row r="30" spans="1:19" x14ac:dyDescent="0.2">
      <c r="A30" s="3">
        <f t="shared" si="4"/>
        <v>23</v>
      </c>
      <c r="B30" s="2" t="str">
        <f>'Billing Detail'!D13</f>
        <v xml:space="preserve">    Prepay Fees</v>
      </c>
      <c r="D30" s="131">
        <f>'Billing Detail'!G219</f>
        <v>417105</v>
      </c>
      <c r="E30" s="33">
        <f>'Billing Detail'!I219</f>
        <v>417105</v>
      </c>
      <c r="F30" s="43"/>
      <c r="G30" s="43"/>
      <c r="H30" s="43"/>
      <c r="I30" s="43"/>
      <c r="J30" s="33">
        <f>'Billing Detail'!M219</f>
        <v>417105</v>
      </c>
      <c r="K30" s="44"/>
      <c r="L30" s="44"/>
      <c r="M30" s="43"/>
      <c r="N30" s="43"/>
    </row>
    <row r="31" spans="1:19" x14ac:dyDescent="0.2">
      <c r="A31" s="3">
        <f t="shared" si="4"/>
        <v>24</v>
      </c>
      <c r="B31" s="2" t="str">
        <f>'Billing Detail'!D14</f>
        <v xml:space="preserve">    Envirowatts + NM</v>
      </c>
      <c r="D31" s="131">
        <f>'Billing Detail'!G220</f>
        <v>-8641.85</v>
      </c>
      <c r="E31" s="33">
        <f>'Billing Detail'!I220</f>
        <v>-8641.85</v>
      </c>
      <c r="F31" s="43"/>
      <c r="G31" s="43"/>
      <c r="H31" s="43"/>
      <c r="I31" s="43"/>
      <c r="J31" s="33">
        <f>'Billing Detail'!M220</f>
        <v>-8641.85</v>
      </c>
      <c r="K31" s="44"/>
      <c r="L31" s="44"/>
      <c r="M31" s="43"/>
      <c r="N31" s="52"/>
    </row>
    <row r="32" spans="1:19" x14ac:dyDescent="0.2">
      <c r="A32" s="3">
        <f t="shared" si="4"/>
        <v>25</v>
      </c>
      <c r="B32" s="35" t="s">
        <v>8</v>
      </c>
      <c r="C32" s="60"/>
      <c r="D32" s="132">
        <f>SUM(D28:D31)</f>
        <v>27872925.655809999</v>
      </c>
      <c r="E32" s="36">
        <f>SUM(E28:E31)</f>
        <v>14172536.06158</v>
      </c>
      <c r="F32" s="45"/>
      <c r="G32" s="45"/>
      <c r="H32" s="45"/>
      <c r="I32" s="45"/>
      <c r="J32" s="36">
        <f>SUM(J28:J31)</f>
        <v>14172536.06158</v>
      </c>
      <c r="K32" s="46"/>
      <c r="L32" s="46"/>
      <c r="M32" s="45"/>
      <c r="N32" s="43"/>
    </row>
    <row r="33" spans="1:14" x14ac:dyDescent="0.2">
      <c r="A33" s="3">
        <f t="shared" si="4"/>
        <v>26</v>
      </c>
    </row>
    <row r="34" spans="1:14" ht="18" customHeight="1" thickBot="1" x14ac:dyDescent="0.25">
      <c r="A34" s="3">
        <f t="shared" si="4"/>
        <v>27</v>
      </c>
      <c r="B34" s="47" t="s">
        <v>9</v>
      </c>
      <c r="C34" s="62"/>
      <c r="D34" s="136">
        <f>D25+D32</f>
        <v>157072069.43026</v>
      </c>
      <c r="E34" s="48">
        <f>E25+E32</f>
        <v>157603354.90026</v>
      </c>
      <c r="F34" s="49"/>
      <c r="G34" s="49"/>
      <c r="H34" s="49"/>
      <c r="I34" s="49"/>
      <c r="J34" s="48">
        <f>J25+J32</f>
        <v>163483438.53485</v>
      </c>
      <c r="K34" s="50"/>
      <c r="L34" s="49">
        <f t="shared" ref="L34" si="17">J34-E34</f>
        <v>5880083.6345899999</v>
      </c>
      <c r="M34" s="47"/>
      <c r="N34" s="51">
        <f>L34/E34</f>
        <v>3.7309381125238343E-2</v>
      </c>
    </row>
    <row r="35" spans="1:14" ht="18" customHeight="1" thickTop="1" x14ac:dyDescent="0.2">
      <c r="A35" s="3">
        <f t="shared" si="4"/>
        <v>28</v>
      </c>
      <c r="B35" s="2" t="s">
        <v>10</v>
      </c>
      <c r="D35" s="133">
        <v>147039235</v>
      </c>
      <c r="E35" s="39"/>
      <c r="L35" s="39">
        <f>L2</f>
        <v>5878043.2272129962</v>
      </c>
    </row>
    <row r="36" spans="1:14" ht="15" customHeight="1" x14ac:dyDescent="0.2">
      <c r="A36" s="3">
        <f t="shared" si="4"/>
        <v>29</v>
      </c>
      <c r="B36" s="35" t="s">
        <v>37</v>
      </c>
      <c r="C36" s="60"/>
      <c r="D36" s="132">
        <f>D34-D35</f>
        <v>10032834.430260003</v>
      </c>
      <c r="E36" s="36"/>
      <c r="F36" s="35"/>
      <c r="G36" s="35"/>
      <c r="H36" s="35"/>
      <c r="I36" s="35"/>
      <c r="J36" s="35"/>
      <c r="K36" s="35"/>
      <c r="L36" s="36">
        <f>L34-L35</f>
        <v>2040.4073770036921</v>
      </c>
    </row>
    <row r="37" spans="1:14" ht="15" customHeight="1" x14ac:dyDescent="0.2">
      <c r="A37" s="3">
        <f t="shared" si="4"/>
        <v>30</v>
      </c>
      <c r="B37" s="2" t="s">
        <v>37</v>
      </c>
      <c r="D37" s="137">
        <f>D36/D35</f>
        <v>6.8232362812959427E-2</v>
      </c>
      <c r="E37" s="32"/>
      <c r="L37" s="32">
        <f>L36/L35</f>
        <v>3.4712357465447338E-4</v>
      </c>
    </row>
    <row r="38" spans="1:14" x14ac:dyDescent="0.2">
      <c r="A38" s="3"/>
    </row>
  </sheetData>
  <printOptions horizontalCentered="1"/>
  <pageMargins left="0.7" right="0.7" top="0.75" bottom="0.75" header="0.3" footer="0.3"/>
  <pageSetup scale="62" orientation="landscape" r:id="rId1"/>
  <headerFooter>
    <oddHeader>&amp;R&amp;"Arial,Bold"&amp;10Exhibit 4
 Page &amp;P of &amp;N</oddHeader>
  </headerFooter>
  <ignoredErrors>
    <ignoredError sqref="J17 F17 J9:J12 G9:G12 G13 G16 F21 G21 G19:G20 G14:G15 G25 I25:J25 L25:M25 H21:J21 K21:N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W23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L2" sqref="L2"/>
      <selection pane="topRight" activeCell="L2" sqref="L2"/>
      <selection pane="bottomLeft" activeCell="L2" sqref="L2"/>
      <selection pane="bottomRight" activeCell="K5" sqref="K5"/>
    </sheetView>
  </sheetViews>
  <sheetFormatPr defaultColWidth="8.85546875" defaultRowHeight="12.75" x14ac:dyDescent="0.2"/>
  <cols>
    <col min="1" max="1" width="7.42578125" style="5" customWidth="1"/>
    <col min="2" max="2" width="27" style="2" customWidth="1"/>
    <col min="3" max="3" width="9.7109375" style="13" customWidth="1"/>
    <col min="4" max="4" width="38.42578125" style="2" customWidth="1"/>
    <col min="5" max="5" width="19" style="84" bestFit="1" customWidth="1"/>
    <col min="6" max="6" width="17.7109375" style="84" customWidth="1"/>
    <col min="7" max="7" width="16.7109375" style="84" customWidth="1"/>
    <col min="8" max="8" width="12.28515625" style="84" bestFit="1" customWidth="1"/>
    <col min="9" max="9" width="15.28515625" style="84" bestFit="1" customWidth="1"/>
    <col min="10" max="10" width="8.5703125" style="84" bestFit="1" customWidth="1"/>
    <col min="11" max="11" width="13.42578125" style="84" customWidth="1"/>
    <col min="12" max="12" width="11.42578125" style="84" customWidth="1"/>
    <col min="13" max="13" width="14.5703125" style="84" bestFit="1" customWidth="1"/>
    <col min="14" max="14" width="12.7109375" style="84" bestFit="1" customWidth="1"/>
    <col min="15" max="15" width="7" style="84" bestFit="1" customWidth="1"/>
    <col min="16" max="16" width="11.5703125" style="84" customWidth="1"/>
    <col min="17" max="18" width="11.7109375" style="84" customWidth="1"/>
    <col min="19" max="19" width="12.7109375" style="2" customWidth="1"/>
    <col min="20" max="20" width="14.140625" style="2" customWidth="1"/>
    <col min="21" max="21" width="8.85546875" style="2" customWidth="1"/>
    <col min="22" max="16384" width="8.85546875" style="2"/>
  </cols>
  <sheetData>
    <row r="1" spans="1:20" x14ac:dyDescent="0.2">
      <c r="A1" s="26" t="str">
        <f>Summary!A1</f>
        <v>SOUTH KENTUCKY RECC</v>
      </c>
      <c r="E1" s="121"/>
      <c r="F1" s="90"/>
    </row>
    <row r="2" spans="1:20" ht="14.45" customHeight="1" x14ac:dyDescent="0.2">
      <c r="A2" s="26" t="str">
        <f>Summary!A2</f>
        <v>Billing Analysis for Pass-Through Rate Increase</v>
      </c>
      <c r="F2" s="91"/>
      <c r="G2" s="92"/>
      <c r="H2" s="160" t="s">
        <v>171</v>
      </c>
      <c r="P2" s="93"/>
    </row>
    <row r="5" spans="1:20" ht="38.450000000000003" customHeight="1" x14ac:dyDescent="0.2">
      <c r="A5" s="15" t="s">
        <v>1</v>
      </c>
      <c r="B5" s="15" t="s">
        <v>12</v>
      </c>
      <c r="C5" s="8" t="s">
        <v>11</v>
      </c>
      <c r="D5" s="15" t="s">
        <v>13</v>
      </c>
      <c r="E5" s="94" t="s">
        <v>14</v>
      </c>
      <c r="F5" s="94" t="s">
        <v>153</v>
      </c>
      <c r="G5" s="94" t="s">
        <v>154</v>
      </c>
      <c r="H5" s="94" t="s">
        <v>23</v>
      </c>
      <c r="I5" s="94" t="s">
        <v>24</v>
      </c>
      <c r="J5" s="94" t="s">
        <v>49</v>
      </c>
      <c r="K5" s="94" t="s">
        <v>10</v>
      </c>
      <c r="L5" s="94" t="s">
        <v>21</v>
      </c>
      <c r="M5" s="94" t="s">
        <v>4</v>
      </c>
      <c r="N5" s="94" t="s">
        <v>15</v>
      </c>
      <c r="O5" s="95" t="s">
        <v>16</v>
      </c>
      <c r="P5" s="94" t="s">
        <v>22</v>
      </c>
      <c r="Q5" s="94" t="s">
        <v>25</v>
      </c>
      <c r="R5" s="94" t="s">
        <v>38</v>
      </c>
      <c r="T5" s="10" t="s">
        <v>34</v>
      </c>
    </row>
    <row r="6" spans="1:20" ht="30.6" customHeight="1" thickBot="1" x14ac:dyDescent="0.25">
      <c r="A6" s="27"/>
      <c r="B6" s="20"/>
      <c r="C6" s="21"/>
      <c r="D6" s="20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P6" s="96"/>
      <c r="Q6" s="96"/>
      <c r="R6" s="96"/>
    </row>
    <row r="7" spans="1:20" x14ac:dyDescent="0.2">
      <c r="A7" s="28">
        <v>1</v>
      </c>
      <c r="B7" s="152" t="s">
        <v>64</v>
      </c>
      <c r="C7" s="23" t="s">
        <v>135</v>
      </c>
      <c r="D7" s="22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</row>
    <row r="8" spans="1:20" x14ac:dyDescent="0.2">
      <c r="A8" s="28">
        <f>A7+1</f>
        <v>2</v>
      </c>
      <c r="B8" s="153"/>
      <c r="D8" s="2" t="s">
        <v>17</v>
      </c>
      <c r="E8" s="98">
        <f>768746+11286-E20</f>
        <v>764344</v>
      </c>
      <c r="F8" s="90">
        <f>H8</f>
        <v>23.3</v>
      </c>
      <c r="G8" s="99">
        <f>F8*E8</f>
        <v>17809215.199999999</v>
      </c>
      <c r="H8" s="158">
        <v>23.3</v>
      </c>
      <c r="I8" s="99">
        <f>H8*E8</f>
        <v>17809215.199999999</v>
      </c>
      <c r="J8" s="100">
        <f>I8/I10</f>
        <v>0.18511120102213521</v>
      </c>
      <c r="K8" s="100"/>
      <c r="L8" s="90">
        <f>ROUND(H8*S10,2)</f>
        <v>24.14</v>
      </c>
      <c r="M8" s="99">
        <f>L8*E8</f>
        <v>18451264.16</v>
      </c>
      <c r="N8" s="99">
        <f t="shared" ref="N8:N13" si="0">M8-I8</f>
        <v>642048.96000000089</v>
      </c>
      <c r="O8" s="100">
        <f>IF(I8=0,0,N8/I8)</f>
        <v>3.6051502145922801E-2</v>
      </c>
      <c r="P8" s="100">
        <f>M8/M10</f>
        <v>0.18512758387086617</v>
      </c>
      <c r="Q8" s="139">
        <f>P8-J8</f>
        <v>1.6382848730955857E-5</v>
      </c>
      <c r="R8" s="139"/>
      <c r="T8" s="4">
        <f>L8/H8-1</f>
        <v>3.6051502145922676E-2</v>
      </c>
    </row>
    <row r="9" spans="1:20" x14ac:dyDescent="0.2">
      <c r="A9" s="28">
        <f t="shared" ref="A9:A74" si="1">A8+1</f>
        <v>3</v>
      </c>
      <c r="B9" s="11"/>
      <c r="D9" s="2" t="s">
        <v>47</v>
      </c>
      <c r="E9" s="98">
        <f>740985233+12108749-E21</f>
        <v>747368765</v>
      </c>
      <c r="F9" s="92">
        <f>H9-$H$230</f>
        <v>9.3089999999999992E-2</v>
      </c>
      <c r="G9" s="99">
        <f t="shared" ref="G9" si="2">F9*E9</f>
        <v>69572558.333849996</v>
      </c>
      <c r="H9" s="159">
        <v>0.10489999999999999</v>
      </c>
      <c r="I9" s="99">
        <f t="shared" ref="I9" si="3">H9*E9</f>
        <v>78398983.448499992</v>
      </c>
      <c r="J9" s="100">
        <f>I9/I10</f>
        <v>0.8148887989778647</v>
      </c>
      <c r="K9" s="100"/>
      <c r="L9" s="140">
        <f>ROUND(H9*S10,5)</f>
        <v>0.10867</v>
      </c>
      <c r="M9" s="99">
        <f t="shared" ref="M9" si="4">L9*E9</f>
        <v>81216563.692550004</v>
      </c>
      <c r="N9" s="99">
        <f t="shared" si="0"/>
        <v>2817580.244050011</v>
      </c>
      <c r="O9" s="100">
        <f t="shared" ref="O9" si="5">IF(I9=0,0,N9/I9)</f>
        <v>3.5938989513822829E-2</v>
      </c>
      <c r="P9" s="100">
        <f>M9/M10</f>
        <v>0.81487241612913386</v>
      </c>
      <c r="Q9" s="139">
        <f t="shared" ref="Q9:Q10" si="6">P9-J9</f>
        <v>-1.6382848730844835E-5</v>
      </c>
      <c r="R9" s="139"/>
      <c r="T9" s="4">
        <f>L9/H9-1</f>
        <v>3.5938989513822683E-2</v>
      </c>
    </row>
    <row r="10" spans="1:20" s="5" customFormat="1" ht="20.45" customHeight="1" x14ac:dyDescent="0.25">
      <c r="A10" s="28">
        <f t="shared" si="1"/>
        <v>4</v>
      </c>
      <c r="C10" s="14"/>
      <c r="D10" s="16" t="s">
        <v>6</v>
      </c>
      <c r="E10" s="101"/>
      <c r="F10" s="101"/>
      <c r="G10" s="17">
        <f>SUM(G8:G9)</f>
        <v>87381773.533849999</v>
      </c>
      <c r="H10" s="101"/>
      <c r="I10" s="17">
        <f>SUM(I8:I9)</f>
        <v>96208198.648499995</v>
      </c>
      <c r="J10" s="102">
        <f>SUM(J8:J9)</f>
        <v>0.99999999999999989</v>
      </c>
      <c r="K10" s="103">
        <f>I10+Summary!I9</f>
        <v>99666223.348499998</v>
      </c>
      <c r="L10" s="101"/>
      <c r="M10" s="17">
        <f>SUM(M8:M9)</f>
        <v>99667827.85255</v>
      </c>
      <c r="N10" s="17">
        <f>SUM(N8:N9)</f>
        <v>3459629.2040500119</v>
      </c>
      <c r="O10" s="102">
        <f t="shared" ref="O10" si="7">N10/I10</f>
        <v>3.5959816862281016E-2</v>
      </c>
      <c r="P10" s="102">
        <f>SUM(P8:P9)</f>
        <v>1</v>
      </c>
      <c r="Q10" s="141">
        <f t="shared" si="6"/>
        <v>0</v>
      </c>
      <c r="R10" s="104">
        <f>M10-K10</f>
        <v>1604.504050001502</v>
      </c>
      <c r="S10" s="63">
        <f>K10/I10</f>
        <v>1.0359431394473357</v>
      </c>
    </row>
    <row r="11" spans="1:20" x14ac:dyDescent="0.2">
      <c r="A11" s="28">
        <f t="shared" si="1"/>
        <v>5</v>
      </c>
      <c r="D11" s="2" t="s">
        <v>26</v>
      </c>
      <c r="G11" s="99">
        <f>9112282.46581+148921-G23-1008115.5</f>
        <v>8182667.7967100013</v>
      </c>
      <c r="I11" s="105">
        <f>G11-($H$230*E9)</f>
        <v>-643757.31793999858</v>
      </c>
      <c r="K11" s="105">
        <f>K10-I10</f>
        <v>3458024.700000003</v>
      </c>
      <c r="M11" s="99">
        <f>I11</f>
        <v>-643757.31793999858</v>
      </c>
      <c r="N11" s="99">
        <f t="shared" si="0"/>
        <v>0</v>
      </c>
      <c r="O11" s="90">
        <v>0</v>
      </c>
      <c r="R11" s="106"/>
    </row>
    <row r="12" spans="1:20" x14ac:dyDescent="0.2">
      <c r="A12" s="28">
        <f t="shared" si="1"/>
        <v>6</v>
      </c>
      <c r="D12" s="2" t="s">
        <v>27</v>
      </c>
      <c r="G12" s="99">
        <f>2321798.7+12171757-G24-562470</f>
        <v>13897382.629999999</v>
      </c>
      <c r="I12" s="105">
        <f>G12</f>
        <v>13897382.629999999</v>
      </c>
      <c r="M12" s="99">
        <f t="shared" ref="M12:M14" si="8">I12</f>
        <v>13897382.629999999</v>
      </c>
      <c r="N12" s="99">
        <f t="shared" si="0"/>
        <v>0</v>
      </c>
      <c r="O12" s="90">
        <v>0</v>
      </c>
    </row>
    <row r="13" spans="1:20" x14ac:dyDescent="0.2">
      <c r="A13" s="28">
        <f t="shared" si="1"/>
        <v>7</v>
      </c>
      <c r="D13" s="2" t="s">
        <v>62</v>
      </c>
      <c r="E13" s="98">
        <v>46345</v>
      </c>
      <c r="F13" s="90">
        <v>9</v>
      </c>
      <c r="G13" s="99">
        <f>F13*E13</f>
        <v>417105</v>
      </c>
      <c r="H13" s="90">
        <v>9</v>
      </c>
      <c r="I13" s="105">
        <f>H13*E13</f>
        <v>417105</v>
      </c>
      <c r="M13" s="99">
        <f t="shared" si="8"/>
        <v>417105</v>
      </c>
      <c r="N13" s="99">
        <f t="shared" si="0"/>
        <v>0</v>
      </c>
      <c r="O13" s="90">
        <v>0</v>
      </c>
    </row>
    <row r="14" spans="1:20" x14ac:dyDescent="0.2">
      <c r="A14" s="28">
        <f t="shared" si="1"/>
        <v>8</v>
      </c>
      <c r="D14" s="2" t="s">
        <v>61</v>
      </c>
      <c r="G14" s="99">
        <f>4743.75-9668.6</f>
        <v>-4924.8500000000004</v>
      </c>
      <c r="I14" s="105">
        <f>G14</f>
        <v>-4924.8500000000004</v>
      </c>
      <c r="M14" s="99">
        <f t="shared" si="8"/>
        <v>-4924.8500000000004</v>
      </c>
      <c r="N14" s="99"/>
      <c r="O14" s="90">
        <v>0</v>
      </c>
    </row>
    <row r="15" spans="1:20" x14ac:dyDescent="0.2">
      <c r="A15" s="28">
        <f t="shared" si="1"/>
        <v>9</v>
      </c>
      <c r="D15" s="12" t="s">
        <v>8</v>
      </c>
      <c r="E15" s="107"/>
      <c r="F15" s="107"/>
      <c r="G15" s="108">
        <f>SUM(G11:G14)</f>
        <v>22492230.576710001</v>
      </c>
      <c r="H15" s="107"/>
      <c r="I15" s="108">
        <f>SUM(I11:I14)</f>
        <v>13665805.462060001</v>
      </c>
      <c r="J15" s="107"/>
      <c r="K15" s="107"/>
      <c r="L15" s="107"/>
      <c r="M15" s="108">
        <f>SUM(M11:M14)</f>
        <v>13665805.462060001</v>
      </c>
      <c r="N15" s="108">
        <f>M15-I15</f>
        <v>0</v>
      </c>
      <c r="O15" s="109">
        <v>0</v>
      </c>
    </row>
    <row r="16" spans="1:20" s="5" customFormat="1" ht="26.45" customHeight="1" thickBot="1" x14ac:dyDescent="0.25">
      <c r="A16" s="28">
        <f t="shared" si="1"/>
        <v>10</v>
      </c>
      <c r="C16" s="14"/>
      <c r="D16" s="6" t="s">
        <v>19</v>
      </c>
      <c r="E16" s="110"/>
      <c r="F16" s="110"/>
      <c r="G16" s="111">
        <f>G10+G15</f>
        <v>109874004.11056</v>
      </c>
      <c r="H16" s="110"/>
      <c r="I16" s="112">
        <f>I15+I10</f>
        <v>109874004.11056</v>
      </c>
      <c r="J16" s="110"/>
      <c r="K16" s="110"/>
      <c r="L16" s="110"/>
      <c r="M16" s="111">
        <f>M15+M10</f>
        <v>113333633.31461</v>
      </c>
      <c r="N16" s="111">
        <f>M16-I16</f>
        <v>3459629.2040500045</v>
      </c>
      <c r="O16" s="113">
        <f>N16/I16</f>
        <v>3.1487240608513503E-2</v>
      </c>
      <c r="P16" s="84"/>
      <c r="Q16" s="84"/>
      <c r="R16" s="84"/>
    </row>
    <row r="17" spans="1:20" ht="13.5" thickTop="1" x14ac:dyDescent="0.2">
      <c r="A17" s="28">
        <f t="shared" si="1"/>
        <v>11</v>
      </c>
      <c r="D17" s="2" t="s">
        <v>18</v>
      </c>
      <c r="E17" s="90">
        <f>E9/E8</f>
        <v>977.79110583716238</v>
      </c>
      <c r="G17" s="114">
        <f>G16/E8</f>
        <v>143.74941663774428</v>
      </c>
      <c r="I17" s="114">
        <f>I16/E8</f>
        <v>143.74941663774428</v>
      </c>
      <c r="M17" s="114">
        <f>M16/E8</f>
        <v>148.27568910675038</v>
      </c>
      <c r="N17" s="114">
        <f>M17-I17</f>
        <v>4.526272469006102</v>
      </c>
      <c r="O17" s="100">
        <f>N17/I17</f>
        <v>3.1487240608513462E-2</v>
      </c>
    </row>
    <row r="18" spans="1:20" ht="13.5" thickBot="1" x14ac:dyDescent="0.25">
      <c r="A18" s="28">
        <f t="shared" si="1"/>
        <v>12</v>
      </c>
    </row>
    <row r="19" spans="1:20" x14ac:dyDescent="0.2">
      <c r="A19" s="28">
        <f t="shared" si="1"/>
        <v>13</v>
      </c>
      <c r="B19" s="152" t="s">
        <v>63</v>
      </c>
      <c r="C19" s="23" t="s">
        <v>65</v>
      </c>
      <c r="D19" s="22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</row>
    <row r="20" spans="1:20" x14ac:dyDescent="0.2">
      <c r="A20" s="28">
        <f>A18+1</f>
        <v>13</v>
      </c>
      <c r="B20" s="153"/>
      <c r="D20" s="2" t="s">
        <v>142</v>
      </c>
      <c r="E20" s="98">
        <v>15688</v>
      </c>
      <c r="F20" s="90">
        <f>H20</f>
        <v>0</v>
      </c>
      <c r="G20" s="99"/>
      <c r="H20" s="92"/>
      <c r="I20" s="99"/>
      <c r="J20" s="100"/>
      <c r="K20" s="100"/>
      <c r="L20" s="140"/>
      <c r="M20" s="99"/>
      <c r="N20" s="99"/>
      <c r="O20" s="100"/>
      <c r="P20" s="100"/>
      <c r="Q20" s="139"/>
      <c r="R20" s="139"/>
      <c r="T20" s="4"/>
    </row>
    <row r="21" spans="1:20" x14ac:dyDescent="0.2">
      <c r="A21" s="28">
        <f>A19+1</f>
        <v>14</v>
      </c>
      <c r="D21" s="2" t="s">
        <v>47</v>
      </c>
      <c r="E21" s="98">
        <v>5725217</v>
      </c>
      <c r="F21" s="92">
        <f>H21-$H$230</f>
        <v>6.1780000000000002E-2</v>
      </c>
      <c r="G21" s="99">
        <f t="shared" ref="G21" si="9">F21*E21</f>
        <v>353703.90626000002</v>
      </c>
      <c r="H21" s="92">
        <v>7.3590000000000003E-2</v>
      </c>
      <c r="I21" s="99">
        <f t="shared" ref="I21" si="10">H21*E21</f>
        <v>421318.71903000004</v>
      </c>
      <c r="J21" s="100">
        <f>I21/I22</f>
        <v>1</v>
      </c>
      <c r="K21" s="100"/>
      <c r="L21" s="140">
        <f>ROUND(H21*S22,5)</f>
        <v>7.6240000000000002E-2</v>
      </c>
      <c r="M21" s="99">
        <f t="shared" ref="M21" si="11">L21*E21</f>
        <v>436490.54408000002</v>
      </c>
      <c r="N21" s="99">
        <f t="shared" ref="N21" si="12">M21-I21</f>
        <v>15171.825049999985</v>
      </c>
      <c r="O21" s="100">
        <f t="shared" ref="O21" si="13">IF(I21=0,0,N21/I21)</f>
        <v>3.6010327490148077E-2</v>
      </c>
      <c r="P21" s="100">
        <f>M21/M$22</f>
        <v>1</v>
      </c>
      <c r="Q21" s="139">
        <f t="shared" ref="Q21" si="14">P21-J21</f>
        <v>0</v>
      </c>
      <c r="R21" s="139"/>
      <c r="T21" s="4">
        <f>L21/H21-1</f>
        <v>3.6010327490148208E-2</v>
      </c>
    </row>
    <row r="22" spans="1:20" s="5" customFormat="1" ht="20.45" customHeight="1" x14ac:dyDescent="0.25">
      <c r="A22" s="28">
        <f t="shared" si="1"/>
        <v>15</v>
      </c>
      <c r="C22" s="14"/>
      <c r="D22" s="16" t="s">
        <v>6</v>
      </c>
      <c r="E22" s="101"/>
      <c r="F22" s="101"/>
      <c r="G22" s="17">
        <f>SUM(G21:G21)</f>
        <v>353703.90626000002</v>
      </c>
      <c r="H22" s="101"/>
      <c r="I22" s="17">
        <f>SUM(I21:I21)</f>
        <v>421318.71903000004</v>
      </c>
      <c r="J22" s="102">
        <f>SUM(J21:J21)</f>
        <v>1</v>
      </c>
      <c r="K22" s="103">
        <f>I22+Summary!I10</f>
        <v>436462.23903000006</v>
      </c>
      <c r="L22" s="101"/>
      <c r="M22" s="17">
        <f>SUM(M21:M21)</f>
        <v>436490.54408000002</v>
      </c>
      <c r="N22" s="17">
        <f>SUM(N21:N21)</f>
        <v>15171.825049999985</v>
      </c>
      <c r="O22" s="102">
        <f t="shared" ref="O22" si="15">N22/I22</f>
        <v>3.6010327490148077E-2</v>
      </c>
      <c r="P22" s="102">
        <f>SUM(P21:P21)</f>
        <v>1</v>
      </c>
      <c r="Q22" s="141">
        <f t="shared" ref="Q22" si="16">P22-J22</f>
        <v>0</v>
      </c>
      <c r="R22" s="104">
        <f>M22-K22</f>
        <v>28.305049999966286</v>
      </c>
      <c r="S22" s="63">
        <f>K22/I22</f>
        <v>1.0359431454526038</v>
      </c>
    </row>
    <row r="23" spans="1:20" x14ac:dyDescent="0.2">
      <c r="A23" s="28">
        <f t="shared" si="1"/>
        <v>16</v>
      </c>
      <c r="D23" s="2" t="s">
        <v>26</v>
      </c>
      <c r="G23" s="99">
        <f>E21*0.0123</f>
        <v>70420.169099999999</v>
      </c>
      <c r="I23" s="105">
        <f>G23-($H$230*E21)</f>
        <v>2805.3563300000096</v>
      </c>
      <c r="K23" s="105">
        <f>K22-I22</f>
        <v>15143.520000000019</v>
      </c>
      <c r="M23" s="99">
        <f>I23</f>
        <v>2805.3563300000096</v>
      </c>
      <c r="N23" s="99">
        <f t="shared" ref="N23:N28" si="17">M23-I23</f>
        <v>0</v>
      </c>
      <c r="O23" s="90">
        <v>0</v>
      </c>
    </row>
    <row r="24" spans="1:20" x14ac:dyDescent="0.2">
      <c r="A24" s="28">
        <f t="shared" si="1"/>
        <v>17</v>
      </c>
      <c r="D24" s="2" t="s">
        <v>27</v>
      </c>
      <c r="G24" s="99">
        <v>33703.07</v>
      </c>
      <c r="I24" s="105">
        <f t="shared" ref="I24:I26" si="18">G24</f>
        <v>33703.07</v>
      </c>
      <c r="M24" s="99">
        <f t="shared" ref="M24:M26" si="19">I24</f>
        <v>33703.07</v>
      </c>
      <c r="N24" s="99">
        <f t="shared" si="17"/>
        <v>0</v>
      </c>
      <c r="O24" s="90">
        <v>0</v>
      </c>
    </row>
    <row r="25" spans="1:20" x14ac:dyDescent="0.2">
      <c r="A25" s="28">
        <f t="shared" si="1"/>
        <v>18</v>
      </c>
      <c r="D25" s="2" t="s">
        <v>29</v>
      </c>
      <c r="G25" s="99">
        <v>0</v>
      </c>
      <c r="I25" s="105">
        <f t="shared" si="18"/>
        <v>0</v>
      </c>
      <c r="M25" s="99">
        <f t="shared" si="19"/>
        <v>0</v>
      </c>
      <c r="N25" s="99">
        <f t="shared" si="17"/>
        <v>0</v>
      </c>
      <c r="O25" s="90">
        <v>0</v>
      </c>
    </row>
    <row r="26" spans="1:20" x14ac:dyDescent="0.2">
      <c r="A26" s="28">
        <f t="shared" si="1"/>
        <v>19</v>
      </c>
      <c r="D26" s="2" t="s">
        <v>39</v>
      </c>
      <c r="G26" s="99">
        <v>0</v>
      </c>
      <c r="I26" s="105">
        <f t="shared" si="18"/>
        <v>0</v>
      </c>
      <c r="M26" s="99">
        <f t="shared" si="19"/>
        <v>0</v>
      </c>
      <c r="N26" s="99"/>
      <c r="O26" s="90"/>
    </row>
    <row r="27" spans="1:20" x14ac:dyDescent="0.2">
      <c r="A27" s="28">
        <f t="shared" si="1"/>
        <v>20</v>
      </c>
      <c r="D27" s="12" t="s">
        <v>8</v>
      </c>
      <c r="E27" s="107"/>
      <c r="F27" s="107"/>
      <c r="G27" s="108">
        <f>SUM(G23:G26)</f>
        <v>104123.23910000001</v>
      </c>
      <c r="H27" s="107"/>
      <c r="I27" s="108">
        <f>SUM(I23:I26)</f>
        <v>36508.426330000009</v>
      </c>
      <c r="J27" s="107"/>
      <c r="K27" s="107"/>
      <c r="L27" s="107"/>
      <c r="M27" s="108">
        <f>SUM(M23:M26)</f>
        <v>36508.426330000009</v>
      </c>
      <c r="N27" s="108">
        <f t="shared" si="17"/>
        <v>0</v>
      </c>
      <c r="O27" s="109">
        <f t="shared" ref="O27" si="20">N27-J27</f>
        <v>0</v>
      </c>
    </row>
    <row r="28" spans="1:20" s="5" customFormat="1" ht="26.45" customHeight="1" thickBot="1" x14ac:dyDescent="0.25">
      <c r="A28" s="28">
        <f t="shared" si="1"/>
        <v>21</v>
      </c>
      <c r="C28" s="14"/>
      <c r="D28" s="6" t="s">
        <v>19</v>
      </c>
      <c r="E28" s="110"/>
      <c r="F28" s="110"/>
      <c r="G28" s="111">
        <f>G22+G27</f>
        <v>457827.14536000002</v>
      </c>
      <c r="H28" s="110"/>
      <c r="I28" s="112">
        <f>I27+I22</f>
        <v>457827.14536000002</v>
      </c>
      <c r="J28" s="110"/>
      <c r="K28" s="110"/>
      <c r="L28" s="110"/>
      <c r="M28" s="111">
        <f>M27+M22</f>
        <v>472998.97041000001</v>
      </c>
      <c r="N28" s="111">
        <f t="shared" si="17"/>
        <v>15171.825049999985</v>
      </c>
      <c r="O28" s="113">
        <f>N28/I28</f>
        <v>3.3138762530277734E-2</v>
      </c>
      <c r="P28" s="84"/>
      <c r="Q28" s="84"/>
      <c r="R28" s="84"/>
    </row>
    <row r="29" spans="1:20" ht="13.5" thickTop="1" x14ac:dyDescent="0.2">
      <c r="A29" s="28">
        <f t="shared" si="1"/>
        <v>22</v>
      </c>
      <c r="D29" s="2" t="s">
        <v>18</v>
      </c>
      <c r="E29" s="90">
        <f>E21/E20</f>
        <v>364.94244008159103</v>
      </c>
      <c r="G29" s="114">
        <f>G28/E20</f>
        <v>29.183270356960737</v>
      </c>
      <c r="I29" s="114">
        <f>I28/E20</f>
        <v>29.183270356960737</v>
      </c>
      <c r="M29" s="114">
        <f>M28/E20</f>
        <v>30.15036782317695</v>
      </c>
      <c r="N29" s="114">
        <f>N28/E20</f>
        <v>0.96709746621621528</v>
      </c>
      <c r="O29" s="100">
        <f>N29/I29</f>
        <v>3.3138762530277734E-2</v>
      </c>
    </row>
    <row r="30" spans="1:20" ht="13.5" thickBot="1" x14ac:dyDescent="0.25">
      <c r="A30" s="28">
        <f t="shared" si="1"/>
        <v>23</v>
      </c>
    </row>
    <row r="31" spans="1:20" x14ac:dyDescent="0.2">
      <c r="A31" s="28">
        <f t="shared" si="1"/>
        <v>24</v>
      </c>
      <c r="B31" s="152" t="s">
        <v>66</v>
      </c>
      <c r="C31" s="23" t="s">
        <v>60</v>
      </c>
      <c r="D31" s="22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</row>
    <row r="32" spans="1:20" x14ac:dyDescent="0.2">
      <c r="A32" s="28">
        <f t="shared" si="1"/>
        <v>25</v>
      </c>
      <c r="B32" s="153"/>
      <c r="D32" s="2" t="s">
        <v>17</v>
      </c>
      <c r="E32" s="98">
        <f>57876-E44</f>
        <v>57789</v>
      </c>
      <c r="F32" s="90">
        <f>H32</f>
        <v>40</v>
      </c>
      <c r="G32" s="99">
        <f>F32*E32</f>
        <v>2311560</v>
      </c>
      <c r="H32" s="90">
        <v>40</v>
      </c>
      <c r="I32" s="99">
        <f>H32*E32</f>
        <v>2311560</v>
      </c>
      <c r="J32" s="100">
        <f>I32/I34</f>
        <v>0.25323245963262492</v>
      </c>
      <c r="K32" s="100"/>
      <c r="L32" s="90">
        <f>ROUND(H32*S34,2)</f>
        <v>41.44</v>
      </c>
      <c r="M32" s="99">
        <f>L32*E32</f>
        <v>2394776.1599999997</v>
      </c>
      <c r="N32" s="99">
        <f>M32-I32</f>
        <v>83216.159999999683</v>
      </c>
      <c r="O32" s="100">
        <f>IF(I32=0,0,N32/I32)</f>
        <v>3.5999999999999865E-2</v>
      </c>
      <c r="P32" s="100">
        <f>M32/M$34</f>
        <v>0.25323665378397853</v>
      </c>
      <c r="Q32" s="139">
        <f>P32-J32</f>
        <v>4.1941513536092323E-6</v>
      </c>
      <c r="R32" s="139"/>
      <c r="T32" s="4">
        <f>L32/H32-1</f>
        <v>3.6000000000000032E-2</v>
      </c>
    </row>
    <row r="33" spans="1:20" x14ac:dyDescent="0.2">
      <c r="A33" s="28">
        <f t="shared" si="1"/>
        <v>26</v>
      </c>
      <c r="D33" s="2" t="s">
        <v>47</v>
      </c>
      <c r="E33" s="98">
        <f>68724385-E45</f>
        <v>68695492</v>
      </c>
      <c r="F33" s="92">
        <f>H33-$H$230</f>
        <v>8.7419999999999998E-2</v>
      </c>
      <c r="G33" s="99">
        <f t="shared" ref="G33" si="21">F33*E33</f>
        <v>6005359.9106399994</v>
      </c>
      <c r="H33" s="92">
        <v>9.9229999999999999E-2</v>
      </c>
      <c r="I33" s="99">
        <f t="shared" ref="I33" si="22">H33*E33</f>
        <v>6816653.6711600004</v>
      </c>
      <c r="J33" s="100">
        <f>I33/I34</f>
        <v>0.74676754036737503</v>
      </c>
      <c r="K33" s="100"/>
      <c r="L33" s="140">
        <f>ROUND(H33*S34,5)</f>
        <v>0.1028</v>
      </c>
      <c r="M33" s="99">
        <f t="shared" ref="M33" si="23">L33*E33</f>
        <v>7061896.5776000004</v>
      </c>
      <c r="N33" s="99">
        <f t="shared" ref="N33" si="24">M33-I33</f>
        <v>245242.90644000005</v>
      </c>
      <c r="O33" s="100">
        <f t="shared" ref="O33" si="25">IF(I33=0,0,N33/I33)</f>
        <v>3.5977023077698282E-2</v>
      </c>
      <c r="P33" s="100">
        <f>M33/M$34</f>
        <v>0.74676334621602147</v>
      </c>
      <c r="Q33" s="139">
        <f t="shared" ref="Q33" si="26">P33-J33</f>
        <v>-4.1941513535537212E-6</v>
      </c>
      <c r="R33" s="139"/>
      <c r="T33" s="4">
        <f>L33/H33-1</f>
        <v>3.5977023077698345E-2</v>
      </c>
    </row>
    <row r="34" spans="1:20" s="5" customFormat="1" ht="20.45" customHeight="1" x14ac:dyDescent="0.25">
      <c r="A34" s="28">
        <f t="shared" si="1"/>
        <v>27</v>
      </c>
      <c r="C34" s="14"/>
      <c r="D34" s="16" t="s">
        <v>6</v>
      </c>
      <c r="E34" s="101"/>
      <c r="F34" s="101"/>
      <c r="G34" s="17">
        <f>SUM(G32:G33)</f>
        <v>8316919.9106399994</v>
      </c>
      <c r="H34" s="101"/>
      <c r="I34" s="17">
        <f>SUM(I32:I33)</f>
        <v>9128213.6711600013</v>
      </c>
      <c r="J34" s="102">
        <f>SUM(J32:J33)</f>
        <v>1</v>
      </c>
      <c r="K34" s="103">
        <f>I34+Summary!I11</f>
        <v>9456310.3311600015</v>
      </c>
      <c r="L34" s="101"/>
      <c r="M34" s="17">
        <f>SUM(M32:M33)</f>
        <v>9456672.7376000006</v>
      </c>
      <c r="N34" s="17">
        <f>SUM(N32:N33)</f>
        <v>328459.06643999973</v>
      </c>
      <c r="O34" s="102">
        <f t="shared" ref="O34" si="27">N34/I34</f>
        <v>3.5982841580247497E-2</v>
      </c>
      <c r="P34" s="102">
        <f>SUM(P32:P33)</f>
        <v>1</v>
      </c>
      <c r="Q34" s="141">
        <f t="shared" ref="Q34" si="28">P34-J34</f>
        <v>0</v>
      </c>
      <c r="R34" s="104">
        <f>M34-K34</f>
        <v>362.40643999911845</v>
      </c>
      <c r="S34" s="63">
        <f>K34/I34</f>
        <v>1.0359431397883028</v>
      </c>
    </row>
    <row r="35" spans="1:20" x14ac:dyDescent="0.2">
      <c r="A35" s="28">
        <f t="shared" si="1"/>
        <v>28</v>
      </c>
      <c r="D35" s="2" t="s">
        <v>26</v>
      </c>
      <c r="G35" s="99">
        <f>818972.23-G47-97247</f>
        <v>721380.82543999993</v>
      </c>
      <c r="I35" s="105">
        <f>G35-($H$230*E33)</f>
        <v>-89912.935080000083</v>
      </c>
      <c r="K35" s="105">
        <f>K34-I34</f>
        <v>328096.66000000015</v>
      </c>
      <c r="M35" s="99">
        <f>I35</f>
        <v>-89912.935080000083</v>
      </c>
      <c r="N35" s="99">
        <f t="shared" ref="N35:N41" si="29">M35-I35</f>
        <v>0</v>
      </c>
      <c r="O35" s="90">
        <v>0</v>
      </c>
    </row>
    <row r="36" spans="1:20" x14ac:dyDescent="0.2">
      <c r="A36" s="28">
        <f t="shared" si="1"/>
        <v>29</v>
      </c>
      <c r="D36" s="2" t="s">
        <v>27</v>
      </c>
      <c r="G36" s="99">
        <f>197278-G48-44615</f>
        <v>152471.5</v>
      </c>
      <c r="I36" s="105">
        <f t="shared" ref="I36:I38" si="30">G36</f>
        <v>152471.5</v>
      </c>
      <c r="M36" s="99">
        <f t="shared" ref="M36:M38" si="31">I36</f>
        <v>152471.5</v>
      </c>
      <c r="N36" s="99">
        <f t="shared" si="29"/>
        <v>0</v>
      </c>
      <c r="O36" s="90">
        <v>0</v>
      </c>
    </row>
    <row r="37" spans="1:20" x14ac:dyDescent="0.2">
      <c r="A37" s="28">
        <f t="shared" si="1"/>
        <v>30</v>
      </c>
      <c r="D37" s="2" t="s">
        <v>29</v>
      </c>
      <c r="G37" s="99">
        <v>0</v>
      </c>
      <c r="I37" s="105">
        <f t="shared" si="30"/>
        <v>0</v>
      </c>
      <c r="M37" s="99">
        <f t="shared" si="31"/>
        <v>0</v>
      </c>
      <c r="N37" s="99">
        <f t="shared" si="29"/>
        <v>0</v>
      </c>
      <c r="O37" s="90">
        <v>0</v>
      </c>
    </row>
    <row r="38" spans="1:20" x14ac:dyDescent="0.2">
      <c r="A38" s="28">
        <f t="shared" si="1"/>
        <v>31</v>
      </c>
      <c r="D38" s="2" t="s">
        <v>61</v>
      </c>
      <c r="G38" s="99">
        <v>-3717</v>
      </c>
      <c r="I38" s="105">
        <f t="shared" si="30"/>
        <v>-3717</v>
      </c>
      <c r="M38" s="99">
        <f t="shared" si="31"/>
        <v>-3717</v>
      </c>
      <c r="N38" s="99"/>
      <c r="O38" s="90"/>
    </row>
    <row r="39" spans="1:20" x14ac:dyDescent="0.2">
      <c r="A39" s="28">
        <f t="shared" si="1"/>
        <v>32</v>
      </c>
      <c r="D39" s="12" t="s">
        <v>8</v>
      </c>
      <c r="E39" s="107"/>
      <c r="F39" s="107"/>
      <c r="G39" s="108">
        <f>SUM(G35:G38)</f>
        <v>870135.32543999993</v>
      </c>
      <c r="H39" s="107"/>
      <c r="I39" s="108">
        <f>SUM(I35:I38)</f>
        <v>58841.564919999917</v>
      </c>
      <c r="J39" s="107"/>
      <c r="K39" s="107"/>
      <c r="L39" s="107"/>
      <c r="M39" s="108">
        <f>SUM(M35:M38)</f>
        <v>58841.564919999917</v>
      </c>
      <c r="N39" s="108">
        <f t="shared" si="29"/>
        <v>0</v>
      </c>
      <c r="O39" s="109">
        <f t="shared" ref="O39" si="32">N39-J39</f>
        <v>0</v>
      </c>
    </row>
    <row r="40" spans="1:20" s="5" customFormat="1" ht="26.45" customHeight="1" thickBot="1" x14ac:dyDescent="0.25">
      <c r="A40" s="28">
        <f t="shared" si="1"/>
        <v>33</v>
      </c>
      <c r="C40" s="14"/>
      <c r="D40" s="6" t="s">
        <v>19</v>
      </c>
      <c r="E40" s="110"/>
      <c r="F40" s="110"/>
      <c r="G40" s="111">
        <f>G34+G39</f>
        <v>9187055.2360800002</v>
      </c>
      <c r="H40" s="110"/>
      <c r="I40" s="112">
        <f>I39+I34</f>
        <v>9187055.236080002</v>
      </c>
      <c r="J40" s="110"/>
      <c r="K40" s="110"/>
      <c r="L40" s="110"/>
      <c r="M40" s="111">
        <f>M39+M34</f>
        <v>9515514.3025200013</v>
      </c>
      <c r="N40" s="111">
        <f t="shared" si="29"/>
        <v>328459.06643999927</v>
      </c>
      <c r="O40" s="113">
        <f>N40/I40</f>
        <v>3.5752377448439995E-2</v>
      </c>
      <c r="P40" s="84"/>
      <c r="Q40" s="84"/>
      <c r="R40" s="84"/>
    </row>
    <row r="41" spans="1:20" ht="13.5" thickTop="1" x14ac:dyDescent="0.2">
      <c r="A41" s="28">
        <f t="shared" si="1"/>
        <v>34</v>
      </c>
      <c r="D41" s="2" t="s">
        <v>18</v>
      </c>
      <c r="E41" s="90">
        <f>(E33)/E32</f>
        <v>1188.7295506065168</v>
      </c>
      <c r="G41" s="114">
        <f>G40/E32</f>
        <v>158.97584723874786</v>
      </c>
      <c r="I41" s="114">
        <f>I40/E32</f>
        <v>158.97584723874789</v>
      </c>
      <c r="M41" s="114">
        <f>M40/E32</f>
        <v>164.65961173441315</v>
      </c>
      <c r="N41" s="114">
        <f t="shared" si="29"/>
        <v>5.6837644956652582</v>
      </c>
      <c r="O41" s="100">
        <f>N41/I41</f>
        <v>3.5752377448440037E-2</v>
      </c>
    </row>
    <row r="42" spans="1:20" ht="13.5" thickBot="1" x14ac:dyDescent="0.25">
      <c r="A42" s="28">
        <f t="shared" si="1"/>
        <v>35</v>
      </c>
    </row>
    <row r="43" spans="1:20" x14ac:dyDescent="0.2">
      <c r="A43" s="28">
        <f t="shared" si="1"/>
        <v>36</v>
      </c>
      <c r="B43" s="152" t="s">
        <v>67</v>
      </c>
      <c r="C43" s="23" t="s">
        <v>68</v>
      </c>
      <c r="D43" s="22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</row>
    <row r="44" spans="1:20" x14ac:dyDescent="0.2">
      <c r="A44" s="28"/>
      <c r="B44" s="153"/>
      <c r="D44" s="2" t="s">
        <v>142</v>
      </c>
      <c r="E44" s="84">
        <v>87</v>
      </c>
      <c r="F44" s="90">
        <f>H44</f>
        <v>0</v>
      </c>
    </row>
    <row r="45" spans="1:20" x14ac:dyDescent="0.2">
      <c r="A45" s="28">
        <f>A43+1</f>
        <v>37</v>
      </c>
      <c r="D45" s="2" t="s">
        <v>47</v>
      </c>
      <c r="E45" s="98">
        <v>28893</v>
      </c>
      <c r="F45" s="92">
        <f>H45-$H$230</f>
        <v>6.8379999999999996E-2</v>
      </c>
      <c r="G45" s="99">
        <f t="shared" ref="G45" si="33">F45*E45</f>
        <v>1975.7033399999998</v>
      </c>
      <c r="H45" s="92">
        <v>8.0189999999999997E-2</v>
      </c>
      <c r="I45" s="99">
        <f t="shared" ref="I45" si="34">H45*E45</f>
        <v>2316.92967</v>
      </c>
      <c r="J45" s="100">
        <f>I45/I46</f>
        <v>1</v>
      </c>
      <c r="K45" s="100"/>
      <c r="L45" s="140">
        <f>ROUND(H45*S46,5)</f>
        <v>8.3070000000000005E-2</v>
      </c>
      <c r="M45" s="99">
        <f t="shared" ref="M45" si="35">L45*E45</f>
        <v>2400.1415099999999</v>
      </c>
      <c r="N45" s="99">
        <f t="shared" ref="N45" si="36">M45-I45</f>
        <v>83.211839999999938</v>
      </c>
      <c r="O45" s="100">
        <f t="shared" ref="O45" si="37">IF(I45=0,0,N45/I45)</f>
        <v>3.5914702581369223E-2</v>
      </c>
      <c r="P45" s="100">
        <f>M45/M$46</f>
        <v>1</v>
      </c>
      <c r="Q45" s="139">
        <f t="shared" ref="Q45" si="38">P45-J45</f>
        <v>0</v>
      </c>
      <c r="R45" s="139"/>
      <c r="T45" s="4">
        <f>L45/H45-1</f>
        <v>3.5914702581369307E-2</v>
      </c>
    </row>
    <row r="46" spans="1:20" s="5" customFormat="1" ht="20.45" customHeight="1" x14ac:dyDescent="0.25">
      <c r="A46" s="28">
        <f t="shared" si="1"/>
        <v>38</v>
      </c>
      <c r="C46" s="14"/>
      <c r="D46" s="16" t="s">
        <v>6</v>
      </c>
      <c r="E46" s="101"/>
      <c r="F46" s="101"/>
      <c r="G46" s="17">
        <f>SUM(G45:G45)</f>
        <v>1975.7033399999998</v>
      </c>
      <c r="H46" s="101"/>
      <c r="I46" s="17">
        <f>SUM(I45:I45)</f>
        <v>2316.92967</v>
      </c>
      <c r="J46" s="102">
        <f>SUM(J45:J45)</f>
        <v>1</v>
      </c>
      <c r="K46" s="103">
        <f>I46+Summary!I12</f>
        <v>2400.2096700000002</v>
      </c>
      <c r="L46" s="101"/>
      <c r="M46" s="17">
        <f>SUM(M45:M45)</f>
        <v>2400.1415099999999</v>
      </c>
      <c r="N46" s="17">
        <f>SUM(N45:N45)</f>
        <v>83.211839999999938</v>
      </c>
      <c r="O46" s="102">
        <f t="shared" ref="O46" si="39">N46/I46</f>
        <v>3.5914702581369223E-2</v>
      </c>
      <c r="P46" s="102">
        <f>SUM(P45:P45)</f>
        <v>1</v>
      </c>
      <c r="Q46" s="141">
        <f t="shared" ref="Q46" si="40">P46-J46</f>
        <v>0</v>
      </c>
      <c r="R46" s="104">
        <f>M46-K46</f>
        <v>-6.8160000000261789E-2</v>
      </c>
      <c r="S46" s="63">
        <f>K46/I46</f>
        <v>1.0359441208243494</v>
      </c>
    </row>
    <row r="47" spans="1:20" x14ac:dyDescent="0.2">
      <c r="A47" s="28">
        <f t="shared" si="1"/>
        <v>39</v>
      </c>
      <c r="D47" s="2" t="s">
        <v>26</v>
      </c>
      <c r="G47" s="99">
        <f>E45*0.01192</f>
        <v>344.40456</v>
      </c>
      <c r="I47" s="105">
        <f>G47-($H$230*E45)</f>
        <v>3.1782300000000419</v>
      </c>
      <c r="K47" s="105">
        <f>K46-I46</f>
        <v>83.2800000000002</v>
      </c>
      <c r="M47" s="99">
        <f>I47</f>
        <v>3.1782300000000419</v>
      </c>
      <c r="N47" s="99">
        <f t="shared" ref="N47:N52" si="41">M47-I47</f>
        <v>0</v>
      </c>
      <c r="O47" s="90">
        <v>0</v>
      </c>
    </row>
    <row r="48" spans="1:20" x14ac:dyDescent="0.2">
      <c r="A48" s="28">
        <f t="shared" si="1"/>
        <v>40</v>
      </c>
      <c r="D48" s="2" t="s">
        <v>27</v>
      </c>
      <c r="G48" s="99">
        <v>191.5</v>
      </c>
      <c r="I48" s="105">
        <f t="shared" ref="I48:I50" si="42">G48</f>
        <v>191.5</v>
      </c>
      <c r="M48" s="99">
        <f t="shared" ref="M48:M50" si="43">I48</f>
        <v>191.5</v>
      </c>
      <c r="N48" s="99">
        <f t="shared" si="41"/>
        <v>0</v>
      </c>
      <c r="O48" s="90">
        <v>0</v>
      </c>
    </row>
    <row r="49" spans="1:20" x14ac:dyDescent="0.2">
      <c r="A49" s="28">
        <f t="shared" si="1"/>
        <v>41</v>
      </c>
      <c r="D49" s="2" t="s">
        <v>29</v>
      </c>
      <c r="G49" s="99">
        <v>0</v>
      </c>
      <c r="I49" s="105">
        <f t="shared" si="42"/>
        <v>0</v>
      </c>
      <c r="M49" s="99">
        <f t="shared" si="43"/>
        <v>0</v>
      </c>
      <c r="N49" s="99">
        <f t="shared" si="41"/>
        <v>0</v>
      </c>
      <c r="O49" s="90">
        <v>0</v>
      </c>
    </row>
    <row r="50" spans="1:20" x14ac:dyDescent="0.2">
      <c r="A50" s="28">
        <f t="shared" si="1"/>
        <v>42</v>
      </c>
      <c r="D50" s="2" t="s">
        <v>39</v>
      </c>
      <c r="G50" s="99">
        <v>0</v>
      </c>
      <c r="I50" s="105">
        <f t="shared" si="42"/>
        <v>0</v>
      </c>
      <c r="M50" s="99">
        <f t="shared" si="43"/>
        <v>0</v>
      </c>
      <c r="N50" s="99"/>
      <c r="O50" s="90"/>
    </row>
    <row r="51" spans="1:20" x14ac:dyDescent="0.2">
      <c r="A51" s="28">
        <f t="shared" si="1"/>
        <v>43</v>
      </c>
      <c r="D51" s="12" t="s">
        <v>8</v>
      </c>
      <c r="E51" s="107"/>
      <c r="F51" s="107"/>
      <c r="G51" s="108">
        <f>SUM(G47:G50)</f>
        <v>535.90455999999995</v>
      </c>
      <c r="H51" s="107"/>
      <c r="I51" s="108">
        <f>SUM(I47:I50)</f>
        <v>194.67823000000004</v>
      </c>
      <c r="J51" s="107"/>
      <c r="K51" s="107"/>
      <c r="L51" s="107"/>
      <c r="M51" s="108">
        <f>SUM(M47:M50)</f>
        <v>194.67823000000004</v>
      </c>
      <c r="N51" s="108">
        <f t="shared" si="41"/>
        <v>0</v>
      </c>
      <c r="O51" s="109">
        <f t="shared" ref="O51" si="44">N51-J51</f>
        <v>0</v>
      </c>
    </row>
    <row r="52" spans="1:20" s="5" customFormat="1" ht="26.45" customHeight="1" thickBot="1" x14ac:dyDescent="0.25">
      <c r="A52" s="28">
        <f t="shared" si="1"/>
        <v>44</v>
      </c>
      <c r="C52" s="14"/>
      <c r="D52" s="6" t="s">
        <v>19</v>
      </c>
      <c r="E52" s="110"/>
      <c r="F52" s="110"/>
      <c r="G52" s="111">
        <f>G46+G51</f>
        <v>2511.6079</v>
      </c>
      <c r="H52" s="110"/>
      <c r="I52" s="112">
        <f>I51+I46</f>
        <v>2511.6079</v>
      </c>
      <c r="J52" s="110"/>
      <c r="K52" s="110"/>
      <c r="L52" s="110"/>
      <c r="M52" s="111">
        <f>M51+M46</f>
        <v>2594.8197399999999</v>
      </c>
      <c r="N52" s="111">
        <f t="shared" si="41"/>
        <v>83.211839999999938</v>
      </c>
      <c r="O52" s="113">
        <f>N52/I52</f>
        <v>3.3130903912191048E-2</v>
      </c>
      <c r="P52" s="84"/>
      <c r="Q52" s="84"/>
      <c r="R52" s="84"/>
    </row>
    <row r="53" spans="1:20" ht="13.5" thickTop="1" x14ac:dyDescent="0.2">
      <c r="A53" s="28">
        <f t="shared" si="1"/>
        <v>45</v>
      </c>
      <c r="D53" s="2" t="s">
        <v>18</v>
      </c>
      <c r="E53" s="90">
        <f>E45/E44</f>
        <v>332.10344827586209</v>
      </c>
      <c r="G53" s="114">
        <f>G52/E44</f>
        <v>28.869056321839079</v>
      </c>
      <c r="I53" s="114">
        <f>I52/E44</f>
        <v>28.869056321839079</v>
      </c>
      <c r="M53" s="114">
        <f>M52/E44</f>
        <v>29.825514252873564</v>
      </c>
      <c r="N53" s="114">
        <f>N52/E44</f>
        <v>0.95645793103448207</v>
      </c>
      <c r="O53" s="100">
        <f>N53/I53</f>
        <v>3.3130903912191048E-2</v>
      </c>
    </row>
    <row r="54" spans="1:20" ht="13.5" thickBot="1" x14ac:dyDescent="0.25">
      <c r="A54" s="28">
        <f t="shared" si="1"/>
        <v>46</v>
      </c>
    </row>
    <row r="55" spans="1:20" x14ac:dyDescent="0.2">
      <c r="A55" s="28">
        <f t="shared" si="1"/>
        <v>47</v>
      </c>
      <c r="B55" s="152" t="s">
        <v>72</v>
      </c>
      <c r="C55" s="23" t="s">
        <v>69</v>
      </c>
      <c r="D55" s="22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</row>
    <row r="56" spans="1:20" x14ac:dyDescent="0.2">
      <c r="A56" s="28">
        <f t="shared" si="1"/>
        <v>48</v>
      </c>
      <c r="B56" s="153"/>
      <c r="D56" s="2" t="s">
        <v>17</v>
      </c>
      <c r="E56" s="98">
        <f>5472+248</f>
        <v>5720</v>
      </c>
      <c r="F56" s="90">
        <f>H56</f>
        <v>70</v>
      </c>
      <c r="G56" s="99">
        <f>F56*E56</f>
        <v>400400</v>
      </c>
      <c r="H56" s="90">
        <v>70</v>
      </c>
      <c r="I56" s="99">
        <f>H56*E56</f>
        <v>400400</v>
      </c>
      <c r="J56" s="100">
        <f>I56/I59</f>
        <v>2.1902548592043384E-2</v>
      </c>
      <c r="K56" s="100"/>
      <c r="L56" s="90">
        <f>ROUND(H56*S59,2)</f>
        <v>72.52</v>
      </c>
      <c r="M56" s="99">
        <f>L56*E56</f>
        <v>414814.39999999997</v>
      </c>
      <c r="N56" s="99">
        <f>M56-I56</f>
        <v>14414.399999999965</v>
      </c>
      <c r="O56" s="100">
        <f>IF(I56=0,0,N56/I56)</f>
        <v>3.5999999999999914E-2</v>
      </c>
      <c r="P56" s="100">
        <f>M56/M$59</f>
        <v>2.1903606579795544E-2</v>
      </c>
      <c r="Q56" s="139">
        <f>P56-J56</f>
        <v>1.0579877521600667E-6</v>
      </c>
      <c r="R56" s="139"/>
      <c r="T56" s="4">
        <f>L56/H56-1</f>
        <v>3.6000000000000032E-2</v>
      </c>
    </row>
    <row r="57" spans="1:20" x14ac:dyDescent="0.2">
      <c r="A57" s="28">
        <f t="shared" si="1"/>
        <v>49</v>
      </c>
      <c r="D57" s="2" t="s">
        <v>48</v>
      </c>
      <c r="E57" s="98">
        <v>607687.66299999983</v>
      </c>
      <c r="F57" s="90">
        <f>H57</f>
        <v>7.78</v>
      </c>
      <c r="G57" s="99">
        <f t="shared" ref="G57" si="45">F57*E57</f>
        <v>4727810.0181399984</v>
      </c>
      <c r="H57" s="90">
        <v>7.78</v>
      </c>
      <c r="I57" s="99">
        <f t="shared" ref="I57" si="46">H57*E57</f>
        <v>4727810.0181399984</v>
      </c>
      <c r="J57" s="100">
        <f>I57/I59</f>
        <v>0.25861910253811393</v>
      </c>
      <c r="K57" s="100"/>
      <c r="L57" s="90">
        <f>ROUND(H57*S59,2)</f>
        <v>8.06</v>
      </c>
      <c r="M57" s="99">
        <f t="shared" ref="M57" si="47">L57*E57</f>
        <v>4897962.5637799986</v>
      </c>
      <c r="N57" s="99">
        <f t="shared" ref="N57" si="48">M57-I57</f>
        <v>170152.54564000014</v>
      </c>
      <c r="O57" s="100">
        <f t="shared" ref="O57" si="49">IF(I57=0,0,N57/I57)</f>
        <v>3.5989717223650429E-2</v>
      </c>
      <c r="P57" s="100">
        <f>M57/M$59</f>
        <v>0.25862902792093007</v>
      </c>
      <c r="Q57" s="139">
        <f t="shared" ref="Q57" si="50">P57-J57</f>
        <v>9.9253828161338653E-6</v>
      </c>
      <c r="R57" s="139"/>
      <c r="T57" s="4">
        <f>L57/H57-1</f>
        <v>3.5989717223650519E-2</v>
      </c>
    </row>
    <row r="58" spans="1:20" x14ac:dyDescent="0.2">
      <c r="A58" s="28">
        <f t="shared" si="1"/>
        <v>50</v>
      </c>
      <c r="D58" s="2" t="s">
        <v>47</v>
      </c>
      <c r="E58" s="98">
        <f>167633888+20666292</f>
        <v>188300180</v>
      </c>
      <c r="F58" s="92">
        <f>H58-$H$230</f>
        <v>5.8039999999999994E-2</v>
      </c>
      <c r="G58" s="99">
        <f t="shared" ref="G58" si="51">F58*E58</f>
        <v>10928942.447199998</v>
      </c>
      <c r="H58" s="92">
        <v>6.9849999999999995E-2</v>
      </c>
      <c r="I58" s="99">
        <f t="shared" ref="I58" si="52">H58*E58</f>
        <v>13152767.572999999</v>
      </c>
      <c r="J58" s="100">
        <f>I58/I59</f>
        <v>0.71947834886984263</v>
      </c>
      <c r="K58" s="100"/>
      <c r="L58" s="140">
        <f>ROUND(H58*S59,5)</f>
        <v>7.2359999999999994E-2</v>
      </c>
      <c r="M58" s="99">
        <f t="shared" ref="M58" si="53">L58*E58</f>
        <v>13625401.024799999</v>
      </c>
      <c r="N58" s="99">
        <f t="shared" ref="N58" si="54">M58-I58</f>
        <v>472633.45179999992</v>
      </c>
      <c r="O58" s="100">
        <f t="shared" ref="O58" si="55">IF(I58=0,0,N58/I58)</f>
        <v>3.5934144595561913E-2</v>
      </c>
      <c r="P58" s="100">
        <f>M58/M$59</f>
        <v>0.71946736549927448</v>
      </c>
      <c r="Q58" s="139">
        <f t="shared" ref="Q58" si="56">P58-J58</f>
        <v>-1.0983370568151685E-5</v>
      </c>
      <c r="R58" s="139"/>
      <c r="T58" s="4">
        <f>L58/H58-1</f>
        <v>3.5934144595561879E-2</v>
      </c>
    </row>
    <row r="59" spans="1:20" s="5" customFormat="1" ht="20.45" customHeight="1" x14ac:dyDescent="0.25">
      <c r="A59" s="28">
        <f t="shared" si="1"/>
        <v>51</v>
      </c>
      <c r="C59" s="14"/>
      <c r="D59" s="16" t="s">
        <v>6</v>
      </c>
      <c r="E59" s="101"/>
      <c r="F59" s="101"/>
      <c r="G59" s="17">
        <f>SUM(G56:G58)</f>
        <v>16057152.465339996</v>
      </c>
      <c r="H59" s="101"/>
      <c r="I59" s="17">
        <f>SUM(I56:I58)</f>
        <v>18280977.591139998</v>
      </c>
      <c r="J59" s="102">
        <f>SUM(J56:J58)</f>
        <v>1</v>
      </c>
      <c r="K59" s="103">
        <f>I59+Summary!I13</f>
        <v>18938053.321139999</v>
      </c>
      <c r="L59" s="101"/>
      <c r="M59" s="17">
        <f>SUM(M56:M58)</f>
        <v>18938177.988579996</v>
      </c>
      <c r="N59" s="17">
        <f>SUM(N56:N58)</f>
        <v>657200.39743999997</v>
      </c>
      <c r="O59" s="102">
        <f t="shared" ref="O59" si="57">N59/I59</f>
        <v>3.5949959139959596E-2</v>
      </c>
      <c r="P59" s="102">
        <f>SUM(P56:P58)</f>
        <v>1</v>
      </c>
      <c r="Q59" s="141">
        <f t="shared" ref="Q59" si="58">P59-J59</f>
        <v>0</v>
      </c>
      <c r="R59" s="104">
        <f>M59-K59</f>
        <v>124.6674399971962</v>
      </c>
      <c r="S59" s="63">
        <f>K59/I59</f>
        <v>1.0359431396228207</v>
      </c>
    </row>
    <row r="60" spans="1:20" x14ac:dyDescent="0.2">
      <c r="A60" s="28">
        <f t="shared" si="1"/>
        <v>52</v>
      </c>
      <c r="D60" s="2" t="s">
        <v>26</v>
      </c>
      <c r="G60" s="99">
        <f>2031350.84+250050-240624-34861</f>
        <v>2005915.8399999999</v>
      </c>
      <c r="I60" s="105">
        <f>G60-($H$230*E58)</f>
        <v>-217909.28580000019</v>
      </c>
      <c r="K60" s="105">
        <f>K59-I59</f>
        <v>657075.73000000045</v>
      </c>
      <c r="M60" s="99">
        <f>I60</f>
        <v>-217909.28580000019</v>
      </c>
      <c r="N60" s="99">
        <f t="shared" ref="N60:N62" si="59">M60-I60</f>
        <v>0</v>
      </c>
      <c r="O60" s="90">
        <v>0</v>
      </c>
    </row>
    <row r="61" spans="1:20" x14ac:dyDescent="0.2">
      <c r="A61" s="28">
        <f t="shared" si="1"/>
        <v>53</v>
      </c>
      <c r="D61" s="2" t="s">
        <v>27</v>
      </c>
      <c r="G61" s="99">
        <f>366060+40985-104624-10411</f>
        <v>292010</v>
      </c>
      <c r="I61" s="105">
        <f t="shared" ref="I61:I63" si="60">G61</f>
        <v>292010</v>
      </c>
      <c r="M61" s="99">
        <f t="shared" ref="M61:M63" si="61">I61</f>
        <v>292010</v>
      </c>
      <c r="N61" s="99">
        <f t="shared" si="59"/>
        <v>0</v>
      </c>
      <c r="O61" s="90">
        <v>0</v>
      </c>
    </row>
    <row r="62" spans="1:20" x14ac:dyDescent="0.2">
      <c r="A62" s="28">
        <f t="shared" si="1"/>
        <v>54</v>
      </c>
      <c r="D62" s="2" t="s">
        <v>29</v>
      </c>
      <c r="G62" s="99">
        <v>0</v>
      </c>
      <c r="I62" s="105">
        <f t="shared" si="60"/>
        <v>0</v>
      </c>
      <c r="M62" s="99">
        <f t="shared" si="61"/>
        <v>0</v>
      </c>
      <c r="N62" s="99">
        <f t="shared" si="59"/>
        <v>0</v>
      </c>
      <c r="O62" s="90">
        <v>0</v>
      </c>
    </row>
    <row r="63" spans="1:20" x14ac:dyDescent="0.2">
      <c r="A63" s="28">
        <f t="shared" si="1"/>
        <v>55</v>
      </c>
      <c r="D63" s="2" t="s">
        <v>39</v>
      </c>
      <c r="G63" s="99">
        <v>0</v>
      </c>
      <c r="I63" s="105">
        <f t="shared" si="60"/>
        <v>0</v>
      </c>
      <c r="M63" s="99">
        <f t="shared" si="61"/>
        <v>0</v>
      </c>
      <c r="N63" s="99"/>
      <c r="O63" s="90"/>
    </row>
    <row r="64" spans="1:20" x14ac:dyDescent="0.2">
      <c r="A64" s="28">
        <f t="shared" si="1"/>
        <v>56</v>
      </c>
      <c r="D64" s="12" t="s">
        <v>8</v>
      </c>
      <c r="E64" s="107"/>
      <c r="F64" s="107"/>
      <c r="G64" s="108">
        <f>SUM(G60:G63)</f>
        <v>2297925.84</v>
      </c>
      <c r="H64" s="107"/>
      <c r="I64" s="108">
        <f>SUM(I60:I63)</f>
        <v>74100.714199999813</v>
      </c>
      <c r="J64" s="107"/>
      <c r="K64" s="107"/>
      <c r="L64" s="107"/>
      <c r="M64" s="108">
        <f>SUM(M60:M63)</f>
        <v>74100.714199999813</v>
      </c>
      <c r="N64" s="108">
        <f t="shared" ref="N64:N66" si="62">M64-I64</f>
        <v>0</v>
      </c>
      <c r="O64" s="109">
        <f t="shared" ref="O64" si="63">N64-J64</f>
        <v>0</v>
      </c>
    </row>
    <row r="65" spans="1:20" s="5" customFormat="1" ht="26.45" customHeight="1" thickBot="1" x14ac:dyDescent="0.25">
      <c r="A65" s="28">
        <f t="shared" si="1"/>
        <v>57</v>
      </c>
      <c r="C65" s="14"/>
      <c r="D65" s="6" t="s">
        <v>19</v>
      </c>
      <c r="E65" s="110"/>
      <c r="F65" s="110"/>
      <c r="G65" s="111">
        <f>G59+G64</f>
        <v>18355078.305339996</v>
      </c>
      <c r="H65" s="110"/>
      <c r="I65" s="112">
        <f>I64+I59</f>
        <v>18355078.305339999</v>
      </c>
      <c r="J65" s="110"/>
      <c r="K65" s="110"/>
      <c r="L65" s="110"/>
      <c r="M65" s="111">
        <f>M64+M59</f>
        <v>19012278.702779997</v>
      </c>
      <c r="N65" s="111">
        <f t="shared" si="62"/>
        <v>657200.39743999764</v>
      </c>
      <c r="O65" s="113">
        <f>N65/I65</f>
        <v>3.5804826681060789E-2</v>
      </c>
      <c r="P65" s="84"/>
      <c r="Q65" s="84"/>
      <c r="R65" s="84"/>
    </row>
    <row r="66" spans="1:20" ht="13.5" thickTop="1" x14ac:dyDescent="0.2">
      <c r="A66" s="28">
        <f t="shared" si="1"/>
        <v>58</v>
      </c>
      <c r="D66" s="2" t="s">
        <v>18</v>
      </c>
      <c r="E66" s="90">
        <f>E58/E56</f>
        <v>32919.611888111889</v>
      </c>
      <c r="G66" s="114">
        <f>G65/E56</f>
        <v>3208.9297736608382</v>
      </c>
      <c r="I66" s="114">
        <f>I65/E56</f>
        <v>3208.9297736608391</v>
      </c>
      <c r="M66" s="114">
        <f>M65/E56</f>
        <v>3323.8249480384611</v>
      </c>
      <c r="N66" s="114">
        <f t="shared" si="62"/>
        <v>114.89517437762197</v>
      </c>
      <c r="O66" s="100">
        <f>N66/I66</f>
        <v>3.5804826681060789E-2</v>
      </c>
    </row>
    <row r="67" spans="1:20" ht="13.5" thickBot="1" x14ac:dyDescent="0.25">
      <c r="A67" s="28">
        <f t="shared" si="1"/>
        <v>59</v>
      </c>
    </row>
    <row r="68" spans="1:20" x14ac:dyDescent="0.2">
      <c r="A68" s="28">
        <f t="shared" si="1"/>
        <v>60</v>
      </c>
      <c r="B68" s="152" t="s">
        <v>70</v>
      </c>
      <c r="C68" s="23" t="s">
        <v>71</v>
      </c>
      <c r="D68" s="22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</row>
    <row r="69" spans="1:20" x14ac:dyDescent="0.2">
      <c r="A69" s="28">
        <f t="shared" si="1"/>
        <v>61</v>
      </c>
      <c r="B69" s="153"/>
      <c r="D69" s="2" t="s">
        <v>17</v>
      </c>
      <c r="E69" s="98">
        <v>12</v>
      </c>
      <c r="F69" s="90">
        <f>H69</f>
        <v>225</v>
      </c>
      <c r="G69" s="99">
        <f>F69*E69</f>
        <v>2700</v>
      </c>
      <c r="H69" s="90">
        <v>225</v>
      </c>
      <c r="I69" s="99">
        <f>H69*E69</f>
        <v>2700</v>
      </c>
      <c r="J69" s="100">
        <f>I69/I75</f>
        <v>3.4504806246193694E-3</v>
      </c>
      <c r="K69" s="100"/>
      <c r="L69" s="90">
        <f>ROUND(H69*S75,2)</f>
        <v>246.53</v>
      </c>
      <c r="M69" s="99">
        <f>L69*E69</f>
        <v>2958.36</v>
      </c>
      <c r="N69" s="99">
        <f>M69-I69</f>
        <v>258.36000000000013</v>
      </c>
      <c r="O69" s="100">
        <f>IF(I69=0,0,N69/I69)</f>
        <v>9.5688888888888934E-2</v>
      </c>
      <c r="P69" s="100">
        <f>M69/M$75</f>
        <v>3.450211985213105E-3</v>
      </c>
      <c r="Q69" s="139">
        <f>P69-J69</f>
        <v>-2.686394062643635E-7</v>
      </c>
      <c r="R69" s="139"/>
      <c r="T69" s="4"/>
    </row>
    <row r="70" spans="1:20" x14ac:dyDescent="0.2">
      <c r="A70" s="28">
        <f t="shared" si="1"/>
        <v>62</v>
      </c>
      <c r="D70" s="2" t="s">
        <v>73</v>
      </c>
      <c r="E70" s="98">
        <v>0</v>
      </c>
      <c r="F70" s="90">
        <f>H70</f>
        <v>373.2</v>
      </c>
      <c r="G70" s="99">
        <f t="shared" ref="G70" si="64">F70*E70</f>
        <v>0</v>
      </c>
      <c r="H70" s="90">
        <v>373.2</v>
      </c>
      <c r="I70" s="99">
        <f t="shared" ref="I70" si="65">H70*E70</f>
        <v>0</v>
      </c>
      <c r="J70" s="100">
        <f>I70/I75</f>
        <v>0</v>
      </c>
      <c r="K70" s="100"/>
      <c r="L70" s="90">
        <f>ROUND(H70*S75,2)</f>
        <v>408.9</v>
      </c>
      <c r="M70" s="99">
        <f t="shared" ref="M70" si="66">L70*E70</f>
        <v>0</v>
      </c>
      <c r="N70" s="99">
        <f t="shared" ref="N70" si="67">M70-I70</f>
        <v>0</v>
      </c>
      <c r="O70" s="100">
        <f t="shared" ref="O70" si="68">IF(I70=0,0,N70/I70)</f>
        <v>0</v>
      </c>
      <c r="P70" s="100">
        <f t="shared" ref="P70:P74" si="69">M70/M$75</f>
        <v>0</v>
      </c>
      <c r="Q70" s="139">
        <f t="shared" ref="Q70" si="70">P70-J70</f>
        <v>0</v>
      </c>
      <c r="R70" s="139"/>
      <c r="T70" s="4">
        <f>L70/H70-1</f>
        <v>9.5659163987138252E-2</v>
      </c>
    </row>
    <row r="71" spans="1:20" x14ac:dyDescent="0.2">
      <c r="A71" s="28">
        <f t="shared" si="1"/>
        <v>63</v>
      </c>
      <c r="D71" s="2" t="s">
        <v>74</v>
      </c>
      <c r="E71" s="98">
        <v>12</v>
      </c>
      <c r="F71" s="90">
        <f>H71</f>
        <v>1118.42</v>
      </c>
      <c r="G71" s="99">
        <f t="shared" ref="G71" si="71">F71*E71</f>
        <v>13421.04</v>
      </c>
      <c r="H71" s="90">
        <v>1118.42</v>
      </c>
      <c r="I71" s="99">
        <f t="shared" ref="I71" si="72">H71*E71</f>
        <v>13421.04</v>
      </c>
      <c r="J71" s="100">
        <f>I71/I75</f>
        <v>1.7151495734163535E-2</v>
      </c>
      <c r="K71" s="100"/>
      <c r="L71" s="90">
        <f>ROUND(H71*S75,2)</f>
        <v>1225.42</v>
      </c>
      <c r="M71" s="99">
        <f t="shared" ref="M71" si="73">L71*E71</f>
        <v>14705.04</v>
      </c>
      <c r="N71" s="99">
        <f t="shared" ref="N71" si="74">M71-I71</f>
        <v>1284</v>
      </c>
      <c r="O71" s="100">
        <f t="shared" ref="O71" si="75">IF(I71=0,0,N71/I71)</f>
        <v>9.5670678278285431E-2</v>
      </c>
      <c r="P71" s="100">
        <f t="shared" si="69"/>
        <v>1.7149875353587161E-2</v>
      </c>
      <c r="Q71" s="139">
        <f t="shared" ref="Q71" si="76">P71-J71</f>
        <v>-1.620380576373287E-6</v>
      </c>
      <c r="R71" s="139"/>
      <c r="T71" s="4">
        <f>L71/H71-1</f>
        <v>9.5670678278285459E-2</v>
      </c>
    </row>
    <row r="72" spans="1:20" x14ac:dyDescent="0.2">
      <c r="A72" s="28">
        <f t="shared" si="1"/>
        <v>64</v>
      </c>
      <c r="D72" s="2" t="s">
        <v>75</v>
      </c>
      <c r="E72" s="98">
        <v>0</v>
      </c>
      <c r="F72" s="90">
        <f>H72</f>
        <v>2811.45</v>
      </c>
      <c r="G72" s="99">
        <f t="shared" ref="G72" si="77">F72*E72</f>
        <v>0</v>
      </c>
      <c r="H72" s="90">
        <v>2811.45</v>
      </c>
      <c r="I72" s="99">
        <f t="shared" ref="I72" si="78">H72*E72</f>
        <v>0</v>
      </c>
      <c r="J72" s="100">
        <f>I72/I75</f>
        <v>0</v>
      </c>
      <c r="K72" s="100"/>
      <c r="L72" s="90">
        <f>ROUND(H72*S75,2)</f>
        <v>3080.42</v>
      </c>
      <c r="M72" s="99">
        <f t="shared" ref="M72" si="79">L72*E72</f>
        <v>0</v>
      </c>
      <c r="N72" s="99">
        <f t="shared" ref="N72" si="80">M72-I72</f>
        <v>0</v>
      </c>
      <c r="O72" s="100">
        <f t="shared" ref="O72" si="81">IF(I72=0,0,N72/I72)</f>
        <v>0</v>
      </c>
      <c r="P72" s="100">
        <f t="shared" si="69"/>
        <v>0</v>
      </c>
      <c r="Q72" s="139">
        <f t="shared" ref="Q72" si="82">P72-J72</f>
        <v>0</v>
      </c>
      <c r="R72" s="139"/>
      <c r="T72" s="4">
        <f>L72/H72-1</f>
        <v>9.5669494389016396E-2</v>
      </c>
    </row>
    <row r="73" spans="1:20" x14ac:dyDescent="0.2">
      <c r="A73" s="28">
        <f t="shared" si="1"/>
        <v>65</v>
      </c>
      <c r="D73" s="2" t="s">
        <v>48</v>
      </c>
      <c r="E73" s="98">
        <v>20871.838</v>
      </c>
      <c r="F73" s="90">
        <f>H73</f>
        <v>6.54</v>
      </c>
      <c r="G73" s="99">
        <f t="shared" ref="G73" si="83">F73*E73</f>
        <v>136501.82052000001</v>
      </c>
      <c r="H73" s="90">
        <v>6.54</v>
      </c>
      <c r="I73" s="99">
        <f t="shared" ref="I73" si="84">H73*E73</f>
        <v>136501.82052000001</v>
      </c>
      <c r="J73" s="100">
        <f>I73/I75</f>
        <v>0.17444329145538173</v>
      </c>
      <c r="K73" s="100"/>
      <c r="L73" s="90">
        <f>ROUND(H73*S75,2)</f>
        <v>7.17</v>
      </c>
      <c r="M73" s="99">
        <f t="shared" ref="M73" si="85">L73*E73</f>
        <v>149651.07845999999</v>
      </c>
      <c r="N73" s="99">
        <f t="shared" ref="N73" si="86">M73-I73</f>
        <v>13149.257939999981</v>
      </c>
      <c r="O73" s="100">
        <f t="shared" ref="O73" si="87">IF(I73=0,0,N73/I73)</f>
        <v>9.6330275229357651E-2</v>
      </c>
      <c r="P73" s="100">
        <f t="shared" si="69"/>
        <v>0.17453181644653074</v>
      </c>
      <c r="Q73" s="139">
        <f t="shared" ref="Q73" si="88">P73-J73</f>
        <v>8.8524991149002696E-5</v>
      </c>
      <c r="R73" s="139"/>
      <c r="T73" s="4">
        <f>L73/H73-1</f>
        <v>9.6330275229357776E-2</v>
      </c>
    </row>
    <row r="74" spans="1:20" x14ac:dyDescent="0.2">
      <c r="A74" s="28">
        <f t="shared" si="1"/>
        <v>66</v>
      </c>
      <c r="D74" s="2" t="s">
        <v>47</v>
      </c>
      <c r="E74" s="98">
        <v>9877322</v>
      </c>
      <c r="F74" s="92">
        <f>H74-$H$230</f>
        <v>5.1959999999999992E-2</v>
      </c>
      <c r="G74" s="99">
        <f t="shared" ref="G74" si="89">F74*E74</f>
        <v>513225.65111999994</v>
      </c>
      <c r="H74" s="92">
        <v>6.3769999999999993E-2</v>
      </c>
      <c r="I74" s="99">
        <f t="shared" ref="I74" si="90">H74*E74</f>
        <v>629876.82393999991</v>
      </c>
      <c r="J74" s="100">
        <f>I74/I75</f>
        <v>0.80495473218583535</v>
      </c>
      <c r="K74" s="100"/>
      <c r="L74" s="92">
        <f>ROUND(H74*S75,5)</f>
        <v>6.9870000000000002E-2</v>
      </c>
      <c r="M74" s="99">
        <f t="shared" ref="M74" si="91">L74*E74</f>
        <v>690128.48814000003</v>
      </c>
      <c r="N74" s="99">
        <f t="shared" ref="N74" si="92">M74-I74</f>
        <v>60251.664200000116</v>
      </c>
      <c r="O74" s="100">
        <f t="shared" ref="O74" si="93">IF(I74=0,0,N74/I74)</f>
        <v>9.565626470127038E-2</v>
      </c>
      <c r="P74" s="100">
        <f t="shared" si="69"/>
        <v>0.80486809621466893</v>
      </c>
      <c r="Q74" s="139">
        <f t="shared" ref="Q74" si="94">P74-J74</f>
        <v>-8.6635971166426629E-5</v>
      </c>
      <c r="R74" s="139"/>
      <c r="T74" s="4">
        <f>L74/H74-1</f>
        <v>9.5656264701270421E-2</v>
      </c>
    </row>
    <row r="75" spans="1:20" s="5" customFormat="1" ht="20.45" customHeight="1" x14ac:dyDescent="0.25">
      <c r="A75" s="28">
        <f t="shared" ref="A75:A138" si="95">A74+1</f>
        <v>67</v>
      </c>
      <c r="C75" s="14"/>
      <c r="D75" s="16" t="s">
        <v>6</v>
      </c>
      <c r="E75" s="101"/>
      <c r="F75" s="101"/>
      <c r="G75" s="17">
        <f>SUM(G69:G74)</f>
        <v>665848.51163999992</v>
      </c>
      <c r="H75" s="101"/>
      <c r="I75" s="17">
        <f>SUM(I69:I74)</f>
        <v>782499.6844599999</v>
      </c>
      <c r="J75" s="102">
        <f>SUM(J69:J74)</f>
        <v>1</v>
      </c>
      <c r="K75" s="103">
        <f>I75+Summary!I19</f>
        <v>857360.99445999996</v>
      </c>
      <c r="L75" s="101"/>
      <c r="M75" s="17">
        <f>SUM(M69:M74)</f>
        <v>857442.96660000004</v>
      </c>
      <c r="N75" s="17">
        <f>SUM(N69:N74)</f>
        <v>74943.282140000098</v>
      </c>
      <c r="O75" s="102">
        <f>IF(I75=0,0,N75/I75)</f>
        <v>9.5774201099797479E-2</v>
      </c>
      <c r="P75" s="102">
        <f>SUM(P69:P74)</f>
        <v>0.99999999999999989</v>
      </c>
      <c r="Q75" s="141">
        <f t="shared" ref="Q75" si="96">P75-J75</f>
        <v>0</v>
      </c>
      <c r="R75" s="104">
        <f>M75-K75</f>
        <v>81.972140000085346</v>
      </c>
      <c r="S75" s="63">
        <f>K75/I75</f>
        <v>1.0956694443291202</v>
      </c>
    </row>
    <row r="76" spans="1:20" x14ac:dyDescent="0.2">
      <c r="A76" s="28">
        <f t="shared" si="95"/>
        <v>68</v>
      </c>
      <c r="D76" s="2" t="s">
        <v>26</v>
      </c>
      <c r="G76" s="99">
        <f>115689.29-13257</f>
        <v>102432.29</v>
      </c>
      <c r="I76" s="105">
        <f>G76-($H$230*E74)</f>
        <v>-14218.882819999999</v>
      </c>
      <c r="K76" s="105">
        <f>K75-I75</f>
        <v>74861.310000000056</v>
      </c>
      <c r="M76" s="99">
        <f>I76</f>
        <v>-14218.882819999999</v>
      </c>
      <c r="N76" s="99">
        <f t="shared" ref="N76:N81" si="97">M76-I76</f>
        <v>0</v>
      </c>
      <c r="O76" s="90">
        <v>0</v>
      </c>
    </row>
    <row r="77" spans="1:20" x14ac:dyDescent="0.2">
      <c r="A77" s="28">
        <f t="shared" si="95"/>
        <v>69</v>
      </c>
      <c r="D77" s="2" t="s">
        <v>27</v>
      </c>
      <c r="G77" s="99">
        <f>13528-5567</f>
        <v>7961</v>
      </c>
      <c r="I77" s="105">
        <f t="shared" ref="I77:I79" si="98">G77</f>
        <v>7961</v>
      </c>
      <c r="M77" s="99">
        <f t="shared" ref="M77:M79" si="99">I77</f>
        <v>7961</v>
      </c>
      <c r="N77" s="99">
        <f t="shared" si="97"/>
        <v>0</v>
      </c>
      <c r="O77" s="90">
        <v>0</v>
      </c>
    </row>
    <row r="78" spans="1:20" x14ac:dyDescent="0.2">
      <c r="A78" s="28">
        <f t="shared" si="95"/>
        <v>70</v>
      </c>
      <c r="D78" s="2" t="s">
        <v>29</v>
      </c>
      <c r="F78" s="90"/>
      <c r="G78" s="99">
        <f>F78*E78</f>
        <v>0</v>
      </c>
      <c r="I78" s="105">
        <f t="shared" si="98"/>
        <v>0</v>
      </c>
      <c r="M78" s="99">
        <f t="shared" si="99"/>
        <v>0</v>
      </c>
      <c r="N78" s="99">
        <f t="shared" si="97"/>
        <v>0</v>
      </c>
      <c r="O78" s="90">
        <v>0</v>
      </c>
    </row>
    <row r="79" spans="1:20" x14ac:dyDescent="0.2">
      <c r="A79" s="28">
        <f t="shared" si="95"/>
        <v>71</v>
      </c>
      <c r="D79" s="2" t="s">
        <v>39</v>
      </c>
      <c r="G79" s="99">
        <v>0</v>
      </c>
      <c r="I79" s="105">
        <f t="shared" si="98"/>
        <v>0</v>
      </c>
      <c r="M79" s="99">
        <f t="shared" si="99"/>
        <v>0</v>
      </c>
      <c r="N79" s="99"/>
      <c r="O79" s="90"/>
    </row>
    <row r="80" spans="1:20" x14ac:dyDescent="0.2">
      <c r="A80" s="28">
        <f t="shared" si="95"/>
        <v>72</v>
      </c>
      <c r="D80" s="12" t="s">
        <v>8</v>
      </c>
      <c r="E80" s="107"/>
      <c r="F80" s="107"/>
      <c r="G80" s="108">
        <f>SUM(G76:G79)</f>
        <v>110393.29</v>
      </c>
      <c r="H80" s="107"/>
      <c r="I80" s="108">
        <f>SUM(I76:I79)</f>
        <v>-6257.8828199999989</v>
      </c>
      <c r="J80" s="107"/>
      <c r="K80" s="107"/>
      <c r="L80" s="107"/>
      <c r="M80" s="108">
        <f>SUM(M76:M79)</f>
        <v>-6257.8828199999989</v>
      </c>
      <c r="N80" s="108">
        <f t="shared" si="97"/>
        <v>0</v>
      </c>
      <c r="O80" s="109">
        <f t="shared" ref="O80" si="100">N80-J80</f>
        <v>0</v>
      </c>
    </row>
    <row r="81" spans="1:20" s="5" customFormat="1" ht="26.45" customHeight="1" thickBot="1" x14ac:dyDescent="0.25">
      <c r="A81" s="28">
        <f t="shared" si="95"/>
        <v>73</v>
      </c>
      <c r="C81" s="14"/>
      <c r="D81" s="6" t="s">
        <v>19</v>
      </c>
      <c r="E81" s="110"/>
      <c r="F81" s="110"/>
      <c r="G81" s="111">
        <f>G75+G80</f>
        <v>776241.80163999996</v>
      </c>
      <c r="H81" s="110"/>
      <c r="I81" s="112">
        <f>I80+I75</f>
        <v>776241.80163999996</v>
      </c>
      <c r="J81" s="110"/>
      <c r="K81" s="110"/>
      <c r="L81" s="110"/>
      <c r="M81" s="111">
        <f>M80+M75</f>
        <v>851185.08377999999</v>
      </c>
      <c r="N81" s="111">
        <f t="shared" si="97"/>
        <v>74943.282140000025</v>
      </c>
      <c r="O81" s="113">
        <f>IF(I81=0,0,N81/I81)</f>
        <v>9.6546310674926389E-2</v>
      </c>
      <c r="P81" s="84"/>
      <c r="Q81" s="84"/>
      <c r="R81" s="84"/>
    </row>
    <row r="82" spans="1:20" ht="13.5" thickTop="1" x14ac:dyDescent="0.2">
      <c r="A82" s="28">
        <f t="shared" si="95"/>
        <v>74</v>
      </c>
      <c r="D82" s="2" t="s">
        <v>18</v>
      </c>
      <c r="E82" s="90">
        <f>E74/E69</f>
        <v>823110.16666666663</v>
      </c>
      <c r="G82" s="114">
        <f>G81/E69</f>
        <v>64686.816803333328</v>
      </c>
      <c r="I82" s="114">
        <f>I81/E69</f>
        <v>64686.816803333328</v>
      </c>
      <c r="M82" s="114">
        <f>M81/E69</f>
        <v>70932.090314999994</v>
      </c>
      <c r="N82" s="114">
        <f>M82-I82</f>
        <v>6245.2735116666663</v>
      </c>
      <c r="O82" s="100">
        <f>N82/I82</f>
        <v>9.6546310674926361E-2</v>
      </c>
    </row>
    <row r="83" spans="1:20" ht="13.5" thickBot="1" x14ac:dyDescent="0.25">
      <c r="A83" s="28">
        <f t="shared" si="95"/>
        <v>75</v>
      </c>
    </row>
    <row r="84" spans="1:20" x14ac:dyDescent="0.2">
      <c r="A84" s="28">
        <f t="shared" si="95"/>
        <v>76</v>
      </c>
      <c r="B84" s="152" t="s">
        <v>76</v>
      </c>
      <c r="C84" s="23" t="s">
        <v>77</v>
      </c>
      <c r="D84" s="22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</row>
    <row r="85" spans="1:20" x14ac:dyDescent="0.2">
      <c r="A85" s="28">
        <f t="shared" si="95"/>
        <v>77</v>
      </c>
      <c r="B85" s="153"/>
      <c r="D85" s="2" t="s">
        <v>17</v>
      </c>
      <c r="E85" s="98">
        <v>24</v>
      </c>
      <c r="F85" s="90">
        <f>H85</f>
        <v>160</v>
      </c>
      <c r="G85" s="99">
        <f>F85*E85</f>
        <v>3840</v>
      </c>
      <c r="H85" s="90">
        <v>160</v>
      </c>
      <c r="I85" s="99">
        <f>H85*E85</f>
        <v>3840</v>
      </c>
      <c r="J85" s="100">
        <f>I85/I91</f>
        <v>6.8907817331400939E-4</v>
      </c>
      <c r="K85" s="100"/>
      <c r="L85" s="90">
        <f>ROUND(H85*S91,2)</f>
        <v>175.31</v>
      </c>
      <c r="M85" s="99">
        <f>L85*E85</f>
        <v>4207.4400000000005</v>
      </c>
      <c r="N85" s="99">
        <f>M85-I85</f>
        <v>367.44000000000051</v>
      </c>
      <c r="O85" s="100">
        <f>IF(I85=0,0,N85/I85)</f>
        <v>9.5687500000000134E-2</v>
      </c>
      <c r="P85" s="100">
        <f t="shared" ref="P85:P90" si="101">IF(M$91=0,0,M85/M$91)</f>
        <v>6.8909803199203074E-4</v>
      </c>
      <c r="Q85" s="139">
        <f>P85-J85</f>
        <v>1.9858678021347602E-8</v>
      </c>
      <c r="R85" s="139"/>
      <c r="T85" s="4">
        <f t="shared" ref="T85:T90" si="102">L85/H85-1</f>
        <v>9.5687499999999925E-2</v>
      </c>
    </row>
    <row r="86" spans="1:20" x14ac:dyDescent="0.2">
      <c r="A86" s="28">
        <f t="shared" si="95"/>
        <v>78</v>
      </c>
      <c r="D86" s="2" t="s">
        <v>75</v>
      </c>
      <c r="E86" s="84">
        <v>24</v>
      </c>
      <c r="F86" s="90">
        <f>H86</f>
        <v>2811.45</v>
      </c>
      <c r="G86" s="99">
        <f t="shared" ref="G86:G89" si="103">F86*E86</f>
        <v>67474.799999999988</v>
      </c>
      <c r="H86" s="90">
        <v>2811.45</v>
      </c>
      <c r="I86" s="99">
        <f t="shared" ref="I86:I89" si="104">H86*E86</f>
        <v>67474.799999999988</v>
      </c>
      <c r="J86" s="100">
        <f>I86/I91</f>
        <v>1.2108180189772945E-2</v>
      </c>
      <c r="K86" s="100"/>
      <c r="L86" s="90">
        <f>ROUND(H86*S91,2)</f>
        <v>3080.42</v>
      </c>
      <c r="M86" s="99">
        <f t="shared" ref="M86:M89" si="105">L86*E86</f>
        <v>73930.080000000002</v>
      </c>
      <c r="N86" s="99">
        <f t="shared" ref="N86:N89" si="106">M86-I86</f>
        <v>6455.2800000000134</v>
      </c>
      <c r="O86" s="100">
        <f t="shared" ref="O86:O89" si="107">IF(I86=0,0,N86/I86)</f>
        <v>9.5669494389016563E-2</v>
      </c>
      <c r="P86" s="100">
        <f t="shared" si="101"/>
        <v>1.2108330156345279E-2</v>
      </c>
      <c r="Q86" s="139">
        <f t="shared" ref="Q86:Q89" si="108">P86-J86</f>
        <v>1.4996657233395938E-7</v>
      </c>
      <c r="R86" s="139"/>
      <c r="T86" s="4">
        <f t="shared" ref="T86:T89" si="109">L86/H86-1</f>
        <v>9.5669494389016396E-2</v>
      </c>
    </row>
    <row r="87" spans="1:20" x14ac:dyDescent="0.2">
      <c r="A87" s="28">
        <f t="shared" si="95"/>
        <v>79</v>
      </c>
      <c r="D87" s="2" t="s">
        <v>79</v>
      </c>
      <c r="E87" s="84">
        <v>0</v>
      </c>
      <c r="F87" s="90">
        <f>H87</f>
        <v>3382.5</v>
      </c>
      <c r="G87" s="99">
        <f t="shared" si="103"/>
        <v>0</v>
      </c>
      <c r="H87" s="90">
        <v>3382.5</v>
      </c>
      <c r="I87" s="99">
        <f t="shared" si="104"/>
        <v>0</v>
      </c>
      <c r="J87" s="100">
        <f>I87/I91</f>
        <v>0</v>
      </c>
      <c r="K87" s="100"/>
      <c r="L87" s="90">
        <f>ROUND(H87*S91,2)</f>
        <v>3706.1</v>
      </c>
      <c r="M87" s="99">
        <f t="shared" si="105"/>
        <v>0</v>
      </c>
      <c r="N87" s="99">
        <f t="shared" si="106"/>
        <v>0</v>
      </c>
      <c r="O87" s="100">
        <f t="shared" si="107"/>
        <v>0</v>
      </c>
      <c r="P87" s="100">
        <f t="shared" si="101"/>
        <v>0</v>
      </c>
      <c r="Q87" s="139">
        <f t="shared" si="108"/>
        <v>0</v>
      </c>
      <c r="R87" s="139"/>
      <c r="T87" s="4">
        <f t="shared" si="109"/>
        <v>9.566888396156692E-2</v>
      </c>
    </row>
    <row r="88" spans="1:20" x14ac:dyDescent="0.2">
      <c r="A88" s="28">
        <f t="shared" si="95"/>
        <v>80</v>
      </c>
      <c r="D88" s="2" t="s">
        <v>48</v>
      </c>
      <c r="E88" s="98">
        <v>165995.31100000002</v>
      </c>
      <c r="F88" s="90">
        <f>H88</f>
        <v>6.59</v>
      </c>
      <c r="G88" s="99">
        <f t="shared" si="103"/>
        <v>1093909.0994900002</v>
      </c>
      <c r="H88" s="90">
        <v>6.59</v>
      </c>
      <c r="I88" s="99">
        <f t="shared" si="104"/>
        <v>1093909.0994900002</v>
      </c>
      <c r="J88" s="100">
        <f>I88/I91</f>
        <v>0.1962991885542037</v>
      </c>
      <c r="K88" s="100"/>
      <c r="L88" s="90">
        <f>ROUND(H88*S91,2)</f>
        <v>7.22</v>
      </c>
      <c r="M88" s="99">
        <f t="shared" si="105"/>
        <v>1198486.1454200002</v>
      </c>
      <c r="N88" s="99">
        <f t="shared" si="106"/>
        <v>104577.04593000002</v>
      </c>
      <c r="O88" s="100">
        <f t="shared" si="107"/>
        <v>9.5599393019726864E-2</v>
      </c>
      <c r="P88" s="100">
        <f t="shared" si="101"/>
        <v>0.19628906037368013</v>
      </c>
      <c r="Q88" s="139">
        <f t="shared" si="108"/>
        <v>-1.0128180523566455E-5</v>
      </c>
      <c r="R88" s="139"/>
      <c r="T88" s="4">
        <f t="shared" si="109"/>
        <v>9.5599393019726753E-2</v>
      </c>
    </row>
    <row r="89" spans="1:20" x14ac:dyDescent="0.2">
      <c r="A89" s="28">
        <f t="shared" si="95"/>
        <v>81</v>
      </c>
      <c r="D89" s="2" t="s">
        <v>81</v>
      </c>
      <c r="E89" s="98">
        <v>20000000</v>
      </c>
      <c r="F89" s="92">
        <f>H89-$H$230</f>
        <v>5.1959999999999992E-2</v>
      </c>
      <c r="G89" s="99">
        <f t="shared" si="103"/>
        <v>1039199.9999999999</v>
      </c>
      <c r="H89" s="92">
        <v>6.3769999999999993E-2</v>
      </c>
      <c r="I89" s="99">
        <f t="shared" si="104"/>
        <v>1275399.9999999998</v>
      </c>
      <c r="J89" s="100">
        <f>I89/I91</f>
        <v>0.228867266209554</v>
      </c>
      <c r="K89" s="100"/>
      <c r="L89" s="92">
        <f>ROUND(H89*S91,5)</f>
        <v>6.9870000000000002E-2</v>
      </c>
      <c r="M89" s="99">
        <f t="shared" si="105"/>
        <v>1397400</v>
      </c>
      <c r="N89" s="99">
        <f t="shared" si="106"/>
        <v>122000.00000000023</v>
      </c>
      <c r="O89" s="100">
        <f t="shared" si="107"/>
        <v>9.5656264701270394E-2</v>
      </c>
      <c r="P89" s="100">
        <f t="shared" si="101"/>
        <v>0.22886733736088063</v>
      </c>
      <c r="Q89" s="139">
        <f t="shared" si="108"/>
        <v>7.1151326636043066E-8</v>
      </c>
      <c r="R89" s="139"/>
      <c r="T89" s="4">
        <f t="shared" si="109"/>
        <v>9.5656264701270421E-2</v>
      </c>
    </row>
    <row r="90" spans="1:20" x14ac:dyDescent="0.2">
      <c r="A90" s="28">
        <f t="shared" si="95"/>
        <v>82</v>
      </c>
      <c r="D90" s="2" t="s">
        <v>80</v>
      </c>
      <c r="E90" s="98">
        <f>75287528-E89</f>
        <v>55287528</v>
      </c>
      <c r="F90" s="92">
        <f>H90-$H$230</f>
        <v>4.4839999999999998E-2</v>
      </c>
      <c r="G90" s="99">
        <f t="shared" ref="G90" si="110">F90*E90</f>
        <v>2479092.7555199997</v>
      </c>
      <c r="H90" s="92">
        <v>5.6649999999999999E-2</v>
      </c>
      <c r="I90" s="99">
        <f t="shared" ref="I90" si="111">H90*E90</f>
        <v>3132038.4611999998</v>
      </c>
      <c r="J90" s="100">
        <f>I90/I91</f>
        <v>0.56203628687315532</v>
      </c>
      <c r="K90" s="100"/>
      <c r="L90" s="92">
        <f>ROUND(H90*S91,5)</f>
        <v>6.207E-2</v>
      </c>
      <c r="M90" s="99">
        <f t="shared" ref="M90" si="112">L90*E90</f>
        <v>3431696.8629600001</v>
      </c>
      <c r="N90" s="99">
        <f t="shared" ref="N90:N97" si="113">M90-I90</f>
        <v>299658.40176000027</v>
      </c>
      <c r="O90" s="100">
        <f t="shared" ref="O90" si="114">IF(I90=0,0,N90/I90)</f>
        <v>9.5675198587820046E-2</v>
      </c>
      <c r="P90" s="100">
        <f t="shared" si="101"/>
        <v>0.56204617407710178</v>
      </c>
      <c r="Q90" s="139">
        <f t="shared" ref="Q90:Q91" si="115">P90-J90</f>
        <v>9.8872039464570349E-6</v>
      </c>
      <c r="R90" s="139"/>
      <c r="T90" s="4">
        <f t="shared" si="102"/>
        <v>9.5675198587819921E-2</v>
      </c>
    </row>
    <row r="91" spans="1:20" s="5" customFormat="1" ht="20.45" customHeight="1" x14ac:dyDescent="0.25">
      <c r="A91" s="28">
        <f t="shared" si="95"/>
        <v>83</v>
      </c>
      <c r="C91" s="14"/>
      <c r="D91" s="16" t="s">
        <v>6</v>
      </c>
      <c r="E91" s="101"/>
      <c r="F91" s="101"/>
      <c r="G91" s="17">
        <f>SUM(G85:G90)</f>
        <v>4683516.6550099999</v>
      </c>
      <c r="H91" s="101"/>
      <c r="I91" s="17">
        <f>SUM(I85:I90)</f>
        <v>5572662.3606899995</v>
      </c>
      <c r="J91" s="102">
        <f>SUM(J85:J90)</f>
        <v>1</v>
      </c>
      <c r="K91" s="103">
        <f>I91+Summary!I20</f>
        <v>6105795.9006899996</v>
      </c>
      <c r="L91" s="101"/>
      <c r="M91" s="17">
        <f>SUM(M85:M90)</f>
        <v>6105720.528380001</v>
      </c>
      <c r="N91" s="17">
        <f>SUM(N85:N90)</f>
        <v>533058.1676900005</v>
      </c>
      <c r="O91" s="102">
        <f>IF(I91=0,0,N91/I91)</f>
        <v>9.56559240786298E-2</v>
      </c>
      <c r="P91" s="102">
        <f>SUM(P85:P90)</f>
        <v>0.99999999999999989</v>
      </c>
      <c r="Q91" s="141">
        <f t="shared" si="115"/>
        <v>0</v>
      </c>
      <c r="R91" s="104">
        <f>M91-K91</f>
        <v>-75.372309998609126</v>
      </c>
      <c r="S91" s="63">
        <f>IF(I91=0,0,K91/I91)</f>
        <v>1.0956694494467789</v>
      </c>
    </row>
    <row r="92" spans="1:20" x14ac:dyDescent="0.2">
      <c r="A92" s="28">
        <f t="shared" si="95"/>
        <v>84</v>
      </c>
      <c r="D92" s="2" t="s">
        <v>26</v>
      </c>
      <c r="G92" s="99">
        <f>913813.27-132577</f>
        <v>781236.27</v>
      </c>
      <c r="I92" s="105">
        <f>G92-($H$230*(E89+E90))</f>
        <v>-107909.43567999988</v>
      </c>
      <c r="K92" s="105">
        <f>K91-I91</f>
        <v>533133.54</v>
      </c>
      <c r="M92" s="99">
        <f>I92</f>
        <v>-107909.43567999988</v>
      </c>
      <c r="N92" s="99">
        <f t="shared" si="113"/>
        <v>0</v>
      </c>
      <c r="O92" s="90">
        <v>0</v>
      </c>
    </row>
    <row r="93" spans="1:20" x14ac:dyDescent="0.2">
      <c r="A93" s="28">
        <f t="shared" si="95"/>
        <v>85</v>
      </c>
      <c r="D93" s="2" t="s">
        <v>27</v>
      </c>
      <c r="G93" s="99">
        <f>109658-40693</f>
        <v>68965</v>
      </c>
      <c r="I93" s="105">
        <f t="shared" ref="I93:I95" si="116">G93</f>
        <v>68965</v>
      </c>
      <c r="M93" s="99">
        <f t="shared" ref="M93:M95" si="117">I93</f>
        <v>68965</v>
      </c>
      <c r="N93" s="99">
        <f t="shared" si="113"/>
        <v>0</v>
      </c>
      <c r="O93" s="90">
        <v>0</v>
      </c>
    </row>
    <row r="94" spans="1:20" x14ac:dyDescent="0.2">
      <c r="A94" s="28">
        <f t="shared" si="95"/>
        <v>86</v>
      </c>
      <c r="D94" s="2" t="s">
        <v>29</v>
      </c>
      <c r="G94" s="99">
        <v>0</v>
      </c>
      <c r="I94" s="105">
        <f t="shared" si="116"/>
        <v>0</v>
      </c>
      <c r="M94" s="99">
        <f t="shared" si="117"/>
        <v>0</v>
      </c>
      <c r="N94" s="99">
        <f t="shared" si="113"/>
        <v>0</v>
      </c>
      <c r="O94" s="90">
        <v>0</v>
      </c>
    </row>
    <row r="95" spans="1:20" x14ac:dyDescent="0.2">
      <c r="A95" s="28">
        <f t="shared" si="95"/>
        <v>87</v>
      </c>
      <c r="D95" s="2" t="s">
        <v>39</v>
      </c>
      <c r="G95" s="99">
        <v>0</v>
      </c>
      <c r="I95" s="105">
        <f t="shared" si="116"/>
        <v>0</v>
      </c>
      <c r="M95" s="99">
        <f t="shared" si="117"/>
        <v>0</v>
      </c>
      <c r="N95" s="99"/>
      <c r="O95" s="90"/>
    </row>
    <row r="96" spans="1:20" x14ac:dyDescent="0.2">
      <c r="A96" s="28">
        <f t="shared" si="95"/>
        <v>88</v>
      </c>
      <c r="D96" s="12" t="s">
        <v>8</v>
      </c>
      <c r="E96" s="107"/>
      <c r="F96" s="107"/>
      <c r="G96" s="108">
        <f>SUM(G92:G95)</f>
        <v>850201.27</v>
      </c>
      <c r="H96" s="107"/>
      <c r="I96" s="108">
        <f>SUM(I92:I95)</f>
        <v>-38944.435679999879</v>
      </c>
      <c r="J96" s="107"/>
      <c r="K96" s="107"/>
      <c r="L96" s="107"/>
      <c r="M96" s="108">
        <f>SUM(M92:M95)</f>
        <v>-38944.435679999879</v>
      </c>
      <c r="N96" s="108">
        <f t="shared" si="113"/>
        <v>0</v>
      </c>
      <c r="O96" s="109">
        <f t="shared" ref="O96" si="118">N96-J96</f>
        <v>0</v>
      </c>
    </row>
    <row r="97" spans="1:20" s="5" customFormat="1" ht="26.45" customHeight="1" thickBot="1" x14ac:dyDescent="0.25">
      <c r="A97" s="28">
        <f t="shared" si="95"/>
        <v>89</v>
      </c>
      <c r="C97" s="14"/>
      <c r="D97" s="6" t="s">
        <v>19</v>
      </c>
      <c r="E97" s="110"/>
      <c r="F97" s="110"/>
      <c r="G97" s="111">
        <f>G91+G96</f>
        <v>5533717.9250099994</v>
      </c>
      <c r="H97" s="110"/>
      <c r="I97" s="112">
        <f>I96+I91</f>
        <v>5533717.9250099994</v>
      </c>
      <c r="J97" s="110"/>
      <c r="K97" s="110"/>
      <c r="L97" s="110"/>
      <c r="M97" s="111">
        <f>M96+M91</f>
        <v>6066776.0927000009</v>
      </c>
      <c r="N97" s="111">
        <f t="shared" si="113"/>
        <v>533058.16769000143</v>
      </c>
      <c r="O97" s="113">
        <f>IF(I97=0,0,N97/I97)</f>
        <v>9.6329118128846106E-2</v>
      </c>
      <c r="P97" s="84"/>
      <c r="Q97" s="84"/>
      <c r="R97" s="84"/>
    </row>
    <row r="98" spans="1:20" ht="13.5" thickTop="1" x14ac:dyDescent="0.2">
      <c r="A98" s="28">
        <f t="shared" si="95"/>
        <v>90</v>
      </c>
      <c r="D98" s="13"/>
      <c r="E98" s="115">
        <f>(E90+E89)/E85</f>
        <v>3136980.3333333335</v>
      </c>
      <c r="F98" s="115"/>
      <c r="G98" s="115">
        <f>G97/E85</f>
        <v>230571.58020874998</v>
      </c>
      <c r="H98" s="115"/>
      <c r="I98" s="115">
        <f>I97/E85</f>
        <v>230571.58020874998</v>
      </c>
      <c r="J98" s="115"/>
      <c r="K98" s="115"/>
      <c r="L98" s="115"/>
      <c r="M98" s="115">
        <f>M97/E85</f>
        <v>252782.33719583336</v>
      </c>
      <c r="N98" s="115">
        <f>M98-I98</f>
        <v>22210.756987083383</v>
      </c>
      <c r="O98" s="142"/>
      <c r="P98" s="142"/>
      <c r="Q98" s="142"/>
    </row>
    <row r="99" spans="1:20" ht="13.5" thickBot="1" x14ac:dyDescent="0.25">
      <c r="A99" s="28">
        <f t="shared" si="95"/>
        <v>91</v>
      </c>
    </row>
    <row r="100" spans="1:20" x14ac:dyDescent="0.2">
      <c r="A100" s="28">
        <f t="shared" si="95"/>
        <v>92</v>
      </c>
      <c r="B100" s="152" t="s">
        <v>82</v>
      </c>
      <c r="C100" s="23" t="s">
        <v>83</v>
      </c>
      <c r="D100" s="22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</row>
    <row r="101" spans="1:20" x14ac:dyDescent="0.2">
      <c r="A101" s="28">
        <f t="shared" si="95"/>
        <v>93</v>
      </c>
      <c r="B101" s="153"/>
      <c r="D101" s="2" t="s">
        <v>17</v>
      </c>
      <c r="E101" s="98">
        <v>107</v>
      </c>
      <c r="F101" s="90">
        <f>H101</f>
        <v>151.21</v>
      </c>
      <c r="G101" s="99">
        <f>F101*E101</f>
        <v>16179.470000000001</v>
      </c>
      <c r="H101" s="90">
        <v>151.21</v>
      </c>
      <c r="I101" s="99">
        <f>H101*E101</f>
        <v>16179.470000000001</v>
      </c>
      <c r="J101" s="100">
        <f>I101/I107</f>
        <v>2.6956807388146867E-3</v>
      </c>
      <c r="K101" s="100"/>
      <c r="L101" s="90">
        <f>ROUND(H101*S107,2)</f>
        <v>165.29</v>
      </c>
      <c r="M101" s="99">
        <f>L101*E101</f>
        <v>17686.03</v>
      </c>
      <c r="N101" s="99">
        <f>M101-I101</f>
        <v>1506.5599999999977</v>
      </c>
      <c r="O101" s="100">
        <f>IF(I101=0,0,N101/I101)</f>
        <v>9.311553468685918E-2</v>
      </c>
      <c r="P101" s="100">
        <f t="shared" ref="P101:P106" si="119">M101/M$107</f>
        <v>2.6959012267395717E-3</v>
      </c>
      <c r="Q101" s="139">
        <f>P101-J101</f>
        <v>2.2048792488495172E-7</v>
      </c>
      <c r="R101" s="139"/>
      <c r="T101" s="4">
        <f t="shared" ref="T101:T106" si="120">L101/H101-1</f>
        <v>9.3115534686859291E-2</v>
      </c>
    </row>
    <row r="102" spans="1:20" x14ac:dyDescent="0.2">
      <c r="A102" s="28">
        <f t="shared" si="95"/>
        <v>94</v>
      </c>
      <c r="D102" s="2" t="s">
        <v>73</v>
      </c>
      <c r="E102" s="98">
        <v>54</v>
      </c>
      <c r="F102" s="90">
        <f>H102</f>
        <v>381.08</v>
      </c>
      <c r="G102" s="99">
        <f t="shared" ref="G102:G104" si="121">F102*E102</f>
        <v>20578.32</v>
      </c>
      <c r="H102" s="90">
        <v>381.08</v>
      </c>
      <c r="I102" s="99">
        <f t="shared" ref="I102:I104" si="122">H102*E102</f>
        <v>20578.32</v>
      </c>
      <c r="J102" s="100">
        <f>I102/I107</f>
        <v>3.4285783688319236E-3</v>
      </c>
      <c r="K102" s="100"/>
      <c r="L102" s="90">
        <f>ROUND(H102*S$107,2)</f>
        <v>416.56</v>
      </c>
      <c r="M102" s="99">
        <f t="shared" ref="M102:M104" si="123">L102*E102</f>
        <v>22494.240000000002</v>
      </c>
      <c r="N102" s="99">
        <f t="shared" ref="N102:N104" si="124">M102-I102</f>
        <v>1915.9200000000019</v>
      </c>
      <c r="O102" s="100">
        <f t="shared" ref="O102:O104" si="125">IF(I102=0,0,N102/I102)</f>
        <v>9.3103810223575195E-2</v>
      </c>
      <c r="P102" s="100">
        <f t="shared" si="119"/>
        <v>3.4288220256651352E-3</v>
      </c>
      <c r="Q102" s="139">
        <f t="shared" ref="Q102:Q104" si="126">P102-J102</f>
        <v>2.4365683321155018E-7</v>
      </c>
      <c r="R102" s="139"/>
      <c r="T102" s="4">
        <f t="shared" ref="T102:T104" si="127">L102/H102-1</f>
        <v>9.3103810223575056E-2</v>
      </c>
    </row>
    <row r="103" spans="1:20" x14ac:dyDescent="0.2">
      <c r="A103" s="28">
        <f t="shared" si="95"/>
        <v>95</v>
      </c>
      <c r="D103" s="2" t="s">
        <v>74</v>
      </c>
      <c r="E103" s="98">
        <v>54</v>
      </c>
      <c r="F103" s="90">
        <f>H103</f>
        <v>1142.01</v>
      </c>
      <c r="G103" s="99">
        <f t="shared" ref="G103" si="128">F103*E103</f>
        <v>61668.54</v>
      </c>
      <c r="H103" s="90">
        <v>1142.01</v>
      </c>
      <c r="I103" s="99">
        <f t="shared" ref="I103" si="129">H103*E103</f>
        <v>61668.54</v>
      </c>
      <c r="J103" s="100">
        <f>I103/I107</f>
        <v>1.0274668791302994E-2</v>
      </c>
      <c r="K103" s="100"/>
      <c r="L103" s="90">
        <f>ROUND(H103*S$107,2)</f>
        <v>1248.3399999999999</v>
      </c>
      <c r="M103" s="99">
        <f t="shared" ref="M103" si="130">L103*E103</f>
        <v>67410.36</v>
      </c>
      <c r="N103" s="99">
        <f t="shared" ref="N103" si="131">M103-I103</f>
        <v>5741.82</v>
      </c>
      <c r="O103" s="100">
        <f t="shared" ref="O103" si="132">IF(I103=0,0,N103/I103)</f>
        <v>9.3107766131645078E-2</v>
      </c>
      <c r="P103" s="100">
        <f t="shared" si="119"/>
        <v>1.0275436161702551E-2</v>
      </c>
      <c r="Q103" s="139">
        <f t="shared" ref="Q103" si="133">P103-J103</f>
        <v>7.6737039955698805E-7</v>
      </c>
      <c r="R103" s="139"/>
      <c r="T103" s="4">
        <f t="shared" ref="T103" si="134">L103/H103-1</f>
        <v>9.3107766131645064E-2</v>
      </c>
    </row>
    <row r="104" spans="1:20" x14ac:dyDescent="0.2">
      <c r="A104" s="28">
        <f t="shared" si="95"/>
        <v>96</v>
      </c>
      <c r="D104" s="2" t="s">
        <v>84</v>
      </c>
      <c r="E104" s="98">
        <v>159045.04999999999</v>
      </c>
      <c r="F104" s="90">
        <f>H104</f>
        <v>7.55</v>
      </c>
      <c r="G104" s="99">
        <f t="shared" si="121"/>
        <v>1200790.1274999999</v>
      </c>
      <c r="H104" s="90">
        <v>7.55</v>
      </c>
      <c r="I104" s="99">
        <f t="shared" si="122"/>
        <v>1200790.1274999999</v>
      </c>
      <c r="J104" s="100">
        <f>I104/I107</f>
        <v>0.20006507123290079</v>
      </c>
      <c r="K104" s="100"/>
      <c r="L104" s="90">
        <f>ROUND(H104*S$107,2)</f>
        <v>8.25</v>
      </c>
      <c r="M104" s="99">
        <f t="shared" si="123"/>
        <v>1312121.6624999999</v>
      </c>
      <c r="N104" s="99">
        <f t="shared" si="124"/>
        <v>111331.53499999992</v>
      </c>
      <c r="O104" s="100">
        <f t="shared" si="125"/>
        <v>9.2715231788079402E-2</v>
      </c>
      <c r="P104" s="100">
        <f t="shared" si="119"/>
        <v>0.20000816461157853</v>
      </c>
      <c r="Q104" s="139">
        <f t="shared" si="126"/>
        <v>-5.690662132226687E-5</v>
      </c>
      <c r="R104" s="139"/>
      <c r="T104" s="4">
        <f t="shared" si="127"/>
        <v>9.27152317880795E-2</v>
      </c>
    </row>
    <row r="105" spans="1:20" x14ac:dyDescent="0.2">
      <c r="A105" s="28">
        <f t="shared" si="95"/>
        <v>97</v>
      </c>
      <c r="D105" s="2" t="s">
        <v>85</v>
      </c>
      <c r="E105" s="98">
        <v>20730</v>
      </c>
      <c r="F105" s="90">
        <f>H105</f>
        <v>9.3699999999999992</v>
      </c>
      <c r="G105" s="99">
        <f t="shared" ref="G105" si="135">F105*E105</f>
        <v>194240.09999999998</v>
      </c>
      <c r="H105" s="90">
        <v>9.3699999999999992</v>
      </c>
      <c r="I105" s="99">
        <f t="shared" ref="I105" si="136">H105*E105</f>
        <v>194240.09999999998</v>
      </c>
      <c r="J105" s="100">
        <f>I105/I107</f>
        <v>3.2362574069202427E-2</v>
      </c>
      <c r="K105" s="100"/>
      <c r="L105" s="90">
        <f>ROUND(H105*S$107,2)</f>
        <v>10.24</v>
      </c>
      <c r="M105" s="99">
        <f t="shared" ref="M105" si="137">L105*E105</f>
        <v>212275.20000000001</v>
      </c>
      <c r="N105" s="99">
        <f t="shared" ref="N105" si="138">M105-I105</f>
        <v>18035.100000000035</v>
      </c>
      <c r="O105" s="100">
        <f t="shared" ref="O105" si="139">IF(I105=0,0,N105/I105)</f>
        <v>9.2849519743863587E-2</v>
      </c>
      <c r="P105" s="100">
        <f t="shared" si="119"/>
        <v>3.235734486972984E-2</v>
      </c>
      <c r="Q105" s="139">
        <f t="shared" ref="Q105" si="140">P105-J105</f>
        <v>-5.2291994725867097E-6</v>
      </c>
      <c r="R105" s="139"/>
      <c r="T105" s="4">
        <f t="shared" si="120"/>
        <v>9.2849519743863462E-2</v>
      </c>
    </row>
    <row r="106" spans="1:20" x14ac:dyDescent="0.2">
      <c r="A106" s="28">
        <f t="shared" si="95"/>
        <v>98</v>
      </c>
      <c r="B106" s="54"/>
      <c r="D106" s="2" t="s">
        <v>47</v>
      </c>
      <c r="E106" s="98">
        <v>73910513</v>
      </c>
      <c r="F106" s="92">
        <f>H106-$H$230</f>
        <v>4.9189999999999998E-2</v>
      </c>
      <c r="G106" s="99">
        <f t="shared" ref="G106" si="141">F106*E106</f>
        <v>3635658.1344699999</v>
      </c>
      <c r="H106" s="92">
        <v>6.0999999999999999E-2</v>
      </c>
      <c r="I106" s="99">
        <f t="shared" ref="I106" si="142">H106*E106</f>
        <v>4508541.2929999996</v>
      </c>
      <c r="J106" s="100">
        <f>I106/I107</f>
        <v>0.75117342679894716</v>
      </c>
      <c r="K106" s="100"/>
      <c r="L106" s="140">
        <f>ROUND(H106*S107,5)</f>
        <v>6.6680000000000003E-2</v>
      </c>
      <c r="M106" s="99">
        <f t="shared" ref="M106" si="143">L106*E106</f>
        <v>4928353.0068399999</v>
      </c>
      <c r="N106" s="99">
        <f t="shared" ref="N106:N114" si="144">M106-I106</f>
        <v>419811.71384000033</v>
      </c>
      <c r="O106" s="100">
        <f t="shared" ref="O106" si="145">IF(I106=0,0,N106/I106)</f>
        <v>9.3114754098360744E-2</v>
      </c>
      <c r="P106" s="100">
        <f t="shared" si="119"/>
        <v>0.75123433110458437</v>
      </c>
      <c r="Q106" s="139">
        <f t="shared" ref="Q106:Q107" si="146">P106-J106</f>
        <v>6.0904305637210499E-5</v>
      </c>
      <c r="R106" s="139"/>
      <c r="T106" s="4">
        <f t="shared" si="120"/>
        <v>9.3114754098360786E-2</v>
      </c>
    </row>
    <row r="107" spans="1:20" s="5" customFormat="1" ht="20.45" customHeight="1" x14ac:dyDescent="0.25">
      <c r="A107" s="28">
        <f t="shared" si="95"/>
        <v>99</v>
      </c>
      <c r="C107" s="14"/>
      <c r="D107" s="16" t="s">
        <v>6</v>
      </c>
      <c r="E107" s="101"/>
      <c r="F107" s="101"/>
      <c r="G107" s="17">
        <f>SUM(G101:G106)</f>
        <v>5129114.69197</v>
      </c>
      <c r="H107" s="101"/>
      <c r="I107" s="17">
        <f>SUM(I101:I106)</f>
        <v>6001997.8504999997</v>
      </c>
      <c r="J107" s="102">
        <f>SUM(J101:J106)</f>
        <v>1</v>
      </c>
      <c r="K107" s="103">
        <f>I107+Summary!I23</f>
        <v>6560847.4201740008</v>
      </c>
      <c r="L107" s="101"/>
      <c r="M107" s="17">
        <f>SUM(M101:M106)</f>
        <v>6560340.4993399996</v>
      </c>
      <c r="N107" s="17">
        <f>SUM(N101:N106)</f>
        <v>558342.64884000027</v>
      </c>
      <c r="O107" s="102">
        <f t="shared" ref="O107" si="147">N107/I107</f>
        <v>9.3026132755693547E-2</v>
      </c>
      <c r="P107" s="102">
        <f>SUM(P101:P106)</f>
        <v>1</v>
      </c>
      <c r="Q107" s="141">
        <f t="shared" si="146"/>
        <v>0</v>
      </c>
      <c r="R107" s="104">
        <f>M107-K107</f>
        <v>-506.92083400115371</v>
      </c>
      <c r="S107" s="63">
        <f>K107/I107</f>
        <v>1.0931105914387234</v>
      </c>
    </row>
    <row r="108" spans="1:20" x14ac:dyDescent="0.2">
      <c r="A108" s="28">
        <f t="shared" si="95"/>
        <v>100</v>
      </c>
      <c r="D108" s="2" t="s">
        <v>26</v>
      </c>
      <c r="G108" s="99">
        <f>912113.54-158604</f>
        <v>753509.54</v>
      </c>
      <c r="I108" s="105">
        <f>G108-($H$230*E106)</f>
        <v>-119373.61852999986</v>
      </c>
      <c r="K108" s="105">
        <f>K107-I107</f>
        <v>558849.56967400108</v>
      </c>
      <c r="M108" s="99">
        <f>I108</f>
        <v>-119373.61852999986</v>
      </c>
      <c r="N108" s="99">
        <f t="shared" si="144"/>
        <v>0</v>
      </c>
      <c r="O108" s="90">
        <v>0</v>
      </c>
    </row>
    <row r="109" spans="1:20" x14ac:dyDescent="0.2">
      <c r="A109" s="28">
        <f t="shared" si="95"/>
        <v>101</v>
      </c>
      <c r="D109" s="2" t="s">
        <v>27</v>
      </c>
      <c r="G109" s="99">
        <f>123566-35695</f>
        <v>87871</v>
      </c>
      <c r="I109" s="105">
        <f t="shared" ref="I109:I111" si="148">G109</f>
        <v>87871</v>
      </c>
      <c r="M109" s="99">
        <f t="shared" ref="M109:M111" si="149">I109</f>
        <v>87871</v>
      </c>
      <c r="N109" s="99">
        <f t="shared" si="144"/>
        <v>0</v>
      </c>
      <c r="O109" s="90">
        <v>0</v>
      </c>
    </row>
    <row r="110" spans="1:20" x14ac:dyDescent="0.2">
      <c r="A110" s="28">
        <f t="shared" si="95"/>
        <v>102</v>
      </c>
      <c r="D110" s="2" t="s">
        <v>29</v>
      </c>
      <c r="G110" s="99">
        <v>0</v>
      </c>
      <c r="I110" s="105">
        <f t="shared" si="148"/>
        <v>0</v>
      </c>
      <c r="M110" s="99">
        <f t="shared" si="149"/>
        <v>0</v>
      </c>
      <c r="N110" s="99">
        <f t="shared" si="144"/>
        <v>0</v>
      </c>
      <c r="O110" s="90">
        <v>0</v>
      </c>
    </row>
    <row r="111" spans="1:20" x14ac:dyDescent="0.2">
      <c r="A111" s="28">
        <f t="shared" si="95"/>
        <v>103</v>
      </c>
      <c r="D111" s="2" t="s">
        <v>39</v>
      </c>
      <c r="G111" s="99">
        <v>0</v>
      </c>
      <c r="I111" s="105">
        <f t="shared" si="148"/>
        <v>0</v>
      </c>
      <c r="M111" s="99">
        <f t="shared" si="149"/>
        <v>0</v>
      </c>
      <c r="N111" s="99"/>
      <c r="O111" s="90"/>
    </row>
    <row r="112" spans="1:20" x14ac:dyDescent="0.2">
      <c r="A112" s="28">
        <f t="shared" si="95"/>
        <v>104</v>
      </c>
      <c r="D112" s="12" t="s">
        <v>8</v>
      </c>
      <c r="E112" s="107"/>
      <c r="F112" s="107"/>
      <c r="G112" s="108">
        <f>SUM(G108:G111)</f>
        <v>841380.54</v>
      </c>
      <c r="H112" s="107"/>
      <c r="I112" s="108">
        <f>SUM(I108:I111)</f>
        <v>-31502.618529999861</v>
      </c>
      <c r="J112" s="107"/>
      <c r="K112" s="107"/>
      <c r="L112" s="107"/>
      <c r="M112" s="108">
        <f>SUM(M108:M111)</f>
        <v>-31502.618529999861</v>
      </c>
      <c r="N112" s="108">
        <f t="shared" si="144"/>
        <v>0</v>
      </c>
      <c r="O112" s="109">
        <f t="shared" ref="O112" si="150">N112-J112</f>
        <v>0</v>
      </c>
    </row>
    <row r="113" spans="1:20" s="5" customFormat="1" ht="26.45" customHeight="1" thickBot="1" x14ac:dyDescent="0.25">
      <c r="A113" s="28">
        <f t="shared" si="95"/>
        <v>105</v>
      </c>
      <c r="C113" s="14"/>
      <c r="D113" s="6" t="s">
        <v>19</v>
      </c>
      <c r="E113" s="110"/>
      <c r="F113" s="110"/>
      <c r="G113" s="111">
        <f>G107+G112</f>
        <v>5970495.2319700001</v>
      </c>
      <c r="H113" s="110"/>
      <c r="I113" s="112">
        <f>I112+I107</f>
        <v>5970495.2319700001</v>
      </c>
      <c r="J113" s="110"/>
      <c r="K113" s="110"/>
      <c r="L113" s="110"/>
      <c r="M113" s="111">
        <f>M112+M107</f>
        <v>6528837.88081</v>
      </c>
      <c r="N113" s="111">
        <f t="shared" si="144"/>
        <v>558342.64883999992</v>
      </c>
      <c r="O113" s="113">
        <f>N113/I113</f>
        <v>9.3516974245329301E-2</v>
      </c>
      <c r="P113" s="84"/>
      <c r="Q113" s="84"/>
      <c r="R113" s="84"/>
    </row>
    <row r="114" spans="1:20" ht="13.5" thickTop="1" x14ac:dyDescent="0.2">
      <c r="A114" s="28">
        <f t="shared" si="95"/>
        <v>106</v>
      </c>
      <c r="D114" s="2" t="s">
        <v>18</v>
      </c>
      <c r="E114" s="90">
        <f>E106/E101</f>
        <v>690752.45794392528</v>
      </c>
      <c r="G114" s="114">
        <f>G113/E101</f>
        <v>55799.020859532713</v>
      </c>
      <c r="I114" s="114">
        <f>I113/E101</f>
        <v>55799.020859532713</v>
      </c>
      <c r="M114" s="114">
        <f>M113/E101</f>
        <v>61017.176456168221</v>
      </c>
      <c r="N114" s="114">
        <f t="shared" si="144"/>
        <v>5218.1555966355081</v>
      </c>
      <c r="O114" s="100">
        <f>N114/I114</f>
        <v>9.3516974245329204E-2</v>
      </c>
    </row>
    <row r="115" spans="1:20" ht="13.5" thickBot="1" x14ac:dyDescent="0.25">
      <c r="A115" s="28">
        <f t="shared" si="95"/>
        <v>107</v>
      </c>
    </row>
    <row r="116" spans="1:20" x14ac:dyDescent="0.2">
      <c r="A116" s="28">
        <f t="shared" si="95"/>
        <v>108</v>
      </c>
      <c r="B116" s="152" t="s">
        <v>86</v>
      </c>
      <c r="C116" s="23" t="s">
        <v>87</v>
      </c>
      <c r="D116" s="22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</row>
    <row r="117" spans="1:20" x14ac:dyDescent="0.2">
      <c r="A117" s="28">
        <f t="shared" si="95"/>
        <v>109</v>
      </c>
      <c r="B117" s="153"/>
      <c r="D117" s="2" t="s">
        <v>17</v>
      </c>
      <c r="E117" s="98">
        <v>1920</v>
      </c>
      <c r="F117" s="90">
        <f>H117</f>
        <v>51.83</v>
      </c>
      <c r="G117" s="99">
        <f>F117*E117</f>
        <v>99513.599999999991</v>
      </c>
      <c r="H117" s="90">
        <v>51.83</v>
      </c>
      <c r="I117" s="99">
        <f>H117*E117</f>
        <v>99513.599999999991</v>
      </c>
      <c r="J117" s="100">
        <f>I117/I119</f>
        <v>6.3332949578033759E-2</v>
      </c>
      <c r="K117" s="100"/>
      <c r="L117" s="90">
        <f>ROUND(H117*S119,2)</f>
        <v>53.69</v>
      </c>
      <c r="M117" s="99">
        <f>L117*E117</f>
        <v>103084.79999999999</v>
      </c>
      <c r="N117" s="99">
        <f>M117-I117</f>
        <v>3571.1999999999971</v>
      </c>
      <c r="O117" s="100">
        <f>IF(I117=0,0,N117/I117)</f>
        <v>3.5886552189851414E-2</v>
      </c>
      <c r="P117" s="100">
        <f>M117/M$119</f>
        <v>6.3331261677437259E-2</v>
      </c>
      <c r="Q117" s="139">
        <f>P117-J117</f>
        <v>-1.6879005965003691E-6</v>
      </c>
      <c r="R117" s="139"/>
      <c r="T117" s="4">
        <f t="shared" ref="T117:T118" si="151">L117/H117-1</f>
        <v>3.5886552189851484E-2</v>
      </c>
    </row>
    <row r="118" spans="1:20" x14ac:dyDescent="0.2">
      <c r="A118" s="28">
        <f t="shared" si="95"/>
        <v>110</v>
      </c>
      <c r="D118" s="2" t="s">
        <v>47</v>
      </c>
      <c r="E118" s="98">
        <v>12408425</v>
      </c>
      <c r="F118" s="92">
        <f>H118-$H$230</f>
        <v>0.10679999999999999</v>
      </c>
      <c r="G118" s="99">
        <f t="shared" ref="G118" si="152">F118*E118</f>
        <v>1325219.7899999998</v>
      </c>
      <c r="H118" s="91">
        <v>0.11860999999999999</v>
      </c>
      <c r="I118" s="99">
        <f t="shared" ref="I118" si="153">H118*E118</f>
        <v>1471763.2892499999</v>
      </c>
      <c r="J118" s="100">
        <f>I118/I119</f>
        <v>0.93666705042196619</v>
      </c>
      <c r="K118" s="100"/>
      <c r="L118" s="140">
        <f>ROUND(H118*S119,5)</f>
        <v>0.12286999999999999</v>
      </c>
      <c r="M118" s="99">
        <f t="shared" ref="M118" si="154">L118*E118</f>
        <v>1524623.1797499999</v>
      </c>
      <c r="N118" s="99">
        <f t="shared" ref="N118:N122" si="155">M118-I118</f>
        <v>52859.89049999998</v>
      </c>
      <c r="O118" s="100">
        <f t="shared" ref="O118" si="156">IF(I118=0,0,N118/I118)</f>
        <v>3.5916027316415133E-2</v>
      </c>
      <c r="P118" s="100">
        <f>M118/M$119</f>
        <v>0.9366687383225627</v>
      </c>
      <c r="Q118" s="139">
        <f t="shared" ref="Q118:Q119" si="157">P118-J118</f>
        <v>1.6879005965142468E-6</v>
      </c>
      <c r="R118" s="139"/>
      <c r="T118" s="4">
        <f t="shared" si="151"/>
        <v>3.5916027316415189E-2</v>
      </c>
    </row>
    <row r="119" spans="1:20" s="5" customFormat="1" ht="20.45" customHeight="1" x14ac:dyDescent="0.25">
      <c r="A119" s="28">
        <f t="shared" si="95"/>
        <v>111</v>
      </c>
      <c r="C119" s="14"/>
      <c r="D119" s="16" t="s">
        <v>6</v>
      </c>
      <c r="E119" s="101"/>
      <c r="F119" s="101"/>
      <c r="G119" s="17">
        <f>SUM(G117:G118)</f>
        <v>1424733.39</v>
      </c>
      <c r="H119" s="101"/>
      <c r="I119" s="17">
        <f>SUM(I117:I118)</f>
        <v>1571276.88925</v>
      </c>
      <c r="J119" s="102">
        <f>SUM(J117:J118)</f>
        <v>1</v>
      </c>
      <c r="K119" s="103">
        <f>I119+Summary!I14</f>
        <v>1627753.5092500001</v>
      </c>
      <c r="L119" s="101"/>
      <c r="M119" s="17">
        <f>SUM(M117:M118)</f>
        <v>1627707.9797499999</v>
      </c>
      <c r="N119" s="17">
        <f>SUM(N117:N118)</f>
        <v>56431.090499999977</v>
      </c>
      <c r="O119" s="102">
        <f t="shared" ref="O119" si="158">N119/I119</f>
        <v>3.5914160569710661E-2</v>
      </c>
      <c r="P119" s="102">
        <f>SUM(P117:P118)</f>
        <v>1</v>
      </c>
      <c r="Q119" s="141">
        <f t="shared" si="157"/>
        <v>0</v>
      </c>
      <c r="R119" s="104">
        <f>M119-K119</f>
        <v>-45.529500000178814</v>
      </c>
      <c r="S119" s="63">
        <f>K119/I119</f>
        <v>1.0359431366848126</v>
      </c>
    </row>
    <row r="120" spans="1:20" x14ac:dyDescent="0.2">
      <c r="A120" s="28">
        <f t="shared" si="95"/>
        <v>112</v>
      </c>
      <c r="D120" s="2" t="s">
        <v>26</v>
      </c>
      <c r="G120" s="99">
        <f>149908-17770</f>
        <v>132138</v>
      </c>
      <c r="I120" s="105">
        <f>G120-($H$230*E118)</f>
        <v>-14405.499249999993</v>
      </c>
      <c r="K120" s="105">
        <f>K119-I119</f>
        <v>56476.620000000112</v>
      </c>
      <c r="M120" s="99">
        <f>I120</f>
        <v>-14405.499249999993</v>
      </c>
      <c r="N120" s="99">
        <f t="shared" si="155"/>
        <v>0</v>
      </c>
      <c r="O120" s="90">
        <v>0</v>
      </c>
    </row>
    <row r="121" spans="1:20" x14ac:dyDescent="0.2">
      <c r="A121" s="28">
        <f t="shared" si="95"/>
        <v>113</v>
      </c>
      <c r="D121" s="2" t="s">
        <v>27</v>
      </c>
      <c r="G121" s="99">
        <f>34439-7927</f>
        <v>26512</v>
      </c>
      <c r="I121" s="105">
        <f t="shared" ref="I121:I123" si="159">G121</f>
        <v>26512</v>
      </c>
      <c r="M121" s="99">
        <f t="shared" ref="M121:M123" si="160">I121</f>
        <v>26512</v>
      </c>
      <c r="N121" s="99">
        <f t="shared" si="155"/>
        <v>0</v>
      </c>
      <c r="O121" s="90">
        <v>0</v>
      </c>
    </row>
    <row r="122" spans="1:20" x14ac:dyDescent="0.2">
      <c r="A122" s="28">
        <f t="shared" si="95"/>
        <v>114</v>
      </c>
      <c r="D122" s="2" t="s">
        <v>29</v>
      </c>
      <c r="G122" s="99">
        <v>0</v>
      </c>
      <c r="I122" s="105">
        <f t="shared" si="159"/>
        <v>0</v>
      </c>
      <c r="M122" s="99">
        <f t="shared" si="160"/>
        <v>0</v>
      </c>
      <c r="N122" s="99">
        <f t="shared" si="155"/>
        <v>0</v>
      </c>
      <c r="O122" s="90">
        <v>0</v>
      </c>
    </row>
    <row r="123" spans="1:20" x14ac:dyDescent="0.2">
      <c r="A123" s="28">
        <f t="shared" si="95"/>
        <v>115</v>
      </c>
      <c r="D123" s="2" t="s">
        <v>39</v>
      </c>
      <c r="G123" s="99">
        <v>0</v>
      </c>
      <c r="I123" s="105">
        <f t="shared" si="159"/>
        <v>0</v>
      </c>
      <c r="M123" s="99">
        <f t="shared" si="160"/>
        <v>0</v>
      </c>
      <c r="N123" s="99"/>
      <c r="O123" s="90"/>
    </row>
    <row r="124" spans="1:20" x14ac:dyDescent="0.2">
      <c r="A124" s="28">
        <f t="shared" si="95"/>
        <v>116</v>
      </c>
      <c r="D124" s="12" t="s">
        <v>8</v>
      </c>
      <c r="E124" s="107"/>
      <c r="F124" s="107"/>
      <c r="G124" s="108">
        <f>SUM(G120:G123)</f>
        <v>158650</v>
      </c>
      <c r="H124" s="107"/>
      <c r="I124" s="108">
        <f>SUM(I120:I123)</f>
        <v>12106.500750000007</v>
      </c>
      <c r="J124" s="107"/>
      <c r="K124" s="107"/>
      <c r="L124" s="107"/>
      <c r="M124" s="108">
        <f>SUM(M120:M123)</f>
        <v>12106.500750000007</v>
      </c>
      <c r="N124" s="108">
        <f t="shared" ref="N124:N125" si="161">M124-I124</f>
        <v>0</v>
      </c>
      <c r="O124" s="109">
        <f t="shared" ref="O124" si="162">N124-J124</f>
        <v>0</v>
      </c>
    </row>
    <row r="125" spans="1:20" s="5" customFormat="1" ht="26.45" customHeight="1" thickBot="1" x14ac:dyDescent="0.25">
      <c r="A125" s="28">
        <f t="shared" si="95"/>
        <v>117</v>
      </c>
      <c r="C125" s="14"/>
      <c r="D125" s="6" t="s">
        <v>19</v>
      </c>
      <c r="E125" s="110"/>
      <c r="F125" s="110"/>
      <c r="G125" s="111">
        <f>G119+G124</f>
        <v>1583383.39</v>
      </c>
      <c r="H125" s="110"/>
      <c r="I125" s="112">
        <f>I124+I119</f>
        <v>1583383.3900000001</v>
      </c>
      <c r="J125" s="110"/>
      <c r="K125" s="110"/>
      <c r="L125" s="110"/>
      <c r="M125" s="111">
        <f>M124+M119</f>
        <v>1639814.4805000001</v>
      </c>
      <c r="N125" s="111">
        <f t="shared" si="161"/>
        <v>56431.090499999933</v>
      </c>
      <c r="O125" s="113">
        <f>N125/I125</f>
        <v>3.5639562001468214E-2</v>
      </c>
      <c r="P125" s="84"/>
      <c r="Q125" s="84"/>
      <c r="R125" s="84"/>
    </row>
    <row r="126" spans="1:20" ht="13.5" thickTop="1" x14ac:dyDescent="0.2">
      <c r="A126" s="28">
        <f t="shared" si="95"/>
        <v>118</v>
      </c>
      <c r="E126" s="115">
        <f>E118/E117</f>
        <v>6462.721354166667</v>
      </c>
      <c r="F126" s="115"/>
      <c r="G126" s="115">
        <f>G125/E117</f>
        <v>824.67884895833333</v>
      </c>
      <c r="H126" s="115"/>
      <c r="I126" s="115">
        <f>I125/E117</f>
        <v>824.67884895833345</v>
      </c>
      <c r="J126" s="115"/>
      <c r="K126" s="115"/>
      <c r="L126" s="115"/>
      <c r="M126" s="115">
        <f>M125/E117</f>
        <v>854.07004192708337</v>
      </c>
      <c r="N126" s="115">
        <f>M126-I126</f>
        <v>29.39119296874992</v>
      </c>
      <c r="O126" s="100"/>
    </row>
    <row r="127" spans="1:20" ht="13.5" thickBot="1" x14ac:dyDescent="0.25">
      <c r="A127" s="28">
        <f t="shared" si="95"/>
        <v>119</v>
      </c>
    </row>
    <row r="128" spans="1:20" x14ac:dyDescent="0.2">
      <c r="A128" s="28">
        <f t="shared" si="95"/>
        <v>120</v>
      </c>
      <c r="B128" s="152" t="s">
        <v>88</v>
      </c>
      <c r="C128" s="23" t="s">
        <v>89</v>
      </c>
      <c r="D128" s="22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</row>
    <row r="129" spans="1:20" x14ac:dyDescent="0.2">
      <c r="A129" s="28">
        <f t="shared" si="95"/>
        <v>121</v>
      </c>
      <c r="B129" s="153"/>
      <c r="D129" s="2" t="s">
        <v>17</v>
      </c>
      <c r="E129" s="98">
        <f>156+48</f>
        <v>204</v>
      </c>
      <c r="F129" s="90">
        <f>H129</f>
        <v>86.07</v>
      </c>
      <c r="G129" s="99">
        <f>F129*E129</f>
        <v>17558.28</v>
      </c>
      <c r="H129" s="90">
        <v>86.07</v>
      </c>
      <c r="I129" s="99">
        <f>H129*E129</f>
        <v>17558.28</v>
      </c>
      <c r="J129" s="100">
        <f>I129/I131</f>
        <v>1.6533222296192758E-2</v>
      </c>
      <c r="K129" s="100"/>
      <c r="L129" s="90">
        <f>ROUND(H129*S131,2)</f>
        <v>89.16</v>
      </c>
      <c r="M129" s="99">
        <f>L129*E129</f>
        <v>18188.64</v>
      </c>
      <c r="N129" s="99">
        <f t="shared" ref="N129:N134" si="163">M129-I129</f>
        <v>630.36000000000058</v>
      </c>
      <c r="O129" s="100">
        <f>IF(I129=0,0,N129/I129)</f>
        <v>3.5901010805158624E-2</v>
      </c>
      <c r="P129" s="100">
        <f>M129/M131</f>
        <v>1.6533295159973156E-2</v>
      </c>
      <c r="Q129" s="139">
        <f>P129-J129</f>
        <v>7.2863780398169098E-8</v>
      </c>
      <c r="R129" s="139"/>
      <c r="T129" s="4">
        <f>L129/H129-1</f>
        <v>3.5901010805158728E-2</v>
      </c>
    </row>
    <row r="130" spans="1:20" x14ac:dyDescent="0.2">
      <c r="A130" s="28">
        <f t="shared" si="95"/>
        <v>122</v>
      </c>
      <c r="B130" s="11"/>
      <c r="D130" s="2" t="s">
        <v>47</v>
      </c>
      <c r="E130" s="98">
        <f>7430572+3436576</f>
        <v>10867148</v>
      </c>
      <c r="F130" s="92">
        <f>H130-$H$230</f>
        <v>8.43E-2</v>
      </c>
      <c r="G130" s="99">
        <f t="shared" ref="G130" si="164">F130*E130</f>
        <v>916100.57640000002</v>
      </c>
      <c r="H130" s="92">
        <v>9.6110000000000001E-2</v>
      </c>
      <c r="I130" s="99">
        <f t="shared" ref="I130" si="165">H130*E130</f>
        <v>1044441.59428</v>
      </c>
      <c r="J130" s="100">
        <f>I130/I131</f>
        <v>0.9834667777038073</v>
      </c>
      <c r="K130" s="100"/>
      <c r="L130" s="140">
        <f>ROUND(H130*S131,5)</f>
        <v>9.9559999999999996E-2</v>
      </c>
      <c r="M130" s="99">
        <f t="shared" ref="M130" si="166">L130*E130</f>
        <v>1081933.2548799999</v>
      </c>
      <c r="N130" s="99">
        <f t="shared" si="163"/>
        <v>37491.660599999945</v>
      </c>
      <c r="O130" s="100">
        <f t="shared" ref="O130" si="167">IF(I130=0,0,N130/I130)</f>
        <v>3.5896368744147276E-2</v>
      </c>
      <c r="P130" s="100">
        <f>M130/M131</f>
        <v>0.98346670484002696</v>
      </c>
      <c r="Q130" s="139">
        <f t="shared" ref="Q130:Q131" si="168">P130-J130</f>
        <v>-7.2863780342657947E-8</v>
      </c>
      <c r="R130" s="139"/>
      <c r="T130" s="4">
        <f>L130/H130-1</f>
        <v>3.5896368744147367E-2</v>
      </c>
    </row>
    <row r="131" spans="1:20" s="5" customFormat="1" ht="20.45" customHeight="1" x14ac:dyDescent="0.25">
      <c r="A131" s="28">
        <f t="shared" si="95"/>
        <v>123</v>
      </c>
      <c r="C131" s="14"/>
      <c r="D131" s="16" t="s">
        <v>6</v>
      </c>
      <c r="E131" s="101"/>
      <c r="F131" s="101"/>
      <c r="G131" s="17">
        <f>SUM(G129:G130)</f>
        <v>933658.85640000005</v>
      </c>
      <c r="H131" s="101"/>
      <c r="I131" s="17">
        <f>SUM(I129:I130)</f>
        <v>1061999.8742799999</v>
      </c>
      <c r="J131" s="102">
        <f>SUM(J129:J130)</f>
        <v>1</v>
      </c>
      <c r="K131" s="103">
        <f>I131+Summary!I15</f>
        <v>1100171.48428</v>
      </c>
      <c r="L131" s="101"/>
      <c r="M131" s="17">
        <f>SUM(M129:M130)</f>
        <v>1100121.8948799998</v>
      </c>
      <c r="N131" s="17">
        <f>SUM(N129:N130)</f>
        <v>38122.020599999945</v>
      </c>
      <c r="O131" s="102">
        <f t="shared" ref="O131" si="169">N131/I131</f>
        <v>3.5896445492373898E-2</v>
      </c>
      <c r="P131" s="102">
        <f>SUM(P129:P130)</f>
        <v>1.0000000000000002</v>
      </c>
      <c r="Q131" s="141">
        <f t="shared" si="168"/>
        <v>0</v>
      </c>
      <c r="R131" s="104">
        <f>M131-K131</f>
        <v>-49.589400000171736</v>
      </c>
      <c r="S131" s="63">
        <f>K131/I131</f>
        <v>1.0359431398481842</v>
      </c>
    </row>
    <row r="132" spans="1:20" x14ac:dyDescent="0.2">
      <c r="A132" s="28">
        <f t="shared" si="95"/>
        <v>124</v>
      </c>
      <c r="D132" s="2" t="s">
        <v>26</v>
      </c>
      <c r="G132" s="99">
        <f>90987.03+42498-12242-5124</f>
        <v>116119.03</v>
      </c>
      <c r="I132" s="105">
        <f>G132-($H$230*E130)</f>
        <v>-12221.987880000001</v>
      </c>
      <c r="K132" s="105">
        <f>K131-I131</f>
        <v>38171.610000000102</v>
      </c>
      <c r="M132" s="99">
        <f>I132</f>
        <v>-12221.987880000001</v>
      </c>
      <c r="N132" s="99">
        <f t="shared" si="163"/>
        <v>0</v>
      </c>
      <c r="O132" s="90">
        <v>0</v>
      </c>
      <c r="R132" s="106"/>
    </row>
    <row r="133" spans="1:20" x14ac:dyDescent="0.2">
      <c r="A133" s="28">
        <f t="shared" si="95"/>
        <v>125</v>
      </c>
      <c r="D133" s="2" t="s">
        <v>27</v>
      </c>
      <c r="G133" s="99">
        <f>16385+9051-5160-2869</f>
        <v>17407</v>
      </c>
      <c r="I133" s="105">
        <f>G133</f>
        <v>17407</v>
      </c>
      <c r="M133" s="99">
        <f t="shared" ref="M133:M135" si="170">I133</f>
        <v>17407</v>
      </c>
      <c r="N133" s="99">
        <f t="shared" si="163"/>
        <v>0</v>
      </c>
      <c r="O133" s="90">
        <v>0</v>
      </c>
    </row>
    <row r="134" spans="1:20" x14ac:dyDescent="0.2">
      <c r="A134" s="28">
        <f t="shared" si="95"/>
        <v>126</v>
      </c>
      <c r="D134" s="2" t="s">
        <v>40</v>
      </c>
      <c r="G134" s="99">
        <v>0</v>
      </c>
      <c r="I134" s="105">
        <f>G134</f>
        <v>0</v>
      </c>
      <c r="M134" s="99">
        <f t="shared" si="170"/>
        <v>0</v>
      </c>
      <c r="N134" s="99">
        <f t="shared" si="163"/>
        <v>0</v>
      </c>
      <c r="O134" s="90">
        <v>0</v>
      </c>
    </row>
    <row r="135" spans="1:20" x14ac:dyDescent="0.2">
      <c r="A135" s="28">
        <f t="shared" si="95"/>
        <v>127</v>
      </c>
      <c r="D135" s="2" t="s">
        <v>39</v>
      </c>
      <c r="G135" s="99">
        <v>0</v>
      </c>
      <c r="I135" s="105">
        <f>G135</f>
        <v>0</v>
      </c>
      <c r="M135" s="99">
        <f t="shared" si="170"/>
        <v>0</v>
      </c>
      <c r="N135" s="99"/>
      <c r="O135" s="90">
        <v>0</v>
      </c>
    </row>
    <row r="136" spans="1:20" x14ac:dyDescent="0.2">
      <c r="A136" s="28">
        <f t="shared" si="95"/>
        <v>128</v>
      </c>
      <c r="D136" s="12" t="s">
        <v>8</v>
      </c>
      <c r="E136" s="107"/>
      <c r="F136" s="107"/>
      <c r="G136" s="108">
        <f>SUM(G132:G135)</f>
        <v>133526.03</v>
      </c>
      <c r="H136" s="107"/>
      <c r="I136" s="108">
        <f>SUM(I132:I135)</f>
        <v>5185.0121199999994</v>
      </c>
      <c r="J136" s="107"/>
      <c r="K136" s="107"/>
      <c r="L136" s="107"/>
      <c r="M136" s="108">
        <f>SUM(M132:M135)</f>
        <v>5185.0121199999994</v>
      </c>
      <c r="N136" s="108">
        <f>M136-I136</f>
        <v>0</v>
      </c>
      <c r="O136" s="109">
        <v>0</v>
      </c>
    </row>
    <row r="137" spans="1:20" s="5" customFormat="1" ht="26.45" customHeight="1" thickBot="1" x14ac:dyDescent="0.25">
      <c r="A137" s="28">
        <f t="shared" si="95"/>
        <v>129</v>
      </c>
      <c r="C137" s="14"/>
      <c r="D137" s="6" t="s">
        <v>19</v>
      </c>
      <c r="E137" s="110"/>
      <c r="F137" s="110"/>
      <c r="G137" s="111">
        <f>G131+G136</f>
        <v>1067184.8864</v>
      </c>
      <c r="H137" s="110"/>
      <c r="I137" s="112">
        <f>I136+I131</f>
        <v>1067184.8864</v>
      </c>
      <c r="J137" s="110"/>
      <c r="K137" s="110"/>
      <c r="L137" s="110"/>
      <c r="M137" s="111">
        <f>M136+M131</f>
        <v>1105306.9069999999</v>
      </c>
      <c r="N137" s="111">
        <f>M137-I137</f>
        <v>38122.020599999931</v>
      </c>
      <c r="O137" s="113">
        <f>N137/I137</f>
        <v>3.5722039438357563E-2</v>
      </c>
      <c r="P137" s="84"/>
      <c r="Q137" s="84"/>
      <c r="R137" s="84"/>
    </row>
    <row r="138" spans="1:20" ht="13.5" thickTop="1" x14ac:dyDescent="0.2">
      <c r="A138" s="28">
        <f t="shared" si="95"/>
        <v>130</v>
      </c>
      <c r="D138" s="2" t="s">
        <v>18</v>
      </c>
      <c r="E138" s="90">
        <f>E130/E129</f>
        <v>53270.333333333336</v>
      </c>
      <c r="G138" s="114">
        <f>G137/E129</f>
        <v>5231.2984627450978</v>
      </c>
      <c r="I138" s="114">
        <f>I137/E129</f>
        <v>5231.2984627450978</v>
      </c>
      <c r="M138" s="114">
        <f>M137/E129</f>
        <v>5418.1711127450972</v>
      </c>
      <c r="N138" s="114">
        <f>M138-I138</f>
        <v>186.87264999999934</v>
      </c>
      <c r="O138" s="100">
        <f>N138/I138</f>
        <v>3.57220394383575E-2</v>
      </c>
    </row>
    <row r="139" spans="1:20" ht="13.5" thickBot="1" x14ac:dyDescent="0.25">
      <c r="A139" s="28">
        <f t="shared" ref="A139:A205" si="171">A138+1</f>
        <v>131</v>
      </c>
    </row>
    <row r="140" spans="1:20" x14ac:dyDescent="0.2">
      <c r="A140" s="28">
        <f t="shared" si="171"/>
        <v>132</v>
      </c>
      <c r="B140" s="22" t="s">
        <v>30</v>
      </c>
      <c r="C140" s="120" t="s">
        <v>141</v>
      </c>
      <c r="D140" s="22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</row>
    <row r="141" spans="1:20" x14ac:dyDescent="0.2">
      <c r="A141" s="28">
        <f t="shared" si="171"/>
        <v>133</v>
      </c>
      <c r="B141" s="119" t="s">
        <v>136</v>
      </c>
      <c r="C141" s="86" t="s">
        <v>90</v>
      </c>
      <c r="D141" s="82" t="s">
        <v>90</v>
      </c>
      <c r="E141" s="98"/>
      <c r="F141" s="90"/>
      <c r="G141" s="99"/>
      <c r="H141" s="90"/>
      <c r="I141" s="99"/>
      <c r="J141" s="100"/>
      <c r="K141" s="100"/>
      <c r="L141" s="90"/>
      <c r="M141" s="99"/>
      <c r="N141" s="99"/>
      <c r="O141" s="100"/>
      <c r="P141" s="100"/>
      <c r="Q141" s="139"/>
      <c r="R141" s="139"/>
      <c r="T141" s="4" t="e">
        <f>L141/H141-1</f>
        <v>#DIV/0!</v>
      </c>
    </row>
    <row r="142" spans="1:20" x14ac:dyDescent="0.2">
      <c r="A142" s="28">
        <f t="shared" si="171"/>
        <v>134</v>
      </c>
      <c r="B142" s="25"/>
      <c r="C142" s="86"/>
      <c r="D142" s="2" t="s">
        <v>91</v>
      </c>
      <c r="E142" s="98">
        <v>312</v>
      </c>
      <c r="F142" s="90">
        <v>8.9</v>
      </c>
      <c r="G142" s="99">
        <f t="shared" ref="G142:G161" si="172">F142*E142</f>
        <v>2776.8</v>
      </c>
      <c r="H142" s="90">
        <v>9.7100000000000009</v>
      </c>
      <c r="I142" s="99">
        <f t="shared" ref="I142:I161" si="173">H142*E142</f>
        <v>3029.5200000000004</v>
      </c>
      <c r="J142" s="100">
        <f t="shared" ref="J142:J147" si="174">I142/I$206</f>
        <v>6.8862796578650657E-4</v>
      </c>
      <c r="K142" s="100"/>
      <c r="L142" s="90">
        <f t="shared" ref="L142:L147" si="175">ROUND(H142*S$206,2)</f>
        <v>10.06</v>
      </c>
      <c r="M142" s="99">
        <f t="shared" ref="M142:M161" si="176">L142*E142</f>
        <v>3138.7200000000003</v>
      </c>
      <c r="N142" s="99">
        <f t="shared" ref="N142:N161" si="177">M142-I142</f>
        <v>109.19999999999982</v>
      </c>
      <c r="O142" s="100">
        <f t="shared" ref="O142:O161" si="178">IF(I142=0,0,N142/I142)</f>
        <v>3.6045314109165741E-2</v>
      </c>
      <c r="P142" s="100">
        <f t="shared" ref="P142:P147" si="179">M142/M$206</f>
        <v>6.8861791454318205E-4</v>
      </c>
      <c r="Q142" s="139">
        <f t="shared" ref="Q142:Q161" si="180">P142-J142</f>
        <v>-1.0051243324519891E-8</v>
      </c>
      <c r="R142" s="139"/>
      <c r="T142" s="4">
        <f t="shared" ref="T142:T161" si="181">L142/H142-1</f>
        <v>3.6045314109165671E-2</v>
      </c>
    </row>
    <row r="143" spans="1:20" x14ac:dyDescent="0.2">
      <c r="A143" s="28">
        <f t="shared" si="171"/>
        <v>135</v>
      </c>
      <c r="B143" s="25"/>
      <c r="C143" s="86"/>
      <c r="D143" s="2" t="s">
        <v>92</v>
      </c>
      <c r="E143" s="98">
        <v>24</v>
      </c>
      <c r="F143" s="90">
        <v>14.39</v>
      </c>
      <c r="G143" s="99">
        <f t="shared" si="172"/>
        <v>345.36</v>
      </c>
      <c r="H143" s="90">
        <v>16.14</v>
      </c>
      <c r="I143" s="99">
        <f t="shared" si="173"/>
        <v>387.36</v>
      </c>
      <c r="J143" s="100">
        <f t="shared" si="174"/>
        <v>8.804923843614207E-5</v>
      </c>
      <c r="K143" s="100"/>
      <c r="L143" s="90">
        <f t="shared" si="175"/>
        <v>16.72</v>
      </c>
      <c r="M143" s="99">
        <f t="shared" si="176"/>
        <v>401.28</v>
      </c>
      <c r="N143" s="99">
        <f t="shared" si="177"/>
        <v>13.919999999999959</v>
      </c>
      <c r="O143" s="100">
        <f t="shared" si="178"/>
        <v>3.59355638166046E-2</v>
      </c>
      <c r="P143" s="100">
        <f t="shared" si="179"/>
        <v>8.8038626174965611E-5</v>
      </c>
      <c r="Q143" s="139">
        <f t="shared" si="180"/>
        <v>-1.0612261176458837E-8</v>
      </c>
      <c r="R143" s="139"/>
      <c r="T143" s="4">
        <f t="shared" si="181"/>
        <v>3.5935563816604565E-2</v>
      </c>
    </row>
    <row r="144" spans="1:20" x14ac:dyDescent="0.2">
      <c r="A144" s="28">
        <f t="shared" si="171"/>
        <v>136</v>
      </c>
      <c r="B144" s="25"/>
      <c r="C144" s="86"/>
      <c r="D144" s="2" t="s">
        <v>93</v>
      </c>
      <c r="E144" s="98">
        <v>1966</v>
      </c>
      <c r="F144" s="90">
        <f>F142</f>
        <v>8.9</v>
      </c>
      <c r="G144" s="99">
        <f t="shared" si="172"/>
        <v>17497.400000000001</v>
      </c>
      <c r="H144" s="90">
        <f>H142</f>
        <v>9.7100000000000009</v>
      </c>
      <c r="I144" s="99">
        <f t="shared" si="173"/>
        <v>19089.86</v>
      </c>
      <c r="J144" s="100">
        <f t="shared" si="174"/>
        <v>4.3392390408213835E-3</v>
      </c>
      <c r="K144" s="100"/>
      <c r="L144" s="90">
        <f t="shared" si="175"/>
        <v>10.06</v>
      </c>
      <c r="M144" s="99">
        <f t="shared" si="176"/>
        <v>19777.960000000003</v>
      </c>
      <c r="N144" s="99">
        <f t="shared" si="177"/>
        <v>688.10000000000218</v>
      </c>
      <c r="O144" s="100">
        <f t="shared" si="178"/>
        <v>3.6045314109165921E-2</v>
      </c>
      <c r="P144" s="100">
        <f t="shared" si="179"/>
        <v>4.3391757051022307E-3</v>
      </c>
      <c r="Q144" s="139">
        <f t="shared" si="180"/>
        <v>-6.3335719152797509E-8</v>
      </c>
      <c r="R144" s="139"/>
      <c r="T144" s="4">
        <f t="shared" si="181"/>
        <v>3.6045314109165671E-2</v>
      </c>
    </row>
    <row r="145" spans="1:20" x14ac:dyDescent="0.2">
      <c r="A145" s="28">
        <f t="shared" si="171"/>
        <v>137</v>
      </c>
      <c r="B145" s="25"/>
      <c r="C145" s="86"/>
      <c r="D145" s="2" t="s">
        <v>94</v>
      </c>
      <c r="E145" s="98">
        <v>240</v>
      </c>
      <c r="F145" s="90">
        <f>F143</f>
        <v>14.39</v>
      </c>
      <c r="G145" s="99">
        <f t="shared" si="172"/>
        <v>3453.6000000000004</v>
      </c>
      <c r="H145" s="90">
        <f>H143</f>
        <v>16.14</v>
      </c>
      <c r="I145" s="99">
        <f t="shared" si="173"/>
        <v>3873.6000000000004</v>
      </c>
      <c r="J145" s="100">
        <f t="shared" si="174"/>
        <v>8.8049238436142081E-4</v>
      </c>
      <c r="K145" s="100"/>
      <c r="L145" s="90">
        <f t="shared" si="175"/>
        <v>16.72</v>
      </c>
      <c r="M145" s="99">
        <f t="shared" si="176"/>
        <v>4012.7999999999997</v>
      </c>
      <c r="N145" s="99">
        <f t="shared" si="177"/>
        <v>139.19999999999936</v>
      </c>
      <c r="O145" s="100">
        <f t="shared" si="178"/>
        <v>3.5935563816604538E-2</v>
      </c>
      <c r="P145" s="100">
        <f t="shared" si="179"/>
        <v>8.8038626174965617E-4</v>
      </c>
      <c r="Q145" s="139">
        <f t="shared" si="180"/>
        <v>-1.0612261176464258E-7</v>
      </c>
      <c r="R145" s="139"/>
      <c r="T145" s="4">
        <f t="shared" si="181"/>
        <v>3.5935563816604565E-2</v>
      </c>
    </row>
    <row r="146" spans="1:20" x14ac:dyDescent="0.2">
      <c r="A146" s="28">
        <f t="shared" si="171"/>
        <v>138</v>
      </c>
      <c r="B146" s="25"/>
      <c r="C146" s="86"/>
      <c r="D146" s="2" t="s">
        <v>95</v>
      </c>
      <c r="E146" s="98">
        <v>490</v>
      </c>
      <c r="F146" s="90">
        <f>F142</f>
        <v>8.9</v>
      </c>
      <c r="G146" s="99">
        <f t="shared" si="172"/>
        <v>4361</v>
      </c>
      <c r="H146" s="90">
        <f>H142</f>
        <v>9.7100000000000009</v>
      </c>
      <c r="I146" s="99">
        <f t="shared" si="173"/>
        <v>4757.9000000000005</v>
      </c>
      <c r="J146" s="100">
        <f t="shared" si="174"/>
        <v>1.0814990488313724E-3</v>
      </c>
      <c r="K146" s="100"/>
      <c r="L146" s="90">
        <f t="shared" si="175"/>
        <v>10.06</v>
      </c>
      <c r="M146" s="99">
        <f t="shared" si="176"/>
        <v>4929.4000000000005</v>
      </c>
      <c r="N146" s="99">
        <f t="shared" si="177"/>
        <v>171.5</v>
      </c>
      <c r="O146" s="100">
        <f t="shared" si="178"/>
        <v>3.6045314109165803E-2</v>
      </c>
      <c r="P146" s="100">
        <f t="shared" si="179"/>
        <v>1.0814832632248693E-3</v>
      </c>
      <c r="Q146" s="139">
        <f t="shared" si="180"/>
        <v>-1.5785606503155789E-8</v>
      </c>
      <c r="R146" s="139"/>
      <c r="T146" s="4">
        <f t="shared" si="181"/>
        <v>3.6045314109165671E-2</v>
      </c>
    </row>
    <row r="147" spans="1:20" x14ac:dyDescent="0.2">
      <c r="A147" s="28">
        <f t="shared" si="171"/>
        <v>139</v>
      </c>
      <c r="B147" s="25"/>
      <c r="C147" s="86"/>
      <c r="D147" s="2" t="s">
        <v>96</v>
      </c>
      <c r="E147" s="98">
        <v>14201</v>
      </c>
      <c r="F147" s="90">
        <v>17.12</v>
      </c>
      <c r="G147" s="99">
        <f t="shared" si="172"/>
        <v>243121.12000000002</v>
      </c>
      <c r="H147" s="90">
        <v>17.579999999999998</v>
      </c>
      <c r="I147" s="99">
        <f t="shared" si="173"/>
        <v>249653.58</v>
      </c>
      <c r="J147" s="100">
        <f t="shared" si="174"/>
        <v>5.6747747810451436E-2</v>
      </c>
      <c r="K147" s="100"/>
      <c r="L147" s="90">
        <f t="shared" si="175"/>
        <v>18.21</v>
      </c>
      <c r="M147" s="99">
        <f t="shared" si="176"/>
        <v>258600.21000000002</v>
      </c>
      <c r="N147" s="99">
        <f t="shared" si="177"/>
        <v>8946.6300000000338</v>
      </c>
      <c r="O147" s="100">
        <f t="shared" si="178"/>
        <v>3.5836177474402868E-2</v>
      </c>
      <c r="P147" s="100">
        <f t="shared" si="179"/>
        <v>5.6735464555815407E-2</v>
      </c>
      <c r="Q147" s="139">
        <f t="shared" si="180"/>
        <v>-1.2283254636029362E-5</v>
      </c>
      <c r="R147" s="139"/>
      <c r="T147" s="4">
        <f t="shared" si="181"/>
        <v>3.583617747440293E-2</v>
      </c>
    </row>
    <row r="148" spans="1:20" x14ac:dyDescent="0.2">
      <c r="A148" s="28">
        <f t="shared" si="171"/>
        <v>140</v>
      </c>
      <c r="B148" s="119" t="s">
        <v>137</v>
      </c>
      <c r="C148" s="86" t="s">
        <v>97</v>
      </c>
      <c r="D148" s="82" t="s">
        <v>97</v>
      </c>
      <c r="E148" s="98"/>
      <c r="F148" s="90"/>
      <c r="G148" s="99"/>
      <c r="H148" s="90"/>
      <c r="I148" s="99"/>
      <c r="J148" s="100"/>
      <c r="K148" s="100"/>
      <c r="L148" s="90"/>
      <c r="M148" s="99"/>
      <c r="N148" s="99"/>
      <c r="O148" s="100"/>
      <c r="P148" s="100"/>
      <c r="Q148" s="139"/>
      <c r="R148" s="139"/>
      <c r="T148" s="4" t="e">
        <f t="shared" si="181"/>
        <v>#DIV/0!</v>
      </c>
    </row>
    <row r="149" spans="1:20" x14ac:dyDescent="0.2">
      <c r="A149" s="28">
        <f t="shared" si="171"/>
        <v>141</v>
      </c>
      <c r="B149" s="25"/>
      <c r="C149" s="86"/>
      <c r="D149" s="2" t="s">
        <v>98</v>
      </c>
      <c r="E149" s="98">
        <v>36</v>
      </c>
      <c r="F149" s="90">
        <v>8.31</v>
      </c>
      <c r="G149" s="99">
        <f t="shared" si="172"/>
        <v>299.16000000000003</v>
      </c>
      <c r="H149" s="90">
        <v>8.31</v>
      </c>
      <c r="I149" s="99">
        <f t="shared" si="173"/>
        <v>299.16000000000003</v>
      </c>
      <c r="J149" s="100">
        <f t="shared" ref="J149:J171" si="182">I149/I$206</f>
        <v>6.8000852360998202E-5</v>
      </c>
      <c r="K149" s="100"/>
      <c r="L149" s="90">
        <f t="shared" ref="L149:L180" si="183">ROUND(H149*S$206,2)</f>
        <v>8.61</v>
      </c>
      <c r="M149" s="99">
        <f t="shared" si="176"/>
        <v>309.95999999999998</v>
      </c>
      <c r="N149" s="99">
        <f t="shared" si="177"/>
        <v>10.799999999999955</v>
      </c>
      <c r="O149" s="100">
        <f t="shared" si="178"/>
        <v>3.6101083032490822E-2</v>
      </c>
      <c r="P149" s="100">
        <f t="shared" ref="P149:P171" si="184">M149/M$206</f>
        <v>6.800352015847374E-5</v>
      </c>
      <c r="Q149" s="139">
        <f t="shared" si="180"/>
        <v>2.6677974755386557E-9</v>
      </c>
      <c r="R149" s="139"/>
      <c r="T149" s="4">
        <f t="shared" si="181"/>
        <v>3.6101083032490822E-2</v>
      </c>
    </row>
    <row r="150" spans="1:20" x14ac:dyDescent="0.2">
      <c r="A150" s="28">
        <f t="shared" si="171"/>
        <v>142</v>
      </c>
      <c r="B150" s="25"/>
      <c r="C150" s="86"/>
      <c r="D150" s="2" t="s">
        <v>99</v>
      </c>
      <c r="E150" s="98">
        <v>36</v>
      </c>
      <c r="F150" s="90">
        <v>16.48</v>
      </c>
      <c r="G150" s="99">
        <f t="shared" si="172"/>
        <v>593.28</v>
      </c>
      <c r="H150" s="90">
        <v>17.66</v>
      </c>
      <c r="I150" s="99">
        <f t="shared" si="173"/>
        <v>635.76</v>
      </c>
      <c r="J150" s="100">
        <f t="shared" si="182"/>
        <v>1.4451204003552686E-4</v>
      </c>
      <c r="K150" s="100"/>
      <c r="L150" s="90">
        <f t="shared" si="183"/>
        <v>18.29</v>
      </c>
      <c r="M150" s="99">
        <f t="shared" si="176"/>
        <v>658.43999999999994</v>
      </c>
      <c r="N150" s="99">
        <f t="shared" si="177"/>
        <v>22.67999999999995</v>
      </c>
      <c r="O150" s="100">
        <f t="shared" si="178"/>
        <v>3.5673839184597884E-2</v>
      </c>
      <c r="P150" s="100">
        <f t="shared" si="184"/>
        <v>1.4445811657357545E-4</v>
      </c>
      <c r="Q150" s="139">
        <f t="shared" si="180"/>
        <v>-5.3923461951405939E-8</v>
      </c>
      <c r="R150" s="139"/>
      <c r="T150" s="4">
        <f t="shared" si="181"/>
        <v>3.5673839184597878E-2</v>
      </c>
    </row>
    <row r="151" spans="1:20" x14ac:dyDescent="0.2">
      <c r="A151" s="28">
        <f t="shared" si="171"/>
        <v>143</v>
      </c>
      <c r="B151" s="25"/>
      <c r="C151" s="86"/>
      <c r="D151" s="2" t="s">
        <v>100</v>
      </c>
      <c r="E151" s="98">
        <v>120</v>
      </c>
      <c r="F151" s="90">
        <v>17.12</v>
      </c>
      <c r="G151" s="99">
        <f t="shared" si="172"/>
        <v>2054.4</v>
      </c>
      <c r="H151" s="90">
        <v>17.579999999999998</v>
      </c>
      <c r="I151" s="99">
        <f t="shared" si="173"/>
        <v>2109.6</v>
      </c>
      <c r="J151" s="100">
        <f t="shared" si="182"/>
        <v>4.7952466285854323E-4</v>
      </c>
      <c r="K151" s="100"/>
      <c r="L151" s="90">
        <f t="shared" si="183"/>
        <v>18.21</v>
      </c>
      <c r="M151" s="99">
        <f t="shared" si="176"/>
        <v>2185.2000000000003</v>
      </c>
      <c r="N151" s="99">
        <f t="shared" si="177"/>
        <v>75.600000000000364</v>
      </c>
      <c r="O151" s="100">
        <f t="shared" si="178"/>
        <v>3.5836177474402903E-2</v>
      </c>
      <c r="P151" s="100">
        <f t="shared" si="184"/>
        <v>4.7942086801618545E-4</v>
      </c>
      <c r="Q151" s="139">
        <f t="shared" si="180"/>
        <v>-1.0379484235778025E-7</v>
      </c>
      <c r="R151" s="139"/>
      <c r="T151" s="4">
        <f t="shared" si="181"/>
        <v>3.583617747440293E-2</v>
      </c>
    </row>
    <row r="152" spans="1:20" x14ac:dyDescent="0.2">
      <c r="A152" s="28">
        <f t="shared" si="171"/>
        <v>144</v>
      </c>
      <c r="B152" s="25"/>
      <c r="C152" s="86"/>
      <c r="D152" s="2" t="s">
        <v>101</v>
      </c>
      <c r="E152" s="98">
        <v>204</v>
      </c>
      <c r="F152" s="90">
        <v>14.07</v>
      </c>
      <c r="G152" s="99">
        <f t="shared" si="172"/>
        <v>2870.28</v>
      </c>
      <c r="H152" s="90">
        <v>14.07</v>
      </c>
      <c r="I152" s="99">
        <f t="shared" si="173"/>
        <v>2870.28</v>
      </c>
      <c r="J152" s="100">
        <f t="shared" si="182"/>
        <v>6.5243176398825349E-4</v>
      </c>
      <c r="K152" s="100"/>
      <c r="L152" s="90">
        <f t="shared" si="183"/>
        <v>14.58</v>
      </c>
      <c r="M152" s="99">
        <f t="shared" si="176"/>
        <v>2974.32</v>
      </c>
      <c r="N152" s="99">
        <f t="shared" si="177"/>
        <v>104.03999999999996</v>
      </c>
      <c r="O152" s="100">
        <f t="shared" si="178"/>
        <v>3.6247334754797425E-2</v>
      </c>
      <c r="P152" s="100">
        <f t="shared" si="184"/>
        <v>6.5254945824542402E-4</v>
      </c>
      <c r="Q152" s="139">
        <f t="shared" si="180"/>
        <v>1.1769425717052338E-7</v>
      </c>
      <c r="R152" s="139"/>
      <c r="T152" s="4">
        <f t="shared" si="181"/>
        <v>3.6247334754797356E-2</v>
      </c>
    </row>
    <row r="153" spans="1:20" x14ac:dyDescent="0.2">
      <c r="A153" s="28">
        <f t="shared" si="171"/>
        <v>145</v>
      </c>
      <c r="B153" s="25"/>
      <c r="C153" s="86"/>
      <c r="D153" s="2" t="s">
        <v>163</v>
      </c>
      <c r="E153" s="98">
        <v>0</v>
      </c>
      <c r="F153" s="90">
        <v>19.93</v>
      </c>
      <c r="G153" s="99">
        <f t="shared" si="172"/>
        <v>0</v>
      </c>
      <c r="H153" s="90">
        <v>20.39</v>
      </c>
      <c r="I153" s="99">
        <f t="shared" si="173"/>
        <v>0</v>
      </c>
      <c r="J153" s="100">
        <f t="shared" si="182"/>
        <v>0</v>
      </c>
      <c r="K153" s="100"/>
      <c r="L153" s="90">
        <f t="shared" si="183"/>
        <v>21.12</v>
      </c>
      <c r="M153" s="99">
        <f t="shared" si="176"/>
        <v>0</v>
      </c>
      <c r="N153" s="99">
        <f t="shared" si="177"/>
        <v>0</v>
      </c>
      <c r="O153" s="100">
        <f t="shared" si="178"/>
        <v>0</v>
      </c>
      <c r="P153" s="100">
        <f t="shared" si="184"/>
        <v>0</v>
      </c>
      <c r="Q153" s="139">
        <f t="shared" si="180"/>
        <v>0</v>
      </c>
      <c r="R153" s="139"/>
      <c r="T153" s="4">
        <f t="shared" si="181"/>
        <v>3.5801863658656119E-2</v>
      </c>
    </row>
    <row r="154" spans="1:20" x14ac:dyDescent="0.2">
      <c r="A154" s="28">
        <f t="shared" si="171"/>
        <v>146</v>
      </c>
      <c r="B154" s="25"/>
      <c r="C154" s="86"/>
      <c r="D154" s="2" t="s">
        <v>164</v>
      </c>
      <c r="E154" s="98">
        <v>300</v>
      </c>
      <c r="F154" s="90">
        <v>23.21</v>
      </c>
      <c r="G154" s="99">
        <f t="shared" si="172"/>
        <v>6963</v>
      </c>
      <c r="H154" s="90">
        <v>24.39</v>
      </c>
      <c r="I154" s="99">
        <f t="shared" si="173"/>
        <v>7317</v>
      </c>
      <c r="J154" s="100">
        <f t="shared" si="182"/>
        <v>1.6631977427644866E-3</v>
      </c>
      <c r="K154" s="100"/>
      <c r="L154" s="90">
        <f t="shared" si="183"/>
        <v>25.27</v>
      </c>
      <c r="M154" s="99">
        <f t="shared" si="176"/>
        <v>7581</v>
      </c>
      <c r="N154" s="99">
        <f t="shared" si="177"/>
        <v>264</v>
      </c>
      <c r="O154" s="100">
        <f t="shared" si="178"/>
        <v>3.6080360803608033E-2</v>
      </c>
      <c r="P154" s="100">
        <f t="shared" si="184"/>
        <v>1.6632297274531856E-3</v>
      </c>
      <c r="Q154" s="139">
        <f t="shared" si="180"/>
        <v>3.198468869901501E-8</v>
      </c>
      <c r="R154" s="139"/>
      <c r="T154" s="4">
        <f t="shared" si="181"/>
        <v>3.6080360803607991E-2</v>
      </c>
    </row>
    <row r="155" spans="1:20" x14ac:dyDescent="0.2">
      <c r="A155" s="28">
        <f t="shared" si="171"/>
        <v>147</v>
      </c>
      <c r="B155" s="25"/>
      <c r="C155" s="86"/>
      <c r="D155" s="2" t="s">
        <v>102</v>
      </c>
      <c r="E155" s="98">
        <v>624</v>
      </c>
      <c r="F155" s="90">
        <v>12.37</v>
      </c>
      <c r="G155" s="99">
        <f t="shared" si="172"/>
        <v>7718.8799999999992</v>
      </c>
      <c r="H155" s="90">
        <v>12.37</v>
      </c>
      <c r="I155" s="99">
        <f t="shared" si="173"/>
        <v>7718.8799999999992</v>
      </c>
      <c r="J155" s="100">
        <f t="shared" si="182"/>
        <v>1.7545474638061963E-3</v>
      </c>
      <c r="K155" s="100"/>
      <c r="L155" s="90">
        <f t="shared" si="183"/>
        <v>12.81</v>
      </c>
      <c r="M155" s="99">
        <f t="shared" si="176"/>
        <v>7993.4400000000005</v>
      </c>
      <c r="N155" s="99">
        <f t="shared" si="177"/>
        <v>274.56000000000131</v>
      </c>
      <c r="O155" s="100">
        <f t="shared" si="178"/>
        <v>3.5569927243330815E-2</v>
      </c>
      <c r="P155" s="100">
        <f t="shared" si="184"/>
        <v>1.7537167962819408E-3</v>
      </c>
      <c r="Q155" s="139">
        <f t="shared" si="180"/>
        <v>-8.3066752425554717E-7</v>
      </c>
      <c r="R155" s="139"/>
      <c r="T155" s="4">
        <f t="shared" si="181"/>
        <v>3.5569927243330746E-2</v>
      </c>
    </row>
    <row r="156" spans="1:20" x14ac:dyDescent="0.2">
      <c r="A156" s="28">
        <f t="shared" si="171"/>
        <v>148</v>
      </c>
      <c r="B156" s="25"/>
      <c r="C156" s="86"/>
      <c r="D156" s="2" t="s">
        <v>103</v>
      </c>
      <c r="E156" s="98">
        <v>684</v>
      </c>
      <c r="F156" s="90">
        <v>16.010000000000002</v>
      </c>
      <c r="G156" s="99">
        <f t="shared" si="172"/>
        <v>10950.840000000002</v>
      </c>
      <c r="H156" s="90">
        <v>16.010000000000002</v>
      </c>
      <c r="I156" s="99">
        <f t="shared" si="173"/>
        <v>10950.840000000002</v>
      </c>
      <c r="J156" s="100">
        <f t="shared" si="182"/>
        <v>2.4891912490604146E-3</v>
      </c>
      <c r="K156" s="100"/>
      <c r="L156" s="90">
        <f t="shared" si="183"/>
        <v>16.59</v>
      </c>
      <c r="M156" s="99">
        <f t="shared" si="176"/>
        <v>11347.56</v>
      </c>
      <c r="N156" s="99">
        <f t="shared" si="177"/>
        <v>396.71999999999753</v>
      </c>
      <c r="O156" s="100">
        <f t="shared" si="178"/>
        <v>3.6227357901311451E-2</v>
      </c>
      <c r="P156" s="100">
        <f t="shared" si="184"/>
        <v>2.4895922867772947E-3</v>
      </c>
      <c r="Q156" s="139">
        <f t="shared" si="180"/>
        <v>4.0103771688010034E-7</v>
      </c>
      <c r="R156" s="139"/>
      <c r="T156" s="4">
        <f t="shared" si="181"/>
        <v>3.6227357901311485E-2</v>
      </c>
    </row>
    <row r="157" spans="1:20" x14ac:dyDescent="0.2">
      <c r="A157" s="28">
        <f t="shared" si="171"/>
        <v>149</v>
      </c>
      <c r="B157" s="25"/>
      <c r="C157" s="86"/>
      <c r="D157" s="2" t="s">
        <v>104</v>
      </c>
      <c r="E157" s="98">
        <v>36</v>
      </c>
      <c r="F157" s="90">
        <v>26.39</v>
      </c>
      <c r="G157" s="99">
        <f t="shared" si="172"/>
        <v>950.04</v>
      </c>
      <c r="H157" s="90">
        <v>27.13</v>
      </c>
      <c r="I157" s="99">
        <f t="shared" si="173"/>
        <v>976.68</v>
      </c>
      <c r="J157" s="100">
        <f t="shared" si="182"/>
        <v>2.2200518947700134E-4</v>
      </c>
      <c r="K157" s="100"/>
      <c r="L157" s="90">
        <f t="shared" si="183"/>
        <v>28.11</v>
      </c>
      <c r="M157" s="99">
        <f t="shared" si="176"/>
        <v>1011.96</v>
      </c>
      <c r="N157" s="99">
        <f t="shared" si="177"/>
        <v>35.280000000000086</v>
      </c>
      <c r="O157" s="100">
        <f t="shared" si="178"/>
        <v>3.612237375598977E-2</v>
      </c>
      <c r="P157" s="100">
        <f t="shared" si="184"/>
        <v>2.2201846128393693E-4</v>
      </c>
      <c r="Q157" s="139">
        <f t="shared" si="180"/>
        <v>1.3271806935589341E-8</v>
      </c>
      <c r="R157" s="139"/>
      <c r="T157" s="4">
        <f t="shared" si="181"/>
        <v>3.6122373755989701E-2</v>
      </c>
    </row>
    <row r="158" spans="1:20" x14ac:dyDescent="0.2">
      <c r="A158" s="28">
        <f t="shared" si="171"/>
        <v>150</v>
      </c>
      <c r="B158" s="25"/>
      <c r="C158" s="86"/>
      <c r="D158" s="2" t="s">
        <v>105</v>
      </c>
      <c r="E158" s="98">
        <v>79</v>
      </c>
      <c r="F158" s="90">
        <v>25.62</v>
      </c>
      <c r="G158" s="99">
        <f t="shared" si="172"/>
        <v>2023.98</v>
      </c>
      <c r="H158" s="90">
        <v>26.87</v>
      </c>
      <c r="I158" s="99">
        <f t="shared" si="173"/>
        <v>2122.73</v>
      </c>
      <c r="J158" s="100">
        <f t="shared" si="182"/>
        <v>4.8250919017335774E-4</v>
      </c>
      <c r="K158" s="100"/>
      <c r="L158" s="90">
        <f t="shared" si="183"/>
        <v>27.84</v>
      </c>
      <c r="M158" s="99">
        <f t="shared" si="176"/>
        <v>2199.36</v>
      </c>
      <c r="N158" s="99">
        <f t="shared" si="177"/>
        <v>76.630000000000109</v>
      </c>
      <c r="O158" s="100">
        <f t="shared" si="178"/>
        <v>3.6099739486416128E-2</v>
      </c>
      <c r="P158" s="100">
        <f t="shared" si="184"/>
        <v>4.8252749417905798E-4</v>
      </c>
      <c r="Q158" s="139">
        <f t="shared" si="180"/>
        <v>1.8304005700237394E-8</v>
      </c>
      <c r="R158" s="139"/>
      <c r="T158" s="4">
        <f t="shared" si="181"/>
        <v>3.6099739486415983E-2</v>
      </c>
    </row>
    <row r="159" spans="1:20" x14ac:dyDescent="0.2">
      <c r="A159" s="28">
        <f t="shared" si="171"/>
        <v>151</v>
      </c>
      <c r="B159" s="25"/>
      <c r="C159" s="86"/>
      <c r="D159" s="2" t="s">
        <v>106</v>
      </c>
      <c r="E159" s="98">
        <v>407</v>
      </c>
      <c r="F159" s="90">
        <v>18.34</v>
      </c>
      <c r="G159" s="99">
        <f t="shared" si="172"/>
        <v>7464.38</v>
      </c>
      <c r="H159" s="90">
        <v>18.34</v>
      </c>
      <c r="I159" s="99">
        <f t="shared" si="173"/>
        <v>7464.38</v>
      </c>
      <c r="J159" s="100">
        <f t="shared" si="182"/>
        <v>1.6966980958229301E-3</v>
      </c>
      <c r="K159" s="100"/>
      <c r="L159" s="90">
        <f t="shared" si="183"/>
        <v>19</v>
      </c>
      <c r="M159" s="99">
        <f t="shared" si="176"/>
        <v>7733</v>
      </c>
      <c r="N159" s="99">
        <f t="shared" si="177"/>
        <v>268.61999999999989</v>
      </c>
      <c r="O159" s="100">
        <f t="shared" si="178"/>
        <v>3.5986913849509257E-2</v>
      </c>
      <c r="P159" s="100">
        <f t="shared" si="184"/>
        <v>1.6965776919134E-3</v>
      </c>
      <c r="Q159" s="139">
        <f t="shared" si="180"/>
        <v>-1.2040390953010904E-7</v>
      </c>
      <c r="R159" s="139"/>
      <c r="T159" s="4">
        <f t="shared" si="181"/>
        <v>3.598691384950925E-2</v>
      </c>
    </row>
    <row r="160" spans="1:20" x14ac:dyDescent="0.2">
      <c r="A160" s="28"/>
      <c r="B160" s="25"/>
      <c r="C160" s="86"/>
      <c r="D160" s="2" t="s">
        <v>165</v>
      </c>
      <c r="E160" s="98">
        <v>0</v>
      </c>
      <c r="F160" s="90">
        <v>25.62</v>
      </c>
      <c r="G160" s="99">
        <f t="shared" si="172"/>
        <v>0</v>
      </c>
      <c r="H160" s="90">
        <v>26.87</v>
      </c>
      <c r="I160" s="99">
        <f t="shared" si="173"/>
        <v>0</v>
      </c>
      <c r="J160" s="100">
        <f t="shared" si="182"/>
        <v>0</v>
      </c>
      <c r="K160" s="100"/>
      <c r="L160" s="90">
        <f t="shared" si="183"/>
        <v>27.84</v>
      </c>
      <c r="M160" s="99">
        <f t="shared" si="176"/>
        <v>0</v>
      </c>
      <c r="N160" s="99">
        <f t="shared" si="177"/>
        <v>0</v>
      </c>
      <c r="O160" s="100">
        <f t="shared" si="178"/>
        <v>0</v>
      </c>
      <c r="P160" s="100">
        <f t="shared" si="184"/>
        <v>0</v>
      </c>
      <c r="Q160" s="139">
        <f t="shared" si="180"/>
        <v>0</v>
      </c>
      <c r="R160" s="139"/>
      <c r="T160" s="4">
        <f t="shared" si="181"/>
        <v>3.6099739486415983E-2</v>
      </c>
    </row>
    <row r="161" spans="1:20" x14ac:dyDescent="0.2">
      <c r="A161" s="28">
        <f>A159+1</f>
        <v>152</v>
      </c>
      <c r="B161" s="25"/>
      <c r="C161" s="86"/>
      <c r="D161" s="2" t="s">
        <v>107</v>
      </c>
      <c r="E161" s="98">
        <v>0</v>
      </c>
      <c r="F161" s="90">
        <v>37.909999999999997</v>
      </c>
      <c r="G161" s="99">
        <f t="shared" si="172"/>
        <v>0</v>
      </c>
      <c r="H161" s="90">
        <v>42.57</v>
      </c>
      <c r="I161" s="99">
        <f t="shared" si="173"/>
        <v>0</v>
      </c>
      <c r="J161" s="100">
        <f t="shared" si="182"/>
        <v>0</v>
      </c>
      <c r="K161" s="100"/>
      <c r="L161" s="90">
        <f t="shared" si="183"/>
        <v>44.1</v>
      </c>
      <c r="M161" s="99">
        <f t="shared" si="176"/>
        <v>0</v>
      </c>
      <c r="N161" s="99">
        <f t="shared" si="177"/>
        <v>0</v>
      </c>
      <c r="O161" s="100">
        <f t="shared" si="178"/>
        <v>0</v>
      </c>
      <c r="P161" s="100">
        <f t="shared" si="184"/>
        <v>0</v>
      </c>
      <c r="Q161" s="139">
        <f t="shared" si="180"/>
        <v>0</v>
      </c>
      <c r="R161" s="139"/>
      <c r="T161" s="4">
        <f t="shared" si="181"/>
        <v>3.5940803382663811E-2</v>
      </c>
    </row>
    <row r="162" spans="1:20" x14ac:dyDescent="0.2">
      <c r="A162" s="28">
        <f t="shared" si="171"/>
        <v>153</v>
      </c>
      <c r="B162" s="25"/>
      <c r="C162" s="86"/>
      <c r="D162" s="2" t="s">
        <v>108</v>
      </c>
      <c r="E162" s="98">
        <v>132</v>
      </c>
      <c r="F162" s="90">
        <v>19.079999999999998</v>
      </c>
      <c r="G162" s="99">
        <f t="shared" ref="G162:G199" si="185">F162*E162</f>
        <v>2518.56</v>
      </c>
      <c r="H162" s="90">
        <v>21.05</v>
      </c>
      <c r="I162" s="99">
        <f t="shared" ref="I162:I199" si="186">H162*E162</f>
        <v>2778.6</v>
      </c>
      <c r="J162" s="100">
        <f t="shared" si="182"/>
        <v>6.3159235315640326E-4</v>
      </c>
      <c r="K162" s="100"/>
      <c r="L162" s="90">
        <f t="shared" si="183"/>
        <v>21.81</v>
      </c>
      <c r="M162" s="99">
        <f t="shared" ref="M162:M199" si="187">L162*E162</f>
        <v>2878.9199999999996</v>
      </c>
      <c r="N162" s="99">
        <f t="shared" ref="N162:N199" si="188">M162-I162</f>
        <v>100.31999999999971</v>
      </c>
      <c r="O162" s="100">
        <f t="shared" ref="O162:O199" si="189">IF(I162=0,0,N162/I162)</f>
        <v>3.6104513064132912E-2</v>
      </c>
      <c r="P162" s="100">
        <f t="shared" si="184"/>
        <v>6.3161922265657887E-4</v>
      </c>
      <c r="Q162" s="139">
        <f t="shared" ref="Q162:Q199" si="190">P162-J162</f>
        <v>2.6869500175611544E-8</v>
      </c>
      <c r="R162" s="139"/>
      <c r="T162" s="4">
        <f>L162/H162-1</f>
        <v>3.610451306413287E-2</v>
      </c>
    </row>
    <row r="163" spans="1:20" x14ac:dyDescent="0.2">
      <c r="A163" s="28">
        <f t="shared" si="171"/>
        <v>154</v>
      </c>
      <c r="B163" s="25"/>
      <c r="C163" s="86"/>
      <c r="D163" s="2" t="s">
        <v>109</v>
      </c>
      <c r="E163" s="98">
        <v>36</v>
      </c>
      <c r="F163" s="90">
        <v>22.4</v>
      </c>
      <c r="G163" s="99">
        <f t="shared" si="185"/>
        <v>806.4</v>
      </c>
      <c r="H163" s="90">
        <v>24.37</v>
      </c>
      <c r="I163" s="99">
        <f t="shared" si="186"/>
        <v>877.32</v>
      </c>
      <c r="J163" s="100">
        <f t="shared" si="182"/>
        <v>1.9942006883724744E-4</v>
      </c>
      <c r="K163" s="100"/>
      <c r="L163" s="90">
        <f t="shared" si="183"/>
        <v>25.25</v>
      </c>
      <c r="M163" s="99">
        <f t="shared" si="187"/>
        <v>909</v>
      </c>
      <c r="N163" s="99">
        <f t="shared" si="188"/>
        <v>31.67999999999995</v>
      </c>
      <c r="O163" s="100">
        <f t="shared" si="189"/>
        <v>3.6109971276159156E-2</v>
      </c>
      <c r="P163" s="100">
        <f t="shared" si="184"/>
        <v>1.9942960325220233E-4</v>
      </c>
      <c r="Q163" s="139">
        <f t="shared" si="190"/>
        <v>9.5344149548951592E-9</v>
      </c>
      <c r="R163" s="139"/>
      <c r="T163" s="4">
        <f t="shared" ref="T163:T199" si="191">L163/H163-1</f>
        <v>3.6109971276159225E-2</v>
      </c>
    </row>
    <row r="164" spans="1:20" x14ac:dyDescent="0.2">
      <c r="A164" s="28">
        <f t="shared" si="171"/>
        <v>155</v>
      </c>
      <c r="B164" s="25"/>
      <c r="C164" s="86"/>
      <c r="D164" s="2" t="s">
        <v>110</v>
      </c>
      <c r="E164" s="98">
        <v>12</v>
      </c>
      <c r="F164" s="90">
        <v>23.45</v>
      </c>
      <c r="G164" s="99">
        <f t="shared" si="185"/>
        <v>281.39999999999998</v>
      </c>
      <c r="H164" s="90">
        <v>25.42</v>
      </c>
      <c r="I164" s="99">
        <f t="shared" si="186"/>
        <v>305.04000000000002</v>
      </c>
      <c r="J164" s="100">
        <f t="shared" si="182"/>
        <v>6.933741143267446E-5</v>
      </c>
      <c r="K164" s="100"/>
      <c r="L164" s="90">
        <f t="shared" si="183"/>
        <v>26.33</v>
      </c>
      <c r="M164" s="99">
        <f t="shared" si="187"/>
        <v>315.95999999999998</v>
      </c>
      <c r="N164" s="99">
        <f t="shared" si="188"/>
        <v>10.919999999999959</v>
      </c>
      <c r="O164" s="100">
        <f t="shared" si="189"/>
        <v>3.5798583792289403E-2</v>
      </c>
      <c r="P164" s="100">
        <f t="shared" si="184"/>
        <v>6.9319887176640086E-5</v>
      </c>
      <c r="Q164" s="139">
        <f t="shared" si="190"/>
        <v>-1.7524256034373597E-8</v>
      </c>
      <c r="R164" s="139"/>
      <c r="T164" s="4">
        <f t="shared" si="191"/>
        <v>3.5798583792289396E-2</v>
      </c>
    </row>
    <row r="165" spans="1:20" x14ac:dyDescent="0.2">
      <c r="A165" s="28">
        <f t="shared" si="171"/>
        <v>156</v>
      </c>
      <c r="B165" s="25"/>
      <c r="C165" s="86"/>
      <c r="D165" s="2" t="s">
        <v>111</v>
      </c>
      <c r="E165" s="98">
        <v>123</v>
      </c>
      <c r="F165" s="90">
        <v>22.78</v>
      </c>
      <c r="G165" s="99">
        <f t="shared" si="185"/>
        <v>2801.94</v>
      </c>
      <c r="H165" s="90">
        <v>24.75</v>
      </c>
      <c r="I165" s="99">
        <f t="shared" si="186"/>
        <v>3044.25</v>
      </c>
      <c r="J165" s="100">
        <f t="shared" si="182"/>
        <v>6.9197618264463419E-4</v>
      </c>
      <c r="K165" s="100"/>
      <c r="L165" s="90">
        <f t="shared" si="183"/>
        <v>25.64</v>
      </c>
      <c r="M165" s="99">
        <f t="shared" si="187"/>
        <v>3153.7200000000003</v>
      </c>
      <c r="N165" s="99">
        <f t="shared" si="188"/>
        <v>109.47000000000025</v>
      </c>
      <c r="O165" s="100">
        <f t="shared" si="189"/>
        <v>3.5959595959596045E-2</v>
      </c>
      <c r="P165" s="100">
        <f t="shared" si="184"/>
        <v>6.9190883208859798E-4</v>
      </c>
      <c r="Q165" s="139">
        <f t="shared" si="190"/>
        <v>-6.7350556036210006E-8</v>
      </c>
      <c r="R165" s="139"/>
      <c r="T165" s="4">
        <f t="shared" si="191"/>
        <v>3.5959595959595969E-2</v>
      </c>
    </row>
    <row r="166" spans="1:20" x14ac:dyDescent="0.2">
      <c r="A166" s="28">
        <f t="shared" si="171"/>
        <v>157</v>
      </c>
      <c r="B166" s="25"/>
      <c r="C166" s="86"/>
      <c r="D166" s="2" t="s">
        <v>112</v>
      </c>
      <c r="E166" s="98">
        <v>258</v>
      </c>
      <c r="F166" s="90">
        <v>8.69</v>
      </c>
      <c r="G166" s="99">
        <f t="shared" si="185"/>
        <v>2242.02</v>
      </c>
      <c r="H166" s="90">
        <v>9.2100000000000009</v>
      </c>
      <c r="I166" s="99">
        <f t="shared" si="186"/>
        <v>2376.1800000000003</v>
      </c>
      <c r="J166" s="100">
        <f t="shared" si="182"/>
        <v>5.4011988689382513E-4</v>
      </c>
      <c r="K166" s="100"/>
      <c r="L166" s="90">
        <f t="shared" si="183"/>
        <v>9.5399999999999991</v>
      </c>
      <c r="M166" s="99">
        <f t="shared" si="187"/>
        <v>2461.3199999999997</v>
      </c>
      <c r="N166" s="99">
        <f t="shared" si="188"/>
        <v>85.139999999999418</v>
      </c>
      <c r="O166" s="100">
        <f t="shared" si="189"/>
        <v>3.5830618892507896E-2</v>
      </c>
      <c r="P166" s="100">
        <f t="shared" si="184"/>
        <v>5.4000007819220088E-4</v>
      </c>
      <c r="Q166" s="139">
        <f t="shared" si="190"/>
        <v>-1.1980870162425165E-7</v>
      </c>
      <c r="R166" s="139"/>
      <c r="T166" s="4">
        <f t="shared" si="191"/>
        <v>3.5830618892507937E-2</v>
      </c>
    </row>
    <row r="167" spans="1:20" x14ac:dyDescent="0.2">
      <c r="A167" s="28">
        <f t="shared" si="171"/>
        <v>158</v>
      </c>
      <c r="B167" s="25"/>
      <c r="C167" s="86"/>
      <c r="D167" s="2" t="s">
        <v>113</v>
      </c>
      <c r="E167" s="98">
        <v>12</v>
      </c>
      <c r="F167" s="90">
        <v>6.07</v>
      </c>
      <c r="G167" s="99">
        <f t="shared" si="185"/>
        <v>72.84</v>
      </c>
      <c r="H167" s="90">
        <v>6.07</v>
      </c>
      <c r="I167" s="99">
        <f t="shared" si="186"/>
        <v>72.84</v>
      </c>
      <c r="J167" s="100">
        <f t="shared" si="182"/>
        <v>1.6556966459336505E-5</v>
      </c>
      <c r="K167" s="100"/>
      <c r="L167" s="90">
        <f t="shared" si="183"/>
        <v>6.29</v>
      </c>
      <c r="M167" s="99">
        <f t="shared" si="187"/>
        <v>75.48</v>
      </c>
      <c r="N167" s="99">
        <f t="shared" si="188"/>
        <v>2.6400000000000006</v>
      </c>
      <c r="O167" s="100">
        <f t="shared" si="189"/>
        <v>3.6243822075782542E-2</v>
      </c>
      <c r="P167" s="100">
        <f t="shared" si="184"/>
        <v>1.6559897088532709E-5</v>
      </c>
      <c r="Q167" s="139">
        <f t="shared" si="190"/>
        <v>2.9306291962037927E-9</v>
      </c>
      <c r="R167" s="139"/>
      <c r="T167" s="4">
        <f t="shared" si="191"/>
        <v>3.6243822075782584E-2</v>
      </c>
    </row>
    <row r="168" spans="1:20" x14ac:dyDescent="0.2">
      <c r="A168" s="28">
        <f t="shared" si="171"/>
        <v>159</v>
      </c>
      <c r="B168" s="25"/>
      <c r="C168" s="86"/>
      <c r="D168" s="2" t="s">
        <v>114</v>
      </c>
      <c r="E168" s="98">
        <v>1366</v>
      </c>
      <c r="F168" s="90">
        <v>11</v>
      </c>
      <c r="G168" s="99">
        <f t="shared" si="185"/>
        <v>15026</v>
      </c>
      <c r="H168" s="90">
        <v>11.52</v>
      </c>
      <c r="I168" s="99">
        <f t="shared" si="186"/>
        <v>15736.32</v>
      </c>
      <c r="J168" s="100">
        <f t="shared" si="182"/>
        <v>3.5769593963946487E-3</v>
      </c>
      <c r="K168" s="100"/>
      <c r="L168" s="90">
        <f t="shared" si="183"/>
        <v>11.93</v>
      </c>
      <c r="M168" s="99">
        <f t="shared" si="187"/>
        <v>16296.38</v>
      </c>
      <c r="N168" s="99">
        <f t="shared" si="188"/>
        <v>560.05999999999949</v>
      </c>
      <c r="O168" s="100">
        <f t="shared" si="189"/>
        <v>3.5590277777777748E-2</v>
      </c>
      <c r="P168" s="100">
        <f t="shared" si="184"/>
        <v>3.5753361912509623E-3</v>
      </c>
      <c r="Q168" s="139">
        <f t="shared" si="190"/>
        <v>-1.6232051436864021E-6</v>
      </c>
      <c r="R168" s="139"/>
      <c r="T168" s="4">
        <f t="shared" si="191"/>
        <v>3.5590277777777901E-2</v>
      </c>
    </row>
    <row r="169" spans="1:20" x14ac:dyDescent="0.2">
      <c r="A169" s="28">
        <f t="shared" si="171"/>
        <v>160</v>
      </c>
      <c r="B169" s="25"/>
      <c r="C169" s="86"/>
      <c r="D169" s="2" t="s">
        <v>112</v>
      </c>
      <c r="E169" s="98"/>
      <c r="F169" s="90">
        <v>8.31</v>
      </c>
      <c r="G169" s="99">
        <f t="shared" si="185"/>
        <v>0</v>
      </c>
      <c r="H169" s="90">
        <v>8.31</v>
      </c>
      <c r="I169" s="99">
        <f t="shared" si="186"/>
        <v>0</v>
      </c>
      <c r="J169" s="100">
        <f t="shared" si="182"/>
        <v>0</v>
      </c>
      <c r="K169" s="100"/>
      <c r="L169" s="90">
        <f t="shared" si="183"/>
        <v>8.61</v>
      </c>
      <c r="M169" s="99">
        <f t="shared" si="187"/>
        <v>0</v>
      </c>
      <c r="N169" s="99">
        <f t="shared" si="188"/>
        <v>0</v>
      </c>
      <c r="O169" s="100">
        <f t="shared" si="189"/>
        <v>0</v>
      </c>
      <c r="P169" s="100">
        <f t="shared" si="184"/>
        <v>0</v>
      </c>
      <c r="Q169" s="139">
        <f t="shared" si="190"/>
        <v>0</v>
      </c>
      <c r="R169" s="139"/>
      <c r="T169" s="4">
        <f t="shared" si="191"/>
        <v>3.6101083032490822E-2</v>
      </c>
    </row>
    <row r="170" spans="1:20" x14ac:dyDescent="0.2">
      <c r="A170" s="28">
        <f t="shared" si="171"/>
        <v>161</v>
      </c>
      <c r="B170" s="25"/>
      <c r="C170" s="86"/>
      <c r="D170" s="2" t="s">
        <v>111</v>
      </c>
      <c r="E170" s="98">
        <v>48</v>
      </c>
      <c r="F170" s="90">
        <f>F165</f>
        <v>22.78</v>
      </c>
      <c r="G170" s="99">
        <f t="shared" si="185"/>
        <v>1093.44</v>
      </c>
      <c r="H170" s="90">
        <f>H165</f>
        <v>24.75</v>
      </c>
      <c r="I170" s="99">
        <f t="shared" si="186"/>
        <v>1188</v>
      </c>
      <c r="J170" s="100">
        <f t="shared" si="182"/>
        <v>2.7003948591010113E-4</v>
      </c>
      <c r="K170" s="100"/>
      <c r="L170" s="90">
        <f t="shared" si="183"/>
        <v>25.64</v>
      </c>
      <c r="M170" s="99">
        <f t="shared" si="187"/>
        <v>1230.72</v>
      </c>
      <c r="N170" s="99">
        <f t="shared" si="188"/>
        <v>42.720000000000027</v>
      </c>
      <c r="O170" s="100">
        <f t="shared" si="189"/>
        <v>3.5959595959595983E-2</v>
      </c>
      <c r="P170" s="100">
        <f t="shared" si="184"/>
        <v>2.7001320276628211E-4</v>
      </c>
      <c r="Q170" s="139">
        <f t="shared" si="190"/>
        <v>-2.6283143819022005E-8</v>
      </c>
      <c r="R170" s="139"/>
      <c r="T170" s="4">
        <f t="shared" si="191"/>
        <v>3.5959595959595969E-2</v>
      </c>
    </row>
    <row r="171" spans="1:20" x14ac:dyDescent="0.2">
      <c r="A171" s="28">
        <f t="shared" si="171"/>
        <v>162</v>
      </c>
      <c r="B171" s="25"/>
      <c r="C171" s="86"/>
      <c r="D171" s="2" t="s">
        <v>115</v>
      </c>
      <c r="E171" s="98">
        <v>12</v>
      </c>
      <c r="F171" s="90">
        <v>13.08</v>
      </c>
      <c r="G171" s="99">
        <f t="shared" si="185"/>
        <v>156.96</v>
      </c>
      <c r="H171" s="90">
        <v>13.08</v>
      </c>
      <c r="I171" s="99">
        <f t="shared" si="186"/>
        <v>156.96</v>
      </c>
      <c r="J171" s="100">
        <f t="shared" si="182"/>
        <v>3.5677944199031546E-5</v>
      </c>
      <c r="K171" s="100"/>
      <c r="L171" s="90">
        <f t="shared" si="183"/>
        <v>13.55</v>
      </c>
      <c r="M171" s="99">
        <f t="shared" si="187"/>
        <v>162.60000000000002</v>
      </c>
      <c r="N171" s="99">
        <f t="shared" si="188"/>
        <v>5.6400000000000148</v>
      </c>
      <c r="O171" s="100">
        <f t="shared" si="189"/>
        <v>3.5932721712538321E-2</v>
      </c>
      <c r="P171" s="100">
        <f t="shared" si="184"/>
        <v>3.567354619230814E-5</v>
      </c>
      <c r="Q171" s="139">
        <f t="shared" si="190"/>
        <v>-4.3980067234060329E-9</v>
      </c>
      <c r="R171" s="139"/>
      <c r="T171" s="4">
        <f t="shared" si="191"/>
        <v>3.5932721712538251E-2</v>
      </c>
    </row>
    <row r="172" spans="1:20" x14ac:dyDescent="0.2">
      <c r="A172" s="28">
        <f t="shared" si="171"/>
        <v>163</v>
      </c>
      <c r="B172" s="25"/>
      <c r="C172" s="86"/>
      <c r="D172" s="2" t="s">
        <v>157</v>
      </c>
      <c r="E172" s="98"/>
      <c r="F172" s="90"/>
      <c r="G172" s="99"/>
      <c r="H172" s="90">
        <v>10.81</v>
      </c>
      <c r="I172" s="99"/>
      <c r="J172" s="100"/>
      <c r="K172" s="100"/>
      <c r="L172" s="90">
        <f t="shared" si="183"/>
        <v>11.2</v>
      </c>
      <c r="M172" s="99"/>
      <c r="N172" s="99"/>
      <c r="O172" s="100"/>
      <c r="P172" s="100"/>
      <c r="Q172" s="139"/>
      <c r="R172" s="139"/>
      <c r="T172" s="4">
        <f t="shared" si="191"/>
        <v>3.6077705827936901E-2</v>
      </c>
    </row>
    <row r="173" spans="1:20" x14ac:dyDescent="0.2">
      <c r="A173" s="28">
        <f t="shared" si="171"/>
        <v>164</v>
      </c>
      <c r="B173" s="25"/>
      <c r="C173" s="86"/>
      <c r="D173" s="2" t="s">
        <v>144</v>
      </c>
      <c r="E173" s="98"/>
      <c r="F173" s="90"/>
      <c r="G173" s="99"/>
      <c r="H173" s="90">
        <v>17.37</v>
      </c>
      <c r="I173" s="99"/>
      <c r="J173" s="100"/>
      <c r="K173" s="100"/>
      <c r="L173" s="90">
        <f t="shared" si="183"/>
        <v>17.989999999999998</v>
      </c>
      <c r="M173" s="99"/>
      <c r="N173" s="99"/>
      <c r="O173" s="100"/>
      <c r="P173" s="100"/>
      <c r="Q173" s="139"/>
      <c r="R173" s="139"/>
      <c r="T173" s="4">
        <f t="shared" si="191"/>
        <v>3.5693724812895677E-2</v>
      </c>
    </row>
    <row r="174" spans="1:20" x14ac:dyDescent="0.2">
      <c r="A174" s="28">
        <f t="shared" si="171"/>
        <v>165</v>
      </c>
      <c r="B174" s="25"/>
      <c r="C174" s="86"/>
      <c r="D174" s="2" t="s">
        <v>143</v>
      </c>
      <c r="E174" s="98"/>
      <c r="F174" s="90"/>
      <c r="G174" s="99"/>
      <c r="H174" s="90">
        <v>17.37</v>
      </c>
      <c r="I174" s="99"/>
      <c r="J174" s="100"/>
      <c r="K174" s="100"/>
      <c r="L174" s="90">
        <f t="shared" si="183"/>
        <v>17.989999999999998</v>
      </c>
      <c r="M174" s="99"/>
      <c r="N174" s="99"/>
      <c r="O174" s="100"/>
      <c r="P174" s="100"/>
      <c r="Q174" s="139"/>
      <c r="R174" s="139"/>
      <c r="T174" s="4">
        <f t="shared" si="191"/>
        <v>3.5693724812895677E-2</v>
      </c>
    </row>
    <row r="175" spans="1:20" x14ac:dyDescent="0.2">
      <c r="A175" s="28">
        <f>A174+1</f>
        <v>166</v>
      </c>
      <c r="B175" s="25"/>
      <c r="C175" s="86"/>
      <c r="D175" s="2" t="s">
        <v>145</v>
      </c>
      <c r="E175" s="98"/>
      <c r="F175" s="90"/>
      <c r="G175" s="99"/>
      <c r="H175" s="90">
        <v>21.75</v>
      </c>
      <c r="I175" s="99"/>
      <c r="J175" s="100"/>
      <c r="K175" s="100"/>
      <c r="L175" s="90">
        <f t="shared" si="183"/>
        <v>22.53</v>
      </c>
      <c r="M175" s="99"/>
      <c r="N175" s="99"/>
      <c r="O175" s="100"/>
      <c r="P175" s="100"/>
      <c r="Q175" s="139"/>
      <c r="R175" s="139"/>
      <c r="T175" s="4">
        <f t="shared" si="191"/>
        <v>3.5862068965517357E-2</v>
      </c>
    </row>
    <row r="176" spans="1:20" x14ac:dyDescent="0.2">
      <c r="A176" s="28">
        <f t="shared" si="171"/>
        <v>167</v>
      </c>
      <c r="B176" s="25"/>
      <c r="C176" s="86"/>
      <c r="D176" s="2" t="s">
        <v>150</v>
      </c>
      <c r="E176" s="98"/>
      <c r="F176" s="90"/>
      <c r="G176" s="99"/>
      <c r="H176" s="90">
        <v>15.29</v>
      </c>
      <c r="I176" s="99"/>
      <c r="J176" s="100"/>
      <c r="K176" s="100"/>
      <c r="L176" s="90">
        <f t="shared" si="183"/>
        <v>15.84</v>
      </c>
      <c r="M176" s="99"/>
      <c r="N176" s="99"/>
      <c r="O176" s="100"/>
      <c r="P176" s="100"/>
      <c r="Q176" s="139"/>
      <c r="R176" s="139"/>
      <c r="T176" s="4">
        <f t="shared" si="191"/>
        <v>3.5971223021582732E-2</v>
      </c>
    </row>
    <row r="177" spans="1:23" x14ac:dyDescent="0.2">
      <c r="A177" s="28">
        <f t="shared" si="171"/>
        <v>168</v>
      </c>
      <c r="B177" s="25"/>
      <c r="C177" s="86"/>
      <c r="D177" s="2" t="s">
        <v>146</v>
      </c>
      <c r="E177" s="98"/>
      <c r="F177" s="90"/>
      <c r="G177" s="99"/>
      <c r="H177" s="90">
        <v>9.48</v>
      </c>
      <c r="I177" s="99"/>
      <c r="J177" s="100"/>
      <c r="K177" s="100"/>
      <c r="L177" s="90">
        <f t="shared" si="183"/>
        <v>9.82</v>
      </c>
      <c r="M177" s="99"/>
      <c r="N177" s="99"/>
      <c r="O177" s="100"/>
      <c r="P177" s="100"/>
      <c r="Q177" s="139"/>
      <c r="R177" s="139"/>
      <c r="T177" s="4">
        <f t="shared" si="191"/>
        <v>3.5864978902953482E-2</v>
      </c>
    </row>
    <row r="178" spans="1:23" x14ac:dyDescent="0.2">
      <c r="A178" s="28">
        <f t="shared" si="171"/>
        <v>169</v>
      </c>
      <c r="B178" s="25"/>
      <c r="C178" s="86"/>
      <c r="D178" s="2" t="s">
        <v>147</v>
      </c>
      <c r="E178" s="98"/>
      <c r="F178" s="90"/>
      <c r="G178" s="99"/>
      <c r="H178" s="90">
        <v>12.73</v>
      </c>
      <c r="I178" s="99"/>
      <c r="J178" s="100"/>
      <c r="K178" s="100"/>
      <c r="L178" s="90">
        <f t="shared" si="183"/>
        <v>13.19</v>
      </c>
      <c r="M178" s="99"/>
      <c r="N178" s="99"/>
      <c r="O178" s="100"/>
      <c r="P178" s="100"/>
      <c r="Q178" s="139"/>
      <c r="R178" s="139"/>
      <c r="T178" s="4">
        <f t="shared" si="191"/>
        <v>3.6135113904163241E-2</v>
      </c>
    </row>
    <row r="179" spans="1:23" x14ac:dyDescent="0.2">
      <c r="A179" s="28">
        <f t="shared" si="171"/>
        <v>170</v>
      </c>
      <c r="B179" s="25"/>
      <c r="C179" s="86"/>
      <c r="D179" s="2" t="s">
        <v>148</v>
      </c>
      <c r="E179" s="98"/>
      <c r="F179" s="90"/>
      <c r="G179" s="99"/>
      <c r="H179" s="90">
        <v>13.72</v>
      </c>
      <c r="I179" s="99"/>
      <c r="J179" s="100"/>
      <c r="K179" s="100"/>
      <c r="L179" s="90">
        <f t="shared" si="183"/>
        <v>14.21</v>
      </c>
      <c r="M179" s="99"/>
      <c r="N179" s="99"/>
      <c r="O179" s="100"/>
      <c r="P179" s="100"/>
      <c r="Q179" s="139"/>
      <c r="R179" s="139"/>
      <c r="T179" s="4">
        <f t="shared" si="191"/>
        <v>3.5714285714285809E-2</v>
      </c>
    </row>
    <row r="180" spans="1:23" x14ac:dyDescent="0.2">
      <c r="A180" s="28">
        <f t="shared" si="171"/>
        <v>171</v>
      </c>
      <c r="B180" s="25"/>
      <c r="C180" s="86"/>
      <c r="D180" s="2" t="s">
        <v>149</v>
      </c>
      <c r="E180" s="98"/>
      <c r="F180" s="90"/>
      <c r="G180" s="99"/>
      <c r="H180" s="90">
        <v>27.95</v>
      </c>
      <c r="I180" s="99"/>
      <c r="J180" s="100"/>
      <c r="K180" s="100"/>
      <c r="L180" s="90">
        <f t="shared" si="183"/>
        <v>28.95</v>
      </c>
      <c r="M180" s="99"/>
      <c r="N180" s="99"/>
      <c r="O180" s="100"/>
      <c r="P180" s="100"/>
      <c r="Q180" s="139"/>
      <c r="R180" s="139"/>
      <c r="T180" s="4">
        <f t="shared" si="191"/>
        <v>3.5778175313059046E-2</v>
      </c>
    </row>
    <row r="181" spans="1:23" x14ac:dyDescent="0.2">
      <c r="A181" s="28">
        <f t="shared" si="171"/>
        <v>172</v>
      </c>
      <c r="B181" s="154" t="s">
        <v>138</v>
      </c>
      <c r="C181" s="86" t="s">
        <v>134</v>
      </c>
      <c r="D181" s="82" t="s">
        <v>134</v>
      </c>
      <c r="E181" s="98"/>
      <c r="F181" s="90"/>
      <c r="G181" s="99"/>
      <c r="H181" s="90"/>
      <c r="I181" s="99"/>
      <c r="J181" s="100"/>
      <c r="K181" s="100"/>
      <c r="L181" s="90"/>
      <c r="M181" s="99"/>
      <c r="N181" s="99"/>
      <c r="O181" s="100"/>
      <c r="P181" s="100"/>
      <c r="Q181" s="139"/>
      <c r="R181" s="139"/>
      <c r="T181" s="4" t="e">
        <f t="shared" si="191"/>
        <v>#DIV/0!</v>
      </c>
    </row>
    <row r="182" spans="1:23" x14ac:dyDescent="0.2">
      <c r="A182" s="28">
        <f t="shared" si="171"/>
        <v>173</v>
      </c>
      <c r="B182" s="154"/>
      <c r="C182" s="86"/>
      <c r="D182" s="2" t="s">
        <v>116</v>
      </c>
      <c r="E182" s="98">
        <v>70943</v>
      </c>
      <c r="F182" s="90">
        <v>11</v>
      </c>
      <c r="G182" s="99">
        <f t="shared" ref="G182:G196" si="192">F182*E182</f>
        <v>780373</v>
      </c>
      <c r="H182" s="90">
        <v>11.7</v>
      </c>
      <c r="I182" s="99">
        <f t="shared" ref="I182:I196" si="193">H182*E182</f>
        <v>830033.1</v>
      </c>
      <c r="J182" s="100">
        <f t="shared" ref="J182:J205" si="194">I182/I$206</f>
        <v>0.18867147442118481</v>
      </c>
      <c r="K182" s="100"/>
      <c r="L182" s="90">
        <f t="shared" ref="L182:L205" si="195">ROUND(H182*S$206,2)</f>
        <v>12.12</v>
      </c>
      <c r="M182" s="99">
        <f t="shared" ref="M182:M196" si="196">L182*E182</f>
        <v>859829.15999999992</v>
      </c>
      <c r="N182" s="99">
        <f t="shared" ref="N182:N196" si="197">M182-I182</f>
        <v>29796.059999999939</v>
      </c>
      <c r="O182" s="100">
        <f t="shared" ref="O182:O196" si="198">IF(I182=0,0,N182/I182)</f>
        <v>3.5897435897435825E-2</v>
      </c>
      <c r="P182" s="100">
        <f t="shared" ref="P182:P205" si="199">M182/M$206</f>
        <v>0.18864179124694649</v>
      </c>
      <c r="Q182" s="139">
        <f t="shared" ref="Q182:Q196" si="200">P182-J182</f>
        <v>-2.9683174238320786E-5</v>
      </c>
      <c r="R182" s="139"/>
      <c r="T182" s="4">
        <f t="shared" ref="T182:T196" si="201">L182/H182-1</f>
        <v>3.5897435897435992E-2</v>
      </c>
      <c r="W182" s="54"/>
    </row>
    <row r="183" spans="1:23" x14ac:dyDescent="0.2">
      <c r="A183" s="28">
        <f t="shared" si="171"/>
        <v>174</v>
      </c>
      <c r="B183" s="25"/>
      <c r="C183" s="86"/>
      <c r="D183" s="2" t="s">
        <v>116</v>
      </c>
      <c r="E183" s="98">
        <v>13276</v>
      </c>
      <c r="F183" s="90">
        <f>F182</f>
        <v>11</v>
      </c>
      <c r="G183" s="99">
        <f t="shared" si="192"/>
        <v>146036</v>
      </c>
      <c r="H183" s="90">
        <f>H182</f>
        <v>11.7</v>
      </c>
      <c r="I183" s="99">
        <f t="shared" si="193"/>
        <v>155329.19999999998</v>
      </c>
      <c r="J183" s="100">
        <f t="shared" si="194"/>
        <v>3.5307253632009497E-2</v>
      </c>
      <c r="K183" s="100"/>
      <c r="L183" s="90">
        <f t="shared" si="195"/>
        <v>12.12</v>
      </c>
      <c r="M183" s="99">
        <f t="shared" si="196"/>
        <v>160905.12</v>
      </c>
      <c r="N183" s="99">
        <f t="shared" si="197"/>
        <v>5575.9200000000128</v>
      </c>
      <c r="O183" s="100">
        <f t="shared" si="198"/>
        <v>3.5897435897435985E-2</v>
      </c>
      <c r="P183" s="100">
        <f t="shared" si="199"/>
        <v>3.5301698837016504E-2</v>
      </c>
      <c r="Q183" s="139">
        <f t="shared" si="200"/>
        <v>-5.5547949929929397E-6</v>
      </c>
      <c r="R183" s="139"/>
      <c r="T183" s="4">
        <f t="shared" si="201"/>
        <v>3.5897435897435992E-2</v>
      </c>
      <c r="W183" s="54"/>
    </row>
    <row r="184" spans="1:23" x14ac:dyDescent="0.2">
      <c r="A184" s="28">
        <f t="shared" si="171"/>
        <v>175</v>
      </c>
      <c r="B184" s="25"/>
      <c r="C184" s="86"/>
      <c r="D184" s="2" t="s">
        <v>117</v>
      </c>
      <c r="E184" s="98">
        <v>1022</v>
      </c>
      <c r="F184" s="90">
        <v>7.99</v>
      </c>
      <c r="G184" s="99">
        <f t="shared" si="192"/>
        <v>8165.7800000000007</v>
      </c>
      <c r="H184" s="90">
        <v>7.99</v>
      </c>
      <c r="I184" s="99">
        <f t="shared" si="193"/>
        <v>8165.7800000000007</v>
      </c>
      <c r="J184" s="100">
        <f t="shared" si="194"/>
        <v>1.8561304993728839E-3</v>
      </c>
      <c r="K184" s="100"/>
      <c r="L184" s="90">
        <f t="shared" si="195"/>
        <v>8.2799999999999994</v>
      </c>
      <c r="M184" s="99">
        <f t="shared" si="196"/>
        <v>8462.16</v>
      </c>
      <c r="N184" s="99">
        <f t="shared" si="197"/>
        <v>296.3799999999992</v>
      </c>
      <c r="O184" s="100">
        <f t="shared" si="198"/>
        <v>3.6295369211514293E-2</v>
      </c>
      <c r="P184" s="100">
        <f t="shared" si="199"/>
        <v>1.8565513877410961E-3</v>
      </c>
      <c r="Q184" s="139">
        <f t="shared" si="200"/>
        <v>4.2088836821221713E-7</v>
      </c>
      <c r="R184" s="139"/>
      <c r="T184" s="4">
        <f t="shared" si="201"/>
        <v>3.6295369211514217E-2</v>
      </c>
      <c r="W184" s="54"/>
    </row>
    <row r="185" spans="1:23" x14ac:dyDescent="0.2">
      <c r="A185" s="28">
        <f t="shared" si="171"/>
        <v>176</v>
      </c>
      <c r="B185" s="25"/>
      <c r="C185" s="86"/>
      <c r="D185" s="2" t="s">
        <v>117</v>
      </c>
      <c r="E185" s="98">
        <v>33</v>
      </c>
      <c r="F185" s="90">
        <f>F184</f>
        <v>7.99</v>
      </c>
      <c r="G185" s="99">
        <f t="shared" si="192"/>
        <v>263.67</v>
      </c>
      <c r="H185" s="90">
        <f>H184</f>
        <v>7.99</v>
      </c>
      <c r="I185" s="99">
        <f t="shared" si="193"/>
        <v>263.67</v>
      </c>
      <c r="J185" s="100">
        <f t="shared" si="194"/>
        <v>5.9933763678380784E-5</v>
      </c>
      <c r="K185" s="100"/>
      <c r="L185" s="90">
        <f t="shared" si="195"/>
        <v>8.2799999999999994</v>
      </c>
      <c r="M185" s="99">
        <f t="shared" si="196"/>
        <v>273.23999999999995</v>
      </c>
      <c r="N185" s="99">
        <f t="shared" si="197"/>
        <v>9.5699999999999363</v>
      </c>
      <c r="O185" s="100">
        <f t="shared" si="198"/>
        <v>3.6295369211514147E-2</v>
      </c>
      <c r="P185" s="100">
        <f t="shared" si="199"/>
        <v>5.994735400729566E-5</v>
      </c>
      <c r="Q185" s="139">
        <f t="shared" si="200"/>
        <v>1.3590328914875869E-8</v>
      </c>
      <c r="R185" s="139"/>
      <c r="T185" s="4">
        <f t="shared" si="201"/>
        <v>3.6295369211514217E-2</v>
      </c>
      <c r="W185" s="54"/>
    </row>
    <row r="186" spans="1:23" x14ac:dyDescent="0.2">
      <c r="A186" s="28">
        <f t="shared" si="171"/>
        <v>177</v>
      </c>
      <c r="B186" s="25"/>
      <c r="C186" s="86"/>
      <c r="D186" s="2" t="s">
        <v>118</v>
      </c>
      <c r="E186" s="98">
        <v>10438</v>
      </c>
      <c r="F186" s="90">
        <f>F182</f>
        <v>11</v>
      </c>
      <c r="G186" s="99">
        <f t="shared" si="192"/>
        <v>114818</v>
      </c>
      <c r="H186" s="90">
        <f>H182</f>
        <v>11.7</v>
      </c>
      <c r="I186" s="99">
        <f t="shared" si="193"/>
        <v>122124.59999999999</v>
      </c>
      <c r="J186" s="100">
        <f t="shared" si="194"/>
        <v>2.7759650000822169E-2</v>
      </c>
      <c r="K186" s="100"/>
      <c r="L186" s="90">
        <f t="shared" si="195"/>
        <v>12.12</v>
      </c>
      <c r="M186" s="99">
        <f t="shared" si="196"/>
        <v>126508.56</v>
      </c>
      <c r="N186" s="99">
        <f t="shared" si="197"/>
        <v>4383.9600000000064</v>
      </c>
      <c r="O186" s="100">
        <f t="shared" si="198"/>
        <v>3.589743589743595E-2</v>
      </c>
      <c r="P186" s="100">
        <f t="shared" si="199"/>
        <v>2.775528264995317E-2</v>
      </c>
      <c r="Q186" s="139">
        <f t="shared" si="200"/>
        <v>-4.3673508689986984E-6</v>
      </c>
      <c r="R186" s="139"/>
      <c r="T186" s="4">
        <f t="shared" si="201"/>
        <v>3.5897435897435992E-2</v>
      </c>
      <c r="W186" s="54"/>
    </row>
    <row r="187" spans="1:23" x14ac:dyDescent="0.2">
      <c r="A187" s="28">
        <f t="shared" si="171"/>
        <v>178</v>
      </c>
      <c r="B187" s="25"/>
      <c r="C187" s="86"/>
      <c r="D187" s="2" t="s">
        <v>118</v>
      </c>
      <c r="E187" s="98"/>
      <c r="F187" s="90">
        <f>F186</f>
        <v>11</v>
      </c>
      <c r="G187" s="99">
        <f t="shared" si="192"/>
        <v>0</v>
      </c>
      <c r="H187" s="90">
        <f>H186</f>
        <v>11.7</v>
      </c>
      <c r="I187" s="99">
        <f t="shared" si="193"/>
        <v>0</v>
      </c>
      <c r="J187" s="100">
        <f t="shared" si="194"/>
        <v>0</v>
      </c>
      <c r="K187" s="100"/>
      <c r="L187" s="90">
        <f t="shared" si="195"/>
        <v>12.12</v>
      </c>
      <c r="M187" s="99">
        <f t="shared" si="196"/>
        <v>0</v>
      </c>
      <c r="N187" s="99">
        <f t="shared" si="197"/>
        <v>0</v>
      </c>
      <c r="O187" s="100">
        <f t="shared" si="198"/>
        <v>0</v>
      </c>
      <c r="P187" s="100">
        <f t="shared" si="199"/>
        <v>0</v>
      </c>
      <c r="Q187" s="139">
        <f t="shared" si="200"/>
        <v>0</v>
      </c>
      <c r="R187" s="139"/>
      <c r="T187" s="4">
        <f t="shared" si="201"/>
        <v>3.5897435897435992E-2</v>
      </c>
      <c r="W187" s="54"/>
    </row>
    <row r="188" spans="1:23" x14ac:dyDescent="0.2">
      <c r="A188" s="28">
        <f t="shared" si="171"/>
        <v>179</v>
      </c>
      <c r="B188" s="25"/>
      <c r="C188" s="86"/>
      <c r="D188" s="2" t="s">
        <v>119</v>
      </c>
      <c r="E188" s="98">
        <v>114</v>
      </c>
      <c r="F188" s="90">
        <f>F184</f>
        <v>7.99</v>
      </c>
      <c r="G188" s="99">
        <f t="shared" si="192"/>
        <v>910.86</v>
      </c>
      <c r="H188" s="90">
        <f>H184</f>
        <v>7.99</v>
      </c>
      <c r="I188" s="99">
        <f t="shared" si="193"/>
        <v>910.86</v>
      </c>
      <c r="J188" s="100">
        <f t="shared" si="194"/>
        <v>2.0704391088895179E-4</v>
      </c>
      <c r="K188" s="100"/>
      <c r="L188" s="90">
        <f t="shared" si="195"/>
        <v>8.2799999999999994</v>
      </c>
      <c r="M188" s="99">
        <f t="shared" si="196"/>
        <v>943.92</v>
      </c>
      <c r="N188" s="99">
        <f t="shared" si="197"/>
        <v>33.059999999999945</v>
      </c>
      <c r="O188" s="100">
        <f t="shared" si="198"/>
        <v>3.6295369211514335E-2</v>
      </c>
      <c r="P188" s="100">
        <f t="shared" si="199"/>
        <v>2.0709085929793047E-4</v>
      </c>
      <c r="Q188" s="139">
        <f t="shared" si="200"/>
        <v>4.6948408978676878E-8</v>
      </c>
      <c r="R188" s="139"/>
      <c r="T188" s="4">
        <f t="shared" si="201"/>
        <v>3.6295369211514217E-2</v>
      </c>
      <c r="W188" s="54"/>
    </row>
    <row r="189" spans="1:23" x14ac:dyDescent="0.2">
      <c r="A189" s="28">
        <f t="shared" si="171"/>
        <v>180</v>
      </c>
      <c r="B189" s="25"/>
      <c r="C189" s="86"/>
      <c r="D189" s="2" t="s">
        <v>120</v>
      </c>
      <c r="E189" s="98">
        <v>157674</v>
      </c>
      <c r="F189" s="90">
        <v>14.1</v>
      </c>
      <c r="G189" s="99">
        <f t="shared" si="192"/>
        <v>2223203.4</v>
      </c>
      <c r="H189" s="90">
        <v>14.37</v>
      </c>
      <c r="I189" s="99">
        <f t="shared" si="193"/>
        <v>2265775.38</v>
      </c>
      <c r="J189" s="100">
        <f t="shared" si="194"/>
        <v>0.51502425825165321</v>
      </c>
      <c r="K189" s="100"/>
      <c r="L189" s="90">
        <f t="shared" si="195"/>
        <v>14.89</v>
      </c>
      <c r="M189" s="99">
        <f t="shared" si="196"/>
        <v>2347765.86</v>
      </c>
      <c r="N189" s="99">
        <f t="shared" si="197"/>
        <v>81990.479999999981</v>
      </c>
      <c r="O189" s="100">
        <f t="shared" si="198"/>
        <v>3.6186499652052881E-2</v>
      </c>
      <c r="P189" s="100">
        <f t="shared" si="199"/>
        <v>0.5150869240801601</v>
      </c>
      <c r="Q189" s="139">
        <f t="shared" si="200"/>
        <v>6.2665828506891508E-5</v>
      </c>
      <c r="R189" s="139"/>
      <c r="T189" s="4">
        <f t="shared" si="201"/>
        <v>3.6186499652052895E-2</v>
      </c>
      <c r="W189" s="54"/>
    </row>
    <row r="190" spans="1:23" x14ac:dyDescent="0.2">
      <c r="A190" s="28">
        <f t="shared" si="171"/>
        <v>181</v>
      </c>
      <c r="B190" s="25"/>
      <c r="C190" s="86"/>
      <c r="D190" s="2" t="s">
        <v>121</v>
      </c>
      <c r="E190" s="98">
        <v>778</v>
      </c>
      <c r="F190" s="90">
        <v>12.3</v>
      </c>
      <c r="G190" s="99">
        <f t="shared" si="192"/>
        <v>9569.4000000000015</v>
      </c>
      <c r="H190" s="90">
        <v>12.3</v>
      </c>
      <c r="I190" s="99">
        <f t="shared" si="193"/>
        <v>9569.4000000000015</v>
      </c>
      <c r="J190" s="100">
        <f t="shared" si="194"/>
        <v>2.1751816973637392E-3</v>
      </c>
      <c r="K190" s="100"/>
      <c r="L190" s="90">
        <f t="shared" si="195"/>
        <v>12.74</v>
      </c>
      <c r="M190" s="99">
        <f t="shared" si="196"/>
        <v>9911.7199999999993</v>
      </c>
      <c r="N190" s="99">
        <f t="shared" si="197"/>
        <v>342.31999999999789</v>
      </c>
      <c r="O190" s="100">
        <f t="shared" si="198"/>
        <v>3.5772357723577008E-2</v>
      </c>
      <c r="P190" s="100">
        <f t="shared" si="199"/>
        <v>2.1745768835499655E-3</v>
      </c>
      <c r="Q190" s="139">
        <f t="shared" si="200"/>
        <v>-6.0481381377371773E-7</v>
      </c>
      <c r="R190" s="139"/>
      <c r="T190" s="4">
        <f t="shared" si="201"/>
        <v>3.577235772357712E-2</v>
      </c>
      <c r="W190" s="54"/>
    </row>
    <row r="191" spans="1:23" x14ac:dyDescent="0.2">
      <c r="A191" s="28">
        <f t="shared" si="171"/>
        <v>182</v>
      </c>
      <c r="B191" s="25"/>
      <c r="C191" s="86"/>
      <c r="D191" s="2" t="s">
        <v>122</v>
      </c>
      <c r="E191" s="98">
        <v>14396</v>
      </c>
      <c r="F191" s="90">
        <v>24.41</v>
      </c>
      <c r="G191" s="99">
        <f t="shared" si="192"/>
        <v>351406.36</v>
      </c>
      <c r="H191" s="90">
        <v>25.27</v>
      </c>
      <c r="I191" s="99">
        <f t="shared" si="193"/>
        <v>363786.92</v>
      </c>
      <c r="J191" s="100">
        <f t="shared" si="194"/>
        <v>8.2690936748837623E-2</v>
      </c>
      <c r="K191" s="100"/>
      <c r="L191" s="90">
        <f t="shared" si="195"/>
        <v>26.18</v>
      </c>
      <c r="M191" s="99">
        <f t="shared" si="196"/>
        <v>376887.27999999997</v>
      </c>
      <c r="N191" s="99">
        <f t="shared" si="197"/>
        <v>13100.359999999986</v>
      </c>
      <c r="O191" s="100">
        <f t="shared" si="198"/>
        <v>3.6011080332409934E-2</v>
      </c>
      <c r="P191" s="100">
        <f t="shared" si="199"/>
        <v>8.2686997493071152E-2</v>
      </c>
      <c r="Q191" s="139">
        <f t="shared" si="200"/>
        <v>-3.9392557664719163E-6</v>
      </c>
      <c r="R191" s="139"/>
      <c r="T191" s="4">
        <f t="shared" si="201"/>
        <v>3.6011080332410073E-2</v>
      </c>
      <c r="W191" s="54"/>
    </row>
    <row r="192" spans="1:23" x14ac:dyDescent="0.2">
      <c r="A192" s="28">
        <f t="shared" si="171"/>
        <v>183</v>
      </c>
      <c r="B192" s="25"/>
      <c r="C192" s="86"/>
      <c r="D192" s="2" t="s">
        <v>123</v>
      </c>
      <c r="E192" s="98">
        <v>1289</v>
      </c>
      <c r="F192" s="90">
        <v>18.77</v>
      </c>
      <c r="G192" s="99">
        <f t="shared" si="192"/>
        <v>24194.53</v>
      </c>
      <c r="H192" s="90">
        <v>18.77</v>
      </c>
      <c r="I192" s="99">
        <f t="shared" si="193"/>
        <v>24194.53</v>
      </c>
      <c r="J192" s="100">
        <f t="shared" si="194"/>
        <v>5.4995609789869693E-3</v>
      </c>
      <c r="K192" s="100"/>
      <c r="L192" s="90">
        <f t="shared" si="195"/>
        <v>19.440000000000001</v>
      </c>
      <c r="M192" s="99">
        <f t="shared" si="196"/>
        <v>25058.16</v>
      </c>
      <c r="N192" s="99">
        <f t="shared" si="197"/>
        <v>863.63000000000102</v>
      </c>
      <c r="O192" s="100">
        <f t="shared" si="198"/>
        <v>3.5695258391049589E-2</v>
      </c>
      <c r="P192" s="100">
        <f t="shared" si="199"/>
        <v>5.4976225599892257E-3</v>
      </c>
      <c r="Q192" s="139">
        <f t="shared" si="200"/>
        <v>-1.9384189977435587E-6</v>
      </c>
      <c r="R192" s="139"/>
      <c r="T192" s="4">
        <f t="shared" si="201"/>
        <v>3.56952583910497E-2</v>
      </c>
      <c r="W192" s="54"/>
    </row>
    <row r="193" spans="1:23" x14ac:dyDescent="0.2">
      <c r="A193" s="28">
        <f t="shared" si="171"/>
        <v>184</v>
      </c>
      <c r="B193" s="25"/>
      <c r="C193" s="86"/>
      <c r="D193" s="2" t="s">
        <v>124</v>
      </c>
      <c r="E193" s="98">
        <v>1436</v>
      </c>
      <c r="F193" s="90">
        <v>37.35</v>
      </c>
      <c r="G193" s="99">
        <f t="shared" si="192"/>
        <v>53634.6</v>
      </c>
      <c r="H193" s="90">
        <v>39.04</v>
      </c>
      <c r="I193" s="99">
        <f t="shared" si="193"/>
        <v>56061.440000000002</v>
      </c>
      <c r="J193" s="100">
        <f t="shared" si="194"/>
        <v>1.2743099694427594E-2</v>
      </c>
      <c r="K193" s="100"/>
      <c r="L193" s="90">
        <f t="shared" si="195"/>
        <v>40.44</v>
      </c>
      <c r="M193" s="99">
        <f t="shared" si="196"/>
        <v>58071.839999999997</v>
      </c>
      <c r="N193" s="99">
        <f t="shared" si="197"/>
        <v>2010.3999999999942</v>
      </c>
      <c r="O193" s="100">
        <f t="shared" si="198"/>
        <v>3.5860655737704812E-2</v>
      </c>
      <c r="P193" s="100">
        <f t="shared" si="199"/>
        <v>1.2740642476705579E-2</v>
      </c>
      <c r="Q193" s="139">
        <f t="shared" si="200"/>
        <v>-2.4572177220148761E-6</v>
      </c>
      <c r="R193" s="139"/>
      <c r="T193" s="4">
        <f t="shared" si="201"/>
        <v>3.5860655737704805E-2</v>
      </c>
      <c r="W193" s="54"/>
    </row>
    <row r="194" spans="1:23" x14ac:dyDescent="0.2">
      <c r="A194" s="28">
        <f t="shared" si="171"/>
        <v>185</v>
      </c>
      <c r="B194" s="25"/>
      <c r="C194" s="86"/>
      <c r="D194" s="2" t="s">
        <v>125</v>
      </c>
      <c r="E194" s="98">
        <v>723</v>
      </c>
      <c r="F194" s="90">
        <v>26.91</v>
      </c>
      <c r="G194" s="99">
        <f t="shared" si="192"/>
        <v>19455.93</v>
      </c>
      <c r="H194" s="90">
        <v>26.91</v>
      </c>
      <c r="I194" s="99">
        <f t="shared" si="193"/>
        <v>19455.93</v>
      </c>
      <c r="J194" s="100">
        <f t="shared" si="194"/>
        <v>4.4224489352718138E-3</v>
      </c>
      <c r="K194" s="100"/>
      <c r="L194" s="90">
        <f t="shared" si="195"/>
        <v>27.88</v>
      </c>
      <c r="M194" s="99">
        <f t="shared" si="196"/>
        <v>20157.239999999998</v>
      </c>
      <c r="N194" s="99">
        <f t="shared" si="197"/>
        <v>701.30999999999767</v>
      </c>
      <c r="O194" s="100">
        <f t="shared" si="198"/>
        <v>3.6046079524340274E-2</v>
      </c>
      <c r="P194" s="100">
        <f t="shared" si="199"/>
        <v>4.4223876522105857E-3</v>
      </c>
      <c r="Q194" s="139">
        <f t="shared" si="200"/>
        <v>-6.1283061228087354E-8</v>
      </c>
      <c r="R194" s="139"/>
      <c r="T194" s="4">
        <f t="shared" si="201"/>
        <v>3.6046079524340247E-2</v>
      </c>
      <c r="W194" s="54"/>
    </row>
    <row r="195" spans="1:23" x14ac:dyDescent="0.2">
      <c r="A195" s="28">
        <f t="shared" si="171"/>
        <v>186</v>
      </c>
      <c r="B195" s="25"/>
      <c r="C195" s="86"/>
      <c r="D195" s="2" t="s">
        <v>126</v>
      </c>
      <c r="E195" s="98">
        <v>4043</v>
      </c>
      <c r="F195" s="90">
        <v>17.54</v>
      </c>
      <c r="G195" s="99">
        <f t="shared" si="192"/>
        <v>70914.22</v>
      </c>
      <c r="H195" s="90">
        <v>18.79</v>
      </c>
      <c r="I195" s="99">
        <f t="shared" si="193"/>
        <v>75967.97</v>
      </c>
      <c r="J195" s="100">
        <f t="shared" si="194"/>
        <v>1.7267972697335005E-2</v>
      </c>
      <c r="K195" s="100"/>
      <c r="L195" s="90">
        <f t="shared" si="195"/>
        <v>19.47</v>
      </c>
      <c r="M195" s="99">
        <f t="shared" si="196"/>
        <v>78717.209999999992</v>
      </c>
      <c r="N195" s="99">
        <f t="shared" si="197"/>
        <v>2749.2399999999907</v>
      </c>
      <c r="O195" s="100">
        <f t="shared" si="198"/>
        <v>3.6189462480042456E-2</v>
      </c>
      <c r="P195" s="100">
        <f t="shared" si="199"/>
        <v>1.7270123167679088E-2</v>
      </c>
      <c r="Q195" s="139">
        <f t="shared" si="200"/>
        <v>2.1504703440825002E-6</v>
      </c>
      <c r="R195" s="139"/>
      <c r="T195" s="4">
        <f t="shared" si="201"/>
        <v>3.6189462480042511E-2</v>
      </c>
      <c r="W195" s="54"/>
    </row>
    <row r="196" spans="1:23" x14ac:dyDescent="0.2">
      <c r="A196" s="28">
        <f t="shared" si="171"/>
        <v>187</v>
      </c>
      <c r="B196" s="25"/>
      <c r="C196" s="86"/>
      <c r="D196" s="2" t="s">
        <v>127</v>
      </c>
      <c r="E196" s="98">
        <v>267</v>
      </c>
      <c r="F196" s="90">
        <v>10.15</v>
      </c>
      <c r="G196" s="99">
        <f t="shared" si="192"/>
        <v>2710.05</v>
      </c>
      <c r="H196" s="90">
        <v>10.15</v>
      </c>
      <c r="I196" s="99">
        <f t="shared" si="193"/>
        <v>2710.05</v>
      </c>
      <c r="J196" s="100">
        <f t="shared" si="194"/>
        <v>6.1601052928507546E-4</v>
      </c>
      <c r="K196" s="100"/>
      <c r="L196" s="90">
        <f t="shared" si="195"/>
        <v>10.51</v>
      </c>
      <c r="M196" s="99">
        <f t="shared" si="196"/>
        <v>2806.17</v>
      </c>
      <c r="N196" s="99">
        <f t="shared" si="197"/>
        <v>96.119999999999891</v>
      </c>
      <c r="O196" s="100">
        <f t="shared" si="198"/>
        <v>3.5467980295566456E-2</v>
      </c>
      <c r="P196" s="100">
        <f t="shared" si="199"/>
        <v>6.15658272561312E-4</v>
      </c>
      <c r="Q196" s="139">
        <f t="shared" si="200"/>
        <v>-3.522567237634628E-7</v>
      </c>
      <c r="R196" s="139"/>
      <c r="T196" s="4">
        <f t="shared" si="201"/>
        <v>3.5467980295566415E-2</v>
      </c>
      <c r="W196" s="54"/>
    </row>
    <row r="197" spans="1:23" x14ac:dyDescent="0.2">
      <c r="A197" s="28">
        <f t="shared" si="171"/>
        <v>188</v>
      </c>
      <c r="B197" s="25"/>
      <c r="C197" s="86"/>
      <c r="D197" s="2" t="s">
        <v>128</v>
      </c>
      <c r="E197" s="98">
        <v>1125</v>
      </c>
      <c r="F197" s="90">
        <v>19.03</v>
      </c>
      <c r="G197" s="99">
        <f t="shared" si="185"/>
        <v>21408.75</v>
      </c>
      <c r="H197" s="90">
        <v>20.28</v>
      </c>
      <c r="I197" s="99">
        <f t="shared" si="186"/>
        <v>22815</v>
      </c>
      <c r="J197" s="100">
        <f t="shared" si="194"/>
        <v>5.1859855816826245E-3</v>
      </c>
      <c r="K197" s="100"/>
      <c r="L197" s="90">
        <f t="shared" si="195"/>
        <v>21.01</v>
      </c>
      <c r="M197" s="99">
        <f t="shared" si="187"/>
        <v>23636.25</v>
      </c>
      <c r="N197" s="99">
        <f t="shared" si="188"/>
        <v>821.25</v>
      </c>
      <c r="O197" s="100">
        <f t="shared" si="189"/>
        <v>3.5996055226824461E-2</v>
      </c>
      <c r="P197" s="100">
        <f t="shared" si="199"/>
        <v>5.1856633221890724E-3</v>
      </c>
      <c r="Q197" s="139">
        <f t="shared" si="190"/>
        <v>-3.2225949355216277E-7</v>
      </c>
      <c r="R197" s="139"/>
      <c r="T197" s="4">
        <f t="shared" si="191"/>
        <v>3.5996055226824586E-2</v>
      </c>
      <c r="W197" s="54"/>
    </row>
    <row r="198" spans="1:23" x14ac:dyDescent="0.2">
      <c r="A198" s="28">
        <f t="shared" si="171"/>
        <v>189</v>
      </c>
      <c r="B198" s="25"/>
      <c r="C198" s="86"/>
      <c r="D198" s="2" t="s">
        <v>129</v>
      </c>
      <c r="E198" s="98">
        <v>310</v>
      </c>
      <c r="F198" s="90">
        <v>11.29</v>
      </c>
      <c r="G198" s="99">
        <f t="shared" si="185"/>
        <v>3499.8999999999996</v>
      </c>
      <c r="H198" s="90">
        <v>11.29</v>
      </c>
      <c r="I198" s="99">
        <f t="shared" si="186"/>
        <v>3499.8999999999996</v>
      </c>
      <c r="J198" s="100">
        <f t="shared" si="194"/>
        <v>7.9554814540131553E-4</v>
      </c>
      <c r="K198" s="100"/>
      <c r="L198" s="90">
        <f t="shared" si="195"/>
        <v>11.7</v>
      </c>
      <c r="M198" s="99">
        <f t="shared" si="187"/>
        <v>3627</v>
      </c>
      <c r="N198" s="99">
        <f t="shared" si="188"/>
        <v>127.10000000000036</v>
      </c>
      <c r="O198" s="100">
        <f t="shared" si="189"/>
        <v>3.6315323294951393E-2</v>
      </c>
      <c r="P198" s="100">
        <f t="shared" si="199"/>
        <v>7.9574386248155971E-4</v>
      </c>
      <c r="Q198" s="139">
        <f t="shared" si="190"/>
        <v>1.9571708024417652E-7</v>
      </c>
      <c r="R198" s="139"/>
      <c r="T198" s="4">
        <f t="shared" si="191"/>
        <v>3.6315323294951352E-2</v>
      </c>
      <c r="W198" s="54"/>
    </row>
    <row r="199" spans="1:23" x14ac:dyDescent="0.2">
      <c r="A199" s="28">
        <f t="shared" si="171"/>
        <v>190</v>
      </c>
      <c r="B199" s="25"/>
      <c r="C199" s="86"/>
      <c r="D199" s="2" t="s">
        <v>130</v>
      </c>
      <c r="E199" s="98"/>
      <c r="F199" s="90">
        <v>23.61</v>
      </c>
      <c r="G199" s="99">
        <f t="shared" si="185"/>
        <v>0</v>
      </c>
      <c r="H199" s="90">
        <v>25.58</v>
      </c>
      <c r="I199" s="99">
        <f t="shared" si="186"/>
        <v>0</v>
      </c>
      <c r="J199" s="100">
        <f t="shared" si="194"/>
        <v>0</v>
      </c>
      <c r="K199" s="100"/>
      <c r="L199" s="90">
        <f t="shared" si="195"/>
        <v>26.5</v>
      </c>
      <c r="M199" s="99">
        <f t="shared" si="187"/>
        <v>0</v>
      </c>
      <c r="N199" s="99">
        <f t="shared" si="188"/>
        <v>0</v>
      </c>
      <c r="O199" s="100">
        <f t="shared" si="189"/>
        <v>0</v>
      </c>
      <c r="P199" s="100">
        <f t="shared" si="199"/>
        <v>0</v>
      </c>
      <c r="Q199" s="139">
        <f t="shared" si="190"/>
        <v>0</v>
      </c>
      <c r="R199" s="139"/>
      <c r="T199" s="4">
        <f t="shared" si="191"/>
        <v>3.5965598123534059E-2</v>
      </c>
      <c r="W199" s="54"/>
    </row>
    <row r="200" spans="1:23" x14ac:dyDescent="0.2">
      <c r="A200" s="28">
        <f t="shared" si="171"/>
        <v>191</v>
      </c>
      <c r="B200" s="25"/>
      <c r="C200" s="86"/>
      <c r="D200" s="2" t="s">
        <v>130</v>
      </c>
      <c r="E200" s="98">
        <v>1795</v>
      </c>
      <c r="F200" s="90">
        <f>F199</f>
        <v>23.61</v>
      </c>
      <c r="G200" s="99">
        <f t="shared" ref="G200:G203" si="202">F200*E200</f>
        <v>42379.95</v>
      </c>
      <c r="H200" s="90">
        <f>H199</f>
        <v>25.58</v>
      </c>
      <c r="I200" s="99">
        <f t="shared" ref="I200:I203" si="203">H200*E200</f>
        <v>45916.1</v>
      </c>
      <c r="J200" s="100">
        <f t="shared" si="194"/>
        <v>1.0437003399828951E-2</v>
      </c>
      <c r="K200" s="100"/>
      <c r="L200" s="90">
        <f t="shared" si="195"/>
        <v>26.5</v>
      </c>
      <c r="M200" s="99">
        <f t="shared" ref="M200:M203" si="204">L200*E200</f>
        <v>47567.5</v>
      </c>
      <c r="N200" s="99">
        <f t="shared" ref="N200:N203" si="205">M200-I200</f>
        <v>1651.4000000000015</v>
      </c>
      <c r="O200" s="100">
        <f t="shared" ref="O200:O203" si="206">IF(I200=0,0,N200/I200)</f>
        <v>3.5965598123534046E-2</v>
      </c>
      <c r="P200" s="100">
        <f t="shared" si="199"/>
        <v>1.0436048022771325E-2</v>
      </c>
      <c r="Q200" s="139">
        <f t="shared" ref="Q200:Q203" si="207">P200-J200</f>
        <v>-9.5537705762684111E-7</v>
      </c>
      <c r="R200" s="139"/>
      <c r="T200" s="4">
        <f t="shared" ref="T200:T205" si="208">L200/H200-1</f>
        <v>3.5965598123534059E-2</v>
      </c>
      <c r="W200" s="54"/>
    </row>
    <row r="201" spans="1:23" x14ac:dyDescent="0.2">
      <c r="A201" s="28">
        <f t="shared" si="171"/>
        <v>192</v>
      </c>
      <c r="B201" s="25"/>
      <c r="C201" s="86"/>
      <c r="D201" s="2" t="s">
        <v>131</v>
      </c>
      <c r="E201" s="98">
        <v>481</v>
      </c>
      <c r="F201" s="90">
        <f>F198</f>
        <v>11.29</v>
      </c>
      <c r="G201" s="99">
        <f t="shared" si="202"/>
        <v>5430.49</v>
      </c>
      <c r="H201" s="90">
        <f>H198</f>
        <v>11.29</v>
      </c>
      <c r="I201" s="99">
        <f t="shared" si="203"/>
        <v>5430.49</v>
      </c>
      <c r="J201" s="100">
        <f t="shared" si="194"/>
        <v>1.2343827675420414E-3</v>
      </c>
      <c r="K201" s="100"/>
      <c r="L201" s="90">
        <f t="shared" si="195"/>
        <v>11.7</v>
      </c>
      <c r="M201" s="99">
        <f t="shared" si="204"/>
        <v>5627.7</v>
      </c>
      <c r="N201" s="99">
        <f t="shared" si="205"/>
        <v>197.21000000000004</v>
      </c>
      <c r="O201" s="100">
        <f t="shared" si="206"/>
        <v>3.6315323294951289E-2</v>
      </c>
      <c r="P201" s="100">
        <f t="shared" si="199"/>
        <v>1.2346864446891297E-3</v>
      </c>
      <c r="Q201" s="139">
        <f t="shared" si="207"/>
        <v>3.0367714708829339E-7</v>
      </c>
      <c r="R201" s="139"/>
      <c r="T201" s="4">
        <f t="shared" si="208"/>
        <v>3.6315323294951352E-2</v>
      </c>
      <c r="W201" s="54"/>
    </row>
    <row r="202" spans="1:23" x14ac:dyDescent="0.2">
      <c r="A202" s="28">
        <f t="shared" si="171"/>
        <v>193</v>
      </c>
      <c r="B202" s="25"/>
      <c r="C202" s="86"/>
      <c r="D202" s="2" t="s">
        <v>131</v>
      </c>
      <c r="E202" s="98"/>
      <c r="F202" s="90">
        <f>F201</f>
        <v>11.29</v>
      </c>
      <c r="G202" s="99">
        <f t="shared" si="202"/>
        <v>0</v>
      </c>
      <c r="H202" s="90">
        <f>H201</f>
        <v>11.29</v>
      </c>
      <c r="I202" s="99">
        <f t="shared" si="203"/>
        <v>0</v>
      </c>
      <c r="J202" s="100">
        <f t="shared" si="194"/>
        <v>0</v>
      </c>
      <c r="K202" s="100"/>
      <c r="L202" s="90">
        <f t="shared" si="195"/>
        <v>11.7</v>
      </c>
      <c r="M202" s="99">
        <f t="shared" si="204"/>
        <v>0</v>
      </c>
      <c r="N202" s="99">
        <f t="shared" si="205"/>
        <v>0</v>
      </c>
      <c r="O202" s="100">
        <f t="shared" si="206"/>
        <v>0</v>
      </c>
      <c r="P202" s="100">
        <f t="shared" si="199"/>
        <v>0</v>
      </c>
      <c r="Q202" s="139">
        <f t="shared" si="207"/>
        <v>0</v>
      </c>
      <c r="R202" s="139"/>
      <c r="T202" s="4">
        <f t="shared" si="208"/>
        <v>3.6315323294951352E-2</v>
      </c>
      <c r="W202" s="54"/>
    </row>
    <row r="203" spans="1:23" x14ac:dyDescent="0.2">
      <c r="A203" s="28">
        <f t="shared" si="171"/>
        <v>194</v>
      </c>
      <c r="B203" s="25"/>
      <c r="C203" s="86"/>
      <c r="D203" s="2" t="s">
        <v>132</v>
      </c>
      <c r="E203" s="98">
        <v>730</v>
      </c>
      <c r="F203" s="90">
        <v>41.47</v>
      </c>
      <c r="G203" s="99">
        <f t="shared" si="202"/>
        <v>30273.1</v>
      </c>
      <c r="H203" s="90">
        <v>46.13</v>
      </c>
      <c r="I203" s="99">
        <f t="shared" si="203"/>
        <v>33674.9</v>
      </c>
      <c r="J203" s="100">
        <f t="shared" si="194"/>
        <v>7.6545056263249709E-3</v>
      </c>
      <c r="K203" s="100"/>
      <c r="L203" s="90">
        <f t="shared" si="195"/>
        <v>47.79</v>
      </c>
      <c r="M203" s="99">
        <f t="shared" si="204"/>
        <v>34886.699999999997</v>
      </c>
      <c r="N203" s="99">
        <f t="shared" si="205"/>
        <v>1211.7999999999956</v>
      </c>
      <c r="O203" s="100">
        <f t="shared" si="206"/>
        <v>3.5985259050509297E-2</v>
      </c>
      <c r="P203" s="100">
        <f t="shared" si="199"/>
        <v>7.6539502087773449E-3</v>
      </c>
      <c r="Q203" s="139">
        <f t="shared" si="207"/>
        <v>-5.5541754762598872E-7</v>
      </c>
      <c r="R203" s="139"/>
      <c r="T203" s="4">
        <f t="shared" si="208"/>
        <v>3.5985259050509422E-2</v>
      </c>
      <c r="W203" s="54"/>
    </row>
    <row r="204" spans="1:23" x14ac:dyDescent="0.2">
      <c r="A204" s="28">
        <f t="shared" si="171"/>
        <v>195</v>
      </c>
      <c r="B204" s="25"/>
      <c r="C204" s="86"/>
      <c r="D204" s="2" t="s">
        <v>133</v>
      </c>
      <c r="E204" s="98">
        <v>132</v>
      </c>
      <c r="F204" s="90">
        <v>12.61</v>
      </c>
      <c r="G204" s="99">
        <f t="shared" ref="G204:G205" si="209">F204*E204</f>
        <v>1664.52</v>
      </c>
      <c r="H204" s="90">
        <v>12.61</v>
      </c>
      <c r="I204" s="99">
        <f t="shared" ref="I204:I205" si="210">H204*E204</f>
        <v>1664.52</v>
      </c>
      <c r="J204" s="100">
        <f t="shared" si="194"/>
        <v>3.7835532414737504E-4</v>
      </c>
      <c r="K204" s="100"/>
      <c r="L204" s="90">
        <f t="shared" si="195"/>
        <v>13.06</v>
      </c>
      <c r="M204" s="99">
        <f t="shared" ref="M204:M205" si="211">L204*E204</f>
        <v>1723.92</v>
      </c>
      <c r="N204" s="99">
        <f t="shared" ref="N204:N205" si="212">M204-I204</f>
        <v>59.400000000000091</v>
      </c>
      <c r="O204" s="100">
        <f t="shared" ref="O204:O205" si="213">IF(I204=0,0,N204/I204)</f>
        <v>3.5685963521015121E-2</v>
      </c>
      <c r="P204" s="100">
        <f t="shared" si="199"/>
        <v>3.7821857165955627E-4</v>
      </c>
      <c r="Q204" s="139">
        <f t="shared" ref="Q204:Q205" si="214">P204-J204</f>
        <v>-1.3675248781877362E-7</v>
      </c>
      <c r="R204" s="139"/>
      <c r="T204" s="4">
        <f t="shared" si="208"/>
        <v>3.5685963521015163E-2</v>
      </c>
      <c r="W204" s="54"/>
    </row>
    <row r="205" spans="1:23" x14ac:dyDescent="0.2">
      <c r="A205" s="28">
        <f t="shared" si="171"/>
        <v>196</v>
      </c>
      <c r="B205" s="25"/>
      <c r="C205" s="86"/>
      <c r="D205" s="2" t="s">
        <v>132</v>
      </c>
      <c r="E205" s="98">
        <v>48</v>
      </c>
      <c r="F205" s="90">
        <f>F203</f>
        <v>41.47</v>
      </c>
      <c r="G205" s="99">
        <f t="shared" si="209"/>
        <v>1990.56</v>
      </c>
      <c r="H205" s="90">
        <f>H203</f>
        <v>46.13</v>
      </c>
      <c r="I205" s="99">
        <f t="shared" si="210"/>
        <v>2214.2400000000002</v>
      </c>
      <c r="J205" s="100">
        <f t="shared" si="194"/>
        <v>5.0330995899123101E-4</v>
      </c>
      <c r="K205" s="100"/>
      <c r="L205" s="90">
        <f t="shared" si="195"/>
        <v>47.79</v>
      </c>
      <c r="M205" s="99">
        <f t="shared" si="211"/>
        <v>2293.92</v>
      </c>
      <c r="N205" s="99">
        <f t="shared" si="212"/>
        <v>79.679999999999836</v>
      </c>
      <c r="O205" s="100">
        <f t="shared" si="213"/>
        <v>3.5985259050509352E-2</v>
      </c>
      <c r="P205" s="100">
        <f t="shared" si="199"/>
        <v>5.0327343838535974E-4</v>
      </c>
      <c r="Q205" s="139">
        <f t="shared" si="214"/>
        <v>-3.6520605871262837E-8</v>
      </c>
      <c r="R205" s="139"/>
      <c r="T205" s="4">
        <f t="shared" si="208"/>
        <v>3.5985259050509422E-2</v>
      </c>
      <c r="W205" s="54"/>
    </row>
    <row r="206" spans="1:23" s="5" customFormat="1" ht="24.6" customHeight="1" x14ac:dyDescent="0.25">
      <c r="A206" s="28">
        <f t="shared" ref="A206:A228" si="215">A205+1</f>
        <v>197</v>
      </c>
      <c r="C206" s="14"/>
      <c r="D206" s="16" t="s">
        <v>6</v>
      </c>
      <c r="E206" s="101"/>
      <c r="F206" s="101"/>
      <c r="G206" s="17">
        <f>SUM(G142:G205)</f>
        <v>4250746.1499999985</v>
      </c>
      <c r="H206" s="101"/>
      <c r="I206" s="17">
        <f>SUM(I142:I205)</f>
        <v>4399356.6199999992</v>
      </c>
      <c r="J206" s="102">
        <f>SUM(J162:J205)</f>
        <v>0.9265217262609643</v>
      </c>
      <c r="K206" s="17">
        <f>I206+Summary!I16</f>
        <v>4557483.3099999996</v>
      </c>
      <c r="L206" s="101"/>
      <c r="M206" s="17">
        <f>SUM(M142:M205)</f>
        <v>4557999.34</v>
      </c>
      <c r="N206" s="17">
        <f>SUM(N142:N205)</f>
        <v>158642.71999999991</v>
      </c>
      <c r="O206" s="102">
        <f t="shared" ref="O206" si="216">N206/I206</f>
        <v>3.6060436491734092E-2</v>
      </c>
      <c r="P206" s="102">
        <f>SUM(P162:P205)</f>
        <v>0.92653473925250718</v>
      </c>
      <c r="Q206" s="141">
        <f t="shared" ref="Q206" si="217">P206-J206</f>
        <v>1.3012991542882268E-5</v>
      </c>
      <c r="R206" s="104">
        <f>M206-K206</f>
        <v>516.03000000026077</v>
      </c>
      <c r="S206" s="5">
        <f>K206/I206</f>
        <v>1.0359431397948367</v>
      </c>
    </row>
    <row r="207" spans="1:23" x14ac:dyDescent="0.2">
      <c r="A207" s="28">
        <f t="shared" si="215"/>
        <v>198</v>
      </c>
      <c r="D207" s="2" t="s">
        <v>26</v>
      </c>
      <c r="G207" s="99">
        <f>9894.64-1496</f>
        <v>8398.64</v>
      </c>
      <c r="I207" s="105">
        <f>G207</f>
        <v>8398.64</v>
      </c>
      <c r="K207" s="105">
        <f>K206-I206</f>
        <v>158126.69000000041</v>
      </c>
      <c r="M207" s="99">
        <f>I207</f>
        <v>8398.64</v>
      </c>
      <c r="N207" s="99">
        <f>M207-I207</f>
        <v>0</v>
      </c>
      <c r="O207" s="90">
        <v>0</v>
      </c>
    </row>
    <row r="208" spans="1:23" x14ac:dyDescent="0.2">
      <c r="A208" s="28">
        <f t="shared" si="215"/>
        <v>199</v>
      </c>
      <c r="D208" s="2" t="s">
        <v>27</v>
      </c>
      <c r="G208" s="99">
        <f>5829-404</f>
        <v>5425</v>
      </c>
      <c r="I208" s="105">
        <v>388100</v>
      </c>
      <c r="M208" s="99">
        <f t="shared" ref="M208:M209" si="218">I208</f>
        <v>388100</v>
      </c>
      <c r="N208" s="99">
        <f>M208-I208</f>
        <v>0</v>
      </c>
      <c r="O208" s="90">
        <v>0</v>
      </c>
    </row>
    <row r="209" spans="1:18" x14ac:dyDescent="0.2">
      <c r="A209" s="28">
        <f t="shared" si="215"/>
        <v>200</v>
      </c>
      <c r="D209" s="2" t="s">
        <v>29</v>
      </c>
      <c r="G209" s="99">
        <v>0</v>
      </c>
      <c r="I209" s="105">
        <v>0</v>
      </c>
      <c r="M209" s="99">
        <f t="shared" si="218"/>
        <v>0</v>
      </c>
      <c r="N209" s="99">
        <f>M209-I209</f>
        <v>0</v>
      </c>
      <c r="O209" s="90">
        <v>0</v>
      </c>
    </row>
    <row r="210" spans="1:18" x14ac:dyDescent="0.2">
      <c r="A210" s="28">
        <f t="shared" si="215"/>
        <v>201</v>
      </c>
      <c r="D210" s="2" t="s">
        <v>39</v>
      </c>
      <c r="G210" s="99"/>
      <c r="I210" s="105"/>
      <c r="M210" s="99"/>
      <c r="N210" s="99"/>
      <c r="O210" s="90"/>
    </row>
    <row r="211" spans="1:18" x14ac:dyDescent="0.2">
      <c r="A211" s="28">
        <f t="shared" si="215"/>
        <v>202</v>
      </c>
      <c r="D211" s="12" t="s">
        <v>8</v>
      </c>
      <c r="E211" s="107"/>
      <c r="F211" s="107"/>
      <c r="G211" s="108">
        <f>SUM(G207:G209)</f>
        <v>13823.64</v>
      </c>
      <c r="H211" s="107"/>
      <c r="I211" s="108">
        <f>SUM(I207:I209)</f>
        <v>396498.64</v>
      </c>
      <c r="J211" s="107"/>
      <c r="K211" s="107"/>
      <c r="L211" s="107"/>
      <c r="M211" s="108">
        <f>SUM(M207:M209)</f>
        <v>396498.64</v>
      </c>
      <c r="N211" s="108">
        <f>M211-I211</f>
        <v>0</v>
      </c>
      <c r="O211" s="109">
        <f>N211-J211</f>
        <v>0</v>
      </c>
    </row>
    <row r="212" spans="1:18" s="5" customFormat="1" ht="26.45" customHeight="1" thickBot="1" x14ac:dyDescent="0.25">
      <c r="A212" s="28">
        <f t="shared" si="215"/>
        <v>203</v>
      </c>
      <c r="C212" s="14"/>
      <c r="D212" s="6" t="s">
        <v>19</v>
      </c>
      <c r="E212" s="110"/>
      <c r="F212" s="110"/>
      <c r="G212" s="111">
        <f>G206+G211</f>
        <v>4264569.7899999982</v>
      </c>
      <c r="H212" s="110"/>
      <c r="I212" s="112">
        <f>I211+I206</f>
        <v>4795855.2599999988</v>
      </c>
      <c r="J212" s="110"/>
      <c r="K212" s="110"/>
      <c r="L212" s="110"/>
      <c r="M212" s="111">
        <f>M211+M206</f>
        <v>4954497.9799999995</v>
      </c>
      <c r="N212" s="111">
        <f>M212-I212</f>
        <v>158642.72000000067</v>
      </c>
      <c r="O212" s="113">
        <f>N212/I212</f>
        <v>3.3079130082003499E-2</v>
      </c>
      <c r="P212" s="84"/>
      <c r="Q212" s="84"/>
      <c r="R212" s="84"/>
    </row>
    <row r="213" spans="1:18" ht="13.5" thickTop="1" x14ac:dyDescent="0.2">
      <c r="A213" s="28">
        <f t="shared" si="215"/>
        <v>204</v>
      </c>
      <c r="G213" s="114"/>
      <c r="I213" s="114"/>
      <c r="M213" s="114"/>
      <c r="N213" s="114"/>
      <c r="O213" s="100"/>
    </row>
    <row r="214" spans="1:18" x14ac:dyDescent="0.2">
      <c r="A214" s="28">
        <f t="shared" si="215"/>
        <v>205</v>
      </c>
      <c r="B214" s="18"/>
      <c r="C214" s="19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x14ac:dyDescent="0.2">
      <c r="A215" s="28">
        <f t="shared" si="215"/>
        <v>206</v>
      </c>
    </row>
    <row r="216" spans="1:18" s="5" customFormat="1" ht="19.899999999999999" customHeight="1" x14ac:dyDescent="0.25">
      <c r="A216" s="28">
        <f t="shared" si="215"/>
        <v>207</v>
      </c>
      <c r="B216" s="5" t="s">
        <v>28</v>
      </c>
      <c r="C216" s="14"/>
      <c r="D216" s="16" t="s">
        <v>6</v>
      </c>
      <c r="E216" s="101"/>
      <c r="F216" s="101"/>
      <c r="G216" s="116">
        <f>G10+G22+G34+G46+G75+G91+G107+G206+G59+G119+G131</f>
        <v>129199143.77444997</v>
      </c>
      <c r="H216" s="116"/>
      <c r="I216" s="116">
        <f>I10+I22+I34+I46+I75+I91+I107+I206+I59+I119+I131</f>
        <v>143430818.83868</v>
      </c>
      <c r="J216" s="101"/>
      <c r="K216" s="101"/>
      <c r="L216" s="101"/>
      <c r="M216" s="116">
        <f t="shared" ref="M216:N220" si="219">M10+M22+M34+M46+M75+M91+M107+M206+M59+M119+M131</f>
        <v>149310902.47327</v>
      </c>
      <c r="N216" s="116">
        <f t="shared" si="219"/>
        <v>5880083.634590012</v>
      </c>
      <c r="O216" s="102">
        <f>N216/I216</f>
        <v>4.0995956672348635E-2</v>
      </c>
      <c r="P216" s="117"/>
      <c r="Q216" s="117"/>
      <c r="R216" s="117"/>
    </row>
    <row r="217" spans="1:18" x14ac:dyDescent="0.2">
      <c r="A217" s="28">
        <f t="shared" si="215"/>
        <v>208</v>
      </c>
      <c r="D217" s="2" t="s">
        <v>26</v>
      </c>
      <c r="G217" s="105">
        <f>G11+G23+G35+G47+G76+G92+G108+G207+G60+G120+G132</f>
        <v>12874562.805809999</v>
      </c>
      <c r="H217" s="105"/>
      <c r="I217" s="105">
        <f>I11+I23+I35+I47+I76+I92+I108+I207+I60+I120+I132</f>
        <v>-1208501.7884199983</v>
      </c>
      <c r="M217" s="105">
        <f t="shared" si="219"/>
        <v>-1208501.7884199983</v>
      </c>
      <c r="N217" s="105">
        <f t="shared" si="219"/>
        <v>0</v>
      </c>
    </row>
    <row r="218" spans="1:18" x14ac:dyDescent="0.2">
      <c r="A218" s="28">
        <f t="shared" si="215"/>
        <v>209</v>
      </c>
      <c r="D218" s="2" t="s">
        <v>27</v>
      </c>
      <c r="G218" s="105">
        <f>G12+G24+G36+G48+G77+G93+G109+G208+G61+G121+G133</f>
        <v>14589899.699999999</v>
      </c>
      <c r="H218" s="105"/>
      <c r="I218" s="105">
        <f>I12+I24+I36+I48+I77+I93+I109+I208+I61+I121+I133</f>
        <v>14972574.699999999</v>
      </c>
      <c r="M218" s="105">
        <f t="shared" si="219"/>
        <v>14972574.699999999</v>
      </c>
      <c r="N218" s="105">
        <f t="shared" si="219"/>
        <v>0</v>
      </c>
    </row>
    <row r="219" spans="1:18" x14ac:dyDescent="0.2">
      <c r="A219" s="28">
        <f t="shared" si="215"/>
        <v>210</v>
      </c>
      <c r="D219" s="2" t="s">
        <v>29</v>
      </c>
      <c r="G219" s="105">
        <f>G13+G25+G37+G49+G78+G94+G110+G209+G62+G122+G134</f>
        <v>417105</v>
      </c>
      <c r="H219" s="105"/>
      <c r="I219" s="105">
        <f>I13+I25+I37+I49+I78+I94+I110+I209+I62+I122+I134</f>
        <v>417105</v>
      </c>
      <c r="M219" s="105">
        <f t="shared" si="219"/>
        <v>417105</v>
      </c>
      <c r="N219" s="105">
        <f t="shared" si="219"/>
        <v>0</v>
      </c>
    </row>
    <row r="220" spans="1:18" x14ac:dyDescent="0.2">
      <c r="A220" s="28">
        <f t="shared" si="215"/>
        <v>211</v>
      </c>
      <c r="D220" s="2" t="s">
        <v>39</v>
      </c>
      <c r="G220" s="105">
        <f>G14+G26+G38+G50+G79+G95+G111+G210+G63+G123+G135</f>
        <v>-8641.85</v>
      </c>
      <c r="I220" s="105">
        <f>I14+I26+I38+I50+I79+I95+I111+I210+I63+I123+I135</f>
        <v>-8641.85</v>
      </c>
      <c r="M220" s="105">
        <f t="shared" si="219"/>
        <v>-8641.85</v>
      </c>
      <c r="N220" s="105">
        <f t="shared" si="219"/>
        <v>0</v>
      </c>
      <c r="O220" s="90"/>
    </row>
    <row r="221" spans="1:18" x14ac:dyDescent="0.2">
      <c r="A221" s="28">
        <f t="shared" si="215"/>
        <v>212</v>
      </c>
      <c r="D221" s="12" t="s">
        <v>8</v>
      </c>
      <c r="E221" s="107"/>
      <c r="F221" s="107"/>
      <c r="G221" s="118">
        <f>SUM(G217:G220)</f>
        <v>27872925.655809999</v>
      </c>
      <c r="H221" s="118"/>
      <c r="I221" s="118">
        <f>SUM(I217:I220)</f>
        <v>14172536.06158</v>
      </c>
      <c r="J221" s="107"/>
      <c r="K221" s="107"/>
      <c r="L221" s="107"/>
      <c r="M221" s="118">
        <f>SUM(M217:M220)</f>
        <v>14172536.06158</v>
      </c>
      <c r="N221" s="118">
        <f>SUM(N217:N220)</f>
        <v>0</v>
      </c>
      <c r="O221" s="107"/>
    </row>
    <row r="222" spans="1:18" s="5" customFormat="1" ht="21" customHeight="1" thickBot="1" x14ac:dyDescent="0.3">
      <c r="A222" s="28">
        <f t="shared" si="215"/>
        <v>213</v>
      </c>
      <c r="C222" s="14"/>
      <c r="D222" s="6" t="s">
        <v>19</v>
      </c>
      <c r="E222" s="110"/>
      <c r="F222" s="110"/>
      <c r="G222" s="112">
        <f>G221+G216</f>
        <v>157072069.43025997</v>
      </c>
      <c r="H222" s="112"/>
      <c r="I222" s="112">
        <f>I221+I216</f>
        <v>157603354.90026</v>
      </c>
      <c r="J222" s="110"/>
      <c r="K222" s="110"/>
      <c r="L222" s="110"/>
      <c r="M222" s="112">
        <f>M221+M216</f>
        <v>163483438.53485</v>
      </c>
      <c r="N222" s="112">
        <f>N221+N216</f>
        <v>5880083.634590012</v>
      </c>
      <c r="O222" s="113">
        <f>N222/I222</f>
        <v>3.7309381125238419E-2</v>
      </c>
      <c r="P222" s="117"/>
      <c r="Q222" s="117"/>
      <c r="R222" s="117"/>
    </row>
    <row r="223" spans="1:18" ht="13.5" thickTop="1" x14ac:dyDescent="0.2">
      <c r="A223" s="28">
        <f t="shared" si="215"/>
        <v>214</v>
      </c>
    </row>
    <row r="224" spans="1:18" ht="13.5" thickBot="1" x14ac:dyDescent="0.25">
      <c r="A224" s="28">
        <f t="shared" si="215"/>
        <v>215</v>
      </c>
      <c r="D224" s="2" t="s">
        <v>37</v>
      </c>
      <c r="N224" s="105">
        <f>N222-Summary!L2</f>
        <v>2040.4073770157993</v>
      </c>
    </row>
    <row r="225" spans="1:18" x14ac:dyDescent="0.2">
      <c r="A225" s="28">
        <f t="shared" si="215"/>
        <v>216</v>
      </c>
      <c r="B225" s="138" t="s">
        <v>167</v>
      </c>
      <c r="C225" s="146"/>
      <c r="D225" s="138"/>
      <c r="E225" s="138"/>
      <c r="F225" s="138"/>
      <c r="G225" s="22"/>
      <c r="H225" s="22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</row>
    <row r="226" spans="1:18" x14ac:dyDescent="0.2">
      <c r="A226" s="28">
        <f t="shared" si="215"/>
        <v>217</v>
      </c>
      <c r="B226" s="84"/>
      <c r="C226" s="142"/>
      <c r="D226" s="84" t="s">
        <v>168</v>
      </c>
      <c r="E226" s="124"/>
      <c r="F226" s="140"/>
      <c r="G226" s="64"/>
      <c r="H226" s="11">
        <v>4.2</v>
      </c>
      <c r="I226" s="147"/>
      <c r="J226" s="123"/>
      <c r="K226" s="100"/>
      <c r="L226" s="148">
        <f>6.2</f>
        <v>6.2</v>
      </c>
      <c r="M226" s="147"/>
      <c r="N226" s="147"/>
      <c r="O226" s="123"/>
      <c r="P226" s="123"/>
      <c r="Q226" s="139"/>
      <c r="R226" s="139"/>
    </row>
    <row r="227" spans="1:18" x14ac:dyDescent="0.2">
      <c r="A227" s="28">
        <f t="shared" si="215"/>
        <v>218</v>
      </c>
      <c r="B227" s="84"/>
      <c r="C227" s="142"/>
      <c r="D227" s="84" t="s">
        <v>169</v>
      </c>
      <c r="E227" s="124"/>
      <c r="F227" s="140"/>
      <c r="G227" s="149"/>
      <c r="H227" s="150">
        <v>4.9000000000000004</v>
      </c>
      <c r="I227" s="147"/>
      <c r="J227" s="123"/>
      <c r="K227" s="100"/>
      <c r="L227" s="151">
        <f>6.9</f>
        <v>6.9</v>
      </c>
      <c r="M227" s="147"/>
      <c r="N227" s="147"/>
      <c r="O227" s="123"/>
      <c r="P227" s="123"/>
      <c r="Q227" s="139"/>
      <c r="R227" s="139"/>
    </row>
    <row r="228" spans="1:18" x14ac:dyDescent="0.2">
      <c r="A228" s="28">
        <f t="shared" si="215"/>
        <v>219</v>
      </c>
      <c r="B228" s="84"/>
      <c r="C228" s="142"/>
      <c r="D228" s="84" t="s">
        <v>170</v>
      </c>
      <c r="H228" s="150">
        <v>5.6</v>
      </c>
      <c r="L228" s="151">
        <f>7.6</f>
        <v>7.6</v>
      </c>
    </row>
    <row r="229" spans="1:18" x14ac:dyDescent="0.2">
      <c r="A229" s="28"/>
      <c r="B229" s="84"/>
      <c r="C229" s="142"/>
      <c r="D229" s="84"/>
      <c r="H229" s="150"/>
      <c r="L229" s="151"/>
    </row>
    <row r="230" spans="1:18" x14ac:dyDescent="0.2">
      <c r="A230" s="28"/>
      <c r="G230" s="122" t="s">
        <v>155</v>
      </c>
      <c r="H230" s="84">
        <v>1.1809999999999999E-2</v>
      </c>
      <c r="I230" s="84" t="s">
        <v>166</v>
      </c>
      <c r="N230" s="105"/>
    </row>
    <row r="233" spans="1:18" x14ac:dyDescent="0.2">
      <c r="E233" s="124">
        <v>1193273498</v>
      </c>
    </row>
    <row r="234" spans="1:18" x14ac:dyDescent="0.2">
      <c r="E234" s="124">
        <f>E9+E21+E33+E45+E58+E74+E89+E90+E106+E118+E130</f>
        <v>1192469483</v>
      </c>
    </row>
    <row r="235" spans="1:18" x14ac:dyDescent="0.2">
      <c r="E235" s="124">
        <f>E233-E234</f>
        <v>804015</v>
      </c>
    </row>
    <row r="236" spans="1:18" x14ac:dyDescent="0.2">
      <c r="E236" s="123">
        <f>E235/E233</f>
        <v>6.7378937129466022E-4</v>
      </c>
    </row>
    <row r="239" spans="1:18" x14ac:dyDescent="0.2">
      <c r="E239" s="144">
        <f>E8+E20+E32+E44+E56+E117+E129</f>
        <v>845752</v>
      </c>
    </row>
  </sheetData>
  <mergeCells count="11">
    <mergeCell ref="B84:B85"/>
    <mergeCell ref="B100:B101"/>
    <mergeCell ref="B116:B117"/>
    <mergeCell ref="B128:B129"/>
    <mergeCell ref="B181:B182"/>
    <mergeCell ref="B68:B69"/>
    <mergeCell ref="B7:B8"/>
    <mergeCell ref="B19:B20"/>
    <mergeCell ref="B31:B32"/>
    <mergeCell ref="B43:B44"/>
    <mergeCell ref="B55:B56"/>
  </mergeCells>
  <phoneticPr fontId="7" type="noConversion"/>
  <printOptions horizontalCentered="1"/>
  <pageMargins left="0.7" right="0.7" top="0.75" bottom="0.75" header="0.3" footer="0.3"/>
  <pageSetup scale="53" fitToHeight="8" orientation="landscape" r:id="rId1"/>
  <headerFooter>
    <oddHeader>&amp;R&amp;"Arial,Bold"&amp;10Exhibit 4
 Page &amp;P of &amp;N</oddHeader>
  </headerFooter>
  <rowBreaks count="4" manualBreakCount="4">
    <brk id="54" max="17" man="1"/>
    <brk id="99" max="17" man="1"/>
    <brk id="139" max="17" man="1"/>
    <brk id="180" max="17" man="1"/>
  </rowBreaks>
  <ignoredErrors>
    <ignoredError sqref="M10 N10:O159 I13 N161:O213 N215:O223 N230:O230 O2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134"/>
  <sheetViews>
    <sheetView view="pageBreakPreview" zoomScaleNormal="85" zoomScaleSheetLayoutView="100" workbookViewId="0">
      <selection activeCell="D99" sqref="D99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14.140625" style="2" bestFit="1" customWidth="1"/>
    <col min="4" max="4" width="40.7109375" style="13" bestFit="1" customWidth="1"/>
    <col min="5" max="5" width="51.28515625" style="2" customWidth="1"/>
    <col min="6" max="6" width="14.7109375" style="2" customWidth="1"/>
    <col min="7" max="7" width="12.5703125" style="2" customWidth="1"/>
    <col min="8" max="8" width="12.140625" style="2" customWidth="1"/>
    <col min="9" max="9" width="12.85546875" style="2" customWidth="1"/>
    <col min="10" max="16384" width="8.85546875" style="2"/>
  </cols>
  <sheetData>
    <row r="1" spans="1:9" x14ac:dyDescent="0.2">
      <c r="A1" s="1" t="str">
        <f>Summary!A1</f>
        <v>SOUTH KENTUCKY RECC</v>
      </c>
    </row>
    <row r="2" spans="1:9" x14ac:dyDescent="0.2">
      <c r="A2" s="1" t="s">
        <v>151</v>
      </c>
    </row>
    <row r="4" spans="1:9" x14ac:dyDescent="0.2">
      <c r="C4" s="55" t="s">
        <v>59</v>
      </c>
      <c r="D4" s="55"/>
      <c r="E4" s="55" t="s">
        <v>2</v>
      </c>
      <c r="F4" s="58" t="s">
        <v>45</v>
      </c>
      <c r="G4" s="58" t="s">
        <v>46</v>
      </c>
      <c r="H4" s="58" t="s">
        <v>152</v>
      </c>
      <c r="I4" s="58" t="s">
        <v>16</v>
      </c>
    </row>
    <row r="5" spans="1:9" x14ac:dyDescent="0.2">
      <c r="C5" s="2" t="str">
        <f>'Billing Detail'!C7</f>
        <v xml:space="preserve">A </v>
      </c>
      <c r="D5" s="77" t="str">
        <f>'Billing Detail'!B7</f>
        <v>Residential, Farm and Non-Farm Service</v>
      </c>
    </row>
    <row r="6" spans="1:9" x14ac:dyDescent="0.2">
      <c r="D6" s="77"/>
      <c r="E6" s="2" t="str">
        <f>'Billing Detail'!D8</f>
        <v>Customer Charge</v>
      </c>
      <c r="F6" s="56">
        <f>'Billing Detail'!H8</f>
        <v>23.3</v>
      </c>
      <c r="G6" s="56">
        <f>'Billing Detail'!L8</f>
        <v>24.14</v>
      </c>
      <c r="H6" s="56">
        <f>G6-F6</f>
        <v>0.83999999999999986</v>
      </c>
      <c r="I6" s="4">
        <f>H6/F6</f>
        <v>3.6051502145922738E-2</v>
      </c>
    </row>
    <row r="7" spans="1:9" x14ac:dyDescent="0.2">
      <c r="D7" s="77"/>
      <c r="E7" s="2" t="str">
        <f>'Billing Detail'!D9</f>
        <v>Energy Charge per kWh</v>
      </c>
      <c r="F7" s="64">
        <f>'Billing Detail'!H9</f>
        <v>0.10489999999999999</v>
      </c>
      <c r="G7" s="64">
        <f>'Billing Detail'!L9</f>
        <v>0.10867</v>
      </c>
      <c r="H7" s="56">
        <f t="shared" ref="H7:H71" si="0">G7-F7</f>
        <v>3.7700000000000095E-3</v>
      </c>
      <c r="I7" s="4">
        <f t="shared" ref="I7:I71" si="1">H7/F7</f>
        <v>3.5938989513822781E-2</v>
      </c>
    </row>
    <row r="8" spans="1:9" x14ac:dyDescent="0.2">
      <c r="C8" s="2" t="str">
        <f>'Billing Detail'!C19</f>
        <v>A-ETS</v>
      </c>
      <c r="D8" s="77" t="str">
        <f>'Billing Detail'!B19</f>
        <v>Residential, Farm and Non-Farm Service (ETS)</v>
      </c>
      <c r="F8" s="56"/>
      <c r="G8" s="56"/>
      <c r="H8" s="56"/>
      <c r="I8" s="4"/>
    </row>
    <row r="9" spans="1:9" x14ac:dyDescent="0.2">
      <c r="D9" s="77"/>
      <c r="E9" s="2" t="str">
        <f>'Billing Detail'!D21</f>
        <v>Energy Charge per kWh</v>
      </c>
      <c r="F9" s="64">
        <f>'Billing Detail'!H21</f>
        <v>7.3590000000000003E-2</v>
      </c>
      <c r="G9" s="64">
        <f>'Billing Detail'!L21</f>
        <v>7.6240000000000002E-2</v>
      </c>
      <c r="H9" s="56">
        <f t="shared" si="0"/>
        <v>2.6499999999999996E-3</v>
      </c>
      <c r="I9" s="4">
        <f t="shared" si="1"/>
        <v>3.6010327490148111E-2</v>
      </c>
    </row>
    <row r="10" spans="1:9" x14ac:dyDescent="0.2">
      <c r="C10" s="2" t="str">
        <f>'Billing Detail'!C31</f>
        <v>B</v>
      </c>
      <c r="D10" s="77" t="str">
        <f>'Billing Detail'!B31</f>
        <v>Small Commercial Rate</v>
      </c>
      <c r="F10" s="57"/>
      <c r="G10" s="57"/>
      <c r="H10" s="56"/>
      <c r="I10" s="4"/>
    </row>
    <row r="11" spans="1:9" x14ac:dyDescent="0.2">
      <c r="D11" s="77"/>
      <c r="E11" s="2" t="str">
        <f>'Billing Detail'!D32</f>
        <v>Customer Charge</v>
      </c>
      <c r="F11" s="56">
        <f>'Billing Detail'!H32</f>
        <v>40</v>
      </c>
      <c r="G11" s="56">
        <f>'Billing Detail'!L32</f>
        <v>41.44</v>
      </c>
      <c r="H11" s="56">
        <f t="shared" si="0"/>
        <v>1.4399999999999977</v>
      </c>
      <c r="I11" s="4">
        <f t="shared" si="1"/>
        <v>3.5999999999999942E-2</v>
      </c>
    </row>
    <row r="12" spans="1:9" x14ac:dyDescent="0.2">
      <c r="D12" s="77"/>
      <c r="E12" s="2" t="str">
        <f>'Billing Detail'!D33</f>
        <v>Energy Charge per kWh</v>
      </c>
      <c r="F12" s="64">
        <f>'Billing Detail'!H33</f>
        <v>9.9229999999999999E-2</v>
      </c>
      <c r="G12" s="64">
        <f>'Billing Detail'!L33</f>
        <v>0.1028</v>
      </c>
      <c r="H12" s="56">
        <f t="shared" si="0"/>
        <v>3.5700000000000037E-3</v>
      </c>
      <c r="I12" s="4">
        <f t="shared" si="1"/>
        <v>3.5977023077698317E-2</v>
      </c>
    </row>
    <row r="13" spans="1:9" x14ac:dyDescent="0.2">
      <c r="C13" s="2" t="str">
        <f>'Billing Detail'!C43</f>
        <v>B-ETS</v>
      </c>
      <c r="D13" s="77" t="str">
        <f>'Billing Detail'!B43</f>
        <v>Small Commercial Rate (ETS)</v>
      </c>
      <c r="F13" s="56"/>
      <c r="G13" s="56"/>
      <c r="H13" s="56"/>
      <c r="I13" s="4"/>
    </row>
    <row r="14" spans="1:9" x14ac:dyDescent="0.2">
      <c r="D14" s="77"/>
      <c r="E14" s="2" t="str">
        <f>'Billing Detail'!D45</f>
        <v>Energy Charge per kWh</v>
      </c>
      <c r="F14" s="64">
        <f>'Billing Detail'!H45</f>
        <v>8.0189999999999997E-2</v>
      </c>
      <c r="G14" s="64">
        <f>'Billing Detail'!L45</f>
        <v>8.3070000000000005E-2</v>
      </c>
      <c r="H14" s="56">
        <f t="shared" si="0"/>
        <v>2.8800000000000076E-3</v>
      </c>
      <c r="I14" s="4">
        <f t="shared" si="1"/>
        <v>3.5914702581369341E-2</v>
      </c>
    </row>
    <row r="15" spans="1:9" x14ac:dyDescent="0.2">
      <c r="C15" s="2" t="str">
        <f>'Billing Detail'!C55</f>
        <v>LP</v>
      </c>
      <c r="D15" s="77" t="str">
        <f>'Billing Detail'!B55</f>
        <v>Large Power Rate (Excess of 50 kVA)</v>
      </c>
      <c r="F15" s="56"/>
      <c r="G15" s="56"/>
      <c r="H15" s="56"/>
      <c r="I15" s="4"/>
    </row>
    <row r="16" spans="1:9" x14ac:dyDescent="0.2">
      <c r="D16" s="77"/>
      <c r="E16" s="2" t="str">
        <f>'Billing Detail'!D56</f>
        <v>Customer Charge</v>
      </c>
      <c r="F16" s="56">
        <f>'Billing Detail'!H56</f>
        <v>70</v>
      </c>
      <c r="G16" s="56">
        <f>'Billing Detail'!L56</f>
        <v>72.52</v>
      </c>
      <c r="H16" s="56">
        <f t="shared" si="0"/>
        <v>2.519999999999996</v>
      </c>
      <c r="I16" s="4">
        <f t="shared" si="1"/>
        <v>3.5999999999999942E-2</v>
      </c>
    </row>
    <row r="17" spans="3:9" x14ac:dyDescent="0.2">
      <c r="D17" s="77"/>
      <c r="E17" s="2" t="str">
        <f>'Billing Detail'!D57</f>
        <v>Demand Charge per kW</v>
      </c>
      <c r="F17" s="56">
        <f>'Billing Detail'!H57</f>
        <v>7.78</v>
      </c>
      <c r="G17" s="56">
        <f>'Billing Detail'!L57</f>
        <v>8.06</v>
      </c>
      <c r="H17" s="56">
        <f t="shared" si="0"/>
        <v>0.28000000000000025</v>
      </c>
      <c r="I17" s="4">
        <f t="shared" si="1"/>
        <v>3.5989717223650415E-2</v>
      </c>
    </row>
    <row r="18" spans="3:9" x14ac:dyDescent="0.2">
      <c r="D18" s="77"/>
      <c r="E18" s="2" t="str">
        <f>'Billing Detail'!D58</f>
        <v>Energy Charge per kWh</v>
      </c>
      <c r="F18" s="57">
        <f>'Billing Detail'!H58</f>
        <v>6.9849999999999995E-2</v>
      </c>
      <c r="G18" s="57">
        <f>'Billing Detail'!L58</f>
        <v>7.2359999999999994E-2</v>
      </c>
      <c r="H18" s="56">
        <f t="shared" si="0"/>
        <v>2.5099999999999983E-3</v>
      </c>
      <c r="I18" s="4">
        <f t="shared" si="1"/>
        <v>3.59341445955619E-2</v>
      </c>
    </row>
    <row r="19" spans="3:9" x14ac:dyDescent="0.2">
      <c r="C19" s="2" t="str">
        <f>'Billing Detail'!C68</f>
        <v>LP-1</v>
      </c>
      <c r="D19" s="77" t="str">
        <f>'Billing Detail'!B68</f>
        <v>Large Power Rate (500 KW to 4,999 KW)</v>
      </c>
      <c r="F19" s="57"/>
      <c r="G19" s="57"/>
      <c r="H19" s="56"/>
      <c r="I19" s="4"/>
    </row>
    <row r="20" spans="3:9" x14ac:dyDescent="0.2">
      <c r="D20" s="77"/>
      <c r="E20" s="2" t="str">
        <f>'Billing Detail'!D69</f>
        <v>Customer Charge</v>
      </c>
      <c r="F20" s="56">
        <f>'Billing Detail'!H69</f>
        <v>225</v>
      </c>
      <c r="G20" s="56">
        <f>'Billing Detail'!L69</f>
        <v>246.53</v>
      </c>
      <c r="H20" s="56">
        <f t="shared" si="0"/>
        <v>21.53</v>
      </c>
      <c r="I20" s="4">
        <f t="shared" si="1"/>
        <v>9.5688888888888893E-2</v>
      </c>
    </row>
    <row r="21" spans="3:9" x14ac:dyDescent="0.2">
      <c r="D21" s="77"/>
      <c r="E21" s="2" t="str">
        <f>'Billing Detail'!D70</f>
        <v>Substation Charge 500-999 kW</v>
      </c>
      <c r="F21" s="56">
        <f>'Billing Detail'!H70</f>
        <v>373.2</v>
      </c>
      <c r="G21" s="56">
        <f>'Billing Detail'!L70</f>
        <v>408.9</v>
      </c>
      <c r="H21" s="56">
        <f t="shared" si="0"/>
        <v>35.699999999999989</v>
      </c>
      <c r="I21" s="4">
        <f t="shared" si="1"/>
        <v>9.5659163987138238E-2</v>
      </c>
    </row>
    <row r="22" spans="3:9" x14ac:dyDescent="0.2">
      <c r="D22" s="77"/>
      <c r="E22" s="2" t="str">
        <f>'Billing Detail'!D71</f>
        <v>Substation Charge 1000-2999 kW</v>
      </c>
      <c r="F22" s="56">
        <f>'Billing Detail'!H71</f>
        <v>1118.42</v>
      </c>
      <c r="G22" s="56">
        <f>'Billing Detail'!L71</f>
        <v>1225.42</v>
      </c>
      <c r="H22" s="56">
        <f t="shared" si="0"/>
        <v>107</v>
      </c>
      <c r="I22" s="4">
        <f t="shared" si="1"/>
        <v>9.5670678278285431E-2</v>
      </c>
    </row>
    <row r="23" spans="3:9" x14ac:dyDescent="0.2">
      <c r="D23" s="77"/>
      <c r="E23" s="2" t="str">
        <f>'Billing Detail'!D72</f>
        <v>Substation Charge 3000-7499 kW</v>
      </c>
      <c r="F23" s="56">
        <f>'Billing Detail'!H72</f>
        <v>2811.45</v>
      </c>
      <c r="G23" s="56">
        <f>'Billing Detail'!L72</f>
        <v>3080.42</v>
      </c>
      <c r="H23" s="56">
        <f t="shared" si="0"/>
        <v>268.97000000000025</v>
      </c>
      <c r="I23" s="4">
        <f t="shared" si="1"/>
        <v>9.5669494389016438E-2</v>
      </c>
    </row>
    <row r="24" spans="3:9" x14ac:dyDescent="0.2">
      <c r="D24" s="77"/>
      <c r="E24" s="2" t="str">
        <f>'Billing Detail'!D73</f>
        <v>Demand Charge per kW</v>
      </c>
      <c r="F24" s="56">
        <f>'Billing Detail'!H73</f>
        <v>6.54</v>
      </c>
      <c r="G24" s="56">
        <f>'Billing Detail'!L73</f>
        <v>7.17</v>
      </c>
      <c r="H24" s="56">
        <f t="shared" si="0"/>
        <v>0.62999999999999989</v>
      </c>
      <c r="I24" s="4">
        <f t="shared" si="1"/>
        <v>9.6330275229357776E-2</v>
      </c>
    </row>
    <row r="25" spans="3:9" x14ac:dyDescent="0.2">
      <c r="D25" s="77"/>
      <c r="E25" s="2" t="str">
        <f>'Billing Detail'!D74</f>
        <v>Energy Charge per kWh</v>
      </c>
      <c r="F25" s="57">
        <f>'Billing Detail'!H74</f>
        <v>6.3769999999999993E-2</v>
      </c>
      <c r="G25" s="57">
        <f>'Billing Detail'!L74</f>
        <v>6.9870000000000002E-2</v>
      </c>
      <c r="H25" s="56">
        <f t="shared" si="0"/>
        <v>6.1000000000000082E-3</v>
      </c>
      <c r="I25" s="4">
        <f t="shared" si="1"/>
        <v>9.5656264701270324E-2</v>
      </c>
    </row>
    <row r="26" spans="3:9" x14ac:dyDescent="0.2">
      <c r="C26" s="2" t="str">
        <f>'Billing Detail'!C84</f>
        <v>LP-2</v>
      </c>
      <c r="D26" s="77" t="str">
        <f>'Billing Detail'!B84</f>
        <v>Large Power Rate (5,000 KW to 9,999 KW)</v>
      </c>
      <c r="F26" s="56"/>
      <c r="G26" s="56"/>
      <c r="H26" s="56"/>
      <c r="I26" s="4"/>
    </row>
    <row r="27" spans="3:9" x14ac:dyDescent="0.2">
      <c r="D27" s="77"/>
      <c r="E27" s="2" t="str">
        <f>'Billing Detail'!D85</f>
        <v>Customer Charge</v>
      </c>
      <c r="F27" s="56">
        <f>'Billing Detail'!H85</f>
        <v>160</v>
      </c>
      <c r="G27" s="56">
        <f>'Billing Detail'!L85</f>
        <v>175.31</v>
      </c>
      <c r="H27" s="56">
        <f t="shared" si="0"/>
        <v>15.310000000000002</v>
      </c>
      <c r="I27" s="4">
        <f t="shared" si="1"/>
        <v>9.5687500000000009E-2</v>
      </c>
    </row>
    <row r="28" spans="3:9" x14ac:dyDescent="0.2">
      <c r="D28" s="77"/>
      <c r="E28" s="2" t="str">
        <f>'Billing Detail'!D86</f>
        <v>Substation Charge 3000-7499 kW</v>
      </c>
      <c r="F28" s="56">
        <f>'Billing Detail'!H86</f>
        <v>2811.45</v>
      </c>
      <c r="G28" s="56">
        <f>'Billing Detail'!L86</f>
        <v>3080.42</v>
      </c>
      <c r="H28" s="56">
        <f t="shared" si="0"/>
        <v>268.97000000000025</v>
      </c>
      <c r="I28" s="4">
        <f t="shared" si="1"/>
        <v>9.5669494389016438E-2</v>
      </c>
    </row>
    <row r="29" spans="3:9" x14ac:dyDescent="0.2">
      <c r="D29" s="77"/>
      <c r="E29" s="2" t="str">
        <f>'Billing Detail'!D87</f>
        <v>Substation Charge 7500-14799 kW</v>
      </c>
      <c r="F29" s="56">
        <f>'Billing Detail'!H87</f>
        <v>3382.5</v>
      </c>
      <c r="G29" s="56">
        <f>'Billing Detail'!L87</f>
        <v>3706.1</v>
      </c>
      <c r="H29" s="56">
        <f t="shared" si="0"/>
        <v>323.59999999999991</v>
      </c>
      <c r="I29" s="4">
        <f t="shared" si="1"/>
        <v>9.5668883961566864E-2</v>
      </c>
    </row>
    <row r="30" spans="3:9" x14ac:dyDescent="0.2">
      <c r="D30" s="77"/>
      <c r="E30" s="2" t="str">
        <f>'Billing Detail'!D88</f>
        <v>Demand Charge per kW</v>
      </c>
      <c r="F30" s="56">
        <f>'Billing Detail'!H88</f>
        <v>6.59</v>
      </c>
      <c r="G30" s="56">
        <f>'Billing Detail'!L88</f>
        <v>7.22</v>
      </c>
      <c r="H30" s="56">
        <f t="shared" si="0"/>
        <v>0.62999999999999989</v>
      </c>
      <c r="I30" s="4">
        <f t="shared" si="1"/>
        <v>9.559939301972685E-2</v>
      </c>
    </row>
    <row r="31" spans="3:9" x14ac:dyDescent="0.2">
      <c r="D31" s="77"/>
      <c r="E31" s="2" t="str">
        <f>'Billing Detail'!D89</f>
        <v>Energy Charge-First 400 - per kWh</v>
      </c>
      <c r="F31" s="57">
        <f>'Billing Detail'!H89</f>
        <v>6.3769999999999993E-2</v>
      </c>
      <c r="G31" s="57">
        <f>'Billing Detail'!L89</f>
        <v>6.9870000000000002E-2</v>
      </c>
      <c r="H31" s="56">
        <f t="shared" si="0"/>
        <v>6.1000000000000082E-3</v>
      </c>
      <c r="I31" s="4">
        <f t="shared" si="1"/>
        <v>9.5656264701270324E-2</v>
      </c>
    </row>
    <row r="32" spans="3:9" x14ac:dyDescent="0.2">
      <c r="D32" s="77"/>
      <c r="E32" s="2" t="str">
        <f>'Billing Detail'!D90</f>
        <v>Energy Charge-All Remaining - per kWh</v>
      </c>
      <c r="F32" s="57">
        <f>'Billing Detail'!H90</f>
        <v>5.6649999999999999E-2</v>
      </c>
      <c r="G32" s="57">
        <f>'Billing Detail'!L90</f>
        <v>6.207E-2</v>
      </c>
      <c r="H32" s="56">
        <f t="shared" si="0"/>
        <v>5.4200000000000012E-3</v>
      </c>
      <c r="I32" s="4">
        <f t="shared" si="1"/>
        <v>9.5675198587819976E-2</v>
      </c>
    </row>
    <row r="33" spans="3:9" x14ac:dyDescent="0.2">
      <c r="C33" s="2" t="str">
        <f>'Billing Detail'!C100</f>
        <v>LP-3</v>
      </c>
      <c r="D33" s="77" t="str">
        <f>'Billing Detail'!B100</f>
        <v>Large Power Rate (500 KW to 2,999 KW)</v>
      </c>
      <c r="F33" s="56"/>
      <c r="G33" s="56"/>
      <c r="H33" s="56"/>
      <c r="I33" s="4"/>
    </row>
    <row r="34" spans="3:9" x14ac:dyDescent="0.2">
      <c r="D34" s="77"/>
      <c r="E34" s="2" t="str">
        <f>'Billing Detail'!D101</f>
        <v>Customer Charge</v>
      </c>
      <c r="F34" s="56">
        <f>'Billing Detail'!H101</f>
        <v>151.21</v>
      </c>
      <c r="G34" s="56">
        <f>'Billing Detail'!L101</f>
        <v>165.29</v>
      </c>
      <c r="H34" s="56">
        <f t="shared" si="0"/>
        <v>14.079999999999984</v>
      </c>
      <c r="I34" s="4">
        <f t="shared" si="1"/>
        <v>9.3115534686859222E-2</v>
      </c>
    </row>
    <row r="35" spans="3:9" x14ac:dyDescent="0.2">
      <c r="D35" s="77"/>
      <c r="E35" s="2" t="str">
        <f>'Billing Detail'!D102</f>
        <v>Substation Charge 500-999 kW</v>
      </c>
      <c r="F35" s="56">
        <f>'Billing Detail'!H102</f>
        <v>381.08</v>
      </c>
      <c r="G35" s="56">
        <f>'Billing Detail'!L102</f>
        <v>416.56</v>
      </c>
      <c r="H35" s="56">
        <f t="shared" si="0"/>
        <v>35.480000000000018</v>
      </c>
      <c r="I35" s="4">
        <f t="shared" si="1"/>
        <v>9.3103810223575154E-2</v>
      </c>
    </row>
    <row r="36" spans="3:9" x14ac:dyDescent="0.2">
      <c r="D36" s="77"/>
      <c r="E36" s="2" t="str">
        <f>'Billing Detail'!D103</f>
        <v>Substation Charge 1000-2999 kW</v>
      </c>
      <c r="F36" s="56">
        <f>'Billing Detail'!H103</f>
        <v>1142.01</v>
      </c>
      <c r="G36" s="56">
        <f>'Billing Detail'!L103</f>
        <v>1248.3399999999999</v>
      </c>
      <c r="H36" s="56">
        <f t="shared" si="0"/>
        <v>106.32999999999993</v>
      </c>
      <c r="I36" s="4">
        <f t="shared" si="1"/>
        <v>9.3107766131645023E-2</v>
      </c>
    </row>
    <row r="37" spans="3:9" x14ac:dyDescent="0.2">
      <c r="D37" s="77"/>
      <c r="E37" s="2" t="str">
        <f>'Billing Detail'!D104</f>
        <v>Demand Charge per kW - Contract</v>
      </c>
      <c r="F37" s="56">
        <f>'Billing Detail'!H104</f>
        <v>7.55</v>
      </c>
      <c r="G37" s="56">
        <f>'Billing Detail'!L104</f>
        <v>8.25</v>
      </c>
      <c r="H37" s="56">
        <f t="shared" si="0"/>
        <v>0.70000000000000018</v>
      </c>
      <c r="I37" s="4">
        <f t="shared" si="1"/>
        <v>9.27152317880795E-2</v>
      </c>
    </row>
    <row r="38" spans="3:9" x14ac:dyDescent="0.2">
      <c r="D38" s="77"/>
      <c r="E38" s="2" t="str">
        <f>'Billing Detail'!D105</f>
        <v>Demand Charge per kW - Excess</v>
      </c>
      <c r="F38" s="56">
        <f>'Billing Detail'!H105</f>
        <v>9.3699999999999992</v>
      </c>
      <c r="G38" s="56">
        <f>'Billing Detail'!L105</f>
        <v>10.24</v>
      </c>
      <c r="H38" s="56">
        <f t="shared" si="0"/>
        <v>0.87000000000000099</v>
      </c>
      <c r="I38" s="4">
        <f t="shared" si="1"/>
        <v>9.2849519743863504E-2</v>
      </c>
    </row>
    <row r="39" spans="3:9" x14ac:dyDescent="0.2">
      <c r="D39" s="77"/>
      <c r="E39" s="2" t="str">
        <f>'Billing Detail'!D106</f>
        <v>Energy Charge per kWh</v>
      </c>
      <c r="F39" s="57">
        <f>'Billing Detail'!H106</f>
        <v>6.0999999999999999E-2</v>
      </c>
      <c r="G39" s="57">
        <f>'Billing Detail'!L106</f>
        <v>6.6680000000000003E-2</v>
      </c>
      <c r="H39" s="56">
        <f t="shared" si="0"/>
        <v>5.6800000000000045E-3</v>
      </c>
      <c r="I39" s="4">
        <f t="shared" si="1"/>
        <v>9.311475409836073E-2</v>
      </c>
    </row>
    <row r="40" spans="3:9" x14ac:dyDescent="0.2">
      <c r="C40" s="2" t="str">
        <f>'Billing Detail'!C116</f>
        <v>OPS</v>
      </c>
      <c r="D40" s="77" t="str">
        <f>'Billing Detail'!B116</f>
        <v>Optional Power Service</v>
      </c>
      <c r="F40" s="56"/>
      <c r="G40" s="56"/>
      <c r="H40" s="56"/>
      <c r="I40" s="4"/>
    </row>
    <row r="41" spans="3:9" x14ac:dyDescent="0.2">
      <c r="D41" s="77"/>
      <c r="E41" s="2" t="str">
        <f>'Billing Detail'!D117</f>
        <v>Customer Charge</v>
      </c>
      <c r="F41" s="56">
        <f>'Billing Detail'!H117</f>
        <v>51.83</v>
      </c>
      <c r="G41" s="56">
        <f>'Billing Detail'!L117</f>
        <v>53.69</v>
      </c>
      <c r="H41" s="56">
        <f t="shared" si="0"/>
        <v>1.8599999999999994</v>
      </c>
      <c r="I41" s="4">
        <f t="shared" si="1"/>
        <v>3.5886552189851428E-2</v>
      </c>
    </row>
    <row r="42" spans="3:9" x14ac:dyDescent="0.2">
      <c r="D42" s="77"/>
      <c r="E42" s="2" t="str">
        <f>'Billing Detail'!D118</f>
        <v>Energy Charge per kWh</v>
      </c>
      <c r="F42" s="64">
        <f>'Billing Detail'!H118</f>
        <v>0.11860999999999999</v>
      </c>
      <c r="G42" s="64">
        <f>'Billing Detail'!L118</f>
        <v>0.12286999999999999</v>
      </c>
      <c r="H42" s="56">
        <f t="shared" si="0"/>
        <v>4.2599999999999999E-3</v>
      </c>
      <c r="I42" s="4">
        <f t="shared" si="1"/>
        <v>3.591602731641514E-2</v>
      </c>
    </row>
    <row r="43" spans="3:9" x14ac:dyDescent="0.2">
      <c r="C43" s="2" t="str">
        <f>'Billing Detail'!C128</f>
        <v>AES</v>
      </c>
      <c r="D43" s="77" t="str">
        <f>'Billing Detail'!B128</f>
        <v>All Electric Schools</v>
      </c>
      <c r="E43" s="54"/>
      <c r="F43" s="56"/>
      <c r="G43" s="56"/>
      <c r="H43" s="56"/>
      <c r="I43" s="4"/>
    </row>
    <row r="44" spans="3:9" x14ac:dyDescent="0.2">
      <c r="D44" s="77"/>
      <c r="E44" s="2" t="str">
        <f>'Billing Detail'!D129</f>
        <v>Customer Charge</v>
      </c>
      <c r="F44" s="56">
        <f>'Billing Detail'!H129</f>
        <v>86.07</v>
      </c>
      <c r="G44" s="56">
        <f>'Billing Detail'!L129</f>
        <v>89.16</v>
      </c>
      <c r="H44" s="56">
        <f t="shared" si="0"/>
        <v>3.0900000000000034</v>
      </c>
      <c r="I44" s="4">
        <f t="shared" si="1"/>
        <v>3.5901010805158631E-2</v>
      </c>
    </row>
    <row r="45" spans="3:9" x14ac:dyDescent="0.2">
      <c r="D45" s="77"/>
      <c r="E45" s="2" t="str">
        <f>'Billing Detail'!D130</f>
        <v>Energy Charge per kWh</v>
      </c>
      <c r="F45" s="64">
        <f>'Billing Detail'!H130</f>
        <v>9.6110000000000001E-2</v>
      </c>
      <c r="G45" s="64">
        <f>'Billing Detail'!L130</f>
        <v>9.9559999999999996E-2</v>
      </c>
      <c r="H45" s="56">
        <f t="shared" si="0"/>
        <v>3.4499999999999947E-3</v>
      </c>
      <c r="I45" s="4">
        <f t="shared" si="1"/>
        <v>3.5896368744147276E-2</v>
      </c>
    </row>
    <row r="46" spans="3:9" x14ac:dyDescent="0.2">
      <c r="C46" s="2" t="str">
        <f>'Billing Detail'!C141</f>
        <v>STL</v>
      </c>
      <c r="D46" s="77" t="str">
        <f>'Billing Detail'!B141</f>
        <v>Street Lighting</v>
      </c>
      <c r="F46" s="56"/>
      <c r="G46" s="56"/>
      <c r="H46" s="56"/>
      <c r="I46" s="4"/>
    </row>
    <row r="47" spans="3:9" x14ac:dyDescent="0.2">
      <c r="D47" s="2"/>
      <c r="E47" s="2" t="s">
        <v>139</v>
      </c>
      <c r="F47" s="56">
        <f>'Billing Detail'!H142</f>
        <v>9.7100000000000009</v>
      </c>
      <c r="G47" s="56">
        <f>'Billing Detail'!L142</f>
        <v>10.06</v>
      </c>
      <c r="H47" s="56">
        <f t="shared" si="0"/>
        <v>0.34999999999999964</v>
      </c>
      <c r="I47" s="4">
        <f t="shared" si="1"/>
        <v>3.6045314109165769E-2</v>
      </c>
    </row>
    <row r="48" spans="3:9" x14ac:dyDescent="0.2">
      <c r="D48" s="2"/>
      <c r="E48" s="2" t="s">
        <v>140</v>
      </c>
      <c r="F48" s="56">
        <f>'Billing Detail'!H143</f>
        <v>16.14</v>
      </c>
      <c r="G48" s="56">
        <f>'Billing Detail'!L143</f>
        <v>16.72</v>
      </c>
      <c r="H48" s="56">
        <f t="shared" si="0"/>
        <v>0.57999999999999829</v>
      </c>
      <c r="I48" s="4">
        <f t="shared" si="1"/>
        <v>3.59355638166046E-2</v>
      </c>
    </row>
    <row r="49" spans="3:9" x14ac:dyDescent="0.2">
      <c r="D49" s="2"/>
      <c r="E49" s="2" t="str">
        <f>'Billing Detail'!D147</f>
        <v>LED 10,500 Lumens</v>
      </c>
      <c r="F49" s="56">
        <f>'Billing Detail'!H147</f>
        <v>17.579999999999998</v>
      </c>
      <c r="G49" s="56">
        <f>'Billing Detail'!L147</f>
        <v>18.21</v>
      </c>
      <c r="H49" s="56">
        <f t="shared" si="0"/>
        <v>0.63000000000000256</v>
      </c>
      <c r="I49" s="4">
        <f t="shared" si="1"/>
        <v>3.5836177474402882E-2</v>
      </c>
    </row>
    <row r="50" spans="3:9" x14ac:dyDescent="0.2">
      <c r="C50" s="2" t="str">
        <f>'Billing Detail'!C148</f>
        <v>DSTL</v>
      </c>
      <c r="D50" s="2" t="str">
        <f>'Billing Detail'!B148</f>
        <v>Decorative Street Lighting</v>
      </c>
      <c r="H50" s="56"/>
      <c r="I50" s="4"/>
    </row>
    <row r="51" spans="3:9" x14ac:dyDescent="0.2">
      <c r="D51" s="2"/>
      <c r="E51" s="2" t="str">
        <f>'Billing Detail'!D149</f>
        <v>Metal Halide Acorn 100-Watt Metered</v>
      </c>
      <c r="F51" s="56">
        <f>'Billing Detail'!H149</f>
        <v>8.31</v>
      </c>
      <c r="G51" s="56">
        <f>'Billing Detail'!L149</f>
        <v>8.61</v>
      </c>
      <c r="H51" s="56">
        <f t="shared" si="0"/>
        <v>0.29999999999999893</v>
      </c>
      <c r="I51" s="4">
        <f t="shared" si="1"/>
        <v>3.6101083032490842E-2</v>
      </c>
    </row>
    <row r="52" spans="3:9" x14ac:dyDescent="0.2">
      <c r="D52" s="2"/>
      <c r="E52" s="2" t="str">
        <f>'Billing Detail'!D150</f>
        <v>Sodium Cobra on Existing Pole</v>
      </c>
      <c r="F52" s="56">
        <f>'Billing Detail'!H150</f>
        <v>17.66</v>
      </c>
      <c r="G52" s="56">
        <f>'Billing Detail'!L150</f>
        <v>18.29</v>
      </c>
      <c r="H52" s="56">
        <f t="shared" si="0"/>
        <v>0.62999999999999901</v>
      </c>
      <c r="I52" s="4">
        <f t="shared" si="1"/>
        <v>3.5673839184597905E-2</v>
      </c>
    </row>
    <row r="53" spans="3:9" x14ac:dyDescent="0.2">
      <c r="D53" s="2"/>
      <c r="E53" s="2" t="str">
        <f>'Billing Detail'!D151</f>
        <v>LED Cobra on Exisiting Pole</v>
      </c>
      <c r="F53" s="56">
        <f>'Billing Detail'!H151</f>
        <v>17.579999999999998</v>
      </c>
      <c r="G53" s="56">
        <f>'Billing Detail'!L151</f>
        <v>18.21</v>
      </c>
      <c r="H53" s="56">
        <f t="shared" si="0"/>
        <v>0.63000000000000256</v>
      </c>
      <c r="I53" s="4">
        <f t="shared" si="1"/>
        <v>3.5836177474402882E-2</v>
      </c>
    </row>
    <row r="54" spans="3:9" x14ac:dyDescent="0.2">
      <c r="D54" s="2"/>
      <c r="E54" s="2" t="str">
        <f>'Billing Detail'!D152</f>
        <v>LED Cobra on Exisiting Pole Metered</v>
      </c>
      <c r="F54" s="56">
        <f>'Billing Detail'!H152</f>
        <v>14.07</v>
      </c>
      <c r="G54" s="56">
        <f>'Billing Detail'!L152</f>
        <v>14.58</v>
      </c>
      <c r="H54" s="56">
        <f t="shared" si="0"/>
        <v>0.50999999999999979</v>
      </c>
      <c r="I54" s="4">
        <f t="shared" si="1"/>
        <v>3.6247334754797425E-2</v>
      </c>
    </row>
    <row r="55" spans="3:9" x14ac:dyDescent="0.2">
      <c r="D55" s="2"/>
      <c r="E55" s="2" t="str">
        <f>'Billing Detail'!D153</f>
        <v>Sodium Cobra on 30' Aluminum Pole 7,000-10,000 Lumens</v>
      </c>
      <c r="F55" s="56">
        <f>'Billing Detail'!H153</f>
        <v>20.39</v>
      </c>
      <c r="G55" s="56">
        <f>'Billing Detail'!L153</f>
        <v>21.12</v>
      </c>
      <c r="H55" s="56">
        <f t="shared" si="0"/>
        <v>0.73000000000000043</v>
      </c>
      <c r="I55" s="4">
        <f t="shared" si="1"/>
        <v>3.5801863658656223E-2</v>
      </c>
    </row>
    <row r="56" spans="3:9" x14ac:dyDescent="0.2">
      <c r="D56" s="2"/>
      <c r="E56" s="2" t="str">
        <f>'Billing Detail'!D154</f>
        <v>Sodium Cobra on 30' Aluminum Pole 15,000-28,000 Lumens</v>
      </c>
      <c r="F56" s="56">
        <f>'Billing Detail'!H154</f>
        <v>24.39</v>
      </c>
      <c r="G56" s="56">
        <f>'Billing Detail'!L154</f>
        <v>25.27</v>
      </c>
      <c r="H56" s="56">
        <f t="shared" si="0"/>
        <v>0.87999999999999901</v>
      </c>
      <c r="I56" s="4">
        <f t="shared" si="1"/>
        <v>3.6080360803607991E-2</v>
      </c>
    </row>
    <row r="57" spans="3:9" x14ac:dyDescent="0.2">
      <c r="D57" s="2"/>
      <c r="E57" s="2" t="str">
        <f>'Billing Detail'!D155</f>
        <v>14' Smooth Black Pole</v>
      </c>
      <c r="F57" s="56">
        <f>'Billing Detail'!H155</f>
        <v>12.37</v>
      </c>
      <c r="G57" s="56">
        <f>'Billing Detail'!L155</f>
        <v>12.81</v>
      </c>
      <c r="H57" s="56">
        <f t="shared" si="0"/>
        <v>0.44000000000000128</v>
      </c>
      <c r="I57" s="4">
        <f t="shared" si="1"/>
        <v>3.5569927243330746E-2</v>
      </c>
    </row>
    <row r="58" spans="3:9" x14ac:dyDescent="0.2">
      <c r="D58" s="2"/>
      <c r="E58" s="2" t="str">
        <f>'Billing Detail'!D156</f>
        <v>14' Fluted Pole</v>
      </c>
      <c r="F58" s="56">
        <f>'Billing Detail'!H156</f>
        <v>16.010000000000002</v>
      </c>
      <c r="G58" s="56">
        <f>'Billing Detail'!L156</f>
        <v>16.59</v>
      </c>
      <c r="H58" s="56">
        <f t="shared" si="0"/>
        <v>0.57999999999999829</v>
      </c>
      <c r="I58" s="4">
        <f t="shared" si="1"/>
        <v>3.6227357901311569E-2</v>
      </c>
    </row>
    <row r="59" spans="3:9" x14ac:dyDescent="0.2">
      <c r="D59" s="2"/>
      <c r="E59" s="2" t="str">
        <f>'Billing Detail'!D157</f>
        <v>LED 173 Watt Area</v>
      </c>
      <c r="F59" s="56">
        <f>'Billing Detail'!H157</f>
        <v>27.13</v>
      </c>
      <c r="G59" s="56">
        <f>'Billing Detail'!L157</f>
        <v>28.11</v>
      </c>
      <c r="H59" s="56">
        <f t="shared" si="0"/>
        <v>0.98000000000000043</v>
      </c>
      <c r="I59" s="4">
        <f t="shared" si="1"/>
        <v>3.6122373755989694E-2</v>
      </c>
    </row>
    <row r="60" spans="3:9" x14ac:dyDescent="0.2">
      <c r="D60" s="2"/>
      <c r="E60" s="2" t="str">
        <f>'Billing Detail'!D159</f>
        <v>30' Square Steel Pole</v>
      </c>
      <c r="F60" s="56">
        <f>'Billing Detail'!H159</f>
        <v>18.34</v>
      </c>
      <c r="G60" s="56">
        <f>'Billing Detail'!L159</f>
        <v>19</v>
      </c>
      <c r="H60" s="56">
        <f t="shared" si="0"/>
        <v>0.66000000000000014</v>
      </c>
      <c r="I60" s="4">
        <f t="shared" si="1"/>
        <v>3.5986913849509278E-2</v>
      </c>
    </row>
    <row r="61" spans="3:9" x14ac:dyDescent="0.2">
      <c r="D61" s="2"/>
      <c r="E61" s="2" t="str">
        <f>'Billing Detail'!D160</f>
        <v>250 W Cobra Head HPS @106KWH w/30' Alum Pole</v>
      </c>
      <c r="F61" s="56">
        <f>'Billing Detail'!H160</f>
        <v>26.87</v>
      </c>
      <c r="G61" s="56">
        <f>'Billing Detail'!L160</f>
        <v>27.84</v>
      </c>
      <c r="H61" s="56">
        <f t="shared" ref="H61" si="2">G61-F61</f>
        <v>0.96999999999999886</v>
      </c>
      <c r="I61" s="4">
        <f t="shared" ref="I61" si="3">H61/F61</f>
        <v>3.6099739486416031E-2</v>
      </c>
    </row>
    <row r="62" spans="3:9" x14ac:dyDescent="0.2">
      <c r="D62" s="2"/>
      <c r="E62" s="2" t="str">
        <f>'Billing Detail'!D161</f>
        <v>Metal Halide Galleria 1000-Watt</v>
      </c>
      <c r="F62" s="56">
        <f>'Billing Detail'!H161</f>
        <v>42.57</v>
      </c>
      <c r="G62" s="56">
        <f>'Billing Detail'!L161</f>
        <v>44.1</v>
      </c>
      <c r="H62" s="56">
        <f t="shared" si="0"/>
        <v>1.5300000000000011</v>
      </c>
      <c r="I62" s="4">
        <f t="shared" si="1"/>
        <v>3.5940803382663873E-2</v>
      </c>
    </row>
    <row r="63" spans="3:9" x14ac:dyDescent="0.2">
      <c r="D63" s="2"/>
      <c r="E63" s="2" t="str">
        <f>'Billing Detail'!D162</f>
        <v>Mercury Vapor on 8' Arm 400-Watt</v>
      </c>
      <c r="F63" s="56">
        <f>'Billing Detail'!H162</f>
        <v>21.05</v>
      </c>
      <c r="G63" s="56">
        <f>'Billing Detail'!L162</f>
        <v>21.81</v>
      </c>
      <c r="H63" s="56">
        <f t="shared" si="0"/>
        <v>0.75999999999999801</v>
      </c>
      <c r="I63" s="4">
        <f t="shared" si="1"/>
        <v>3.6104513064132919E-2</v>
      </c>
    </row>
    <row r="64" spans="3:9" x14ac:dyDescent="0.2">
      <c r="D64" s="2"/>
      <c r="E64" s="2" t="str">
        <f>'Billing Detail'!D163</f>
        <v>Mercury Vapor on 12' Arm 400-Watt</v>
      </c>
      <c r="F64" s="56">
        <f>'Billing Detail'!H163</f>
        <v>24.37</v>
      </c>
      <c r="G64" s="56">
        <f>'Billing Detail'!L163</f>
        <v>25.25</v>
      </c>
      <c r="H64" s="56">
        <f t="shared" si="0"/>
        <v>0.87999999999999901</v>
      </c>
      <c r="I64" s="4">
        <f t="shared" si="1"/>
        <v>3.610997127615917E-2</v>
      </c>
    </row>
    <row r="65" spans="3:9" x14ac:dyDescent="0.2">
      <c r="D65" s="2"/>
      <c r="E65" s="2" t="str">
        <f>'Billing Detail'!D164</f>
        <v>Mercury Vapor on 16' Arm 400-Watt</v>
      </c>
      <c r="F65" s="56">
        <f>'Billing Detail'!H164</f>
        <v>25.42</v>
      </c>
      <c r="G65" s="56">
        <f>'Billing Detail'!L164</f>
        <v>26.33</v>
      </c>
      <c r="H65" s="56">
        <f t="shared" si="0"/>
        <v>0.90999999999999659</v>
      </c>
      <c r="I65" s="4">
        <f t="shared" si="1"/>
        <v>3.5798583792289403E-2</v>
      </c>
    </row>
    <row r="66" spans="3:9" x14ac:dyDescent="0.2">
      <c r="D66" s="2"/>
      <c r="E66" s="2" t="str">
        <f>'Billing Detail'!D165</f>
        <v>Metal Halide Galleria 400-Watt</v>
      </c>
      <c r="F66" s="56">
        <f>'Billing Detail'!H165</f>
        <v>24.75</v>
      </c>
      <c r="G66" s="56">
        <f>'Billing Detail'!L165</f>
        <v>25.64</v>
      </c>
      <c r="H66" s="56">
        <f t="shared" si="0"/>
        <v>0.89000000000000057</v>
      </c>
      <c r="I66" s="4">
        <f t="shared" si="1"/>
        <v>3.5959595959595983E-2</v>
      </c>
    </row>
    <row r="67" spans="3:9" x14ac:dyDescent="0.2">
      <c r="D67" s="2"/>
      <c r="E67" s="2" t="str">
        <f>'Billing Detail'!D166</f>
        <v>Metal Halide Lexington 100-Watt</v>
      </c>
      <c r="F67" s="56">
        <f>'Billing Detail'!H166</f>
        <v>9.2100000000000009</v>
      </c>
      <c r="G67" s="56">
        <f>'Billing Detail'!L166</f>
        <v>9.5399999999999991</v>
      </c>
      <c r="H67" s="56">
        <f t="shared" si="0"/>
        <v>0.32999999999999829</v>
      </c>
      <c r="I67" s="4">
        <f t="shared" si="1"/>
        <v>3.5830618892507958E-2</v>
      </c>
    </row>
    <row r="68" spans="3:9" x14ac:dyDescent="0.2">
      <c r="D68" s="2"/>
      <c r="E68" s="2" t="str">
        <f>'Billing Detail'!D167</f>
        <v>Metal Halide Lexington 100-Watt Metered</v>
      </c>
      <c r="F68" s="56">
        <f>'Billing Detail'!H167</f>
        <v>6.07</v>
      </c>
      <c r="G68" s="56">
        <f>'Billing Detail'!L167</f>
        <v>6.29</v>
      </c>
      <c r="H68" s="56">
        <f t="shared" si="0"/>
        <v>0.21999999999999975</v>
      </c>
      <c r="I68" s="4">
        <f t="shared" si="1"/>
        <v>3.6243822075782493E-2</v>
      </c>
    </row>
    <row r="69" spans="3:9" x14ac:dyDescent="0.2">
      <c r="D69" s="2"/>
      <c r="E69" s="2" t="str">
        <f>'Billing Detail'!D168</f>
        <v xml:space="preserve">Metal Halide Acorn 100-Watt </v>
      </c>
      <c r="F69" s="56">
        <f>'Billing Detail'!H168</f>
        <v>11.52</v>
      </c>
      <c r="G69" s="56">
        <f>'Billing Detail'!L168</f>
        <v>11.93</v>
      </c>
      <c r="H69" s="56">
        <f t="shared" si="0"/>
        <v>0.41000000000000014</v>
      </c>
      <c r="I69" s="4">
        <f t="shared" si="1"/>
        <v>3.559027777777779E-2</v>
      </c>
    </row>
    <row r="70" spans="3:9" x14ac:dyDescent="0.2">
      <c r="D70" s="2"/>
      <c r="E70" s="2" t="str">
        <f>'Billing Detail'!D171</f>
        <v>Metal Halide Galleria 400-Watt Metered</v>
      </c>
      <c r="F70" s="56">
        <f>'Billing Detail'!H171</f>
        <v>13.08</v>
      </c>
      <c r="G70" s="56">
        <f>'Billing Detail'!L171</f>
        <v>13.55</v>
      </c>
      <c r="H70" s="56">
        <f t="shared" si="0"/>
        <v>0.47000000000000064</v>
      </c>
      <c r="I70" s="4">
        <f t="shared" si="1"/>
        <v>3.5932721712538272E-2</v>
      </c>
    </row>
    <row r="71" spans="3:9" x14ac:dyDescent="0.2">
      <c r="D71" s="2"/>
      <c r="E71" s="2" t="str">
        <f>'Billing Detail'!D172</f>
        <v>Sodium Cobra on Existing Pole 15000 Lumens - Metered</v>
      </c>
      <c r="F71" s="56">
        <f>'Billing Detail'!H172</f>
        <v>10.81</v>
      </c>
      <c r="G71" s="56">
        <f>'Billing Detail'!L172</f>
        <v>11.2</v>
      </c>
      <c r="H71" s="56">
        <f t="shared" si="0"/>
        <v>0.38999999999999879</v>
      </c>
      <c r="I71" s="4">
        <f t="shared" si="1"/>
        <v>3.6077705827936984E-2</v>
      </c>
    </row>
    <row r="72" spans="3:9" x14ac:dyDescent="0.2">
      <c r="D72" s="2"/>
      <c r="E72" s="2" t="str">
        <f>'Billing Detail'!D173</f>
        <v>Sodium Cobra on 30' Aluminum Pole 15000 L Metd</v>
      </c>
      <c r="F72" s="56">
        <f>'Billing Detail'!H173</f>
        <v>17.37</v>
      </c>
      <c r="G72" s="56">
        <f>'Billing Detail'!L173</f>
        <v>17.989999999999998</v>
      </c>
      <c r="H72" s="56">
        <f t="shared" ref="H72:H98" si="4">G72-F72</f>
        <v>0.61999999999999744</v>
      </c>
      <c r="I72" s="4">
        <f t="shared" ref="I72:I98" si="5">H72/F72</f>
        <v>3.569372481289565E-2</v>
      </c>
    </row>
    <row r="73" spans="3:9" x14ac:dyDescent="0.2">
      <c r="D73" s="2"/>
      <c r="E73" s="2" t="str">
        <f>'Billing Detail'!D174</f>
        <v>Sodium Cobra on 30' Aluminum Pole 7000 L Metd</v>
      </c>
      <c r="F73" s="56">
        <f>'Billing Detail'!H174</f>
        <v>17.37</v>
      </c>
      <c r="G73" s="56">
        <f>'Billing Detail'!L174</f>
        <v>17.989999999999998</v>
      </c>
      <c r="H73" s="56">
        <f t="shared" si="4"/>
        <v>0.61999999999999744</v>
      </c>
      <c r="I73" s="4">
        <f t="shared" si="5"/>
        <v>3.569372481289565E-2</v>
      </c>
    </row>
    <row r="74" spans="3:9" x14ac:dyDescent="0.2">
      <c r="D74" s="2"/>
      <c r="E74" s="2" t="str">
        <f>'Billing Detail'!D175</f>
        <v>LED 173W Area Metered</v>
      </c>
      <c r="F74" s="56">
        <f>'Billing Detail'!H175</f>
        <v>21.75</v>
      </c>
      <c r="G74" s="56">
        <f>'Billing Detail'!L175</f>
        <v>22.53</v>
      </c>
      <c r="H74" s="56">
        <f t="shared" si="4"/>
        <v>0.78000000000000114</v>
      </c>
      <c r="I74" s="4">
        <f t="shared" si="5"/>
        <v>3.5862068965517295E-2</v>
      </c>
    </row>
    <row r="75" spans="3:9" x14ac:dyDescent="0.2">
      <c r="D75" s="2"/>
      <c r="E75" s="2" t="str">
        <f>'Billing Detail'!D176</f>
        <v xml:space="preserve">1000 Watt Galleria Metered </v>
      </c>
      <c r="F75" s="56">
        <f>'Billing Detail'!H176</f>
        <v>15.29</v>
      </c>
      <c r="G75" s="56">
        <f>'Billing Detail'!L176</f>
        <v>15.84</v>
      </c>
      <c r="H75" s="56">
        <f t="shared" si="4"/>
        <v>0.55000000000000071</v>
      </c>
      <c r="I75" s="4">
        <f t="shared" si="5"/>
        <v>3.5971223021582781E-2</v>
      </c>
    </row>
    <row r="76" spans="3:9" x14ac:dyDescent="0.2">
      <c r="D76" s="2"/>
      <c r="E76" s="2" t="str">
        <f>'Billing Detail'!D177</f>
        <v>400 W Cobra MV 8' Arm Metered</v>
      </c>
      <c r="F76" s="56">
        <f>'Billing Detail'!H177</f>
        <v>9.48</v>
      </c>
      <c r="G76" s="56">
        <f>'Billing Detail'!L177</f>
        <v>9.82</v>
      </c>
      <c r="H76" s="56">
        <f t="shared" si="4"/>
        <v>0.33999999999999986</v>
      </c>
      <c r="I76" s="4">
        <f t="shared" si="5"/>
        <v>3.5864978902953572E-2</v>
      </c>
    </row>
    <row r="77" spans="3:9" x14ac:dyDescent="0.2">
      <c r="D77" s="2"/>
      <c r="E77" s="2" t="str">
        <f>'Billing Detail'!D178</f>
        <v>401 W Cobra MV 12' Arm Metered</v>
      </c>
      <c r="F77" s="56">
        <f>'Billing Detail'!H178</f>
        <v>12.73</v>
      </c>
      <c r="G77" s="56">
        <f>'Billing Detail'!L178</f>
        <v>13.19</v>
      </c>
      <c r="H77" s="56">
        <f t="shared" si="4"/>
        <v>0.45999999999999908</v>
      </c>
      <c r="I77" s="4">
        <f t="shared" si="5"/>
        <v>3.6135113904163317E-2</v>
      </c>
    </row>
    <row r="78" spans="3:9" ht="13.9" customHeight="1" x14ac:dyDescent="0.2">
      <c r="D78" s="2"/>
      <c r="E78" s="2" t="str">
        <f>'Billing Detail'!D179</f>
        <v>402 W Cobra MV 16' Arm Metered</v>
      </c>
      <c r="F78" s="56">
        <f>'Billing Detail'!H179</f>
        <v>13.72</v>
      </c>
      <c r="G78" s="56">
        <f>'Billing Detail'!L179</f>
        <v>14.21</v>
      </c>
      <c r="H78" s="56">
        <f t="shared" si="4"/>
        <v>0.49000000000000021</v>
      </c>
      <c r="I78" s="4">
        <f t="shared" si="5"/>
        <v>3.5714285714285726E-2</v>
      </c>
    </row>
    <row r="79" spans="3:9" ht="13.9" customHeight="1" x14ac:dyDescent="0.2">
      <c r="D79" s="2"/>
      <c r="E79" s="2" t="str">
        <f>'Billing Detail'!D180</f>
        <v>30' Aluminum Pole</v>
      </c>
      <c r="F79" s="56">
        <f>'Billing Detail'!H180</f>
        <v>27.95</v>
      </c>
      <c r="G79" s="56">
        <f>'Billing Detail'!L180</f>
        <v>28.95</v>
      </c>
      <c r="H79" s="56">
        <f t="shared" si="4"/>
        <v>1</v>
      </c>
      <c r="I79" s="4">
        <f t="shared" si="5"/>
        <v>3.5778175313059032E-2</v>
      </c>
    </row>
    <row r="80" spans="3:9" x14ac:dyDescent="0.2">
      <c r="C80" s="2" t="str">
        <f>'Billing Detail'!C181</f>
        <v>OLS</v>
      </c>
      <c r="D80" s="2" t="str">
        <f>'Billing Detail'!B181</f>
        <v>Outdoor Lighting/Security Lights</v>
      </c>
      <c r="H80" s="56"/>
      <c r="I80" s="4"/>
    </row>
    <row r="81" spans="5:9" x14ac:dyDescent="0.2">
      <c r="E81" s="2" t="str">
        <f>'Billing Detail'!D182</f>
        <v>M/Vapor Sec L</v>
      </c>
      <c r="F81" s="56">
        <f>'Billing Detail'!H182</f>
        <v>11.7</v>
      </c>
      <c r="G81" s="56">
        <f>'Billing Detail'!L182</f>
        <v>12.12</v>
      </c>
      <c r="H81" s="56">
        <f t="shared" si="4"/>
        <v>0.41999999999999993</v>
      </c>
      <c r="I81" s="4">
        <f t="shared" si="5"/>
        <v>3.5897435897435895E-2</v>
      </c>
    </row>
    <row r="82" spans="5:9" x14ac:dyDescent="0.2">
      <c r="E82" s="2" t="str">
        <f>'Billing Detail'!D184</f>
        <v>M/Vapor Sec L - Metered</v>
      </c>
      <c r="F82" s="56">
        <f>'Billing Detail'!H184</f>
        <v>7.99</v>
      </c>
      <c r="G82" s="56">
        <f>'Billing Detail'!L184</f>
        <v>8.2799999999999994</v>
      </c>
      <c r="H82" s="56">
        <f t="shared" si="4"/>
        <v>0.28999999999999915</v>
      </c>
      <c r="I82" s="4">
        <f t="shared" si="5"/>
        <v>3.6295369211514286E-2</v>
      </c>
    </row>
    <row r="83" spans="5:9" x14ac:dyDescent="0.2">
      <c r="E83" s="2" t="str">
        <f>'Billing Detail'!D186</f>
        <v>Sodium Sec L</v>
      </c>
      <c r="F83" s="56">
        <f>'Billing Detail'!H186</f>
        <v>11.7</v>
      </c>
      <c r="G83" s="56">
        <f>'Billing Detail'!L186</f>
        <v>12.12</v>
      </c>
      <c r="H83" s="56">
        <f t="shared" si="4"/>
        <v>0.41999999999999993</v>
      </c>
      <c r="I83" s="4">
        <f t="shared" si="5"/>
        <v>3.5897435897435895E-2</v>
      </c>
    </row>
    <row r="84" spans="5:9" x14ac:dyDescent="0.2">
      <c r="E84" s="2" t="str">
        <f>'Billing Detail'!D188</f>
        <v>Sodium Sec L - Metered</v>
      </c>
      <c r="F84" s="56">
        <f>'Billing Detail'!H188</f>
        <v>7.99</v>
      </c>
      <c r="G84" s="56">
        <f>'Billing Detail'!L188</f>
        <v>8.2799999999999994</v>
      </c>
      <c r="H84" s="56">
        <f t="shared" si="4"/>
        <v>0.28999999999999915</v>
      </c>
      <c r="I84" s="4">
        <f t="shared" si="5"/>
        <v>3.6295369211514286E-2</v>
      </c>
    </row>
    <row r="85" spans="5:9" x14ac:dyDescent="0.2">
      <c r="E85" s="2" t="str">
        <f>'Billing Detail'!D189</f>
        <v xml:space="preserve">LED Sec L </v>
      </c>
      <c r="F85" s="56">
        <f>'Billing Detail'!H189</f>
        <v>14.37</v>
      </c>
      <c r="G85" s="56">
        <f>'Billing Detail'!L189</f>
        <v>14.89</v>
      </c>
      <c r="H85" s="56">
        <f t="shared" si="4"/>
        <v>0.52000000000000135</v>
      </c>
      <c r="I85" s="4">
        <f t="shared" si="5"/>
        <v>3.6186499652052985E-2</v>
      </c>
    </row>
    <row r="86" spans="5:9" x14ac:dyDescent="0.2">
      <c r="E86" s="2" t="str">
        <f>'Billing Detail'!D190</f>
        <v>LED Sec L - Metered</v>
      </c>
      <c r="F86" s="56">
        <f>'Billing Detail'!H190</f>
        <v>12.3</v>
      </c>
      <c r="G86" s="56">
        <f>'Billing Detail'!L190</f>
        <v>12.74</v>
      </c>
      <c r="H86" s="56">
        <f t="shared" si="4"/>
        <v>0.4399999999999995</v>
      </c>
      <c r="I86" s="4">
        <f t="shared" si="5"/>
        <v>3.5772357723577196E-2</v>
      </c>
    </row>
    <row r="87" spans="5:9" x14ac:dyDescent="0.2">
      <c r="E87" s="2" t="str">
        <f>'Billing Detail'!D191</f>
        <v>LED Dir Flood 200 Watt</v>
      </c>
      <c r="F87" s="56">
        <f>'Billing Detail'!H191</f>
        <v>25.27</v>
      </c>
      <c r="G87" s="56">
        <f>'Billing Detail'!L191</f>
        <v>26.18</v>
      </c>
      <c r="H87" s="56">
        <f t="shared" si="4"/>
        <v>0.91000000000000014</v>
      </c>
      <c r="I87" s="4">
        <f t="shared" si="5"/>
        <v>3.6011080332409975E-2</v>
      </c>
    </row>
    <row r="88" spans="5:9" x14ac:dyDescent="0.2">
      <c r="E88" s="2" t="str">
        <f>'Billing Detail'!D192</f>
        <v>LED Dir Flood 200 Watt- Metered</v>
      </c>
      <c r="F88" s="56">
        <f>'Billing Detail'!H192</f>
        <v>18.77</v>
      </c>
      <c r="G88" s="56">
        <f>'Billing Detail'!L192</f>
        <v>19.440000000000001</v>
      </c>
      <c r="H88" s="56">
        <f t="shared" si="4"/>
        <v>0.67000000000000171</v>
      </c>
      <c r="I88" s="4">
        <f t="shared" si="5"/>
        <v>3.5695258391049638E-2</v>
      </c>
    </row>
    <row r="89" spans="5:9" x14ac:dyDescent="0.2">
      <c r="E89" s="2" t="str">
        <f>'Billing Detail'!D193</f>
        <v>LED Dir Flood 391 Watt</v>
      </c>
      <c r="F89" s="56">
        <f>'Billing Detail'!H193</f>
        <v>39.04</v>
      </c>
      <c r="G89" s="56">
        <f>'Billing Detail'!L193</f>
        <v>40.44</v>
      </c>
      <c r="H89" s="56">
        <f t="shared" si="4"/>
        <v>1.3999999999999986</v>
      </c>
      <c r="I89" s="4">
        <f t="shared" si="5"/>
        <v>3.5860655737704882E-2</v>
      </c>
    </row>
    <row r="90" spans="5:9" x14ac:dyDescent="0.2">
      <c r="E90" s="2" t="str">
        <f>'Billing Detail'!D194</f>
        <v>LED Dir Flood 391 Watt - Metered</v>
      </c>
      <c r="F90" s="56">
        <f>'Billing Detail'!H194</f>
        <v>26.91</v>
      </c>
      <c r="G90" s="56">
        <f>'Billing Detail'!L194</f>
        <v>27.88</v>
      </c>
      <c r="H90" s="56">
        <f t="shared" si="4"/>
        <v>0.96999999999999886</v>
      </c>
      <c r="I90" s="4">
        <f t="shared" si="5"/>
        <v>3.6046079524340351E-2</v>
      </c>
    </row>
    <row r="91" spans="5:9" x14ac:dyDescent="0.2">
      <c r="E91" s="2" t="str">
        <f>'Billing Detail'!D195</f>
        <v>Sodium Dir 250-Watt</v>
      </c>
      <c r="F91" s="56">
        <f>'Billing Detail'!H195</f>
        <v>18.79</v>
      </c>
      <c r="G91" s="56">
        <f>'Billing Detail'!L195</f>
        <v>19.47</v>
      </c>
      <c r="H91" s="56">
        <f t="shared" si="4"/>
        <v>0.67999999999999972</v>
      </c>
      <c r="I91" s="4">
        <f t="shared" si="5"/>
        <v>3.618946248004256E-2</v>
      </c>
    </row>
    <row r="92" spans="5:9" x14ac:dyDescent="0.2">
      <c r="E92" s="2" t="str">
        <f>'Billing Detail'!D196</f>
        <v>Sodium Dir 250-Watt - Metered</v>
      </c>
      <c r="F92" s="56">
        <f>'Billing Detail'!H196</f>
        <v>10.15</v>
      </c>
      <c r="G92" s="56">
        <f>'Billing Detail'!L196</f>
        <v>10.51</v>
      </c>
      <c r="H92" s="56">
        <f t="shared" si="4"/>
        <v>0.35999999999999943</v>
      </c>
      <c r="I92" s="4">
        <f t="shared" si="5"/>
        <v>3.5467980295566442E-2</v>
      </c>
    </row>
    <row r="93" spans="5:9" x14ac:dyDescent="0.2">
      <c r="E93" s="2" t="str">
        <f>'Billing Detail'!D197</f>
        <v>Metal Halide Dir 250-Watt</v>
      </c>
      <c r="F93" s="56">
        <f>'Billing Detail'!H197</f>
        <v>20.28</v>
      </c>
      <c r="G93" s="56">
        <f>'Billing Detail'!L197</f>
        <v>21.01</v>
      </c>
      <c r="H93" s="56">
        <f t="shared" si="4"/>
        <v>0.73000000000000043</v>
      </c>
      <c r="I93" s="4">
        <f t="shared" si="5"/>
        <v>3.5996055226824475E-2</v>
      </c>
    </row>
    <row r="94" spans="5:9" x14ac:dyDescent="0.2">
      <c r="E94" s="2" t="str">
        <f>'Billing Detail'!D198</f>
        <v>Metal Halide Dir 250-Watt - Metered</v>
      </c>
      <c r="F94" s="56">
        <f>'Billing Detail'!H198</f>
        <v>11.29</v>
      </c>
      <c r="G94" s="56">
        <f>'Billing Detail'!L198</f>
        <v>11.7</v>
      </c>
      <c r="H94" s="56">
        <f t="shared" si="4"/>
        <v>0.41000000000000014</v>
      </c>
      <c r="I94" s="4">
        <f t="shared" si="5"/>
        <v>3.6315323294951303E-2</v>
      </c>
    </row>
    <row r="95" spans="5:9" x14ac:dyDescent="0.2">
      <c r="E95" s="2" t="str">
        <f>'Billing Detail'!D199</f>
        <v>Metal Halide Dir 400-Watt</v>
      </c>
      <c r="F95" s="56">
        <f>'Billing Detail'!H199</f>
        <v>25.58</v>
      </c>
      <c r="G95" s="56">
        <f>'Billing Detail'!L199</f>
        <v>26.5</v>
      </c>
      <c r="H95" s="56">
        <f t="shared" si="4"/>
        <v>0.92000000000000171</v>
      </c>
      <c r="I95" s="4">
        <f t="shared" si="5"/>
        <v>3.596559812353408E-2</v>
      </c>
    </row>
    <row r="96" spans="5:9" x14ac:dyDescent="0.2">
      <c r="E96" s="2" t="str">
        <f>'Billing Detail'!D201</f>
        <v>Metal Halide Dir 400-Watt - Metered</v>
      </c>
      <c r="F96" s="56">
        <f>'Billing Detail'!H201</f>
        <v>11.29</v>
      </c>
      <c r="G96" s="56">
        <f>'Billing Detail'!L201</f>
        <v>11.7</v>
      </c>
      <c r="H96" s="56">
        <f t="shared" si="4"/>
        <v>0.41000000000000014</v>
      </c>
      <c r="I96" s="4">
        <f t="shared" si="5"/>
        <v>3.6315323294951303E-2</v>
      </c>
    </row>
    <row r="97" spans="3:9" x14ac:dyDescent="0.2">
      <c r="E97" s="2" t="str">
        <f>'Billing Detail'!D203</f>
        <v>Metal Halide Dir 1000-Watt</v>
      </c>
      <c r="F97" s="56">
        <f>'Billing Detail'!H203</f>
        <v>46.13</v>
      </c>
      <c r="G97" s="56">
        <f>'Billing Detail'!L203</f>
        <v>47.79</v>
      </c>
      <c r="H97" s="56">
        <f t="shared" si="4"/>
        <v>1.6599999999999966</v>
      </c>
      <c r="I97" s="4">
        <f t="shared" si="5"/>
        <v>3.5985259050509352E-2</v>
      </c>
    </row>
    <row r="98" spans="3:9" x14ac:dyDescent="0.2">
      <c r="E98" s="2" t="str">
        <f>'Billing Detail'!D204</f>
        <v>Metal Halide Dir 1000-Watt - Metered</v>
      </c>
      <c r="F98" s="56">
        <f>'Billing Detail'!H204</f>
        <v>12.61</v>
      </c>
      <c r="G98" s="56">
        <f>'Billing Detail'!L204</f>
        <v>13.06</v>
      </c>
      <c r="H98" s="56">
        <f t="shared" si="4"/>
        <v>0.45000000000000107</v>
      </c>
      <c r="I98" s="4">
        <f t="shared" si="5"/>
        <v>3.5685963521015156E-2</v>
      </c>
    </row>
    <row r="99" spans="3:9" x14ac:dyDescent="0.2">
      <c r="D99" s="3" t="str">
        <f>'Billing Detail'!B225</f>
        <v>Interruptible Service</v>
      </c>
      <c r="F99" s="56"/>
      <c r="G99" s="56"/>
      <c r="H99" s="56"/>
      <c r="I99" s="4"/>
    </row>
    <row r="100" spans="3:9" x14ac:dyDescent="0.2">
      <c r="E100" s="2" t="str">
        <f>'Billing Detail'!D226</f>
        <v>Demand Credit per kW - 200 Hrs</v>
      </c>
      <c r="F100" s="56">
        <f>'Billing Detail'!H226</f>
        <v>4.2</v>
      </c>
      <c r="G100" s="56">
        <f>'Billing Detail'!L226</f>
        <v>6.2</v>
      </c>
      <c r="H100" s="56"/>
      <c r="I100" s="4"/>
    </row>
    <row r="101" spans="3:9" ht="15" customHeight="1" x14ac:dyDescent="0.2">
      <c r="E101" s="2" t="str">
        <f>'Billing Detail'!D227</f>
        <v>Demand Credit per kW - 300 Hrs</v>
      </c>
      <c r="F101" s="56">
        <f>'Billing Detail'!H227</f>
        <v>4.9000000000000004</v>
      </c>
      <c r="G101" s="56">
        <f>'Billing Detail'!L227</f>
        <v>6.9</v>
      </c>
    </row>
    <row r="102" spans="3:9" x14ac:dyDescent="0.2">
      <c r="E102" s="2" t="str">
        <f>'Billing Detail'!D228</f>
        <v>Demand Credit per kW - 400 Hrs</v>
      </c>
      <c r="F102" s="56">
        <f>'Billing Detail'!H228</f>
        <v>5.6</v>
      </c>
      <c r="G102" s="56">
        <f>'Billing Detail'!L228</f>
        <v>7.6</v>
      </c>
    </row>
    <row r="103" spans="3:9" x14ac:dyDescent="0.2">
      <c r="F103" s="56"/>
      <c r="G103" s="56"/>
    </row>
    <row r="104" spans="3:9" ht="41.45" customHeight="1" x14ac:dyDescent="0.2">
      <c r="C104" s="155" t="s">
        <v>50</v>
      </c>
      <c r="D104" s="155"/>
      <c r="E104" s="155"/>
      <c r="F104" s="155"/>
      <c r="G104" s="155"/>
    </row>
    <row r="105" spans="3:9" x14ac:dyDescent="0.2">
      <c r="D105" s="2"/>
      <c r="F105" s="156" t="s">
        <v>51</v>
      </c>
      <c r="G105" s="156"/>
    </row>
    <row r="106" spans="3:9" x14ac:dyDescent="0.2">
      <c r="C106" s="65" t="s">
        <v>52</v>
      </c>
      <c r="D106" s="65"/>
      <c r="E106" s="66"/>
      <c r="F106" s="67" t="s">
        <v>53</v>
      </c>
      <c r="G106" s="67" t="s">
        <v>54</v>
      </c>
    </row>
    <row r="107" spans="3:9" x14ac:dyDescent="0.2">
      <c r="C107" s="84" t="str">
        <f>Summary!C9</f>
        <v xml:space="preserve">A </v>
      </c>
      <c r="D107" s="3" t="str">
        <f>Summary!B9</f>
        <v>Residential, Farm and Non-Farm Service</v>
      </c>
      <c r="F107" s="68">
        <f>Summary!L9</f>
        <v>3459629.2040500119</v>
      </c>
      <c r="G107" s="69">
        <f>Summary!N9</f>
        <v>3.1487240608513503E-2</v>
      </c>
    </row>
    <row r="108" spans="3:9" x14ac:dyDescent="0.2">
      <c r="C108" s="84" t="str">
        <f>Summary!C10</f>
        <v>A-ETS</v>
      </c>
      <c r="D108" s="3" t="str">
        <f>Summary!B10</f>
        <v>Residential, Farm and Non-Farm Service (ETS)</v>
      </c>
      <c r="F108" s="68">
        <f>Summary!L10</f>
        <v>15171.825049999985</v>
      </c>
      <c r="G108" s="69">
        <f>Summary!N10</f>
        <v>3.3138762530277734E-2</v>
      </c>
      <c r="H108" s="1"/>
    </row>
    <row r="109" spans="3:9" x14ac:dyDescent="0.2">
      <c r="C109" s="84" t="str">
        <f>Summary!C11</f>
        <v>B</v>
      </c>
      <c r="D109" s="3" t="str">
        <f>Summary!B11</f>
        <v>Small Commercial Rate</v>
      </c>
      <c r="F109" s="68">
        <f>Summary!L11</f>
        <v>328459.06643999973</v>
      </c>
      <c r="G109" s="69">
        <f>Summary!N11</f>
        <v>3.5752377448439995E-2</v>
      </c>
      <c r="H109" s="1"/>
    </row>
    <row r="110" spans="3:9" x14ac:dyDescent="0.2">
      <c r="C110" s="84" t="str">
        <f>Summary!C12</f>
        <v>B-ETS</v>
      </c>
      <c r="D110" s="3" t="str">
        <f>Summary!B12</f>
        <v>Small Commercial Rate (ETS)</v>
      </c>
      <c r="F110" s="68">
        <f>Summary!L12</f>
        <v>83.211839999999938</v>
      </c>
      <c r="G110" s="69">
        <f>Summary!N12</f>
        <v>3.3130903912191048E-2</v>
      </c>
      <c r="H110" s="1"/>
    </row>
    <row r="111" spans="3:9" x14ac:dyDescent="0.2">
      <c r="C111" s="84" t="str">
        <f>Summary!C13</f>
        <v>LP</v>
      </c>
      <c r="D111" s="3" t="str">
        <f>Summary!B13</f>
        <v>Large Power Rate (Excess of 50 kVA)</v>
      </c>
      <c r="F111" s="68">
        <f>Summary!L13</f>
        <v>657200.39743999997</v>
      </c>
      <c r="G111" s="69">
        <f>Summary!N13</f>
        <v>3.5804826681060789E-2</v>
      </c>
      <c r="H111" s="1"/>
    </row>
    <row r="112" spans="3:9" x14ac:dyDescent="0.2">
      <c r="C112" s="84" t="str">
        <f>Summary!C19</f>
        <v>LP-1</v>
      </c>
      <c r="D112" s="3" t="str">
        <f>Summary!B19</f>
        <v>Large Power Rate (500 KW to 4,999 KW)</v>
      </c>
      <c r="F112" s="68">
        <f>Summary!L19</f>
        <v>74943.282140000098</v>
      </c>
      <c r="G112" s="69">
        <f>Summary!N19</f>
        <v>9.6546310674926389E-2</v>
      </c>
      <c r="H112" s="1"/>
    </row>
    <row r="113" spans="3:8" x14ac:dyDescent="0.2">
      <c r="C113" s="84" t="str">
        <f>Summary!C20</f>
        <v>LP-2</v>
      </c>
      <c r="D113" s="3" t="str">
        <f>Summary!B20</f>
        <v>Large Power Rate (5,000 KW to 9,999 KW)</v>
      </c>
      <c r="F113" s="68">
        <f>Summary!L20</f>
        <v>533058.1676900005</v>
      </c>
      <c r="G113" s="69">
        <f>Summary!N20</f>
        <v>9.6329118128846106E-2</v>
      </c>
      <c r="H113" s="1"/>
    </row>
    <row r="114" spans="3:8" x14ac:dyDescent="0.2">
      <c r="C114" s="84" t="str">
        <f>Summary!C23</f>
        <v>LP-3</v>
      </c>
      <c r="D114" s="3" t="str">
        <f>Summary!B23</f>
        <v>Large Power Rate (500 KW to 2,999 KW)</v>
      </c>
      <c r="F114" s="68">
        <f>Summary!L23</f>
        <v>558342.64884000027</v>
      </c>
      <c r="G114" s="69">
        <f>Summary!N23</f>
        <v>9.3516974245329301E-2</v>
      </c>
      <c r="H114" s="1"/>
    </row>
    <row r="115" spans="3:8" x14ac:dyDescent="0.2">
      <c r="C115" s="84" t="str">
        <f>Summary!C14</f>
        <v>OPS</v>
      </c>
      <c r="D115" s="3" t="str">
        <f>Summary!B14</f>
        <v>Optional Power Service</v>
      </c>
      <c r="F115" s="68">
        <f>Summary!L14</f>
        <v>56431.090499999977</v>
      </c>
      <c r="G115" s="69">
        <f>Summary!N14</f>
        <v>3.5639562001468214E-2</v>
      </c>
      <c r="H115" s="1"/>
    </row>
    <row r="116" spans="3:8" x14ac:dyDescent="0.2">
      <c r="C116" s="84" t="str">
        <f>Summary!C15</f>
        <v>AES</v>
      </c>
      <c r="D116" s="3" t="str">
        <f>Summary!B15</f>
        <v>All Electric Schools</v>
      </c>
      <c r="F116" s="68">
        <f>Summary!L15</f>
        <v>38122.020599999945</v>
      </c>
      <c r="G116" s="69">
        <f>Summary!N15</f>
        <v>3.5722039438357563E-2</v>
      </c>
      <c r="H116" s="1"/>
    </row>
    <row r="117" spans="3:8" x14ac:dyDescent="0.2">
      <c r="C117" s="84" t="str">
        <f>Summary!C16</f>
        <v>STL-DSTL-OLS</v>
      </c>
      <c r="D117" s="3" t="str">
        <f>Summary!B16</f>
        <v>Lighting</v>
      </c>
      <c r="F117" s="68">
        <f>Summary!L16</f>
        <v>158642.72000000067</v>
      </c>
      <c r="G117" s="69">
        <f>Summary!N16</f>
        <v>3.3079130082003499E-2</v>
      </c>
      <c r="H117" s="1"/>
    </row>
    <row r="118" spans="3:8" x14ac:dyDescent="0.2">
      <c r="C118" s="85" t="s">
        <v>55</v>
      </c>
      <c r="D118" s="35"/>
      <c r="E118" s="35"/>
      <c r="F118" s="70">
        <f>Summary!L34</f>
        <v>5880083.6345899999</v>
      </c>
      <c r="G118" s="71">
        <f>Summary!N34</f>
        <v>3.7309381125238343E-2</v>
      </c>
    </row>
    <row r="119" spans="3:8" x14ac:dyDescent="0.2">
      <c r="C119" s="84"/>
      <c r="D119" s="2"/>
      <c r="F119" s="72"/>
      <c r="G119" s="73"/>
    </row>
    <row r="120" spans="3:8" x14ac:dyDescent="0.2">
      <c r="D120" s="2"/>
    </row>
    <row r="121" spans="3:8" ht="40.15" customHeight="1" x14ac:dyDescent="0.2">
      <c r="C121" s="157" t="s">
        <v>56</v>
      </c>
      <c r="D121" s="157"/>
      <c r="E121" s="157"/>
      <c r="F121" s="157"/>
      <c r="G121" s="157"/>
      <c r="H121" s="128"/>
    </row>
    <row r="122" spans="3:8" x14ac:dyDescent="0.2">
      <c r="D122" s="2"/>
      <c r="E122" s="74" t="s">
        <v>18</v>
      </c>
      <c r="F122" s="156" t="s">
        <v>51</v>
      </c>
      <c r="G122" s="156"/>
    </row>
    <row r="123" spans="3:8" x14ac:dyDescent="0.2">
      <c r="C123" s="65" t="s">
        <v>52</v>
      </c>
      <c r="D123" s="66"/>
      <c r="E123" s="75" t="s">
        <v>57</v>
      </c>
      <c r="F123" s="67" t="s">
        <v>53</v>
      </c>
      <c r="G123" s="67" t="s">
        <v>54</v>
      </c>
    </row>
    <row r="124" spans="3:8" x14ac:dyDescent="0.2">
      <c r="C124" s="2" t="str">
        <f>Summary!C9</f>
        <v xml:space="preserve">A </v>
      </c>
      <c r="D124" s="81" t="str">
        <f>Summary!B9</f>
        <v>Residential, Farm and Non-Farm Service</v>
      </c>
      <c r="E124" s="76">
        <f>'Billing Detail'!E17</f>
        <v>977.79110583716238</v>
      </c>
      <c r="F124" s="78">
        <f>'Billing Detail'!N17</f>
        <v>4.526272469006102</v>
      </c>
      <c r="G124" s="83">
        <f>Summary!N9</f>
        <v>3.1487240608513503E-2</v>
      </c>
    </row>
    <row r="125" spans="3:8" x14ac:dyDescent="0.2">
      <c r="C125" s="2" t="str">
        <f>Summary!C10</f>
        <v>A-ETS</v>
      </c>
      <c r="D125" s="81" t="str">
        <f>Summary!B10</f>
        <v>Residential, Farm and Non-Farm Service (ETS)</v>
      </c>
      <c r="E125" s="76">
        <f>'Billing Detail'!E29</f>
        <v>364.94244008159103</v>
      </c>
      <c r="F125" s="78">
        <f>'Billing Detail'!N29</f>
        <v>0.96709746621621528</v>
      </c>
      <c r="G125" s="83">
        <f>Summary!N10</f>
        <v>3.3138762530277734E-2</v>
      </c>
    </row>
    <row r="126" spans="3:8" x14ac:dyDescent="0.2">
      <c r="C126" s="2" t="str">
        <f>Summary!C11</f>
        <v>B</v>
      </c>
      <c r="D126" s="81" t="str">
        <f>Summary!B11</f>
        <v>Small Commercial Rate</v>
      </c>
      <c r="E126" s="76">
        <f>'Billing Detail'!E41</f>
        <v>1188.7295506065168</v>
      </c>
      <c r="F126" s="78">
        <f>'Billing Detail'!N41</f>
        <v>5.6837644956652582</v>
      </c>
      <c r="G126" s="83">
        <f>Summary!N11</f>
        <v>3.5752377448439995E-2</v>
      </c>
    </row>
    <row r="127" spans="3:8" x14ac:dyDescent="0.2">
      <c r="C127" s="2" t="str">
        <f>Summary!C12</f>
        <v>B-ETS</v>
      </c>
      <c r="D127" s="81" t="str">
        <f>Summary!B12</f>
        <v>Small Commercial Rate (ETS)</v>
      </c>
      <c r="E127" s="76">
        <f>'Billing Detail'!E53</f>
        <v>332.10344827586209</v>
      </c>
      <c r="F127" s="78">
        <f>'Billing Detail'!N53</f>
        <v>0.95645793103448207</v>
      </c>
      <c r="G127" s="83">
        <f>Summary!N12</f>
        <v>3.3130903912191048E-2</v>
      </c>
    </row>
    <row r="128" spans="3:8" x14ac:dyDescent="0.2">
      <c r="C128" s="2" t="str">
        <f>Summary!C13</f>
        <v>LP</v>
      </c>
      <c r="D128" s="81" t="str">
        <f>Summary!B13</f>
        <v>Large Power Rate (Excess of 50 kVA)</v>
      </c>
      <c r="E128" s="76">
        <f>'Billing Detail'!E66</f>
        <v>32919.611888111889</v>
      </c>
      <c r="F128" s="78">
        <f>'Billing Detail'!N66</f>
        <v>114.89517437762197</v>
      </c>
      <c r="G128" s="83">
        <f>Summary!N13</f>
        <v>3.5804826681060789E-2</v>
      </c>
    </row>
    <row r="129" spans="3:7" x14ac:dyDescent="0.2">
      <c r="C129" s="2" t="str">
        <f>Summary!C19</f>
        <v>LP-1</v>
      </c>
      <c r="D129" s="81" t="str">
        <f>Summary!B19</f>
        <v>Large Power Rate (500 KW to 4,999 KW)</v>
      </c>
      <c r="E129" s="76">
        <f>'Billing Detail'!E82</f>
        <v>823110.16666666663</v>
      </c>
      <c r="F129" s="78">
        <f>'Billing Detail'!N82</f>
        <v>6245.2735116666663</v>
      </c>
      <c r="G129" s="83">
        <f>Summary!N19</f>
        <v>9.6546310674926389E-2</v>
      </c>
    </row>
    <row r="130" spans="3:7" x14ac:dyDescent="0.2">
      <c r="C130" s="2" t="str">
        <f>Summary!C20</f>
        <v>LP-2</v>
      </c>
      <c r="D130" s="81" t="str">
        <f>Summary!B20</f>
        <v>Large Power Rate (5,000 KW to 9,999 KW)</v>
      </c>
      <c r="E130" s="76">
        <f>'Billing Detail'!E98</f>
        <v>3136980.3333333335</v>
      </c>
      <c r="F130" s="78">
        <f>'Billing Detail'!N98</f>
        <v>22210.756987083383</v>
      </c>
      <c r="G130" s="83">
        <f>Summary!N20</f>
        <v>9.6329118128846106E-2</v>
      </c>
    </row>
    <row r="131" spans="3:7" x14ac:dyDescent="0.2">
      <c r="C131" s="2" t="str">
        <f>Summary!C23</f>
        <v>LP-3</v>
      </c>
      <c r="D131" s="81" t="str">
        <f>Summary!B23</f>
        <v>Large Power Rate (500 KW to 2,999 KW)</v>
      </c>
      <c r="E131" s="76">
        <f>'Billing Detail'!E114</f>
        <v>690752.45794392528</v>
      </c>
      <c r="F131" s="78">
        <f>'Billing Detail'!N114</f>
        <v>5218.1555966355081</v>
      </c>
      <c r="G131" s="83">
        <f>Summary!N23</f>
        <v>9.3516974245329301E-2</v>
      </c>
    </row>
    <row r="132" spans="3:7" x14ac:dyDescent="0.2">
      <c r="C132" s="2" t="str">
        <f>Summary!C14</f>
        <v>OPS</v>
      </c>
      <c r="D132" s="81" t="str">
        <f>Summary!B14</f>
        <v>Optional Power Service</v>
      </c>
      <c r="E132" s="76">
        <f>'Billing Detail'!E126</f>
        <v>6462.721354166667</v>
      </c>
      <c r="F132" s="78">
        <f>'Billing Detail'!N126</f>
        <v>29.39119296874992</v>
      </c>
      <c r="G132" s="83">
        <f>Summary!N14</f>
        <v>3.5639562001468214E-2</v>
      </c>
    </row>
    <row r="133" spans="3:7" x14ac:dyDescent="0.2">
      <c r="C133" s="2" t="str">
        <f>Summary!C15</f>
        <v>AES</v>
      </c>
      <c r="D133" s="81" t="str">
        <f>Summary!B15</f>
        <v>All Electric Schools</v>
      </c>
      <c r="E133" s="76">
        <f>'Billing Detail'!E138</f>
        <v>53270.333333333336</v>
      </c>
      <c r="F133" s="78">
        <f>'Billing Detail'!N138</f>
        <v>186.87264999999934</v>
      </c>
      <c r="G133" s="83">
        <f>Summary!N15</f>
        <v>3.5722039438357563E-2</v>
      </c>
    </row>
    <row r="134" spans="3:7" x14ac:dyDescent="0.2">
      <c r="C134" s="2" t="str">
        <f>Summary!C16</f>
        <v>STL-DSTL-OLS</v>
      </c>
      <c r="D134" s="81" t="str">
        <f>Summary!B16</f>
        <v>Lighting</v>
      </c>
      <c r="E134" s="79" t="s">
        <v>58</v>
      </c>
      <c r="F134" s="78" t="s">
        <v>58</v>
      </c>
      <c r="G134" s="83">
        <f>Summary!N16</f>
        <v>3.3079130082003499E-2</v>
      </c>
    </row>
  </sheetData>
  <mergeCells count="4">
    <mergeCell ref="C104:G104"/>
    <mergeCell ref="F105:G105"/>
    <mergeCell ref="F122:G122"/>
    <mergeCell ref="C121:G121"/>
  </mergeCells>
  <printOptions horizontalCentered="1"/>
  <pageMargins left="0.7" right="0.7" top="0.75" bottom="0.75" header="0.3" footer="0.3"/>
  <pageSetup paperSize="9" scale="64" fitToHeight="2" orientation="portrait" r:id="rId1"/>
  <headerFooter>
    <oddHeader>&amp;R&amp;"Arial,Bold"&amp;10Exhibit 3
Page &amp;P of &amp;N</oddHeader>
  </headerFooter>
  <rowBreaks count="2" manualBreakCount="2">
    <brk id="49" max="6" man="1"/>
    <brk id="1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2025-07-30T13:07:14Z</cp:lastPrinted>
  <dcterms:created xsi:type="dcterms:W3CDTF">2021-02-09T02:13:44Z</dcterms:created>
  <dcterms:modified xsi:type="dcterms:W3CDTF">2025-12-02T21:08:15Z</dcterms:modified>
</cp:coreProperties>
</file>