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ac385686f0d07d2/Documents/CATALYST Consulting/Clients/EKPC/A-EKPC 2025 Pass Thru Cases/Taylor Co/Analysis/"/>
    </mc:Choice>
  </mc:AlternateContent>
  <xr:revisionPtr revIDLastSave="36" documentId="8_{5E3B791D-644C-46F5-8B43-49152428BE20}" xr6:coauthVersionLast="47" xr6:coauthVersionMax="47" xr10:uidLastSave="{47926A65-0B2D-45D3-A99E-70E4ACF140FE}"/>
  <bookViews>
    <workbookView xWindow="-120" yWindow="-120" windowWidth="29040" windowHeight="15720" xr2:uid="{5A56C961-47FC-4CB4-AEDD-3C6FC9A16749}"/>
  </bookViews>
  <sheets>
    <sheet name="Summary" sheetId="2" r:id="rId1"/>
    <sheet name="Billing Detail" sheetId="1" r:id="rId2"/>
    <sheet name="Notice Table" sheetId="3" r:id="rId3"/>
  </sheets>
  <definedNames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0</definedName>
    <definedName name="_AtRisk_SimSetting_ReportsList" hidden="1">0</definedName>
    <definedName name="_AtRisk_SimSetting_SimNameCount" hidden="1">0</definedName>
    <definedName name="_AtRisk_SimSetting_SmartSensitivityAnalysisEnabled" hidden="1">TRUE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xlnm.Print_Area" localSheetId="1">'Billing Detail'!$A$1:$R$145</definedName>
    <definedName name="_xlnm.Print_Area" localSheetId="2">'Notice Table'!$A$1:$G$60</definedName>
    <definedName name="_xlnm.Print_Area" localSheetId="0">Summary!$A$1:$O$32</definedName>
    <definedName name="_xlnm.Print_Titles" localSheetId="1">'Billing Detail'!$1:$5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FALSE</definedName>
    <definedName name="RiskNumIterations" hidden="1">500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TRUE</definedName>
    <definedName name="RiskUseDifferentSeedForEachSim" hidden="1">FALSE</definedName>
    <definedName name="RiskUseFixedSeed" hidden="1">FALSE</definedName>
    <definedName name="RiskUseMultipleCPUs" hidden="1">FALSE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0" i="3" l="1"/>
  <c r="F60" i="3"/>
  <c r="G60" i="3"/>
  <c r="H60" i="3" s="1"/>
  <c r="I60" i="3" s="1"/>
  <c r="I59" i="3"/>
  <c r="H59" i="3"/>
  <c r="I58" i="3"/>
  <c r="H58" i="3"/>
  <c r="E59" i="3"/>
  <c r="F59" i="3"/>
  <c r="G59" i="3"/>
  <c r="G58" i="3"/>
  <c r="F58" i="3"/>
  <c r="E58" i="3"/>
  <c r="D57" i="3"/>
  <c r="A140" i="1"/>
  <c r="A141" i="1" s="1"/>
  <c r="A142" i="1" s="1"/>
  <c r="A143" i="1" s="1"/>
  <c r="L143" i="1"/>
  <c r="L142" i="1"/>
  <c r="L141" i="1"/>
  <c r="S132" i="1"/>
  <c r="S133" i="1" s="1"/>
  <c r="S134" i="1" s="1"/>
  <c r="S136" i="1" s="1"/>
  <c r="S137" i="1" s="1"/>
  <c r="S138" i="1" s="1"/>
  <c r="S139" i="1" s="1"/>
  <c r="S127" i="1"/>
  <c r="S128" i="1" s="1"/>
  <c r="S129" i="1" s="1"/>
  <c r="S123" i="1"/>
  <c r="S125" i="1" s="1"/>
  <c r="S120" i="1"/>
  <c r="S121" i="1" s="1"/>
  <c r="A11" i="2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I18" i="2"/>
  <c r="L4" i="2"/>
  <c r="L30" i="2" s="1"/>
  <c r="E152" i="1"/>
  <c r="S124" i="1" l="1"/>
  <c r="E148" i="1"/>
  <c r="E149" i="1" s="1"/>
  <c r="E150" i="1" s="1"/>
  <c r="H73" i="1"/>
  <c r="F38" i="3" l="1"/>
  <c r="E38" i="3"/>
  <c r="F37" i="3"/>
  <c r="E37" i="3"/>
  <c r="F36" i="3"/>
  <c r="E36" i="3"/>
  <c r="D35" i="3"/>
  <c r="C35" i="3"/>
  <c r="N110" i="1"/>
  <c r="G110" i="1"/>
  <c r="G108" i="1"/>
  <c r="G107" i="1"/>
  <c r="I62" i="1"/>
  <c r="I48" i="1"/>
  <c r="I35" i="1"/>
  <c r="I23" i="1"/>
  <c r="I11" i="1"/>
  <c r="I107" i="1" l="1"/>
  <c r="E41" i="3"/>
  <c r="F41" i="3"/>
  <c r="E42" i="3"/>
  <c r="F42" i="3"/>
  <c r="E44" i="3"/>
  <c r="F44" i="3"/>
  <c r="E45" i="3"/>
  <c r="F45" i="3"/>
  <c r="E46" i="3"/>
  <c r="F46" i="3"/>
  <c r="E48" i="3"/>
  <c r="F48" i="3"/>
  <c r="E49" i="3"/>
  <c r="F49" i="3"/>
  <c r="E50" i="3"/>
  <c r="F50" i="3"/>
  <c r="E51" i="3"/>
  <c r="F51" i="3"/>
  <c r="E53" i="3"/>
  <c r="F53" i="3"/>
  <c r="E54" i="3"/>
  <c r="F54" i="3"/>
  <c r="E55" i="3"/>
  <c r="F55" i="3"/>
  <c r="E56" i="3"/>
  <c r="F56" i="3"/>
  <c r="F40" i="3"/>
  <c r="E40" i="3"/>
  <c r="C43" i="3"/>
  <c r="D43" i="3"/>
  <c r="C47" i="3"/>
  <c r="D47" i="3"/>
  <c r="C52" i="3"/>
  <c r="D52" i="3"/>
  <c r="D39" i="3"/>
  <c r="C39" i="3"/>
  <c r="E21" i="3" l="1"/>
  <c r="F21" i="3"/>
  <c r="E19" i="3"/>
  <c r="F19" i="3"/>
  <c r="E20" i="3"/>
  <c r="F20" i="3"/>
  <c r="F18" i="3"/>
  <c r="E18" i="3"/>
  <c r="E15" i="3"/>
  <c r="F15" i="3"/>
  <c r="E16" i="3"/>
  <c r="F16" i="3"/>
  <c r="E41" i="1"/>
  <c r="E80" i="3" s="1"/>
  <c r="F72" i="1"/>
  <c r="G72" i="1" s="1"/>
  <c r="F71" i="1"/>
  <c r="L73" i="1"/>
  <c r="L72" i="1"/>
  <c r="L71" i="1"/>
  <c r="G20" i="1"/>
  <c r="I20" i="1"/>
  <c r="E29" i="1"/>
  <c r="I71" i="1"/>
  <c r="M71" i="1" s="1"/>
  <c r="I72" i="1"/>
  <c r="M72" i="1" s="1"/>
  <c r="I58" i="1"/>
  <c r="G58" i="1"/>
  <c r="I59" i="1"/>
  <c r="G59" i="1"/>
  <c r="I45" i="1"/>
  <c r="G45" i="1"/>
  <c r="B10" i="2"/>
  <c r="D78" i="3" s="1"/>
  <c r="N81" i="1"/>
  <c r="F83" i="3" s="1"/>
  <c r="E68" i="1"/>
  <c r="E82" i="3" s="1"/>
  <c r="E54" i="1"/>
  <c r="E81" i="3" s="1"/>
  <c r="G83" i="3"/>
  <c r="F70" i="3"/>
  <c r="G70" i="3"/>
  <c r="N72" i="1" l="1"/>
  <c r="O72" i="1" s="1"/>
  <c r="T72" i="1"/>
  <c r="D65" i="3"/>
  <c r="E17" i="1"/>
  <c r="E78" i="3" s="1"/>
  <c r="E24" i="3" l="1"/>
  <c r="F24" i="3"/>
  <c r="E25" i="3"/>
  <c r="F25" i="3"/>
  <c r="E26" i="3"/>
  <c r="F26" i="3"/>
  <c r="E27" i="3"/>
  <c r="F27" i="3"/>
  <c r="E28" i="3"/>
  <c r="F28" i="3"/>
  <c r="E29" i="3"/>
  <c r="F29" i="3"/>
  <c r="E30" i="3"/>
  <c r="F30" i="3"/>
  <c r="E31" i="3"/>
  <c r="F31" i="3"/>
  <c r="E32" i="3"/>
  <c r="F32" i="3"/>
  <c r="E33" i="3"/>
  <c r="F33" i="3"/>
  <c r="E34" i="3"/>
  <c r="F34" i="3"/>
  <c r="F23" i="3"/>
  <c r="E23" i="3"/>
  <c r="C22" i="3"/>
  <c r="D22" i="3"/>
  <c r="C17" i="3"/>
  <c r="D17" i="3"/>
  <c r="E14" i="3"/>
  <c r="C13" i="3"/>
  <c r="D13" i="3"/>
  <c r="E12" i="3"/>
  <c r="F12" i="3"/>
  <c r="F11" i="3"/>
  <c r="E11" i="3"/>
  <c r="C10" i="3"/>
  <c r="D10" i="3"/>
  <c r="E9" i="3"/>
  <c r="C8" i="3"/>
  <c r="D8" i="3"/>
  <c r="E7" i="3"/>
  <c r="F7" i="3"/>
  <c r="F6" i="3"/>
  <c r="E6" i="3"/>
  <c r="C5" i="3"/>
  <c r="D5" i="3"/>
  <c r="F14" i="3" l="1"/>
  <c r="F9" i="3"/>
  <c r="A1" i="3" l="1"/>
  <c r="G77" i="1" l="1"/>
  <c r="G109" i="1" s="1"/>
  <c r="C13" i="2" l="1"/>
  <c r="I73" i="1"/>
  <c r="J72" i="1" s="1"/>
  <c r="G73" i="1"/>
  <c r="M73" i="1" l="1"/>
  <c r="C68" i="3"/>
  <c r="C81" i="3"/>
  <c r="I60" i="1"/>
  <c r="G60" i="1"/>
  <c r="I21" i="1"/>
  <c r="G21" i="1"/>
  <c r="I46" i="1" l="1"/>
  <c r="G46" i="1"/>
  <c r="I33" i="1"/>
  <c r="G33" i="1"/>
  <c r="A8" i="1" l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l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I65" i="1"/>
  <c r="M65" i="1" s="1"/>
  <c r="I64" i="1"/>
  <c r="M64" i="1" s="1"/>
  <c r="I63" i="1"/>
  <c r="M63" i="1" s="1"/>
  <c r="I78" i="1"/>
  <c r="M78" i="1" s="1"/>
  <c r="I77" i="1"/>
  <c r="I76" i="1"/>
  <c r="M76" i="1" s="1"/>
  <c r="I51" i="1"/>
  <c r="M51" i="1" s="1"/>
  <c r="I50" i="1"/>
  <c r="M50" i="1" s="1"/>
  <c r="I49" i="1"/>
  <c r="M49" i="1" s="1"/>
  <c r="I38" i="1"/>
  <c r="M38" i="1" s="1"/>
  <c r="I36" i="1"/>
  <c r="I26" i="1"/>
  <c r="M26" i="1" s="1"/>
  <c r="I25" i="1"/>
  <c r="M25" i="1" s="1"/>
  <c r="I24" i="1"/>
  <c r="M24" i="1" s="1"/>
  <c r="I14" i="1"/>
  <c r="I13" i="1"/>
  <c r="I12" i="1"/>
  <c r="B26" i="2"/>
  <c r="I108" i="1" l="1"/>
  <c r="I110" i="1"/>
  <c r="A70" i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E26" i="2"/>
  <c r="M13" i="1"/>
  <c r="M12" i="1"/>
  <c r="M14" i="1"/>
  <c r="M110" i="1" s="1"/>
  <c r="M77" i="1"/>
  <c r="I27" i="1"/>
  <c r="I52" i="1"/>
  <c r="M36" i="1"/>
  <c r="G39" i="1"/>
  <c r="I37" i="1"/>
  <c r="M37" i="1" s="1"/>
  <c r="G15" i="1"/>
  <c r="G66" i="1"/>
  <c r="D26" i="2"/>
  <c r="G79" i="1"/>
  <c r="G52" i="1"/>
  <c r="G27" i="1"/>
  <c r="A114" i="1" l="1"/>
  <c r="A115" i="1" s="1"/>
  <c r="A116" i="1" s="1"/>
  <c r="A117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18" i="1"/>
  <c r="A119" i="1" s="1"/>
  <c r="A120" i="1" s="1"/>
  <c r="A121" i="1" s="1"/>
  <c r="I109" i="1"/>
  <c r="J26" i="2"/>
  <c r="I15" i="1"/>
  <c r="I66" i="1"/>
  <c r="I79" i="1"/>
  <c r="I39" i="1"/>
  <c r="I95" i="1"/>
  <c r="G95" i="1"/>
  <c r="I94" i="1"/>
  <c r="G94" i="1"/>
  <c r="I93" i="1"/>
  <c r="G93" i="1"/>
  <c r="I92" i="1"/>
  <c r="G92" i="1"/>
  <c r="I91" i="1"/>
  <c r="G91" i="1"/>
  <c r="I90" i="1"/>
  <c r="G90" i="1"/>
  <c r="I89" i="1"/>
  <c r="G89" i="1"/>
  <c r="I88" i="1"/>
  <c r="G88" i="1"/>
  <c r="I87" i="1"/>
  <c r="G87" i="1"/>
  <c r="I86" i="1"/>
  <c r="G86" i="1"/>
  <c r="I85" i="1"/>
  <c r="G85" i="1"/>
  <c r="E25" i="2" l="1"/>
  <c r="E24" i="2"/>
  <c r="D25" i="2"/>
  <c r="D24" i="2"/>
  <c r="C12" i="2"/>
  <c r="C14" i="2"/>
  <c r="C18" i="2"/>
  <c r="C15" i="2"/>
  <c r="B15" i="2"/>
  <c r="B18" i="2"/>
  <c r="B14" i="2"/>
  <c r="B13" i="2"/>
  <c r="B12" i="2"/>
  <c r="C11" i="2"/>
  <c r="C10" i="2"/>
  <c r="B11" i="2"/>
  <c r="N77" i="1"/>
  <c r="N76" i="1"/>
  <c r="M75" i="1"/>
  <c r="N50" i="1"/>
  <c r="N49" i="1"/>
  <c r="M48" i="1"/>
  <c r="I44" i="1"/>
  <c r="G44" i="1"/>
  <c r="N25" i="1"/>
  <c r="N24" i="1"/>
  <c r="M23" i="1"/>
  <c r="N36" i="1"/>
  <c r="M35" i="1"/>
  <c r="I32" i="1"/>
  <c r="G32" i="1"/>
  <c r="N64" i="1"/>
  <c r="N63" i="1"/>
  <c r="M62" i="1"/>
  <c r="I57" i="1"/>
  <c r="G57" i="1"/>
  <c r="D71" i="3" l="1"/>
  <c r="D84" i="3"/>
  <c r="C67" i="3"/>
  <c r="C80" i="3"/>
  <c r="C79" i="3"/>
  <c r="C66" i="3"/>
  <c r="C78" i="3"/>
  <c r="C65" i="3"/>
  <c r="C71" i="3"/>
  <c r="C84" i="3"/>
  <c r="C83" i="3"/>
  <c r="C70" i="3"/>
  <c r="C82" i="3"/>
  <c r="C69" i="3"/>
  <c r="D70" i="3"/>
  <c r="D83" i="3"/>
  <c r="D82" i="3"/>
  <c r="D69" i="3"/>
  <c r="D81" i="3"/>
  <c r="D68" i="3"/>
  <c r="D80" i="3"/>
  <c r="D67" i="3"/>
  <c r="D66" i="3"/>
  <c r="D79" i="3"/>
  <c r="N23" i="1"/>
  <c r="M27" i="1"/>
  <c r="N62" i="1"/>
  <c r="M66" i="1"/>
  <c r="N75" i="1"/>
  <c r="M79" i="1"/>
  <c r="N48" i="1"/>
  <c r="M52" i="1"/>
  <c r="N35" i="1"/>
  <c r="M39" i="1"/>
  <c r="N39" i="1" s="1"/>
  <c r="O39" i="1" s="1"/>
  <c r="E23" i="2"/>
  <c r="E27" i="2" s="1"/>
  <c r="G47" i="1"/>
  <c r="D13" i="2" s="1"/>
  <c r="D23" i="2"/>
  <c r="D27" i="2" s="1"/>
  <c r="G22" i="1"/>
  <c r="D11" i="2" s="1"/>
  <c r="G74" i="1"/>
  <c r="I74" i="1"/>
  <c r="I47" i="1"/>
  <c r="I22" i="1"/>
  <c r="G34" i="1"/>
  <c r="N37" i="1"/>
  <c r="I34" i="1"/>
  <c r="J33" i="1" s="1"/>
  <c r="I61" i="1"/>
  <c r="G61" i="1"/>
  <c r="G84" i="1"/>
  <c r="I84" i="1"/>
  <c r="G101" i="1"/>
  <c r="G111" i="1" s="1"/>
  <c r="M99" i="1"/>
  <c r="M109" i="1" s="1"/>
  <c r="M98" i="1"/>
  <c r="M108" i="1" s="1"/>
  <c r="M97" i="1"/>
  <c r="B24" i="2"/>
  <c r="B25" i="2"/>
  <c r="B23" i="2"/>
  <c r="M11" i="1"/>
  <c r="I9" i="1"/>
  <c r="I8" i="1"/>
  <c r="G9" i="1"/>
  <c r="G8" i="1"/>
  <c r="A2" i="1"/>
  <c r="A1" i="1"/>
  <c r="A10" i="2"/>
  <c r="M107" i="1" l="1"/>
  <c r="J73" i="1"/>
  <c r="J74" i="1" s="1"/>
  <c r="J58" i="1"/>
  <c r="J59" i="1"/>
  <c r="J60" i="1"/>
  <c r="J20" i="1"/>
  <c r="J21" i="1"/>
  <c r="J32" i="1"/>
  <c r="J34" i="1" s="1"/>
  <c r="J45" i="1"/>
  <c r="J46" i="1"/>
  <c r="J44" i="1"/>
  <c r="J57" i="1"/>
  <c r="M15" i="1"/>
  <c r="N97" i="1"/>
  <c r="E13" i="2"/>
  <c r="G13" i="2" s="1"/>
  <c r="N98" i="1"/>
  <c r="N99" i="1"/>
  <c r="J25" i="2"/>
  <c r="G53" i="1"/>
  <c r="G54" i="1" s="1"/>
  <c r="G28" i="1"/>
  <c r="G29" i="1" s="1"/>
  <c r="N12" i="1"/>
  <c r="J24" i="2"/>
  <c r="N13" i="1"/>
  <c r="N109" i="1" s="1"/>
  <c r="G80" i="1"/>
  <c r="D14" i="2"/>
  <c r="G40" i="1"/>
  <c r="G41" i="1" s="1"/>
  <c r="D12" i="2"/>
  <c r="I53" i="1"/>
  <c r="I54" i="1" s="1"/>
  <c r="G67" i="1"/>
  <c r="G68" i="1" s="1"/>
  <c r="D18" i="2"/>
  <c r="I67" i="1"/>
  <c r="I68" i="1" s="1"/>
  <c r="E18" i="2"/>
  <c r="G18" i="2" s="1"/>
  <c r="I40" i="1"/>
  <c r="I41" i="1" s="1"/>
  <c r="E12" i="2"/>
  <c r="G12" i="2" s="1"/>
  <c r="I28" i="1"/>
  <c r="I29" i="1" s="1"/>
  <c r="E11" i="2"/>
  <c r="G11" i="2" s="1"/>
  <c r="I80" i="1"/>
  <c r="E14" i="2"/>
  <c r="N52" i="1"/>
  <c r="O52" i="1" s="1"/>
  <c r="N79" i="1"/>
  <c r="O79" i="1" s="1"/>
  <c r="N27" i="1"/>
  <c r="O27" i="1" s="1"/>
  <c r="N66" i="1"/>
  <c r="O66" i="1" s="1"/>
  <c r="G10" i="1"/>
  <c r="I10" i="1"/>
  <c r="J9" i="1" s="1"/>
  <c r="I101" i="1"/>
  <c r="I111" i="1" s="1"/>
  <c r="I96" i="1"/>
  <c r="G96" i="1"/>
  <c r="N11" i="1"/>
  <c r="N107" i="1" s="1"/>
  <c r="J61" i="1" l="1"/>
  <c r="N108" i="1"/>
  <c r="G106" i="1"/>
  <c r="I106" i="1"/>
  <c r="I112" i="1" s="1"/>
  <c r="J47" i="1"/>
  <c r="J22" i="1"/>
  <c r="J8" i="1"/>
  <c r="J10" i="1" s="1"/>
  <c r="J87" i="1"/>
  <c r="J86" i="1"/>
  <c r="J91" i="1"/>
  <c r="J90" i="1"/>
  <c r="J95" i="1"/>
  <c r="J94" i="1"/>
  <c r="J85" i="1"/>
  <c r="J89" i="1"/>
  <c r="J92" i="1"/>
  <c r="J93" i="1"/>
  <c r="J88" i="1"/>
  <c r="J84" i="1"/>
  <c r="G112" i="1"/>
  <c r="D15" i="2"/>
  <c r="J23" i="2"/>
  <c r="J27" i="2" s="1"/>
  <c r="E15" i="2"/>
  <c r="G15" i="2" s="1"/>
  <c r="G102" i="1"/>
  <c r="E10" i="2"/>
  <c r="G10" i="2" s="1"/>
  <c r="G16" i="1"/>
  <c r="D10" i="2"/>
  <c r="I102" i="1"/>
  <c r="M101" i="1"/>
  <c r="M111" i="1" s="1"/>
  <c r="I16" i="1"/>
  <c r="I17" i="1" s="1"/>
  <c r="N15" i="1"/>
  <c r="J96" i="1" l="1"/>
  <c r="D16" i="2"/>
  <c r="E16" i="2"/>
  <c r="E20" i="2" s="1"/>
  <c r="G17" i="1"/>
  <c r="N101" i="1"/>
  <c r="O101" i="1" s="1"/>
  <c r="N111" i="1" l="1"/>
  <c r="D20" i="2"/>
  <c r="D29" i="2" s="1"/>
  <c r="D31" i="2" s="1"/>
  <c r="D32" i="2" s="1"/>
  <c r="G16" i="2"/>
  <c r="G20" i="2" s="1"/>
  <c r="F10" i="2"/>
  <c r="F13" i="2"/>
  <c r="F11" i="2"/>
  <c r="F15" i="2"/>
  <c r="F16" i="2"/>
  <c r="F12" i="2"/>
  <c r="F14" i="2"/>
  <c r="H12" i="2" l="1"/>
  <c r="I12" i="2" s="1"/>
  <c r="K34" i="1" s="1"/>
  <c r="H14" i="2"/>
  <c r="H11" i="2"/>
  <c r="I11" i="2" s="1"/>
  <c r="K22" i="1" s="1"/>
  <c r="H13" i="2"/>
  <c r="I13" i="2" s="1"/>
  <c r="K47" i="1" s="1"/>
  <c r="K61" i="1"/>
  <c r="H15" i="2"/>
  <c r="I15" i="2" s="1"/>
  <c r="K96" i="1" s="1"/>
  <c r="H10" i="2"/>
  <c r="I10" i="2" s="1"/>
  <c r="K10" i="1" s="1"/>
  <c r="E29" i="2"/>
  <c r="I14" i="2" l="1"/>
  <c r="K74" i="1" s="1"/>
  <c r="S22" i="1"/>
  <c r="S96" i="1"/>
  <c r="L95" i="1" s="1"/>
  <c r="S34" i="1"/>
  <c r="S10" i="1"/>
  <c r="S61" i="1"/>
  <c r="S47" i="1"/>
  <c r="L45" i="1" s="1"/>
  <c r="G15" i="3" s="1"/>
  <c r="H15" i="3" s="1"/>
  <c r="I15" i="3" s="1"/>
  <c r="L21" i="1" l="1"/>
  <c r="G9" i="3" s="1"/>
  <c r="H9" i="3" s="1"/>
  <c r="I9" i="3" s="1"/>
  <c r="L20" i="1"/>
  <c r="M20" i="1" s="1"/>
  <c r="N20" i="1" s="1"/>
  <c r="O20" i="1" s="1"/>
  <c r="I16" i="2"/>
  <c r="I20" i="2" s="1"/>
  <c r="L59" i="1"/>
  <c r="L58" i="1"/>
  <c r="L46" i="1"/>
  <c r="G16" i="3" s="1"/>
  <c r="H16" i="3" s="1"/>
  <c r="I16" i="3" s="1"/>
  <c r="L44" i="1"/>
  <c r="L60" i="1"/>
  <c r="L9" i="1"/>
  <c r="G7" i="3" s="1"/>
  <c r="H7" i="3" s="1"/>
  <c r="I7" i="3" s="1"/>
  <c r="L32" i="1"/>
  <c r="G11" i="3" s="1"/>
  <c r="H11" i="3" s="1"/>
  <c r="I11" i="3" s="1"/>
  <c r="L33" i="1"/>
  <c r="G12" i="3" s="1"/>
  <c r="H12" i="3" s="1"/>
  <c r="I12" i="3" s="1"/>
  <c r="L89" i="1"/>
  <c r="T89" i="1" s="1"/>
  <c r="L92" i="1"/>
  <c r="G31" i="3" s="1"/>
  <c r="H31" i="3" s="1"/>
  <c r="I31" i="3" s="1"/>
  <c r="L93" i="1"/>
  <c r="G32" i="3" s="1"/>
  <c r="H32" i="3" s="1"/>
  <c r="I32" i="3" s="1"/>
  <c r="L8" i="1"/>
  <c r="L94" i="1"/>
  <c r="G33" i="3" s="1"/>
  <c r="H33" i="3" s="1"/>
  <c r="I33" i="3" s="1"/>
  <c r="L88" i="1"/>
  <c r="G27" i="3" s="1"/>
  <c r="H27" i="3" s="1"/>
  <c r="I27" i="3" s="1"/>
  <c r="L90" i="1"/>
  <c r="G29" i="3" s="1"/>
  <c r="H29" i="3" s="1"/>
  <c r="I29" i="3" s="1"/>
  <c r="L87" i="1"/>
  <c r="G26" i="3" s="1"/>
  <c r="H26" i="3" s="1"/>
  <c r="I26" i="3" s="1"/>
  <c r="L91" i="1"/>
  <c r="G30" i="3" s="1"/>
  <c r="H30" i="3" s="1"/>
  <c r="I30" i="3" s="1"/>
  <c r="L84" i="1"/>
  <c r="G23" i="3" s="1"/>
  <c r="H23" i="3" s="1"/>
  <c r="I23" i="3" s="1"/>
  <c r="L85" i="1"/>
  <c r="G24" i="3" s="1"/>
  <c r="H24" i="3" s="1"/>
  <c r="I24" i="3" s="1"/>
  <c r="L86" i="1"/>
  <c r="G25" i="3" s="1"/>
  <c r="H25" i="3" s="1"/>
  <c r="I25" i="3" s="1"/>
  <c r="L57" i="1"/>
  <c r="T95" i="1"/>
  <c r="G34" i="3"/>
  <c r="H34" i="3" s="1"/>
  <c r="I34" i="3" s="1"/>
  <c r="M95" i="1"/>
  <c r="N95" i="1" s="1"/>
  <c r="O95" i="1" s="1"/>
  <c r="T73" i="1"/>
  <c r="T32" i="1" l="1"/>
  <c r="M9" i="1"/>
  <c r="N9" i="1" s="1"/>
  <c r="O9" i="1" s="1"/>
  <c r="T9" i="1"/>
  <c r="G19" i="3"/>
  <c r="H19" i="3" s="1"/>
  <c r="I19" i="3" s="1"/>
  <c r="L132" i="1"/>
  <c r="G20" i="3"/>
  <c r="H20" i="3" s="1"/>
  <c r="I20" i="3" s="1"/>
  <c r="L133" i="1"/>
  <c r="M32" i="1"/>
  <c r="N32" i="1" s="1"/>
  <c r="O32" i="1" s="1"/>
  <c r="M57" i="1"/>
  <c r="N57" i="1" s="1"/>
  <c r="O57" i="1" s="1"/>
  <c r="G18" i="3"/>
  <c r="H18" i="3" s="1"/>
  <c r="I18" i="3" s="1"/>
  <c r="G21" i="3"/>
  <c r="H21" i="3" s="1"/>
  <c r="I21" i="3" s="1"/>
  <c r="M60" i="1"/>
  <c r="N60" i="1" s="1"/>
  <c r="O60" i="1" s="1"/>
  <c r="T60" i="1"/>
  <c r="T58" i="1"/>
  <c r="M58" i="1"/>
  <c r="N58" i="1" s="1"/>
  <c r="O58" i="1" s="1"/>
  <c r="M59" i="1"/>
  <c r="N59" i="1" s="1"/>
  <c r="O59" i="1" s="1"/>
  <c r="T59" i="1"/>
  <c r="N73" i="1"/>
  <c r="N74" i="1" s="1"/>
  <c r="O74" i="1" s="1"/>
  <c r="P72" i="1"/>
  <c r="Q72" i="1" s="1"/>
  <c r="G6" i="3"/>
  <c r="H6" i="3" s="1"/>
  <c r="I6" i="3" s="1"/>
  <c r="T33" i="1"/>
  <c r="G28" i="3"/>
  <c r="H28" i="3" s="1"/>
  <c r="I28" i="3" s="1"/>
  <c r="M89" i="1"/>
  <c r="N89" i="1" s="1"/>
  <c r="O89" i="1" s="1"/>
  <c r="T93" i="1"/>
  <c r="M92" i="1"/>
  <c r="N92" i="1" s="1"/>
  <c r="O92" i="1" s="1"/>
  <c r="T92" i="1"/>
  <c r="T90" i="1"/>
  <c r="T86" i="1"/>
  <c r="M8" i="1"/>
  <c r="N8" i="1" s="1"/>
  <c r="O8" i="1" s="1"/>
  <c r="M44" i="1"/>
  <c r="N44" i="1" s="1"/>
  <c r="M93" i="1"/>
  <c r="N93" i="1" s="1"/>
  <c r="O93" i="1" s="1"/>
  <c r="M86" i="1"/>
  <c r="N86" i="1" s="1"/>
  <c r="O86" i="1" s="1"/>
  <c r="M88" i="1"/>
  <c r="N88" i="1" s="1"/>
  <c r="O88" i="1" s="1"/>
  <c r="M91" i="1"/>
  <c r="N91" i="1" s="1"/>
  <c r="O91" i="1" s="1"/>
  <c r="M33" i="1"/>
  <c r="N33" i="1" s="1"/>
  <c r="O33" i="1" s="1"/>
  <c r="T91" i="1"/>
  <c r="T88" i="1"/>
  <c r="M90" i="1"/>
  <c r="N90" i="1" s="1"/>
  <c r="O90" i="1" s="1"/>
  <c r="M94" i="1"/>
  <c r="N94" i="1" s="1"/>
  <c r="O94" i="1" s="1"/>
  <c r="T94" i="1"/>
  <c r="T8" i="1"/>
  <c r="T87" i="1"/>
  <c r="M87" i="1"/>
  <c r="N87" i="1" s="1"/>
  <c r="O87" i="1" s="1"/>
  <c r="M84" i="1"/>
  <c r="N84" i="1" s="1"/>
  <c r="O84" i="1" s="1"/>
  <c r="T84" i="1"/>
  <c r="M85" i="1"/>
  <c r="N85" i="1" s="1"/>
  <c r="O85" i="1" s="1"/>
  <c r="T85" i="1"/>
  <c r="T46" i="1"/>
  <c r="M46" i="1"/>
  <c r="M74" i="1"/>
  <c r="J14" i="2" s="1"/>
  <c r="G49" i="3" l="1"/>
  <c r="H49" i="3" s="1"/>
  <c r="I49" i="3" s="1"/>
  <c r="L137" i="1"/>
  <c r="G54" i="3" s="1"/>
  <c r="H54" i="3" s="1"/>
  <c r="I54" i="3" s="1"/>
  <c r="G50" i="3"/>
  <c r="H50" i="3" s="1"/>
  <c r="I50" i="3" s="1"/>
  <c r="L138" i="1"/>
  <c r="G55" i="3" s="1"/>
  <c r="H55" i="3" s="1"/>
  <c r="I55" i="3" s="1"/>
  <c r="M61" i="1"/>
  <c r="P58" i="1" s="1"/>
  <c r="Q58" i="1" s="1"/>
  <c r="N61" i="1"/>
  <c r="L18" i="2" s="1"/>
  <c r="O73" i="1"/>
  <c r="M45" i="1"/>
  <c r="M47" i="1" s="1"/>
  <c r="P44" i="1" s="1"/>
  <c r="Q44" i="1" s="1"/>
  <c r="T45" i="1"/>
  <c r="M10" i="1"/>
  <c r="G14" i="3"/>
  <c r="H14" i="3" s="1"/>
  <c r="I14" i="3" s="1"/>
  <c r="N10" i="1"/>
  <c r="M34" i="1"/>
  <c r="R34" i="1" s="1"/>
  <c r="N34" i="1"/>
  <c r="O34" i="1" s="1"/>
  <c r="M96" i="1"/>
  <c r="N96" i="1"/>
  <c r="O96" i="1" s="1"/>
  <c r="O44" i="1"/>
  <c r="P73" i="1"/>
  <c r="Q73" i="1" s="1"/>
  <c r="N46" i="1"/>
  <c r="O46" i="1" s="1"/>
  <c r="O14" i="2"/>
  <c r="R74" i="1"/>
  <c r="M80" i="1"/>
  <c r="M67" i="1" l="1"/>
  <c r="M68" i="1" s="1"/>
  <c r="N68" i="1" s="1"/>
  <c r="O68" i="1" s="1"/>
  <c r="J18" i="2"/>
  <c r="P57" i="1"/>
  <c r="Q57" i="1" s="1"/>
  <c r="P8" i="1"/>
  <c r="Q8" i="1" s="1"/>
  <c r="O10" i="1"/>
  <c r="P59" i="1"/>
  <c r="Q59" i="1" s="1"/>
  <c r="P60" i="1"/>
  <c r="Q60" i="1" s="1"/>
  <c r="R61" i="1"/>
  <c r="P45" i="1"/>
  <c r="Q45" i="1" s="1"/>
  <c r="N45" i="1"/>
  <c r="O45" i="1" s="1"/>
  <c r="J10" i="2"/>
  <c r="O10" i="2" s="1"/>
  <c r="R10" i="1"/>
  <c r="M16" i="1"/>
  <c r="M17" i="1" s="1"/>
  <c r="N17" i="1" s="1"/>
  <c r="O17" i="1" s="1"/>
  <c r="P9" i="1"/>
  <c r="Q9" i="1" s="1"/>
  <c r="J12" i="2"/>
  <c r="O12" i="2" s="1"/>
  <c r="P32" i="1"/>
  <c r="Q32" i="1" s="1"/>
  <c r="P33" i="1"/>
  <c r="Q33" i="1" s="1"/>
  <c r="M40" i="1"/>
  <c r="M41" i="1" s="1"/>
  <c r="N41" i="1" s="1"/>
  <c r="O41" i="1" s="1"/>
  <c r="J15" i="2"/>
  <c r="L15" i="2" s="1"/>
  <c r="M15" i="2" s="1"/>
  <c r="R96" i="1"/>
  <c r="P90" i="1"/>
  <c r="Q90" i="1" s="1"/>
  <c r="P84" i="1"/>
  <c r="Q84" i="1" s="1"/>
  <c r="J13" i="2"/>
  <c r="O13" i="2" s="1"/>
  <c r="P87" i="1"/>
  <c r="Q87" i="1" s="1"/>
  <c r="P88" i="1"/>
  <c r="Q88" i="1" s="1"/>
  <c r="P85" i="1"/>
  <c r="Q85" i="1" s="1"/>
  <c r="P94" i="1"/>
  <c r="Q94" i="1" s="1"/>
  <c r="M102" i="1"/>
  <c r="N102" i="1" s="1"/>
  <c r="O102" i="1" s="1"/>
  <c r="N15" i="2" s="1"/>
  <c r="P89" i="1"/>
  <c r="Q89" i="1" s="1"/>
  <c r="P95" i="1"/>
  <c r="Q95" i="1" s="1"/>
  <c r="P91" i="1"/>
  <c r="Q91" i="1" s="1"/>
  <c r="P92" i="1"/>
  <c r="Q92" i="1" s="1"/>
  <c r="P86" i="1"/>
  <c r="Q86" i="1" s="1"/>
  <c r="P93" i="1"/>
  <c r="Q93" i="1" s="1"/>
  <c r="M53" i="1"/>
  <c r="M54" i="1" s="1"/>
  <c r="N54" i="1" s="1"/>
  <c r="P46" i="1"/>
  <c r="Q46" i="1" s="1"/>
  <c r="R47" i="1"/>
  <c r="M18" i="2"/>
  <c r="F69" i="3"/>
  <c r="M14" i="2"/>
  <c r="O61" i="1"/>
  <c r="P74" i="1"/>
  <c r="Q74" i="1" s="1"/>
  <c r="L10" i="2"/>
  <c r="L12" i="2"/>
  <c r="N80" i="1"/>
  <c r="O80" i="1" s="1"/>
  <c r="O18" i="2" l="1"/>
  <c r="K18" i="2"/>
  <c r="F82" i="3"/>
  <c r="N67" i="1"/>
  <c r="P61" i="1"/>
  <c r="Q61" i="1" s="1"/>
  <c r="N47" i="1"/>
  <c r="O47" i="1" s="1"/>
  <c r="N16" i="1"/>
  <c r="O16" i="1" s="1"/>
  <c r="N10" i="2" s="1"/>
  <c r="F78" i="3"/>
  <c r="P10" i="1"/>
  <c r="Q10" i="1" s="1"/>
  <c r="P34" i="1"/>
  <c r="Q34" i="1" s="1"/>
  <c r="N40" i="1"/>
  <c r="O40" i="1" s="1"/>
  <c r="N12" i="2" s="1"/>
  <c r="F80" i="3"/>
  <c r="F71" i="3"/>
  <c r="O15" i="2"/>
  <c r="O54" i="1"/>
  <c r="F81" i="3"/>
  <c r="P96" i="1"/>
  <c r="Q96" i="1" s="1"/>
  <c r="P47" i="1"/>
  <c r="Q47" i="1" s="1"/>
  <c r="N53" i="1"/>
  <c r="O53" i="1" s="1"/>
  <c r="N13" i="2" s="1"/>
  <c r="M12" i="2"/>
  <c r="F67" i="3"/>
  <c r="M10" i="2"/>
  <c r="F65" i="3"/>
  <c r="O67" i="1"/>
  <c r="N18" i="2" s="1"/>
  <c r="G71" i="3"/>
  <c r="G84" i="3"/>
  <c r="L13" i="2" l="1"/>
  <c r="M13" i="2" s="1"/>
  <c r="G80" i="3"/>
  <c r="G67" i="3"/>
  <c r="G82" i="3"/>
  <c r="G69" i="3"/>
  <c r="G81" i="3"/>
  <c r="G68" i="3"/>
  <c r="G65" i="3"/>
  <c r="G78" i="3"/>
  <c r="M21" i="1"/>
  <c r="F68" i="3" l="1"/>
  <c r="T21" i="1"/>
  <c r="N21" i="1"/>
  <c r="O21" i="1" s="1"/>
  <c r="N22" i="1" l="1"/>
  <c r="N106" i="1" s="1"/>
  <c r="N112" i="1" s="1"/>
  <c r="M22" i="1"/>
  <c r="M106" i="1" s="1"/>
  <c r="M112" i="1" s="1"/>
  <c r="P20" i="1" l="1"/>
  <c r="Q20" i="1" s="1"/>
  <c r="J11" i="2"/>
  <c r="O11" i="2" s="1"/>
  <c r="M28" i="1"/>
  <c r="M29" i="1" s="1"/>
  <c r="R22" i="1"/>
  <c r="P21" i="1"/>
  <c r="Q21" i="1" s="1"/>
  <c r="N29" i="1" l="1"/>
  <c r="O29" i="1" s="1"/>
  <c r="J16" i="2"/>
  <c r="J20" i="2" s="1"/>
  <c r="L11" i="2"/>
  <c r="O22" i="1"/>
  <c r="P22" i="1"/>
  <c r="Q22" i="1" s="1"/>
  <c r="N28" i="1"/>
  <c r="O106" i="1"/>
  <c r="L121" i="1" l="1"/>
  <c r="L119" i="1"/>
  <c r="L120" i="1"/>
  <c r="T138" i="1"/>
  <c r="T137" i="1"/>
  <c r="T133" i="1"/>
  <c r="T132" i="1"/>
  <c r="O28" i="1"/>
  <c r="N11" i="2" s="1"/>
  <c r="M11" i="2"/>
  <c r="F66" i="3"/>
  <c r="O16" i="2"/>
  <c r="O20" i="2" s="1"/>
  <c r="K11" i="2"/>
  <c r="K12" i="2"/>
  <c r="K15" i="2"/>
  <c r="J29" i="2"/>
  <c r="L29" i="2" s="1"/>
  <c r="F72" i="3" s="1"/>
  <c r="K16" i="2"/>
  <c r="K14" i="2"/>
  <c r="K13" i="2"/>
  <c r="K10" i="2"/>
  <c r="L16" i="2"/>
  <c r="L20" i="2" s="1"/>
  <c r="N114" i="1"/>
  <c r="O112" i="1"/>
  <c r="T120" i="1" l="1"/>
  <c r="G37" i="3"/>
  <c r="H37" i="3" s="1"/>
  <c r="I37" i="3" s="1"/>
  <c r="T119" i="1"/>
  <c r="G36" i="3"/>
  <c r="H36" i="3" s="1"/>
  <c r="I36" i="3" s="1"/>
  <c r="T121" i="1"/>
  <c r="G38" i="3"/>
  <c r="H38" i="3" s="1"/>
  <c r="I38" i="3" s="1"/>
  <c r="L124" i="1"/>
  <c r="L125" i="1"/>
  <c r="G42" i="3" s="1"/>
  <c r="H42" i="3" s="1"/>
  <c r="I42" i="3" s="1"/>
  <c r="L134" i="1"/>
  <c r="G51" i="3" s="1"/>
  <c r="H51" i="3" s="1"/>
  <c r="I51" i="3" s="1"/>
  <c r="L127" i="1"/>
  <c r="G44" i="3" s="1"/>
  <c r="H44" i="3" s="1"/>
  <c r="I44" i="3" s="1"/>
  <c r="L131" i="1"/>
  <c r="G48" i="3" s="1"/>
  <c r="H48" i="3" s="1"/>
  <c r="I48" i="3" s="1"/>
  <c r="L136" i="1"/>
  <c r="G53" i="3" s="1"/>
  <c r="H53" i="3" s="1"/>
  <c r="I53" i="3" s="1"/>
  <c r="L123" i="1"/>
  <c r="G40" i="3" s="1"/>
  <c r="H40" i="3" s="1"/>
  <c r="I40" i="3" s="1"/>
  <c r="L139" i="1"/>
  <c r="G56" i="3" s="1"/>
  <c r="H56" i="3" s="1"/>
  <c r="I56" i="3" s="1"/>
  <c r="L129" i="1"/>
  <c r="G46" i="3" s="1"/>
  <c r="H46" i="3" s="1"/>
  <c r="I46" i="3" s="1"/>
  <c r="G79" i="3"/>
  <c r="G66" i="3"/>
  <c r="M16" i="2"/>
  <c r="M20" i="2" s="1"/>
  <c r="L31" i="2"/>
  <c r="L32" i="2" s="1"/>
  <c r="N29" i="2"/>
  <c r="G72" i="3" s="1"/>
  <c r="G41" i="3" l="1"/>
  <c r="H41" i="3" s="1"/>
  <c r="I41" i="3" s="1"/>
  <c r="L128" i="1"/>
  <c r="T124" i="1"/>
  <c r="T131" i="1"/>
  <c r="T129" i="1"/>
  <c r="T139" i="1"/>
  <c r="T127" i="1"/>
  <c r="T123" i="1"/>
  <c r="T134" i="1"/>
  <c r="T136" i="1"/>
  <c r="T125" i="1"/>
  <c r="G45" i="3" l="1"/>
  <c r="H45" i="3" s="1"/>
  <c r="I45" i="3" s="1"/>
  <c r="T12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Patsy</author>
  </authors>
  <commentList>
    <comment ref="F72" authorId="0" shapeId="0" xr:uid="{B5F9F4A3-1657-4F40-82C3-AAA65F138365}">
      <text>
        <r>
          <rPr>
            <b/>
            <sz val="9"/>
            <color indexed="81"/>
            <rFont val="Tahoma"/>
            <family val="2"/>
          </rPr>
          <t>Patsy:</t>
        </r>
        <r>
          <rPr>
            <sz val="9"/>
            <color indexed="81"/>
            <rFont val="Tahoma"/>
            <family val="2"/>
          </rPr>
          <t xml:space="preserve">
TRANSMISSION CHARGE - EKPC</t>
        </r>
      </text>
    </comment>
    <comment ref="F73" authorId="0" shapeId="0" xr:uid="{A7693D3B-F287-47B6-86CF-821D11A3A712}">
      <text>
        <r>
          <rPr>
            <b/>
            <sz val="9"/>
            <color indexed="81"/>
            <rFont val="Tahoma"/>
            <family val="2"/>
          </rPr>
          <t>Patsy:</t>
        </r>
        <r>
          <rPr>
            <sz val="9"/>
            <color indexed="81"/>
            <rFont val="Tahoma"/>
            <family val="2"/>
          </rPr>
          <t xml:space="preserve">
AVERAGE ENERGY CHARGE - 2023
</t>
        </r>
      </text>
    </comment>
  </commentList>
</comments>
</file>

<file path=xl/sharedStrings.xml><?xml version="1.0" encoding="utf-8"?>
<sst xmlns="http://schemas.openxmlformats.org/spreadsheetml/2006/main" count="213" uniqueCount="112">
  <si>
    <t>Billing Analysis for Pass-Through Rate Increase</t>
  </si>
  <si>
    <t>#</t>
  </si>
  <si>
    <t>Item</t>
  </si>
  <si>
    <t>Present Revenue</t>
  </si>
  <si>
    <t>Proposed Revenue</t>
  </si>
  <si>
    <t>Base Rates</t>
  </si>
  <si>
    <t>Total Base Rates</t>
  </si>
  <si>
    <t>Riders</t>
  </si>
  <si>
    <t>Total Riders</t>
  </si>
  <si>
    <t>Total Revenue</t>
  </si>
  <si>
    <t>Target Revenue</t>
  </si>
  <si>
    <t>Code</t>
  </si>
  <si>
    <t>Classification</t>
  </si>
  <si>
    <t>Billing Component</t>
  </si>
  <si>
    <t>Billing Units</t>
  </si>
  <si>
    <t>Increase $</t>
  </si>
  <si>
    <t>%</t>
  </si>
  <si>
    <t>Customer Charge</t>
  </si>
  <si>
    <t>Average</t>
  </si>
  <si>
    <t>TOTAL REVENUE</t>
  </si>
  <si>
    <t>Present Share</t>
  </si>
  <si>
    <t>Proposed Rate</t>
  </si>
  <si>
    <t>Proposed Share</t>
  </si>
  <si>
    <t xml:space="preserve">       Present Rate</t>
  </si>
  <si>
    <t xml:space="preserve">            Present Revenue</t>
  </si>
  <si>
    <t>Share Variance</t>
  </si>
  <si>
    <t xml:space="preserve">    FAC</t>
  </si>
  <si>
    <t xml:space="preserve">    ES</t>
  </si>
  <si>
    <t>TOTALS</t>
  </si>
  <si>
    <t xml:space="preserve">    Misc Adj</t>
  </si>
  <si>
    <t>Lighting</t>
  </si>
  <si>
    <t>Allocation Revenue</t>
  </si>
  <si>
    <t>Allocation Share</t>
  </si>
  <si>
    <t>Allocated Increase</t>
  </si>
  <si>
    <t>Per Unit Rate Change</t>
  </si>
  <si>
    <t>Rounding</t>
  </si>
  <si>
    <t xml:space="preserve">Total Revenue Increase Allocated by East Kentucky Power Cooperative:   </t>
  </si>
  <si>
    <t>Rate Rounding Variance</t>
  </si>
  <si>
    <t>Rate Variance</t>
  </si>
  <si>
    <t xml:space="preserve">    Other</t>
  </si>
  <si>
    <t>TOTAL Base Rates</t>
  </si>
  <si>
    <t>SubTotal Base Rates</t>
  </si>
  <si>
    <t>Base %</t>
  </si>
  <si>
    <t>Total %</t>
  </si>
  <si>
    <t>Base Rate Increase</t>
  </si>
  <si>
    <t>Present</t>
  </si>
  <si>
    <t>Proposed</t>
  </si>
  <si>
    <t>Energy Charge per kWh</t>
  </si>
  <si>
    <t>Demand Charge per kW</t>
  </si>
  <si>
    <t>Large Industrial</t>
  </si>
  <si>
    <t>Target Share</t>
  </si>
  <si>
    <t>The amount of the change requested in both dollar amounts and percentage change for each customer classification to which the proposed rates will apply is set forth below:</t>
  </si>
  <si>
    <t>Increase</t>
  </si>
  <si>
    <t>Rate Class</t>
  </si>
  <si>
    <t>Dollars</t>
  </si>
  <si>
    <t>Percent</t>
  </si>
  <si>
    <t>Total</t>
  </si>
  <si>
    <t>The amount of the average usage and the effect upon the average bill for each customer classification to which the proposed rates will apply is set forth below:</t>
  </si>
  <si>
    <t>Usage (kWh)</t>
  </si>
  <si>
    <t>NA</t>
  </si>
  <si>
    <t>Rate</t>
  </si>
  <si>
    <t>TAYLOR COUNTY RECC</t>
  </si>
  <si>
    <t>GP2</t>
  </si>
  <si>
    <t>Residential Farm and Home</t>
  </si>
  <si>
    <t>A</t>
  </si>
  <si>
    <t>Residential ETS</t>
  </si>
  <si>
    <t>GP1</t>
  </si>
  <si>
    <t>Small Commercial Part 1 &lt; 50 KVA</t>
  </si>
  <si>
    <t>Small Commercial Part 2 &gt; 50 KVA</t>
  </si>
  <si>
    <t>B1</t>
  </si>
  <si>
    <t>Demand Charge Excess per kW</t>
  </si>
  <si>
    <t>Demand Charge Contract per kW</t>
  </si>
  <si>
    <t xml:space="preserve">Large Industrial </t>
  </si>
  <si>
    <t>C1</t>
  </si>
  <si>
    <t>Special</t>
  </si>
  <si>
    <t>Tennessee Gas / Kinder Morgan</t>
  </si>
  <si>
    <t>$2/MWH</t>
  </si>
  <si>
    <t>175 Watt Mercury Vapor</t>
  </si>
  <si>
    <t>250 Watt Mercury Vapor</t>
  </si>
  <si>
    <t>400 Watt Mercury Vapor</t>
  </si>
  <si>
    <t>100 Watt HPSodium</t>
  </si>
  <si>
    <t>250 Watt HPSodium</t>
  </si>
  <si>
    <t>175 Watt Mercury Metered</t>
  </si>
  <si>
    <t>400 Watt Mercury Metered</t>
  </si>
  <si>
    <t>250 Watt HPS Con Metered</t>
  </si>
  <si>
    <t>LED Security Light</t>
  </si>
  <si>
    <t>LED Cobra Head Light</t>
  </si>
  <si>
    <t>LED Directional Light</t>
  </si>
  <si>
    <t>100 Watt HPS Metered</t>
  </si>
  <si>
    <t>SL</t>
  </si>
  <si>
    <t>RATES WITH NO CURRENT MEMBERS</t>
  </si>
  <si>
    <t>Consumer Charge</t>
  </si>
  <si>
    <t>C3</t>
  </si>
  <si>
    <t>Demand Charge -Contract per kW</t>
  </si>
  <si>
    <t>Demand Charge -Excess per kW</t>
  </si>
  <si>
    <t>B2</t>
  </si>
  <si>
    <t>B3</t>
  </si>
  <si>
    <t>C2</t>
  </si>
  <si>
    <t>ETS</t>
  </si>
  <si>
    <t>Present &amp; Proposed Rates</t>
  </si>
  <si>
    <t>Var</t>
  </si>
  <si>
    <t>2023 Rate</t>
  </si>
  <si>
    <t xml:space="preserve">          2023 Revenue</t>
  </si>
  <si>
    <t>FAC Roll-In &gt;</t>
  </si>
  <si>
    <t>2023 Revenue</t>
  </si>
  <si>
    <t>FAC Roll In</t>
  </si>
  <si>
    <t xml:space="preserve">Rate B Revenue Increase Allocated by East Kentucky Power Cooperative:   </t>
  </si>
  <si>
    <t xml:space="preserve">Remaining Revenue Increase Allocated by East Kentucky Power Cooperative:   </t>
  </si>
  <si>
    <t>Interruptible Service</t>
  </si>
  <si>
    <t>Demand Credit per kW - 200 Hrs</t>
  </si>
  <si>
    <t>Demand Credit per kW - 300 Hrs</t>
  </si>
  <si>
    <t>Demand Credit per kW - 400 Hrs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</si>
</sst>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0.000000"/>
    <numFmt numFmtId="167" formatCode="_(* #,##0.00000_);_(* \(#,##0.00000\);_(* &quot;-&quot;??_);_(@_)"/>
    <numFmt numFmtId="168" formatCode="_(* #,##0.000000_);_(* \(#,##0.000000\);_(* &quot;-&quot;??_);_(@_)"/>
    <numFmt numFmtId="169" formatCode="0.00000%"/>
    <numFmt numFmtId="170" formatCode="_(&quot;$&quot;* #,##0.00000_);_(&quot;$&quot;* \(#,##0.00000\);_(&quot;$&quot;* &quot;-&quot;??_);_(@_)"/>
    <numFmt numFmtId="171" formatCode="&quot;$&quot;#,##0"/>
    <numFmt numFmtId="172" formatCode="0.00000"/>
    <numFmt numFmtId="173" formatCode="_(* #,##0.0000_);_(* \(#,##0.0000\);_(* &quot;-&quot;??_);_(@_)"/>
    <numFmt numFmtId="174" formatCode="#,##0.000000_);\(#,##0.000000\)"/>
    <numFmt numFmtId="175" formatCode="_(&quot;$&quot;* #,##0.000000_);_(&quot;$&quot;* \(#,##0.000000\);_(&quot;$&quot;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i/>
      <u/>
      <sz val="10"/>
      <color theme="1"/>
      <name val="Arial"/>
      <family val="2"/>
    </font>
    <font>
      <sz val="10"/>
      <name val="Arial"/>
      <family val="2"/>
    </font>
    <font>
      <sz val="8"/>
      <name val="Calibri"/>
      <family val="2"/>
      <scheme val="minor"/>
    </font>
    <font>
      <b/>
      <sz val="10"/>
      <name val="Arial"/>
      <family val="2"/>
    </font>
    <font>
      <u/>
      <sz val="10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2"/>
      <color rgb="FF0000FF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rgb="FF0000FF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174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left"/>
    </xf>
    <xf numFmtId="10" fontId="3" fillId="0" borderId="0" xfId="3" applyNumberFormat="1" applyFont="1"/>
    <xf numFmtId="0" fontId="2" fillId="0" borderId="4" xfId="0" applyFont="1" applyBorder="1" applyAlignment="1">
      <alignment horizontal="left" wrapText="1"/>
    </xf>
    <xf numFmtId="0" fontId="2" fillId="0" borderId="4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4" xfId="0" applyFont="1" applyBorder="1" applyAlignment="1">
      <alignment horizontal="right" wrapText="1"/>
    </xf>
    <xf numFmtId="0" fontId="3" fillId="0" borderId="5" xfId="0" applyFont="1" applyBorder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5" fillId="0" borderId="0" xfId="0" applyFont="1"/>
    <xf numFmtId="164" fontId="3" fillId="0" borderId="0" xfId="1" applyNumberFormat="1" applyFont="1" applyAlignment="1"/>
    <xf numFmtId="9" fontId="3" fillId="0" borderId="0" xfId="3" applyFont="1" applyAlignment="1"/>
    <xf numFmtId="10" fontId="3" fillId="0" borderId="0" xfId="3" applyNumberFormat="1" applyFont="1" applyAlignment="1"/>
    <xf numFmtId="165" fontId="3" fillId="0" borderId="0" xfId="2" applyNumberFormat="1" applyFont="1" applyAlignment="1"/>
    <xf numFmtId="165" fontId="3" fillId="0" borderId="0" xfId="0" applyNumberFormat="1" applyFont="1"/>
    <xf numFmtId="0" fontId="3" fillId="0" borderId="2" xfId="0" applyFont="1" applyBorder="1"/>
    <xf numFmtId="165" fontId="3" fillId="0" borderId="2" xfId="2" applyNumberFormat="1" applyFont="1" applyBorder="1" applyAlignment="1"/>
    <xf numFmtId="10" fontId="3" fillId="0" borderId="2" xfId="3" applyNumberFormat="1" applyFont="1" applyBorder="1" applyAlignment="1"/>
    <xf numFmtId="165" fontId="3" fillId="0" borderId="2" xfId="0" applyNumberFormat="1" applyFont="1" applyBorder="1"/>
    <xf numFmtId="165" fontId="3" fillId="0" borderId="0" xfId="2" applyNumberFormat="1" applyFont="1" applyBorder="1" applyAlignment="1"/>
    <xf numFmtId="10" fontId="3" fillId="0" borderId="0" xfId="3" applyNumberFormat="1" applyFont="1" applyBorder="1" applyAlignment="1"/>
    <xf numFmtId="165" fontId="3" fillId="0" borderId="5" xfId="2" applyNumberFormat="1" applyFont="1" applyBorder="1" applyAlignment="1"/>
    <xf numFmtId="164" fontId="3" fillId="2" borderId="0" xfId="1" applyNumberFormat="1" applyFont="1" applyFill="1" applyAlignment="1"/>
    <xf numFmtId="0" fontId="3" fillId="2" borderId="0" xfId="0" applyFont="1" applyFill="1"/>
    <xf numFmtId="165" fontId="3" fillId="2" borderId="0" xfId="2" applyNumberFormat="1" applyFont="1" applyFill="1" applyAlignment="1"/>
    <xf numFmtId="0" fontId="3" fillId="2" borderId="2" xfId="0" applyFont="1" applyFill="1" applyBorder="1"/>
    <xf numFmtId="165" fontId="3" fillId="2" borderId="2" xfId="2" applyNumberFormat="1" applyFont="1" applyFill="1" applyBorder="1" applyAlignment="1"/>
    <xf numFmtId="0" fontId="3" fillId="0" borderId="3" xfId="0" applyFont="1" applyBorder="1"/>
    <xf numFmtId="165" fontId="3" fillId="0" borderId="3" xfId="0" applyNumberFormat="1" applyFont="1" applyBorder="1"/>
    <xf numFmtId="165" fontId="3" fillId="0" borderId="3" xfId="2" applyNumberFormat="1" applyFont="1" applyBorder="1" applyAlignment="1"/>
    <xf numFmtId="9" fontId="3" fillId="0" borderId="3" xfId="3" applyFont="1" applyBorder="1" applyAlignment="1"/>
    <xf numFmtId="10" fontId="3" fillId="0" borderId="3" xfId="3" applyNumberFormat="1" applyFont="1" applyBorder="1" applyAlignment="1"/>
    <xf numFmtId="0" fontId="3" fillId="2" borderId="4" xfId="0" applyFont="1" applyFill="1" applyBorder="1"/>
    <xf numFmtId="10" fontId="3" fillId="0" borderId="0" xfId="3" applyNumberFormat="1" applyFont="1" applyFill="1" applyAlignment="1"/>
    <xf numFmtId="0" fontId="2" fillId="0" borderId="4" xfId="0" applyFont="1" applyBorder="1"/>
    <xf numFmtId="0" fontId="2" fillId="0" borderId="4" xfId="0" applyFont="1" applyBorder="1" applyAlignment="1">
      <alignment horizontal="center"/>
    </xf>
    <xf numFmtId="44" fontId="3" fillId="0" borderId="0" xfId="2" applyFont="1"/>
    <xf numFmtId="170" fontId="3" fillId="0" borderId="0" xfId="2" applyNumberFormat="1" applyFont="1"/>
    <xf numFmtId="0" fontId="2" fillId="0" borderId="4" xfId="0" applyFont="1" applyBorder="1" applyAlignment="1">
      <alignment horizontal="right"/>
    </xf>
    <xf numFmtId="0" fontId="5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8" fillId="0" borderId="4" xfId="0" applyFont="1" applyBorder="1"/>
    <xf numFmtId="0" fontId="3" fillId="0" borderId="4" xfId="0" applyFont="1" applyBorder="1"/>
    <xf numFmtId="0" fontId="2" fillId="0" borderId="5" xfId="0" applyFont="1" applyBorder="1" applyAlignment="1">
      <alignment horizontal="right"/>
    </xf>
    <xf numFmtId="165" fontId="3" fillId="0" borderId="0" xfId="2" applyNumberFormat="1" applyFont="1" applyBorder="1" applyAlignment="1">
      <alignment horizontal="right"/>
    </xf>
    <xf numFmtId="10" fontId="3" fillId="0" borderId="0" xfId="0" applyNumberFormat="1" applyFont="1" applyAlignment="1">
      <alignment horizontal="right"/>
    </xf>
    <xf numFmtId="171" fontId="3" fillId="0" borderId="2" xfId="0" applyNumberFormat="1" applyFont="1" applyBorder="1"/>
    <xf numFmtId="10" fontId="3" fillId="0" borderId="2" xfId="3" applyNumberFormat="1" applyFont="1" applyBorder="1"/>
    <xf numFmtId="171" fontId="3" fillId="0" borderId="0" xfId="0" applyNumberFormat="1" applyFont="1"/>
    <xf numFmtId="10" fontId="3" fillId="0" borderId="0" xfId="3" applyNumberFormat="1" applyFont="1" applyBorder="1"/>
    <xf numFmtId="0" fontId="8" fillId="0" borderId="0" xfId="0" applyFont="1" applyAlignment="1">
      <alignment horizontal="center"/>
    </xf>
    <xf numFmtId="0" fontId="8" fillId="0" borderId="4" xfId="0" applyFont="1" applyBorder="1" applyAlignment="1">
      <alignment horizontal="center"/>
    </xf>
    <xf numFmtId="0" fontId="6" fillId="0" borderId="0" xfId="0" applyFont="1" applyAlignment="1">
      <alignment horizontal="center"/>
    </xf>
    <xf numFmtId="164" fontId="6" fillId="0" borderId="0" xfId="1" applyNumberFormat="1" applyFont="1"/>
    <xf numFmtId="164" fontId="6" fillId="0" borderId="0" xfId="1" applyNumberFormat="1" applyFont="1" applyAlignment="1">
      <alignment horizontal="right"/>
    </xf>
    <xf numFmtId="0" fontId="9" fillId="0" borderId="0" xfId="0" applyFont="1"/>
    <xf numFmtId="0" fontId="6" fillId="0" borderId="2" xfId="0" applyFont="1" applyBorder="1" applyAlignment="1">
      <alignment horizontal="center"/>
    </xf>
    <xf numFmtId="44" fontId="3" fillId="0" borderId="0" xfId="2" applyFont="1" applyAlignment="1">
      <alignment horizontal="right"/>
    </xf>
    <xf numFmtId="164" fontId="3" fillId="0" borderId="0" xfId="1" applyNumberFormat="1" applyFont="1" applyAlignment="1">
      <alignment horizontal="right"/>
    </xf>
    <xf numFmtId="167" fontId="3" fillId="0" borderId="0" xfId="0" applyNumberFormat="1" applyFont="1"/>
    <xf numFmtId="10" fontId="3" fillId="0" borderId="5" xfId="3" applyNumberFormat="1" applyFont="1" applyBorder="1" applyAlignment="1"/>
    <xf numFmtId="165" fontId="3" fillId="0" borderId="0" xfId="2" applyNumberFormat="1" applyFont="1" applyFill="1" applyAlignment="1"/>
    <xf numFmtId="0" fontId="6" fillId="0" borderId="0" xfId="0" applyFont="1" applyAlignment="1">
      <alignment horizontal="left"/>
    </xf>
    <xf numFmtId="43" fontId="3" fillId="0" borderId="0" xfId="0" applyNumberFormat="1" applyFont="1"/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165" fontId="6" fillId="0" borderId="0" xfId="2" applyNumberFormat="1" applyFont="1" applyFill="1" applyAlignment="1">
      <alignment horizontal="center"/>
    </xf>
    <xf numFmtId="10" fontId="6" fillId="0" borderId="0" xfId="3" applyNumberFormat="1" applyFont="1" applyFill="1" applyAlignment="1"/>
    <xf numFmtId="165" fontId="6" fillId="0" borderId="0" xfId="2" applyNumberFormat="1" applyFont="1" applyFill="1" applyAlignment="1"/>
    <xf numFmtId="0" fontId="10" fillId="0" borderId="0" xfId="0" applyFont="1" applyAlignment="1">
      <alignment vertical="center"/>
    </xf>
    <xf numFmtId="0" fontId="11" fillId="0" borderId="0" xfId="0" applyFont="1"/>
    <xf numFmtId="0" fontId="11" fillId="0" borderId="0" xfId="0" applyFont="1" applyAlignment="1">
      <alignment horizontal="center"/>
    </xf>
    <xf numFmtId="0" fontId="12" fillId="0" borderId="0" xfId="0" applyFont="1"/>
    <xf numFmtId="43" fontId="12" fillId="0" borderId="0" xfId="1" applyFont="1" applyFill="1"/>
    <xf numFmtId="168" fontId="12" fillId="0" borderId="0" xfId="1" applyNumberFormat="1" applyFont="1" applyFill="1"/>
    <xf numFmtId="167" fontId="12" fillId="0" borderId="0" xfId="1" applyNumberFormat="1" applyFont="1" applyFill="1"/>
    <xf numFmtId="0" fontId="12" fillId="0" borderId="0" xfId="0" applyFont="1" applyAlignment="1">
      <alignment horizontal="left"/>
    </xf>
    <xf numFmtId="0" fontId="13" fillId="0" borderId="0" xfId="0" applyFont="1" applyAlignment="1">
      <alignment horizontal="right"/>
    </xf>
    <xf numFmtId="0" fontId="10" fillId="0" borderId="4" xfId="0" applyFont="1" applyBorder="1" applyAlignment="1">
      <alignment wrapText="1"/>
    </xf>
    <xf numFmtId="0" fontId="10" fillId="0" borderId="4" xfId="0" applyFont="1" applyBorder="1" applyAlignment="1">
      <alignment horizontal="center" wrapText="1"/>
    </xf>
    <xf numFmtId="0" fontId="10" fillId="0" borderId="4" xfId="0" applyFont="1" applyBorder="1" applyAlignment="1">
      <alignment horizontal="right" wrapText="1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wrapText="1"/>
    </xf>
    <xf numFmtId="0" fontId="10" fillId="0" borderId="0" xfId="0" applyFont="1" applyAlignment="1">
      <alignment horizontal="center" wrapText="1"/>
    </xf>
    <xf numFmtId="0" fontId="11" fillId="0" borderId="0" xfId="0" applyFont="1" applyAlignment="1">
      <alignment horizontal="left" vertical="center"/>
    </xf>
    <xf numFmtId="0" fontId="11" fillId="0" borderId="6" xfId="0" applyFont="1" applyBorder="1" applyAlignment="1">
      <alignment horizontal="center"/>
    </xf>
    <xf numFmtId="0" fontId="11" fillId="0" borderId="6" xfId="0" applyFont="1" applyBorder="1"/>
    <xf numFmtId="0" fontId="12" fillId="0" borderId="6" xfId="0" applyFont="1" applyBorder="1"/>
    <xf numFmtId="165" fontId="12" fillId="0" borderId="0" xfId="2" applyNumberFormat="1" applyFont="1" applyFill="1"/>
    <xf numFmtId="10" fontId="12" fillId="0" borderId="0" xfId="3" applyNumberFormat="1" applyFont="1" applyFill="1"/>
    <xf numFmtId="10" fontId="12" fillId="0" borderId="0" xfId="0" applyNumberFormat="1" applyFont="1"/>
    <xf numFmtId="10" fontId="11" fillId="0" borderId="0" xfId="3" applyNumberFormat="1" applyFont="1"/>
    <xf numFmtId="43" fontId="11" fillId="0" borderId="0" xfId="1" applyFont="1"/>
    <xf numFmtId="172" fontId="12" fillId="0" borderId="0" xfId="0" applyNumberFormat="1" applyFont="1"/>
    <xf numFmtId="0" fontId="11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1" fillId="0" borderId="5" xfId="0" applyFont="1" applyBorder="1" applyAlignment="1">
      <alignment vertical="center"/>
    </xf>
    <xf numFmtId="0" fontId="12" fillId="0" borderId="5" xfId="0" applyFont="1" applyBorder="1" applyAlignment="1">
      <alignment vertical="center"/>
    </xf>
    <xf numFmtId="165" fontId="12" fillId="0" borderId="5" xfId="2" applyNumberFormat="1" applyFont="1" applyFill="1" applyBorder="1" applyAlignment="1">
      <alignment vertical="center"/>
    </xf>
    <xf numFmtId="10" fontId="12" fillId="0" borderId="5" xfId="3" applyNumberFormat="1" applyFont="1" applyFill="1" applyBorder="1" applyAlignment="1">
      <alignment vertical="center"/>
    </xf>
    <xf numFmtId="165" fontId="12" fillId="0" borderId="5" xfId="3" applyNumberFormat="1" applyFont="1" applyFill="1" applyBorder="1" applyAlignment="1">
      <alignment vertical="center"/>
    </xf>
    <xf numFmtId="44" fontId="12" fillId="0" borderId="5" xfId="2" applyFont="1" applyFill="1" applyBorder="1" applyAlignment="1">
      <alignment vertical="center"/>
    </xf>
    <xf numFmtId="167" fontId="11" fillId="0" borderId="0" xfId="0" applyNumberFormat="1" applyFont="1"/>
    <xf numFmtId="165" fontId="12" fillId="0" borderId="0" xfId="0" applyNumberFormat="1" applyFont="1"/>
    <xf numFmtId="169" fontId="12" fillId="0" borderId="0" xfId="3" applyNumberFormat="1" applyFont="1" applyFill="1"/>
    <xf numFmtId="0" fontId="11" fillId="0" borderId="5" xfId="0" applyFont="1" applyBorder="1"/>
    <xf numFmtId="0" fontId="12" fillId="0" borderId="5" xfId="0" applyFont="1" applyBorder="1"/>
    <xf numFmtId="165" fontId="12" fillId="0" borderId="5" xfId="2" applyNumberFormat="1" applyFont="1" applyFill="1" applyBorder="1"/>
    <xf numFmtId="43" fontId="12" fillId="0" borderId="5" xfId="1" applyFont="1" applyFill="1" applyBorder="1"/>
    <xf numFmtId="0" fontId="11" fillId="0" borderId="3" xfId="0" applyFont="1" applyBorder="1" applyAlignment="1">
      <alignment vertical="center"/>
    </xf>
    <xf numFmtId="0" fontId="12" fillId="0" borderId="3" xfId="0" applyFont="1" applyBorder="1" applyAlignment="1">
      <alignment vertical="center"/>
    </xf>
    <xf numFmtId="165" fontId="12" fillId="0" borderId="3" xfId="2" applyNumberFormat="1" applyFont="1" applyFill="1" applyBorder="1" applyAlignment="1">
      <alignment vertical="center"/>
    </xf>
    <xf numFmtId="165" fontId="12" fillId="0" borderId="3" xfId="0" applyNumberFormat="1" applyFont="1" applyBorder="1" applyAlignment="1">
      <alignment vertical="center"/>
    </xf>
    <xf numFmtId="10" fontId="12" fillId="0" borderId="3" xfId="3" applyNumberFormat="1" applyFont="1" applyFill="1" applyBorder="1" applyAlignment="1">
      <alignment vertical="center"/>
    </xf>
    <xf numFmtId="44" fontId="12" fillId="0" borderId="0" xfId="0" applyNumberFormat="1" applyFont="1"/>
    <xf numFmtId="43" fontId="12" fillId="0" borderId="0" xfId="1" applyFont="1" applyFill="1" applyAlignment="1">
      <alignment horizontal="right"/>
    </xf>
    <xf numFmtId="43" fontId="11" fillId="0" borderId="0" xfId="1" applyFont="1" applyAlignment="1">
      <alignment vertical="center"/>
    </xf>
    <xf numFmtId="165" fontId="12" fillId="0" borderId="0" xfId="0" applyNumberFormat="1" applyFont="1" applyAlignment="1">
      <alignment horizontal="right"/>
    </xf>
    <xf numFmtId="0" fontId="11" fillId="3" borderId="0" xfId="0" applyFont="1" applyFill="1"/>
    <xf numFmtId="0" fontId="11" fillId="3" borderId="0" xfId="0" applyFont="1" applyFill="1" applyAlignment="1">
      <alignment horizontal="center"/>
    </xf>
    <xf numFmtId="165" fontId="12" fillId="0" borderId="5" xfId="0" applyNumberFormat="1" applyFont="1" applyBorder="1" applyAlignment="1">
      <alignment vertical="center"/>
    </xf>
    <xf numFmtId="0" fontId="12" fillId="0" borderId="0" xfId="0" applyFont="1" applyAlignment="1">
      <alignment vertical="center"/>
    </xf>
    <xf numFmtId="165" fontId="12" fillId="0" borderId="5" xfId="0" applyNumberFormat="1" applyFont="1" applyBorder="1"/>
    <xf numFmtId="0" fontId="10" fillId="0" borderId="0" xfId="0" applyFont="1"/>
    <xf numFmtId="0" fontId="12" fillId="0" borderId="0" xfId="0" applyFont="1" applyAlignment="1">
      <alignment horizontal="center"/>
    </xf>
    <xf numFmtId="164" fontId="12" fillId="0" borderId="0" xfId="1" applyNumberFormat="1" applyFont="1" applyFill="1"/>
    <xf numFmtId="173" fontId="12" fillId="0" borderId="0" xfId="1" applyNumberFormat="1" applyFont="1" applyAlignment="1">
      <alignment vertical="center"/>
    </xf>
    <xf numFmtId="166" fontId="12" fillId="0" borderId="0" xfId="0" applyNumberFormat="1" applyFont="1"/>
    <xf numFmtId="0" fontId="12" fillId="0" borderId="0" xfId="0" applyFont="1" applyAlignment="1">
      <alignment horizontal="right"/>
    </xf>
    <xf numFmtId="165" fontId="14" fillId="0" borderId="0" xfId="0" applyNumberFormat="1" applyFont="1"/>
    <xf numFmtId="0" fontId="14" fillId="0" borderId="0" xfId="0" applyFont="1"/>
    <xf numFmtId="0" fontId="14" fillId="0" borderId="6" xfId="0" applyFont="1" applyBorder="1"/>
    <xf numFmtId="0" fontId="14" fillId="3" borderId="0" xfId="0" applyFont="1" applyFill="1"/>
    <xf numFmtId="165" fontId="14" fillId="0" borderId="5" xfId="0" applyNumberFormat="1" applyFont="1" applyBorder="1" applyAlignment="1">
      <alignment vertical="center"/>
    </xf>
    <xf numFmtId="165" fontId="14" fillId="0" borderId="5" xfId="0" applyNumberFormat="1" applyFont="1" applyBorder="1"/>
    <xf numFmtId="165" fontId="14" fillId="0" borderId="3" xfId="0" applyNumberFormat="1" applyFont="1" applyBorder="1" applyAlignment="1">
      <alignment vertical="center"/>
    </xf>
    <xf numFmtId="0" fontId="14" fillId="3" borderId="0" xfId="0" applyFont="1" applyFill="1" applyAlignment="1">
      <alignment horizontal="center"/>
    </xf>
    <xf numFmtId="173" fontId="11" fillId="0" borderId="0" xfId="1" applyNumberFormat="1" applyFont="1" applyAlignment="1">
      <alignment vertical="center"/>
    </xf>
    <xf numFmtId="10" fontId="12" fillId="0" borderId="0" xfId="3" applyNumberFormat="1" applyFont="1"/>
    <xf numFmtId="164" fontId="12" fillId="0" borderId="0" xfId="0" applyNumberFormat="1" applyFont="1"/>
    <xf numFmtId="0" fontId="8" fillId="0" borderId="0" xfId="0" applyFont="1" applyAlignment="1">
      <alignment vertical="top" wrapText="1"/>
    </xf>
    <xf numFmtId="0" fontId="13" fillId="0" borderId="4" xfId="0" applyFont="1" applyBorder="1" applyAlignment="1">
      <alignment horizontal="right" wrapText="1"/>
    </xf>
    <xf numFmtId="0" fontId="13" fillId="0" borderId="4" xfId="0" applyFont="1" applyBorder="1" applyAlignment="1">
      <alignment horizontal="center" wrapText="1"/>
    </xf>
    <xf numFmtId="0" fontId="13" fillId="0" borderId="0" xfId="0" applyFont="1" applyAlignment="1">
      <alignment horizontal="right" wrapText="1"/>
    </xf>
    <xf numFmtId="0" fontId="13" fillId="0" borderId="0" xfId="0" applyFont="1" applyAlignment="1">
      <alignment horizontal="center" wrapText="1"/>
    </xf>
    <xf numFmtId="10" fontId="12" fillId="0" borderId="5" xfId="0" applyNumberFormat="1" applyFont="1" applyBorder="1" applyAlignment="1">
      <alignment vertical="center"/>
    </xf>
    <xf numFmtId="43" fontId="12" fillId="0" borderId="0" xfId="0" applyNumberFormat="1" applyFont="1" applyAlignment="1">
      <alignment horizontal="right"/>
    </xf>
    <xf numFmtId="166" fontId="12" fillId="0" borderId="0" xfId="0" applyNumberFormat="1" applyFont="1" applyAlignment="1">
      <alignment horizontal="right"/>
    </xf>
    <xf numFmtId="174" fontId="12" fillId="0" borderId="0" xfId="1" applyNumberFormat="1" applyFont="1" applyFill="1"/>
    <xf numFmtId="6" fontId="17" fillId="4" borderId="1" xfId="0" applyNumberFormat="1" applyFont="1" applyFill="1" applyBorder="1"/>
    <xf numFmtId="6" fontId="3" fillId="0" borderId="1" xfId="0" applyNumberFormat="1" applyFont="1" applyBorder="1"/>
    <xf numFmtId="0" fontId="11" fillId="0" borderId="6" xfId="0" applyFont="1" applyBorder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0" fontId="2" fillId="0" borderId="4" xfId="0" applyFont="1" applyBorder="1" applyAlignment="1">
      <alignment horizontal="center"/>
    </xf>
    <xf numFmtId="0" fontId="6" fillId="0" borderId="6" xfId="0" applyFont="1" applyBorder="1"/>
    <xf numFmtId="0" fontId="6" fillId="0" borderId="0" xfId="0" applyFont="1"/>
    <xf numFmtId="43" fontId="3" fillId="0" borderId="0" xfId="1" applyFont="1"/>
    <xf numFmtId="165" fontId="6" fillId="0" borderId="0" xfId="2" applyNumberFormat="1" applyFont="1"/>
    <xf numFmtId="10" fontId="6" fillId="0" borderId="0" xfId="3" applyNumberFormat="1" applyFont="1"/>
    <xf numFmtId="10" fontId="6" fillId="0" borderId="0" xfId="0" applyNumberFormat="1" applyFont="1"/>
    <xf numFmtId="0" fontId="12" fillId="0" borderId="6" xfId="0" applyFont="1" applyBorder="1" applyAlignment="1">
      <alignment horizontal="center"/>
    </xf>
    <xf numFmtId="164" fontId="12" fillId="0" borderId="0" xfId="1" applyNumberFormat="1" applyFont="1"/>
    <xf numFmtId="175" fontId="11" fillId="0" borderId="0" xfId="2" applyNumberFormat="1" applyFont="1"/>
    <xf numFmtId="165" fontId="12" fillId="0" borderId="0" xfId="2" applyNumberFormat="1" applyFont="1"/>
    <xf numFmtId="43" fontId="14" fillId="0" borderId="0" xfId="1" applyFont="1" applyFill="1"/>
    <xf numFmtId="170" fontId="14" fillId="0" borderId="0" xfId="2" applyNumberFormat="1" applyFont="1"/>
    <xf numFmtId="43" fontId="12" fillId="0" borderId="0" xfId="1" applyFont="1"/>
    <xf numFmtId="43" fontId="14" fillId="0" borderId="0" xfId="1" applyFont="1"/>
  </cellXfs>
  <cellStyles count="5">
    <cellStyle name="Comma" xfId="1" builtinId="3"/>
    <cellStyle name="Currency" xfId="2" builtinId="4"/>
    <cellStyle name="Normal" xfId="0" builtinId="0"/>
    <cellStyle name="Normal 2" xfId="4" xr:uid="{07BB8BC8-C5A2-4D23-8181-BEF9162D0260}"/>
    <cellStyle name="Percent" xfId="3" builtinId="5"/>
  </cellStyles>
  <dxfs count="0"/>
  <tableStyles count="0" defaultTableStyle="TableStyleMedium2" defaultPivotStyle="PivotStyleLight16"/>
  <colors>
    <mruColors>
      <color rgb="FFFFFFCC"/>
      <color rgb="FF0000FF"/>
      <color rgb="FFFFCC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AA6C87-2D74-4DCB-9000-40376CA871FF}">
  <sheetPr>
    <pageSetUpPr fitToPage="1"/>
  </sheetPr>
  <dimension ref="A1:W33"/>
  <sheetViews>
    <sheetView tabSelected="1" view="pageBreakPreview" zoomScaleNormal="75" zoomScaleSheetLayoutView="100" workbookViewId="0">
      <selection sqref="A1:O32"/>
    </sheetView>
  </sheetViews>
  <sheetFormatPr defaultColWidth="8.85546875" defaultRowHeight="12.75" x14ac:dyDescent="0.2"/>
  <cols>
    <col min="1" max="1" width="6.42578125" style="2" customWidth="1"/>
    <col min="2" max="2" width="32.28515625" style="2" bestFit="1" customWidth="1"/>
    <col min="3" max="3" width="7.28515625" style="10" bestFit="1" customWidth="1"/>
    <col min="4" max="4" width="13.7109375" style="2" customWidth="1"/>
    <col min="5" max="5" width="12.7109375" style="2" bestFit="1" customWidth="1"/>
    <col min="6" max="6" width="8.5703125" style="2" bestFit="1" customWidth="1"/>
    <col min="7" max="7" width="12.7109375" style="2" bestFit="1" customWidth="1"/>
    <col min="8" max="8" width="10.42578125" style="2" bestFit="1" customWidth="1"/>
    <col min="9" max="9" width="11.7109375" style="2" bestFit="1" customWidth="1"/>
    <col min="10" max="10" width="12.7109375" style="2" bestFit="1" customWidth="1"/>
    <col min="11" max="11" width="11.28515625" style="2" customWidth="1"/>
    <col min="12" max="12" width="11.7109375" style="2" bestFit="1" customWidth="1"/>
    <col min="13" max="14" width="7.7109375" style="2" bestFit="1" customWidth="1"/>
    <col min="15" max="15" width="10" style="2" bestFit="1" customWidth="1"/>
    <col min="16" max="16" width="44.5703125" style="2" customWidth="1"/>
    <col min="17" max="17" width="9" style="2" bestFit="1" customWidth="1"/>
    <col min="18" max="18" width="14.5703125" style="2" customWidth="1"/>
    <col min="19" max="19" width="9" style="2" customWidth="1"/>
    <col min="20" max="20" width="14.7109375" style="2" customWidth="1"/>
    <col min="21" max="21" width="10" style="2" customWidth="1"/>
    <col min="22" max="16384" width="8.85546875" style="2"/>
  </cols>
  <sheetData>
    <row r="1" spans="1:23" x14ac:dyDescent="0.2">
      <c r="A1" s="1" t="s">
        <v>61</v>
      </c>
    </row>
    <row r="2" spans="1:23" x14ac:dyDescent="0.2">
      <c r="A2" s="1" t="s">
        <v>0</v>
      </c>
    </row>
    <row r="3" spans="1:23" x14ac:dyDescent="0.2">
      <c r="A3" s="1"/>
    </row>
    <row r="4" spans="1:23" x14ac:dyDescent="0.2">
      <c r="A4" s="1"/>
      <c r="K4" s="11" t="s">
        <v>36</v>
      </c>
      <c r="L4" s="155">
        <f>L5+L6</f>
        <v>2044841.8773359954</v>
      </c>
      <c r="M4" s="4"/>
    </row>
    <row r="5" spans="1:23" x14ac:dyDescent="0.2">
      <c r="A5" s="1"/>
      <c r="K5" s="11" t="s">
        <v>106</v>
      </c>
      <c r="L5" s="154">
        <v>201783</v>
      </c>
      <c r="M5" s="4"/>
    </row>
    <row r="6" spans="1:23" x14ac:dyDescent="0.2">
      <c r="A6" s="1"/>
      <c r="K6" s="11" t="s">
        <v>107</v>
      </c>
      <c r="L6" s="154">
        <v>1843058.8773359954</v>
      </c>
      <c r="M6" s="4"/>
    </row>
    <row r="7" spans="1:23" x14ac:dyDescent="0.2">
      <c r="M7" s="4"/>
      <c r="N7" s="4"/>
    </row>
    <row r="8" spans="1:23" s="7" customFormat="1" ht="31.9" customHeight="1" x14ac:dyDescent="0.2">
      <c r="A8" s="5" t="s">
        <v>1</v>
      </c>
      <c r="B8" s="5" t="s">
        <v>2</v>
      </c>
      <c r="C8" s="6" t="s">
        <v>11</v>
      </c>
      <c r="D8" s="8" t="s">
        <v>104</v>
      </c>
      <c r="E8" s="8" t="s">
        <v>3</v>
      </c>
      <c r="F8" s="8" t="s">
        <v>20</v>
      </c>
      <c r="G8" s="8" t="s">
        <v>31</v>
      </c>
      <c r="H8" s="8" t="s">
        <v>32</v>
      </c>
      <c r="I8" s="8" t="s">
        <v>33</v>
      </c>
      <c r="J8" s="8" t="s">
        <v>4</v>
      </c>
      <c r="K8" s="8" t="s">
        <v>22</v>
      </c>
      <c r="L8" s="8" t="s">
        <v>44</v>
      </c>
      <c r="M8" s="6" t="s">
        <v>42</v>
      </c>
      <c r="N8" s="6" t="s">
        <v>43</v>
      </c>
      <c r="O8" s="8" t="s">
        <v>35</v>
      </c>
      <c r="Q8" s="2"/>
      <c r="R8" s="2"/>
      <c r="S8" s="2"/>
      <c r="T8" s="2"/>
      <c r="U8" s="2"/>
      <c r="V8" s="2"/>
      <c r="W8" s="2"/>
    </row>
    <row r="9" spans="1:23" x14ac:dyDescent="0.2">
      <c r="A9" s="3">
        <v>1</v>
      </c>
      <c r="B9" s="12" t="s">
        <v>5</v>
      </c>
      <c r="C9" s="42"/>
      <c r="D9" s="12"/>
      <c r="E9" s="13"/>
      <c r="F9" s="14"/>
      <c r="G9" s="14"/>
      <c r="H9" s="7"/>
      <c r="I9" s="7"/>
      <c r="J9" s="13"/>
      <c r="K9" s="14"/>
      <c r="L9" s="13"/>
      <c r="M9" s="15"/>
      <c r="N9" s="15"/>
    </row>
    <row r="10" spans="1:23" x14ac:dyDescent="0.2">
      <c r="A10" s="3">
        <f>A9+1</f>
        <v>2</v>
      </c>
      <c r="B10" s="2" t="str">
        <f>'Billing Detail'!B7</f>
        <v>Residential Farm and Home</v>
      </c>
      <c r="C10" s="10" t="str">
        <f>'Billing Detail'!C7</f>
        <v>A</v>
      </c>
      <c r="D10" s="16">
        <f>'Billing Detail'!G10</f>
        <v>26437262.621569999</v>
      </c>
      <c r="E10" s="16">
        <f>'Billing Detail'!I10</f>
        <v>35224646.626070999</v>
      </c>
      <c r="F10" s="15">
        <f t="shared" ref="F10:F16" si="0">E10/E$16</f>
        <v>0.66838905129430348</v>
      </c>
      <c r="G10" s="71">
        <f>E10</f>
        <v>35224646.626070999</v>
      </c>
      <c r="H10" s="72">
        <f t="shared" ref="H10:H15" si="1">G10/G$16</f>
        <v>0.72796031824666363</v>
      </c>
      <c r="I10" s="73">
        <f t="shared" ref="I10:I15" si="2">ROUND(L$6*H10,2)</f>
        <v>1341673.73</v>
      </c>
      <c r="J10" s="16">
        <f>'Billing Detail'!M10</f>
        <v>36567068.644839995</v>
      </c>
      <c r="K10" s="15">
        <f t="shared" ref="K10:K16" si="3">J10/J$16</f>
        <v>0.670417093509172</v>
      </c>
      <c r="L10" s="16">
        <f>'Billing Detail'!N10</f>
        <v>1342422.0187689979</v>
      </c>
      <c r="M10" s="15">
        <f>IF(E10=0,0,L10/E10)</f>
        <v>3.8110304782317507E-2</v>
      </c>
      <c r="N10" s="15">
        <f>'Billing Detail'!O16</f>
        <v>3.4208403671335888E-2</v>
      </c>
      <c r="O10" s="17">
        <f>J10-I10-E10</f>
        <v>748.28876899927855</v>
      </c>
    </row>
    <row r="11" spans="1:23" x14ac:dyDescent="0.2">
      <c r="A11" s="3">
        <f t="shared" ref="A11:A32" si="4">A10+1</f>
        <v>3</v>
      </c>
      <c r="B11" s="2" t="str">
        <f>'Billing Detail'!B19</f>
        <v>Residential ETS</v>
      </c>
      <c r="C11" s="10" t="str">
        <f>'Billing Detail'!C19</f>
        <v>ETS</v>
      </c>
      <c r="D11" s="16">
        <f>'Billing Detail'!G22</f>
        <v>13158.821040000001</v>
      </c>
      <c r="E11" s="16">
        <f>'Billing Detail'!I22</f>
        <v>17922.00592</v>
      </c>
      <c r="F11" s="15">
        <f t="shared" si="0"/>
        <v>3.4007076526052941E-4</v>
      </c>
      <c r="G11" s="71">
        <f t="shared" ref="G11:G15" si="5">E11</f>
        <v>17922.00592</v>
      </c>
      <c r="H11" s="72">
        <f t="shared" si="1"/>
        <v>3.7038012819937306E-4</v>
      </c>
      <c r="I11" s="73">
        <f t="shared" si="2"/>
        <v>682.63</v>
      </c>
      <c r="J11" s="16">
        <f>'Billing Detail'!M22</f>
        <v>18604.058000000001</v>
      </c>
      <c r="K11" s="15">
        <f t="shared" si="3"/>
        <v>3.4108499680343012E-4</v>
      </c>
      <c r="L11" s="16">
        <f>'Billing Detail'!N22</f>
        <v>682.05207999999948</v>
      </c>
      <c r="M11" s="15">
        <f t="shared" ref="M11:M15" si="6">IF(E11=0,0,L11/E11)</f>
        <v>3.8056681994444931E-2</v>
      </c>
      <c r="N11" s="15">
        <f>'Billing Detail'!O28</f>
        <v>3.2305059639813151E-2</v>
      </c>
      <c r="O11" s="17">
        <f t="shared" ref="O11:O16" si="7">J11-I11-E11</f>
        <v>-0.57791999999972177</v>
      </c>
    </row>
    <row r="12" spans="1:23" x14ac:dyDescent="0.2">
      <c r="A12" s="3">
        <f t="shared" si="4"/>
        <v>4</v>
      </c>
      <c r="B12" s="2" t="str">
        <f>'Billing Detail'!B31</f>
        <v>Small Commercial Part 1 &lt; 50 KVA</v>
      </c>
      <c r="C12" s="10" t="str">
        <f>'Billing Detail'!C31</f>
        <v>GP1</v>
      </c>
      <c r="D12" s="16">
        <f>'Billing Detail'!G34</f>
        <v>3454204.4032000001</v>
      </c>
      <c r="E12" s="16">
        <f>'Billing Detail'!I34</f>
        <v>4418537.2979199998</v>
      </c>
      <c r="F12" s="15">
        <f t="shared" si="0"/>
        <v>8.3841918529834206E-2</v>
      </c>
      <c r="G12" s="71">
        <f t="shared" si="5"/>
        <v>4418537.2979199998</v>
      </c>
      <c r="H12" s="72">
        <f t="shared" si="1"/>
        <v>9.1314466592773064E-2</v>
      </c>
      <c r="I12" s="73">
        <f t="shared" si="2"/>
        <v>168297.94</v>
      </c>
      <c r="J12" s="16">
        <f>'Billing Detail'!M34</f>
        <v>4586938.2671999997</v>
      </c>
      <c r="K12" s="15">
        <f t="shared" si="3"/>
        <v>8.4096481757122185E-2</v>
      </c>
      <c r="L12" s="16">
        <f>'Billing Detail'!N34</f>
        <v>168400.9692799995</v>
      </c>
      <c r="M12" s="15">
        <f t="shared" si="6"/>
        <v>3.8112379261633314E-2</v>
      </c>
      <c r="N12" s="15">
        <f>'Billing Detail'!O40</f>
        <v>3.3985883671349935E-2</v>
      </c>
      <c r="O12" s="17">
        <f t="shared" si="7"/>
        <v>103.02927999943495</v>
      </c>
    </row>
    <row r="13" spans="1:23" x14ac:dyDescent="0.2">
      <c r="A13" s="3">
        <f t="shared" si="4"/>
        <v>5</v>
      </c>
      <c r="B13" s="2" t="str">
        <f>'Billing Detail'!B43</f>
        <v>Small Commercial Part 2 &gt; 50 KVA</v>
      </c>
      <c r="C13" s="10" t="str">
        <f>'Billing Detail'!C43</f>
        <v>GP2</v>
      </c>
      <c r="D13" s="16">
        <f>'Billing Detail'!G47</f>
        <v>7091216.9304099996</v>
      </c>
      <c r="E13" s="16">
        <f>'Billing Detail'!I47</f>
        <v>8085268.2934300005</v>
      </c>
      <c r="F13" s="15">
        <f t="shared" si="0"/>
        <v>0.15341828298444371</v>
      </c>
      <c r="G13" s="71">
        <f t="shared" si="5"/>
        <v>8085268.2934300005</v>
      </c>
      <c r="H13" s="72">
        <f t="shared" si="1"/>
        <v>0.16709193828047403</v>
      </c>
      <c r="I13" s="73">
        <f t="shared" si="2"/>
        <v>307960.28000000003</v>
      </c>
      <c r="J13" s="16">
        <f>'Billing Detail'!M47</f>
        <v>8392517.0685699992</v>
      </c>
      <c r="K13" s="15">
        <f t="shared" si="3"/>
        <v>0.15386759477453418</v>
      </c>
      <c r="L13" s="16">
        <f>'Billing Detail'!N47</f>
        <v>307248.77513999899</v>
      </c>
      <c r="M13" s="15">
        <f t="shared" si="6"/>
        <v>3.8001061187996191E-2</v>
      </c>
      <c r="N13" s="15">
        <f>'Billing Detail'!O53</f>
        <v>3.3682253948089096E-2</v>
      </c>
      <c r="O13" s="17">
        <f t="shared" si="7"/>
        <v>-711.50486000161618</v>
      </c>
    </row>
    <row r="14" spans="1:23" x14ac:dyDescent="0.2">
      <c r="A14" s="3">
        <f t="shared" si="4"/>
        <v>6</v>
      </c>
      <c r="B14" s="2" t="str">
        <f>'Billing Detail'!B70</f>
        <v>Tennessee Gas / Kinder Morgan</v>
      </c>
      <c r="C14" s="10" t="str">
        <f>'Billing Detail'!C70</f>
        <v>Special</v>
      </c>
      <c r="D14" s="16">
        <f>'Billing Detail'!G74</f>
        <v>4132818.12364246</v>
      </c>
      <c r="E14" s="16">
        <f>'Billing Detail'!I74</f>
        <v>4312672.1896424601</v>
      </c>
      <c r="F14" s="15">
        <f t="shared" si="0"/>
        <v>8.1833123948076153E-2</v>
      </c>
      <c r="G14" s="71">
        <v>0</v>
      </c>
      <c r="H14" s="72">
        <f t="shared" si="1"/>
        <v>0</v>
      </c>
      <c r="I14" s="73">
        <f t="shared" si="2"/>
        <v>0</v>
      </c>
      <c r="J14" s="66">
        <f>'Billing Detail'!M74</f>
        <v>4312672.1896424601</v>
      </c>
      <c r="K14" s="15">
        <f t="shared" si="3"/>
        <v>7.9068114065137848E-2</v>
      </c>
      <c r="L14" s="66">
        <v>0</v>
      </c>
      <c r="M14" s="15">
        <f t="shared" si="6"/>
        <v>0</v>
      </c>
      <c r="N14" s="36">
        <v>0</v>
      </c>
      <c r="O14" s="17">
        <f t="shared" si="7"/>
        <v>0</v>
      </c>
    </row>
    <row r="15" spans="1:23" x14ac:dyDescent="0.2">
      <c r="A15" s="3">
        <f t="shared" si="4"/>
        <v>7</v>
      </c>
      <c r="B15" s="2" t="str">
        <f>'Billing Detail'!B83</f>
        <v>Lighting</v>
      </c>
      <c r="C15" s="10" t="str">
        <f>'Billing Detail'!C83</f>
        <v>SL</v>
      </c>
      <c r="D15" s="16">
        <f>'Billing Detail'!G96</f>
        <v>641766.92000000004</v>
      </c>
      <c r="E15" s="16">
        <f>'Billing Detail'!I96</f>
        <v>641766.92000000004</v>
      </c>
      <c r="F15" s="15">
        <f t="shared" si="0"/>
        <v>1.2177552478081817E-2</v>
      </c>
      <c r="G15" s="71">
        <f t="shared" si="5"/>
        <v>641766.92000000004</v>
      </c>
      <c r="H15" s="72">
        <f t="shared" si="1"/>
        <v>1.3262896751889746E-2</v>
      </c>
      <c r="I15" s="73">
        <f t="shared" si="2"/>
        <v>24444.3</v>
      </c>
      <c r="J15" s="16">
        <f>'Billing Detail'!M96</f>
        <v>665959.16999999993</v>
      </c>
      <c r="K15" s="15">
        <f t="shared" si="3"/>
        <v>1.2209630897230322E-2</v>
      </c>
      <c r="L15" s="16">
        <f t="shared" ref="L15:L16" si="8">J15-E15</f>
        <v>24192.249999999884</v>
      </c>
      <c r="M15" s="15">
        <f t="shared" si="6"/>
        <v>3.769631815862351E-2</v>
      </c>
      <c r="N15" s="15">
        <f>'Billing Detail'!O102</f>
        <v>3.769631815862351E-2</v>
      </c>
      <c r="O15" s="17">
        <f t="shared" si="7"/>
        <v>-252.05000000016298</v>
      </c>
    </row>
    <row r="16" spans="1:23" ht="16.149999999999999" customHeight="1" x14ac:dyDescent="0.2">
      <c r="A16" s="3">
        <f t="shared" si="4"/>
        <v>8</v>
      </c>
      <c r="B16" s="18" t="s">
        <v>41</v>
      </c>
      <c r="C16" s="43"/>
      <c r="D16" s="19">
        <f>SUM(D10:D15)</f>
        <v>41770427.819862463</v>
      </c>
      <c r="E16" s="19">
        <f>SUM(E10:E15)</f>
        <v>52700813.332983464</v>
      </c>
      <c r="F16" s="20">
        <f t="shared" si="0"/>
        <v>1</v>
      </c>
      <c r="G16" s="19">
        <f>SUM(G10:G15)</f>
        <v>48388141.143341005</v>
      </c>
      <c r="H16" s="20">
        <v>1</v>
      </c>
      <c r="I16" s="19">
        <f>SUM(I10:I15)</f>
        <v>1843058.88</v>
      </c>
      <c r="J16" s="19">
        <f>SUM(J10:J15)</f>
        <v>54543759.398252457</v>
      </c>
      <c r="K16" s="20">
        <f t="shared" si="3"/>
        <v>1</v>
      </c>
      <c r="L16" s="19">
        <f t="shared" si="8"/>
        <v>1842946.0652689934</v>
      </c>
      <c r="M16" s="20">
        <f t="shared" ref="M16" si="9">L16/E16</f>
        <v>3.4969973871647297E-2</v>
      </c>
      <c r="N16" s="20"/>
      <c r="O16" s="21">
        <f t="shared" si="7"/>
        <v>-112.81473100930452</v>
      </c>
    </row>
    <row r="17" spans="1:19" ht="16.149999999999999" customHeight="1" x14ac:dyDescent="0.2">
      <c r="A17" s="3">
        <f t="shared" si="4"/>
        <v>9</v>
      </c>
      <c r="D17" s="22"/>
      <c r="E17" s="22"/>
      <c r="F17" s="23"/>
      <c r="G17" s="22"/>
      <c r="H17" s="23"/>
      <c r="I17" s="22"/>
      <c r="J17" s="22"/>
      <c r="K17" s="23"/>
      <c r="L17" s="22"/>
      <c r="M17" s="23"/>
      <c r="N17" s="23"/>
      <c r="O17" s="17"/>
    </row>
    <row r="18" spans="1:19" ht="16.149999999999999" customHeight="1" x14ac:dyDescent="0.2">
      <c r="A18" s="3">
        <f t="shared" si="4"/>
        <v>10</v>
      </c>
      <c r="B18" s="2" t="str">
        <f>'Billing Detail'!B56</f>
        <v>Large Industrial</v>
      </c>
      <c r="C18" s="10" t="str">
        <f>'Billing Detail'!C56</f>
        <v>B1</v>
      </c>
      <c r="D18" s="16">
        <f>'Billing Detail'!G61</f>
        <v>1860346.2693</v>
      </c>
      <c r="E18" s="16">
        <f>'Billing Detail'!I61</f>
        <v>2187165.0240000002</v>
      </c>
      <c r="F18" s="15">
        <v>1</v>
      </c>
      <c r="G18" s="71">
        <f>E18</f>
        <v>2187165.0240000002</v>
      </c>
      <c r="H18" s="72">
        <v>1</v>
      </c>
      <c r="I18" s="73">
        <f>ROUND(L$5*H18,2)</f>
        <v>201783</v>
      </c>
      <c r="J18" s="16">
        <f>'Billing Detail'!M61</f>
        <v>2388752.5738000004</v>
      </c>
      <c r="K18" s="15">
        <f>J18/J$18</f>
        <v>1</v>
      </c>
      <c r="L18" s="16">
        <f>'Billing Detail'!N61</f>
        <v>201587.54979999998</v>
      </c>
      <c r="M18" s="15">
        <f>IF(E18=0,0,L18/E18)</f>
        <v>9.2168422404326072E-2</v>
      </c>
      <c r="N18" s="15">
        <f>'Billing Detail'!O67</f>
        <v>8.1753232812996776E-2</v>
      </c>
      <c r="O18" s="17">
        <f>J18-I18-E18</f>
        <v>-195.45019999984652</v>
      </c>
    </row>
    <row r="19" spans="1:19" ht="16.149999999999999" customHeight="1" x14ac:dyDescent="0.2">
      <c r="A19" s="3">
        <f t="shared" si="4"/>
        <v>11</v>
      </c>
      <c r="D19" s="22"/>
      <c r="E19" s="22"/>
      <c r="F19" s="23"/>
      <c r="G19" s="22"/>
      <c r="H19" s="23"/>
      <c r="I19" s="22"/>
      <c r="J19" s="22"/>
      <c r="K19" s="23"/>
      <c r="L19" s="22"/>
      <c r="M19" s="23"/>
      <c r="N19" s="23"/>
      <c r="O19" s="17"/>
    </row>
    <row r="20" spans="1:19" ht="16.149999999999999" customHeight="1" x14ac:dyDescent="0.2">
      <c r="A20" s="3">
        <f t="shared" si="4"/>
        <v>12</v>
      </c>
      <c r="B20" s="9" t="s">
        <v>40</v>
      </c>
      <c r="C20" s="44"/>
      <c r="D20" s="24">
        <f>D16+D18</f>
        <v>43630774.089162461</v>
      </c>
      <c r="E20" s="24">
        <f>E16+E18</f>
        <v>54887978.356983468</v>
      </c>
      <c r="F20" s="65"/>
      <c r="G20" s="24">
        <f>G16+G18</f>
        <v>50575306.167341009</v>
      </c>
      <c r="H20" s="65"/>
      <c r="I20" s="24">
        <f>I16+I18</f>
        <v>2044841.88</v>
      </c>
      <c r="J20" s="24">
        <f>J16+J18</f>
        <v>56932511.972052455</v>
      </c>
      <c r="K20" s="65"/>
      <c r="L20" s="24">
        <f>L16+L18</f>
        <v>2044533.6150689933</v>
      </c>
      <c r="M20" s="65">
        <f t="shared" ref="M20:O20" si="10">M16</f>
        <v>3.4969973871647297E-2</v>
      </c>
      <c r="N20" s="24"/>
      <c r="O20" s="24">
        <f t="shared" si="10"/>
        <v>-112.81473100930452</v>
      </c>
    </row>
    <row r="21" spans="1:19" ht="12.6" customHeight="1" x14ac:dyDescent="0.2">
      <c r="A21" s="3">
        <f t="shared" si="4"/>
        <v>13</v>
      </c>
      <c r="S21" s="16"/>
    </row>
    <row r="22" spans="1:19" x14ac:dyDescent="0.2">
      <c r="A22" s="3">
        <f t="shared" si="4"/>
        <v>14</v>
      </c>
      <c r="B22" s="12" t="s">
        <v>7</v>
      </c>
      <c r="C22" s="42"/>
      <c r="D22" s="12"/>
    </row>
    <row r="23" spans="1:19" x14ac:dyDescent="0.2">
      <c r="A23" s="3">
        <f t="shared" si="4"/>
        <v>15</v>
      </c>
      <c r="B23" s="2" t="str">
        <f>'Billing Detail'!D11</f>
        <v xml:space="preserve">    FAC</v>
      </c>
      <c r="D23" s="16">
        <f>'Billing Detail'!G107</f>
        <v>5457160.6000000006</v>
      </c>
      <c r="E23" s="16">
        <f>'Billing Detail'!I107</f>
        <v>236195.52142000024</v>
      </c>
      <c r="F23" s="25"/>
      <c r="G23" s="26"/>
      <c r="H23" s="26"/>
      <c r="I23" s="26"/>
      <c r="J23" s="16">
        <f>'Billing Detail'!M107</f>
        <v>236195.52142000024</v>
      </c>
      <c r="K23" s="27"/>
      <c r="L23" s="27"/>
      <c r="M23" s="26"/>
      <c r="N23" s="26"/>
    </row>
    <row r="24" spans="1:19" x14ac:dyDescent="0.2">
      <c r="A24" s="3">
        <f t="shared" si="4"/>
        <v>16</v>
      </c>
      <c r="B24" s="2" t="str">
        <f>'Billing Detail'!D12</f>
        <v xml:space="preserve">    ES</v>
      </c>
      <c r="D24" s="16">
        <f>'Billing Detail'!G108</f>
        <v>6025037.2400000002</v>
      </c>
      <c r="E24" s="16">
        <f>'Billing Detail'!I108</f>
        <v>6025037.2400000002</v>
      </c>
      <c r="F24" s="26"/>
      <c r="G24" s="26"/>
      <c r="H24" s="26"/>
      <c r="I24" s="26"/>
      <c r="J24" s="16">
        <f>'Billing Detail'!M108</f>
        <v>6025037.2400000002</v>
      </c>
      <c r="K24" s="27"/>
      <c r="L24" s="27"/>
      <c r="M24" s="26"/>
      <c r="N24" s="26"/>
    </row>
    <row r="25" spans="1:19" x14ac:dyDescent="0.2">
      <c r="A25" s="3">
        <f t="shared" si="4"/>
        <v>17</v>
      </c>
      <c r="B25" s="2" t="str">
        <f>'Billing Detail'!D13</f>
        <v xml:space="preserve">    Misc Adj</v>
      </c>
      <c r="D25" s="16">
        <f>'Billing Detail'!G109</f>
        <v>0</v>
      </c>
      <c r="E25" s="16">
        <f>'Billing Detail'!I109</f>
        <v>0</v>
      </c>
      <c r="F25" s="26"/>
      <c r="G25" s="26"/>
      <c r="H25" s="26"/>
      <c r="I25" s="26"/>
      <c r="J25" s="16">
        <f>'Billing Detail'!M109</f>
        <v>0</v>
      </c>
      <c r="K25" s="27"/>
      <c r="L25" s="27"/>
      <c r="M25" s="26"/>
      <c r="N25" s="26"/>
    </row>
    <row r="26" spans="1:19" x14ac:dyDescent="0.2">
      <c r="A26" s="3">
        <f t="shared" si="4"/>
        <v>18</v>
      </c>
      <c r="B26" s="2" t="str">
        <f>'Billing Detail'!D14</f>
        <v xml:space="preserve">    Other</v>
      </c>
      <c r="D26" s="16">
        <f>'Billing Detail'!G110</f>
        <v>0</v>
      </c>
      <c r="E26" s="16">
        <f>'Billing Detail'!I110</f>
        <v>0</v>
      </c>
      <c r="F26" s="26"/>
      <c r="G26" s="26"/>
      <c r="H26" s="26"/>
      <c r="I26" s="26"/>
      <c r="J26" s="16">
        <f>'Billing Detail'!M110</f>
        <v>0</v>
      </c>
      <c r="K26" s="27"/>
      <c r="L26" s="27"/>
      <c r="M26" s="26"/>
      <c r="N26" s="35"/>
    </row>
    <row r="27" spans="1:19" x14ac:dyDescent="0.2">
      <c r="A27" s="3">
        <f t="shared" si="4"/>
        <v>19</v>
      </c>
      <c r="B27" s="18" t="s">
        <v>8</v>
      </c>
      <c r="C27" s="43"/>
      <c r="D27" s="19">
        <f>SUM(D23:D26)</f>
        <v>11482197.84</v>
      </c>
      <c r="E27" s="19">
        <f>SUM(E23:E26)</f>
        <v>6261232.7614200003</v>
      </c>
      <c r="F27" s="28"/>
      <c r="G27" s="28"/>
      <c r="H27" s="28"/>
      <c r="I27" s="28"/>
      <c r="J27" s="19">
        <f>SUM(J23:J26)</f>
        <v>6261232.7614200003</v>
      </c>
      <c r="K27" s="29"/>
      <c r="L27" s="29"/>
      <c r="M27" s="28"/>
      <c r="N27" s="26"/>
    </row>
    <row r="28" spans="1:19" x14ac:dyDescent="0.2">
      <c r="A28" s="3">
        <f t="shared" si="4"/>
        <v>20</v>
      </c>
    </row>
    <row r="29" spans="1:19" ht="18" customHeight="1" thickBot="1" x14ac:dyDescent="0.25">
      <c r="A29" s="3">
        <f t="shared" si="4"/>
        <v>21</v>
      </c>
      <c r="B29" s="30" t="s">
        <v>9</v>
      </c>
      <c r="C29" s="45"/>
      <c r="D29" s="31">
        <f>D20+D27</f>
        <v>55112971.929162458</v>
      </c>
      <c r="E29" s="31">
        <f>E20+E27</f>
        <v>61149211.118403465</v>
      </c>
      <c r="F29" s="32"/>
      <c r="G29" s="32"/>
      <c r="H29" s="32"/>
      <c r="I29" s="32"/>
      <c r="J29" s="31">
        <f>J20+J27</f>
        <v>63193744.733472452</v>
      </c>
      <c r="K29" s="33"/>
      <c r="L29" s="32">
        <f t="shared" ref="L29" si="11">J29-E29</f>
        <v>2044533.615068987</v>
      </c>
      <c r="M29" s="30"/>
      <c r="N29" s="34">
        <f>L29/E29</f>
        <v>3.3435159304183802E-2</v>
      </c>
    </row>
    <row r="30" spans="1:19" ht="18" customHeight="1" thickTop="1" x14ac:dyDescent="0.2">
      <c r="A30" s="3">
        <f t="shared" si="4"/>
        <v>22</v>
      </c>
      <c r="B30" s="2" t="s">
        <v>10</v>
      </c>
      <c r="D30" s="22">
        <v>55265344</v>
      </c>
      <c r="E30" s="22"/>
      <c r="L30" s="22">
        <f>L4</f>
        <v>2044841.8773359954</v>
      </c>
    </row>
    <row r="31" spans="1:19" ht="15" customHeight="1" x14ac:dyDescent="0.2">
      <c r="A31" s="3">
        <f t="shared" si="4"/>
        <v>23</v>
      </c>
      <c r="B31" s="18" t="s">
        <v>37</v>
      </c>
      <c r="C31" s="43"/>
      <c r="D31" s="19">
        <f>D29-D30</f>
        <v>-152372.07083754241</v>
      </c>
      <c r="E31" s="19"/>
      <c r="F31" s="18"/>
      <c r="G31" s="18"/>
      <c r="H31" s="18"/>
      <c r="I31" s="18"/>
      <c r="J31" s="18"/>
      <c r="K31" s="18"/>
      <c r="L31" s="19">
        <f>L29-L30</f>
        <v>-308.26226700842381</v>
      </c>
    </row>
    <row r="32" spans="1:19" ht="15" customHeight="1" x14ac:dyDescent="0.2">
      <c r="A32" s="3">
        <f t="shared" si="4"/>
        <v>24</v>
      </c>
      <c r="B32" s="2" t="s">
        <v>37</v>
      </c>
      <c r="D32" s="15">
        <f>D31/D30</f>
        <v>-2.7570998352519512E-3</v>
      </c>
      <c r="E32" s="15"/>
      <c r="L32" s="15">
        <f>L31/L30</f>
        <v>-1.5075115118926729E-4</v>
      </c>
    </row>
    <row r="33" spans="1:1" x14ac:dyDescent="0.2">
      <c r="A33" s="3"/>
    </row>
  </sheetData>
  <printOptions horizontalCentered="1"/>
  <pageMargins left="0.7" right="0.7" top="0.75" bottom="0.75" header="0.3" footer="0.3"/>
  <pageSetup scale="69" orientation="landscape" r:id="rId1"/>
  <headerFooter>
    <oddHeader>&amp;R&amp;"Arial,Bold"&amp;10Exhibit 4
Page &amp;P of &amp;N</oddHeader>
  </headerFooter>
  <ignoredErrors>
    <ignoredError sqref="J16 F16 J10:J13 G10:G13 G14:G15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C936A2-12A9-4965-8FFC-07FECC5A7A7C}">
  <dimension ref="A1:T152"/>
  <sheetViews>
    <sheetView view="pageBreakPreview" zoomScale="73" zoomScaleNormal="75" zoomScaleSheetLayoutView="73" workbookViewId="0">
      <pane xSplit="4" ySplit="5" topLeftCell="E116" activePane="bottomRight" state="frozen"/>
      <selection activeCell="D1" sqref="D1:D1048576"/>
      <selection pane="topRight" activeCell="D1" sqref="D1:D1048576"/>
      <selection pane="bottomLeft" activeCell="D1" sqref="D1:D1048576"/>
      <selection pane="bottomRight" activeCell="B144" sqref="B144"/>
    </sheetView>
  </sheetViews>
  <sheetFormatPr defaultColWidth="8.85546875" defaultRowHeight="15" x14ac:dyDescent="0.2"/>
  <cols>
    <col min="1" max="1" width="5.5703125" style="99" customWidth="1"/>
    <col min="2" max="2" width="45.28515625" style="75" bestFit="1" customWidth="1"/>
    <col min="3" max="3" width="9.140625" style="76" bestFit="1" customWidth="1"/>
    <col min="4" max="4" width="37.7109375" style="75" bestFit="1" customWidth="1"/>
    <col min="5" max="5" width="16.140625" style="77" bestFit="1" customWidth="1"/>
    <col min="6" max="6" width="12.7109375" style="77" bestFit="1" customWidth="1"/>
    <col min="7" max="7" width="16.140625" style="77" bestFit="1" customWidth="1"/>
    <col min="8" max="8" width="14.5703125" style="77" bestFit="1" customWidth="1"/>
    <col min="9" max="9" width="16.85546875" style="77" bestFit="1" customWidth="1"/>
    <col min="10" max="10" width="10.5703125" style="77" bestFit="1" customWidth="1"/>
    <col min="11" max="11" width="16.140625" style="77" bestFit="1" customWidth="1"/>
    <col min="12" max="12" width="12" style="77" bestFit="1" customWidth="1"/>
    <col min="13" max="13" width="16.140625" style="77" bestFit="1" customWidth="1"/>
    <col min="14" max="14" width="14.5703125" style="77" bestFit="1" customWidth="1"/>
    <col min="15" max="15" width="11.42578125" style="77" bestFit="1" customWidth="1"/>
    <col min="16" max="16" width="10.5703125" style="77" bestFit="1" customWidth="1"/>
    <col min="17" max="17" width="11" style="77" bestFit="1" customWidth="1"/>
    <col min="18" max="18" width="14" style="77" bestFit="1" customWidth="1"/>
    <col min="19" max="19" width="16.140625" style="75" bestFit="1" customWidth="1"/>
    <col min="20" max="20" width="15.5703125" style="75" bestFit="1" customWidth="1"/>
    <col min="21" max="21" width="8.85546875" style="75" customWidth="1"/>
    <col min="22" max="16384" width="8.85546875" style="75"/>
  </cols>
  <sheetData>
    <row r="1" spans="1:20" ht="15.75" x14ac:dyDescent="0.2">
      <c r="A1" s="74" t="str">
        <f>Summary!A1</f>
        <v>TAYLOR COUNTY RECC</v>
      </c>
      <c r="F1" s="78"/>
    </row>
    <row r="2" spans="1:20" ht="14.45" customHeight="1" x14ac:dyDescent="0.25">
      <c r="A2" s="74" t="str">
        <f>Summary!A2</f>
        <v>Billing Analysis for Pass-Through Rate Increase</v>
      </c>
      <c r="F2" s="79"/>
      <c r="G2" s="80"/>
      <c r="H2" s="81"/>
      <c r="P2" s="82"/>
    </row>
    <row r="5" spans="1:20" ht="45" customHeight="1" x14ac:dyDescent="0.25">
      <c r="A5" s="83" t="s">
        <v>1</v>
      </c>
      <c r="B5" s="83" t="s">
        <v>12</v>
      </c>
      <c r="C5" s="84" t="s">
        <v>11</v>
      </c>
      <c r="D5" s="83" t="s">
        <v>13</v>
      </c>
      <c r="E5" s="146" t="s">
        <v>14</v>
      </c>
      <c r="F5" s="146" t="s">
        <v>101</v>
      </c>
      <c r="G5" s="146" t="s">
        <v>102</v>
      </c>
      <c r="H5" s="146" t="s">
        <v>23</v>
      </c>
      <c r="I5" s="146" t="s">
        <v>24</v>
      </c>
      <c r="J5" s="146" t="s">
        <v>50</v>
      </c>
      <c r="K5" s="146" t="s">
        <v>10</v>
      </c>
      <c r="L5" s="146" t="s">
        <v>21</v>
      </c>
      <c r="M5" s="146" t="s">
        <v>4</v>
      </c>
      <c r="N5" s="146" t="s">
        <v>15</v>
      </c>
      <c r="O5" s="147" t="s">
        <v>16</v>
      </c>
      <c r="P5" s="146" t="s">
        <v>22</v>
      </c>
      <c r="Q5" s="146" t="s">
        <v>25</v>
      </c>
      <c r="R5" s="146" t="s">
        <v>38</v>
      </c>
      <c r="T5" s="85" t="s">
        <v>34</v>
      </c>
    </row>
    <row r="6" spans="1:20" ht="30.6" customHeight="1" thickBot="1" x14ac:dyDescent="0.3">
      <c r="A6" s="86"/>
      <c r="B6" s="87"/>
      <c r="C6" s="88"/>
      <c r="D6" s="87"/>
      <c r="E6" s="148"/>
      <c r="F6" s="148"/>
      <c r="G6" s="148"/>
      <c r="H6" s="148"/>
      <c r="I6" s="148"/>
      <c r="J6" s="148"/>
      <c r="K6" s="148"/>
      <c r="L6" s="148"/>
      <c r="M6" s="148"/>
      <c r="N6" s="148"/>
      <c r="O6" s="149"/>
      <c r="P6" s="148"/>
      <c r="Q6" s="148"/>
      <c r="R6" s="148"/>
    </row>
    <row r="7" spans="1:20" x14ac:dyDescent="0.2">
      <c r="A7" s="89">
        <v>1</v>
      </c>
      <c r="B7" s="156" t="s">
        <v>63</v>
      </c>
      <c r="C7" s="90" t="s">
        <v>64</v>
      </c>
      <c r="D7" s="91"/>
      <c r="E7" s="92"/>
      <c r="F7" s="92"/>
      <c r="G7" s="92"/>
      <c r="H7" s="92"/>
      <c r="I7" s="92"/>
      <c r="J7" s="92"/>
      <c r="K7" s="92"/>
      <c r="L7" s="92"/>
      <c r="M7" s="92"/>
      <c r="N7" s="92"/>
      <c r="O7" s="92"/>
      <c r="P7" s="92"/>
      <c r="Q7" s="92"/>
      <c r="R7" s="92"/>
    </row>
    <row r="8" spans="1:20" x14ac:dyDescent="0.2">
      <c r="A8" s="89">
        <f>A7+1</f>
        <v>2</v>
      </c>
      <c r="B8" s="157"/>
      <c r="C8" s="75"/>
      <c r="D8" s="75" t="s">
        <v>17</v>
      </c>
      <c r="E8" s="130">
        <v>294204</v>
      </c>
      <c r="F8" s="78">
        <v>10.220000000000001</v>
      </c>
      <c r="G8" s="93">
        <f>F8*E8</f>
        <v>3006764.8800000004</v>
      </c>
      <c r="H8" s="78">
        <v>17.010000000000002</v>
      </c>
      <c r="I8" s="93">
        <f>H8*E8</f>
        <v>5004410.04</v>
      </c>
      <c r="J8" s="94">
        <f>I8/I10</f>
        <v>0.14207126314493843</v>
      </c>
      <c r="K8" s="94"/>
      <c r="L8" s="78">
        <f>ROUND(H8*S10,2)</f>
        <v>17.66</v>
      </c>
      <c r="M8" s="93">
        <f>L8*E8</f>
        <v>5195642.6399999997</v>
      </c>
      <c r="N8" s="93">
        <f t="shared" ref="N8:N13" si="0">M8-I8</f>
        <v>191232.59999999963</v>
      </c>
      <c r="O8" s="94">
        <f>IF(I8=0,0,N8/I8)</f>
        <v>3.8212815990593695E-2</v>
      </c>
      <c r="P8" s="94">
        <f>M8/M10</f>
        <v>0.1420852923832373</v>
      </c>
      <c r="Q8" s="95">
        <f>P8-J8</f>
        <v>1.4029238298879365E-5</v>
      </c>
      <c r="R8" s="95"/>
      <c r="T8" s="96">
        <f>L8/H8-1</f>
        <v>3.8212815990593674E-2</v>
      </c>
    </row>
    <row r="9" spans="1:20" x14ac:dyDescent="0.2">
      <c r="A9" s="89">
        <f t="shared" ref="A9:A20" si="1">A8+1</f>
        <v>3</v>
      </c>
      <c r="B9" s="97"/>
      <c r="D9" s="75" t="s">
        <v>47</v>
      </c>
      <c r="E9" s="130">
        <v>288446359</v>
      </c>
      <c r="F9" s="80">
        <v>8.1229999999999997E-2</v>
      </c>
      <c r="G9" s="93">
        <f t="shared" ref="G9" si="2">F9*E9</f>
        <v>23430497.74157</v>
      </c>
      <c r="H9" s="153">
        <v>0.104769</v>
      </c>
      <c r="I9" s="93">
        <f t="shared" ref="I9" si="3">H9*E9</f>
        <v>30220236.586071</v>
      </c>
      <c r="J9" s="94">
        <f>I9/I10</f>
        <v>0.85792873685506166</v>
      </c>
      <c r="K9" s="94"/>
      <c r="L9" s="98">
        <f>ROUND(H9*S10,5)</f>
        <v>0.10876</v>
      </c>
      <c r="M9" s="93">
        <f t="shared" ref="M9" si="4">L9*E9</f>
        <v>31371426.004839998</v>
      </c>
      <c r="N9" s="93">
        <f t="shared" si="0"/>
        <v>1151189.4187689982</v>
      </c>
      <c r="O9" s="94">
        <f t="shared" ref="O9" si="5">IF(I9=0,0,N9/I9)</f>
        <v>3.8093329133617709E-2</v>
      </c>
      <c r="P9" s="94">
        <f>M9/M10</f>
        <v>0.85791470761676281</v>
      </c>
      <c r="Q9" s="95">
        <f t="shared" ref="Q9:Q10" si="6">P9-J9</f>
        <v>-1.402923829885161E-5</v>
      </c>
      <c r="R9" s="95"/>
      <c r="T9" s="96">
        <f>L9/H9-1</f>
        <v>3.8093329133617626E-2</v>
      </c>
    </row>
    <row r="10" spans="1:20" s="99" customFormat="1" ht="20.45" customHeight="1" x14ac:dyDescent="0.25">
      <c r="A10" s="89">
        <f t="shared" si="1"/>
        <v>4</v>
      </c>
      <c r="C10" s="100"/>
      <c r="D10" s="101" t="s">
        <v>6</v>
      </c>
      <c r="E10" s="102"/>
      <c r="F10" s="102"/>
      <c r="G10" s="103">
        <f>SUM(G8:G9)</f>
        <v>26437262.621569999</v>
      </c>
      <c r="H10" s="102"/>
      <c r="I10" s="103">
        <f>SUM(I8:I9)</f>
        <v>35224646.626070999</v>
      </c>
      <c r="J10" s="104">
        <f>SUM(J8:J9)</f>
        <v>1</v>
      </c>
      <c r="K10" s="105">
        <f>I10+Summary!I10</f>
        <v>36566320.356070995</v>
      </c>
      <c r="L10" s="102"/>
      <c r="M10" s="103">
        <f>SUM(M8:M9)</f>
        <v>36567068.644839995</v>
      </c>
      <c r="N10" s="103">
        <f>SUM(N8:N9)</f>
        <v>1342422.0187689979</v>
      </c>
      <c r="O10" s="104">
        <f t="shared" ref="O10" si="7">N10/I10</f>
        <v>3.8110304782317507E-2</v>
      </c>
      <c r="P10" s="104">
        <f>SUM(P8:P9)</f>
        <v>1</v>
      </c>
      <c r="Q10" s="150">
        <f t="shared" si="6"/>
        <v>0</v>
      </c>
      <c r="R10" s="106">
        <f>M10-K10</f>
        <v>748.28876899927855</v>
      </c>
      <c r="S10" s="142">
        <f>K10/I10</f>
        <v>1.0380890614529821</v>
      </c>
    </row>
    <row r="11" spans="1:20" x14ac:dyDescent="0.2">
      <c r="A11" s="89">
        <f t="shared" si="1"/>
        <v>5</v>
      </c>
      <c r="B11" s="107"/>
      <c r="D11" s="75" t="s">
        <v>26</v>
      </c>
      <c r="G11" s="93">
        <v>3646715</v>
      </c>
      <c r="I11" s="108">
        <f>G11-($H$145*E9)</f>
        <v>202665.47354000015</v>
      </c>
      <c r="K11" s="108"/>
      <c r="M11" s="93">
        <f>I11</f>
        <v>202665.47354000015</v>
      </c>
      <c r="N11" s="93">
        <f t="shared" si="0"/>
        <v>0</v>
      </c>
      <c r="O11" s="78">
        <v>0</v>
      </c>
      <c r="R11" s="109"/>
    </row>
    <row r="12" spans="1:20" x14ac:dyDescent="0.2">
      <c r="A12" s="89">
        <f t="shared" si="1"/>
        <v>6</v>
      </c>
      <c r="D12" s="75" t="s">
        <v>27</v>
      </c>
      <c r="G12" s="93">
        <v>3815151</v>
      </c>
      <c r="I12" s="108">
        <f>G12</f>
        <v>3815151</v>
      </c>
      <c r="M12" s="93">
        <f t="shared" ref="M12:M14" si="8">I12</f>
        <v>3815151</v>
      </c>
      <c r="N12" s="93">
        <f t="shared" si="0"/>
        <v>0</v>
      </c>
      <c r="O12" s="78">
        <v>0</v>
      </c>
    </row>
    <row r="13" spans="1:20" x14ac:dyDescent="0.2">
      <c r="A13" s="89">
        <f t="shared" si="1"/>
        <v>7</v>
      </c>
      <c r="D13" s="75" t="s">
        <v>29</v>
      </c>
      <c r="G13" s="93"/>
      <c r="I13" s="108">
        <f>G13</f>
        <v>0</v>
      </c>
      <c r="M13" s="93">
        <f t="shared" si="8"/>
        <v>0</v>
      </c>
      <c r="N13" s="93">
        <f t="shared" si="0"/>
        <v>0</v>
      </c>
      <c r="O13" s="78">
        <v>0</v>
      </c>
    </row>
    <row r="14" spans="1:20" x14ac:dyDescent="0.2">
      <c r="A14" s="89">
        <f t="shared" si="1"/>
        <v>8</v>
      </c>
      <c r="D14" s="75" t="s">
        <v>39</v>
      </c>
      <c r="G14" s="93">
        <v>0</v>
      </c>
      <c r="I14" s="108">
        <f>G14</f>
        <v>0</v>
      </c>
      <c r="M14" s="93">
        <f t="shared" si="8"/>
        <v>0</v>
      </c>
      <c r="N14" s="93"/>
      <c r="O14" s="78">
        <v>0</v>
      </c>
    </row>
    <row r="15" spans="1:20" x14ac:dyDescent="0.2">
      <c r="A15" s="89">
        <f t="shared" si="1"/>
        <v>9</v>
      </c>
      <c r="D15" s="110" t="s">
        <v>8</v>
      </c>
      <c r="E15" s="111"/>
      <c r="F15" s="111"/>
      <c r="G15" s="112">
        <f>SUM(G11:G14)</f>
        <v>7461866</v>
      </c>
      <c r="H15" s="111"/>
      <c r="I15" s="112">
        <f>SUM(I11:I14)</f>
        <v>4017816.4735400002</v>
      </c>
      <c r="J15" s="111"/>
      <c r="K15" s="111"/>
      <c r="L15" s="111"/>
      <c r="M15" s="112">
        <f>SUM(M11:M14)</f>
        <v>4017816.4735400002</v>
      </c>
      <c r="N15" s="112">
        <f>M15-I15</f>
        <v>0</v>
      </c>
      <c r="O15" s="113">
        <v>0</v>
      </c>
    </row>
    <row r="16" spans="1:20" s="99" customFormat="1" ht="26.45" customHeight="1" thickBot="1" x14ac:dyDescent="0.25">
      <c r="A16" s="89">
        <f t="shared" si="1"/>
        <v>10</v>
      </c>
      <c r="C16" s="100"/>
      <c r="D16" s="114" t="s">
        <v>19</v>
      </c>
      <c r="E16" s="115"/>
      <c r="F16" s="115"/>
      <c r="G16" s="116">
        <f>G10+G15</f>
        <v>33899128.621569999</v>
      </c>
      <c r="H16" s="115"/>
      <c r="I16" s="117">
        <f>I15+I10</f>
        <v>39242463.099610999</v>
      </c>
      <c r="J16" s="115"/>
      <c r="K16" s="115"/>
      <c r="L16" s="115"/>
      <c r="M16" s="116">
        <f>M15+M10</f>
        <v>40584885.118379995</v>
      </c>
      <c r="N16" s="116">
        <f>M16-I16</f>
        <v>1342422.018768996</v>
      </c>
      <c r="O16" s="118">
        <f>N16/I16</f>
        <v>3.4208403671335888E-2</v>
      </c>
      <c r="P16" s="77"/>
      <c r="Q16" s="77"/>
      <c r="R16" s="77"/>
    </row>
    <row r="17" spans="1:20" ht="15.75" thickTop="1" x14ac:dyDescent="0.2">
      <c r="A17" s="89">
        <f t="shared" si="1"/>
        <v>11</v>
      </c>
      <c r="D17" s="75" t="s">
        <v>18</v>
      </c>
      <c r="E17" s="78">
        <f>E9/E8</f>
        <v>980.42976642057897</v>
      </c>
      <c r="G17" s="119">
        <f>G16/E8</f>
        <v>115.22320777953392</v>
      </c>
      <c r="I17" s="119">
        <f>I16/E8</f>
        <v>133.38521264024621</v>
      </c>
      <c r="M17" s="119">
        <f>M16/E8</f>
        <v>137.94810783803075</v>
      </c>
      <c r="N17" s="119">
        <f>M17-I17</f>
        <v>4.5628951977845418</v>
      </c>
      <c r="O17" s="94">
        <f>N17/I17</f>
        <v>3.4208403671336075E-2</v>
      </c>
    </row>
    <row r="18" spans="1:20" ht="15.75" thickBot="1" x14ac:dyDescent="0.25">
      <c r="A18" s="89">
        <f t="shared" si="1"/>
        <v>12</v>
      </c>
    </row>
    <row r="19" spans="1:20" x14ac:dyDescent="0.2">
      <c r="A19" s="89">
        <f t="shared" si="1"/>
        <v>13</v>
      </c>
      <c r="B19" s="91" t="s">
        <v>65</v>
      </c>
      <c r="C19" s="90" t="s">
        <v>98</v>
      </c>
      <c r="D19" s="91"/>
      <c r="E19" s="92"/>
      <c r="F19" s="92"/>
      <c r="G19" s="92"/>
      <c r="H19" s="92"/>
      <c r="I19" s="92"/>
      <c r="J19" s="92"/>
      <c r="K19" s="92"/>
      <c r="L19" s="92"/>
      <c r="M19" s="92"/>
      <c r="N19" s="92"/>
      <c r="O19" s="92"/>
      <c r="P19" s="92"/>
      <c r="Q19" s="92"/>
      <c r="R19" s="92"/>
    </row>
    <row r="20" spans="1:20" x14ac:dyDescent="0.2">
      <c r="A20" s="89">
        <f t="shared" si="1"/>
        <v>14</v>
      </c>
      <c r="C20" s="75"/>
      <c r="D20" s="75" t="s">
        <v>17</v>
      </c>
      <c r="E20" s="130">
        <v>196</v>
      </c>
      <c r="F20" s="78">
        <v>10.220000000000001</v>
      </c>
      <c r="G20" s="93">
        <f>F20*E20</f>
        <v>2003.1200000000001</v>
      </c>
      <c r="H20" s="78">
        <v>17.010000000000002</v>
      </c>
      <c r="I20" s="93">
        <f>H20*E20</f>
        <v>3333.9600000000005</v>
      </c>
      <c r="J20" s="94">
        <f>I20/I22</f>
        <v>0.18602605170883688</v>
      </c>
      <c r="K20" s="94"/>
      <c r="L20" s="78">
        <f>ROUND(H20*S22,2)</f>
        <v>17.66</v>
      </c>
      <c r="M20" s="93">
        <f>L20*E20</f>
        <v>3461.36</v>
      </c>
      <c r="N20" s="93">
        <f>M20-I20</f>
        <v>127.39999999999964</v>
      </c>
      <c r="O20" s="94">
        <f>IF(I20=0,0,N20/I20)</f>
        <v>3.8212815990593653E-2</v>
      </c>
      <c r="P20" s="94">
        <f>M20/M$22</f>
        <v>0.18605403186767103</v>
      </c>
      <c r="Q20" s="95">
        <f>P20-J20</f>
        <v>2.7980158834151059E-5</v>
      </c>
      <c r="R20" s="95"/>
    </row>
    <row r="21" spans="1:20" x14ac:dyDescent="0.2">
      <c r="A21" s="89">
        <f>A20+1</f>
        <v>15</v>
      </c>
      <c r="D21" s="75" t="s">
        <v>47</v>
      </c>
      <c r="E21" s="130">
        <v>232072</v>
      </c>
      <c r="F21" s="79">
        <v>4.8070000000000002E-2</v>
      </c>
      <c r="G21" s="93">
        <f t="shared" ref="G21" si="9">F21*E21</f>
        <v>11155.70104</v>
      </c>
      <c r="H21" s="80">
        <v>6.2859999999999999E-2</v>
      </c>
      <c r="I21" s="93">
        <f t="shared" ref="I21" si="10">H21*E21</f>
        <v>14588.04592</v>
      </c>
      <c r="J21" s="94">
        <f>I21/I22</f>
        <v>0.81397394829116321</v>
      </c>
      <c r="K21" s="94"/>
      <c r="L21" s="98">
        <f>ROUND(H21*S22,5)</f>
        <v>6.5250000000000002E-2</v>
      </c>
      <c r="M21" s="93">
        <f t="shared" ref="M21" si="11">L21*E21</f>
        <v>15142.698</v>
      </c>
      <c r="N21" s="93">
        <f t="shared" ref="N21" si="12">M21-I21</f>
        <v>554.65207999999984</v>
      </c>
      <c r="O21" s="94">
        <f t="shared" ref="O21" si="13">IF(I21=0,0,N21/I21)</f>
        <v>3.8020999045497918E-2</v>
      </c>
      <c r="P21" s="94">
        <f>M21/M$22</f>
        <v>0.813945968132329</v>
      </c>
      <c r="Q21" s="95">
        <f t="shared" ref="Q21" si="14">P21-J21</f>
        <v>-2.798015883420657E-5</v>
      </c>
      <c r="R21" s="95"/>
      <c r="T21" s="96">
        <f>L21/H21-1</f>
        <v>3.802099904549805E-2</v>
      </c>
    </row>
    <row r="22" spans="1:20" s="99" customFormat="1" ht="20.45" customHeight="1" x14ac:dyDescent="0.25">
      <c r="A22" s="89">
        <f t="shared" ref="A22:A72" si="15">A21+1</f>
        <v>16</v>
      </c>
      <c r="C22" s="100"/>
      <c r="D22" s="101" t="s">
        <v>6</v>
      </c>
      <c r="E22" s="102"/>
      <c r="F22" s="102"/>
      <c r="G22" s="103">
        <f>SUM(G20:G21)</f>
        <v>13158.821040000001</v>
      </c>
      <c r="H22" s="102"/>
      <c r="I22" s="103">
        <f>SUM(I20:I21)</f>
        <v>17922.00592</v>
      </c>
      <c r="J22" s="104">
        <f>SUM(J20:J21)</f>
        <v>1</v>
      </c>
      <c r="K22" s="105">
        <f>I22+Summary!I11</f>
        <v>18604.635920000001</v>
      </c>
      <c r="L22" s="102"/>
      <c r="M22" s="103">
        <f>SUM(M20:M21)</f>
        <v>18604.058000000001</v>
      </c>
      <c r="N22" s="103">
        <f>SUM(N20:N21)</f>
        <v>682.05207999999948</v>
      </c>
      <c r="O22" s="104">
        <f t="shared" ref="O22" si="16">N22/I22</f>
        <v>3.8056681994444931E-2</v>
      </c>
      <c r="P22" s="104">
        <f>SUM(P20:P21)</f>
        <v>1</v>
      </c>
      <c r="Q22" s="150">
        <f t="shared" ref="Q22" si="17">P22-J22</f>
        <v>0</v>
      </c>
      <c r="R22" s="106">
        <f>M22-K22</f>
        <v>-0.57791999999972177</v>
      </c>
      <c r="S22" s="142">
        <f>K22/I22</f>
        <v>1.0380889283848647</v>
      </c>
    </row>
    <row r="23" spans="1:20" x14ac:dyDescent="0.2">
      <c r="A23" s="89">
        <f t="shared" si="15"/>
        <v>17</v>
      </c>
      <c r="D23" s="75" t="s">
        <v>26</v>
      </c>
      <c r="G23" s="93">
        <v>3167</v>
      </c>
      <c r="I23" s="108">
        <f>G23-($H$145*E21)</f>
        <v>396.06032000000005</v>
      </c>
      <c r="K23" s="108"/>
      <c r="M23" s="93">
        <f>I23</f>
        <v>396.06032000000005</v>
      </c>
      <c r="N23" s="93">
        <f t="shared" ref="N23:N28" si="18">M23-I23</f>
        <v>0</v>
      </c>
      <c r="O23" s="78">
        <v>0</v>
      </c>
    </row>
    <row r="24" spans="1:20" x14ac:dyDescent="0.2">
      <c r="A24" s="89">
        <f t="shared" si="15"/>
        <v>18</v>
      </c>
      <c r="D24" s="75" t="s">
        <v>27</v>
      </c>
      <c r="G24" s="93">
        <v>2794.79</v>
      </c>
      <c r="I24" s="108">
        <f t="shared" ref="I24:I26" si="19">G24</f>
        <v>2794.79</v>
      </c>
      <c r="M24" s="93">
        <f t="shared" ref="M24:M26" si="20">I24</f>
        <v>2794.79</v>
      </c>
      <c r="N24" s="93">
        <f t="shared" si="18"/>
        <v>0</v>
      </c>
      <c r="O24" s="78">
        <v>0</v>
      </c>
    </row>
    <row r="25" spans="1:20" x14ac:dyDescent="0.2">
      <c r="A25" s="89">
        <f t="shared" si="15"/>
        <v>19</v>
      </c>
      <c r="D25" s="75" t="s">
        <v>29</v>
      </c>
      <c r="G25" s="93">
        <v>0</v>
      </c>
      <c r="I25" s="108">
        <f t="shared" si="19"/>
        <v>0</v>
      </c>
      <c r="M25" s="93">
        <f t="shared" si="20"/>
        <v>0</v>
      </c>
      <c r="N25" s="93">
        <f t="shared" si="18"/>
        <v>0</v>
      </c>
      <c r="O25" s="78">
        <v>0</v>
      </c>
    </row>
    <row r="26" spans="1:20" x14ac:dyDescent="0.2">
      <c r="A26" s="89">
        <f t="shared" si="15"/>
        <v>20</v>
      </c>
      <c r="D26" s="75" t="s">
        <v>39</v>
      </c>
      <c r="G26" s="93">
        <v>0</v>
      </c>
      <c r="I26" s="108">
        <f t="shared" si="19"/>
        <v>0</v>
      </c>
      <c r="M26" s="93">
        <f t="shared" si="20"/>
        <v>0</v>
      </c>
      <c r="N26" s="93"/>
      <c r="O26" s="78"/>
    </row>
    <row r="27" spans="1:20" x14ac:dyDescent="0.2">
      <c r="A27" s="89">
        <f t="shared" si="15"/>
        <v>21</v>
      </c>
      <c r="D27" s="110" t="s">
        <v>8</v>
      </c>
      <c r="E27" s="111"/>
      <c r="F27" s="111"/>
      <c r="G27" s="112">
        <f>SUM(G23:G26)</f>
        <v>5961.79</v>
      </c>
      <c r="H27" s="111"/>
      <c r="I27" s="112">
        <f>SUM(I23:I26)</f>
        <v>3190.85032</v>
      </c>
      <c r="J27" s="111"/>
      <c r="K27" s="111"/>
      <c r="L27" s="111"/>
      <c r="M27" s="112">
        <f>SUM(M23:M26)</f>
        <v>3190.85032</v>
      </c>
      <c r="N27" s="112">
        <f t="shared" si="18"/>
        <v>0</v>
      </c>
      <c r="O27" s="113">
        <f t="shared" ref="O27" si="21">N27-J27</f>
        <v>0</v>
      </c>
    </row>
    <row r="28" spans="1:20" s="99" customFormat="1" ht="26.45" customHeight="1" thickBot="1" x14ac:dyDescent="0.25">
      <c r="A28" s="89">
        <f t="shared" si="15"/>
        <v>22</v>
      </c>
      <c r="C28" s="100"/>
      <c r="D28" s="114" t="s">
        <v>19</v>
      </c>
      <c r="E28" s="115"/>
      <c r="F28" s="115"/>
      <c r="G28" s="116">
        <f>G22+G27</f>
        <v>19120.61104</v>
      </c>
      <c r="H28" s="115"/>
      <c r="I28" s="117">
        <f>I27+I22</f>
        <v>21112.856240000001</v>
      </c>
      <c r="J28" s="115"/>
      <c r="K28" s="115"/>
      <c r="L28" s="115"/>
      <c r="M28" s="116">
        <f>M27+M22</f>
        <v>21794.908320000002</v>
      </c>
      <c r="N28" s="116">
        <f t="shared" si="18"/>
        <v>682.0520800000013</v>
      </c>
      <c r="O28" s="118">
        <f>N28/I28</f>
        <v>3.2305059639813151E-2</v>
      </c>
      <c r="P28" s="77"/>
      <c r="Q28" s="77"/>
      <c r="R28" s="77"/>
    </row>
    <row r="29" spans="1:20" ht="15.75" thickTop="1" x14ac:dyDescent="0.2">
      <c r="A29" s="89">
        <f t="shared" si="15"/>
        <v>23</v>
      </c>
      <c r="D29" s="75" t="s">
        <v>18</v>
      </c>
      <c r="E29" s="78">
        <f>E21/E20</f>
        <v>1184.0408163265306</v>
      </c>
      <c r="G29" s="119">
        <f>G28/E20</f>
        <v>97.554137959183677</v>
      </c>
      <c r="I29" s="119">
        <f>I28/E20</f>
        <v>107.71865428571429</v>
      </c>
      <c r="M29" s="119">
        <f>M28/E20</f>
        <v>111.19851183673471</v>
      </c>
      <c r="N29" s="119">
        <f>M29-I29</f>
        <v>3.4798575510204159</v>
      </c>
      <c r="O29" s="94">
        <f>N29/I29</f>
        <v>3.2305059639813165E-2</v>
      </c>
    </row>
    <row r="30" spans="1:20" ht="15.75" thickBot="1" x14ac:dyDescent="0.25">
      <c r="A30" s="89">
        <f t="shared" si="15"/>
        <v>24</v>
      </c>
    </row>
    <row r="31" spans="1:20" x14ac:dyDescent="0.2">
      <c r="A31" s="89">
        <f t="shared" si="15"/>
        <v>25</v>
      </c>
      <c r="B31" s="156" t="s">
        <v>67</v>
      </c>
      <c r="C31" s="90" t="s">
        <v>66</v>
      </c>
      <c r="D31" s="91"/>
      <c r="E31" s="92"/>
      <c r="F31" s="92"/>
      <c r="G31" s="92"/>
      <c r="H31" s="92"/>
      <c r="I31" s="92"/>
      <c r="J31" s="92"/>
      <c r="K31" s="92"/>
      <c r="L31" s="92"/>
      <c r="M31" s="92"/>
      <c r="N31" s="92"/>
      <c r="O31" s="92"/>
      <c r="P31" s="92"/>
      <c r="Q31" s="92"/>
      <c r="R31" s="92"/>
    </row>
    <row r="32" spans="1:20" x14ac:dyDescent="0.2">
      <c r="A32" s="89">
        <f t="shared" si="15"/>
        <v>26</v>
      </c>
      <c r="B32" s="157"/>
      <c r="C32" s="75"/>
      <c r="D32" s="75" t="s">
        <v>17</v>
      </c>
      <c r="E32" s="130">
        <v>35004</v>
      </c>
      <c r="F32" s="78">
        <v>10.4</v>
      </c>
      <c r="G32" s="93">
        <f>F32*E32</f>
        <v>364041.60000000003</v>
      </c>
      <c r="H32" s="78">
        <v>25</v>
      </c>
      <c r="I32" s="93">
        <f>H32*E32</f>
        <v>875100</v>
      </c>
      <c r="J32" s="94">
        <f>I32/I34</f>
        <v>0.19805196629480715</v>
      </c>
      <c r="K32" s="94"/>
      <c r="L32" s="78">
        <f>ROUND(H32*S34,2)</f>
        <v>25.95</v>
      </c>
      <c r="M32" s="93">
        <f>L32*E32</f>
        <v>908353.79999999993</v>
      </c>
      <c r="N32" s="93">
        <f>M32-I32</f>
        <v>33253.79999999993</v>
      </c>
      <c r="O32" s="94">
        <f>IF(I32=0,0,N32/I32)</f>
        <v>3.7999999999999923E-2</v>
      </c>
      <c r="P32" s="94">
        <f>M32/M$34</f>
        <v>0.19803052648329741</v>
      </c>
      <c r="Q32" s="95">
        <f>P32-J32</f>
        <v>-2.1439811509732509E-5</v>
      </c>
      <c r="R32" s="95"/>
      <c r="T32" s="96">
        <f>L32/H32-1</f>
        <v>3.8000000000000034E-2</v>
      </c>
    </row>
    <row r="33" spans="1:20" x14ac:dyDescent="0.2">
      <c r="A33" s="89">
        <f t="shared" si="15"/>
        <v>27</v>
      </c>
      <c r="D33" s="75" t="s">
        <v>47</v>
      </c>
      <c r="E33" s="130">
        <v>37962688</v>
      </c>
      <c r="F33" s="80">
        <v>8.14E-2</v>
      </c>
      <c r="G33" s="93">
        <f t="shared" ref="G33" si="22">F33*E33</f>
        <v>3090162.8032</v>
      </c>
      <c r="H33" s="153">
        <v>9.3340000000000006E-2</v>
      </c>
      <c r="I33" s="93">
        <f t="shared" ref="I33" si="23">H33*E33</f>
        <v>3543437.2979200003</v>
      </c>
      <c r="J33" s="94">
        <f>I33/I34</f>
        <v>0.80194803370519296</v>
      </c>
      <c r="K33" s="94"/>
      <c r="L33" s="98">
        <f>ROUND(H33*S34,5)</f>
        <v>9.69E-2</v>
      </c>
      <c r="M33" s="93">
        <f t="shared" ref="M33" si="24">L33*E33</f>
        <v>3678584.4671999998</v>
      </c>
      <c r="N33" s="93">
        <f t="shared" ref="N33" si="25">M33-I33</f>
        <v>135147.16927999957</v>
      </c>
      <c r="O33" s="94">
        <f t="shared" ref="O33" si="26">IF(I33=0,0,N33/I33)</f>
        <v>3.8140132847653614E-2</v>
      </c>
      <c r="P33" s="94">
        <f>M33/M$34</f>
        <v>0.80196947351670256</v>
      </c>
      <c r="Q33" s="95">
        <f t="shared" ref="Q33" si="27">P33-J33</f>
        <v>2.1439811509593731E-5</v>
      </c>
      <c r="R33" s="95"/>
      <c r="T33" s="96">
        <f>L33/H33-1</f>
        <v>3.8140132847653607E-2</v>
      </c>
    </row>
    <row r="34" spans="1:20" s="99" customFormat="1" ht="20.45" customHeight="1" x14ac:dyDescent="0.25">
      <c r="A34" s="89">
        <f t="shared" si="15"/>
        <v>28</v>
      </c>
      <c r="C34" s="100"/>
      <c r="D34" s="101" t="s">
        <v>6</v>
      </c>
      <c r="E34" s="102"/>
      <c r="F34" s="102"/>
      <c r="G34" s="103">
        <f>SUM(G32:G33)</f>
        <v>3454204.4032000001</v>
      </c>
      <c r="H34" s="102"/>
      <c r="I34" s="103">
        <f>SUM(I32:I33)</f>
        <v>4418537.2979199998</v>
      </c>
      <c r="J34" s="104">
        <f>SUM(J32:J33)</f>
        <v>1</v>
      </c>
      <c r="K34" s="105">
        <f>I34+Summary!I12</f>
        <v>4586835.2379200002</v>
      </c>
      <c r="L34" s="102"/>
      <c r="M34" s="103">
        <f>SUM(M32:M33)</f>
        <v>4586938.2671999997</v>
      </c>
      <c r="N34" s="103">
        <f>SUM(N32:N33)</f>
        <v>168400.9692799995</v>
      </c>
      <c r="O34" s="104">
        <f t="shared" ref="O34" si="28">N34/I34</f>
        <v>3.8112379261633314E-2</v>
      </c>
      <c r="P34" s="104">
        <f>SUM(P32:P33)</f>
        <v>1</v>
      </c>
      <c r="Q34" s="150">
        <f t="shared" ref="Q34" si="29">P34-J34</f>
        <v>0</v>
      </c>
      <c r="R34" s="106">
        <f>M34-K34</f>
        <v>103.02927999943495</v>
      </c>
      <c r="S34" s="142">
        <f>K34/I34</f>
        <v>1.0380890617533602</v>
      </c>
    </row>
    <row r="35" spans="1:20" x14ac:dyDescent="0.2">
      <c r="A35" s="89">
        <f t="shared" si="15"/>
        <v>29</v>
      </c>
      <c r="D35" s="75" t="s">
        <v>26</v>
      </c>
      <c r="G35" s="93">
        <v>474116.44</v>
      </c>
      <c r="I35" s="108">
        <f>G35-($H$145*E33)</f>
        <v>20841.945280000044</v>
      </c>
      <c r="K35" s="108"/>
      <c r="M35" s="93">
        <f>I35</f>
        <v>20841.945280000044</v>
      </c>
      <c r="N35" s="93">
        <f t="shared" ref="N35:N41" si="30">M35-I35</f>
        <v>0</v>
      </c>
      <c r="O35" s="78">
        <v>0</v>
      </c>
    </row>
    <row r="36" spans="1:20" x14ac:dyDescent="0.2">
      <c r="A36" s="89">
        <f t="shared" si="15"/>
        <v>30</v>
      </c>
      <c r="D36" s="75" t="s">
        <v>27</v>
      </c>
      <c r="G36" s="93">
        <v>515647.7</v>
      </c>
      <c r="I36" s="108">
        <f t="shared" ref="I36:I38" si="31">G36</f>
        <v>515647.7</v>
      </c>
      <c r="M36" s="93">
        <f t="shared" ref="M36:M38" si="32">I36</f>
        <v>515647.7</v>
      </c>
      <c r="N36" s="93">
        <f t="shared" si="30"/>
        <v>0</v>
      </c>
      <c r="O36" s="78">
        <v>0</v>
      </c>
    </row>
    <row r="37" spans="1:20" x14ac:dyDescent="0.2">
      <c r="A37" s="89">
        <f t="shared" si="15"/>
        <v>31</v>
      </c>
      <c r="D37" s="75" t="s">
        <v>29</v>
      </c>
      <c r="G37" s="93">
        <v>0</v>
      </c>
      <c r="I37" s="108">
        <f t="shared" si="31"/>
        <v>0</v>
      </c>
      <c r="M37" s="93">
        <f t="shared" si="32"/>
        <v>0</v>
      </c>
      <c r="N37" s="93">
        <f t="shared" si="30"/>
        <v>0</v>
      </c>
      <c r="O37" s="78">
        <v>0</v>
      </c>
    </row>
    <row r="38" spans="1:20" x14ac:dyDescent="0.2">
      <c r="A38" s="89">
        <f t="shared" si="15"/>
        <v>32</v>
      </c>
      <c r="D38" s="75" t="s">
        <v>39</v>
      </c>
      <c r="G38" s="93">
        <v>0</v>
      </c>
      <c r="I38" s="108">
        <f t="shared" si="31"/>
        <v>0</v>
      </c>
      <c r="M38" s="93">
        <f t="shared" si="32"/>
        <v>0</v>
      </c>
      <c r="N38" s="93"/>
      <c r="O38" s="78"/>
    </row>
    <row r="39" spans="1:20" x14ac:dyDescent="0.2">
      <c r="A39" s="89">
        <f t="shared" si="15"/>
        <v>33</v>
      </c>
      <c r="D39" s="110" t="s">
        <v>8</v>
      </c>
      <c r="E39" s="111"/>
      <c r="F39" s="111"/>
      <c r="G39" s="112">
        <f>SUM(G35:G38)</f>
        <v>989764.14</v>
      </c>
      <c r="H39" s="111"/>
      <c r="I39" s="112">
        <f>SUM(I35:I38)</f>
        <v>536489.64528000006</v>
      </c>
      <c r="J39" s="111"/>
      <c r="K39" s="111"/>
      <c r="L39" s="111"/>
      <c r="M39" s="112">
        <f>SUM(M35:M38)</f>
        <v>536489.64528000006</v>
      </c>
      <c r="N39" s="112">
        <f t="shared" si="30"/>
        <v>0</v>
      </c>
      <c r="O39" s="113">
        <f t="shared" ref="O39" si="33">N39-J39</f>
        <v>0</v>
      </c>
    </row>
    <row r="40" spans="1:20" s="99" customFormat="1" ht="26.45" customHeight="1" thickBot="1" x14ac:dyDescent="0.25">
      <c r="A40" s="89">
        <f t="shared" si="15"/>
        <v>34</v>
      </c>
      <c r="C40" s="100"/>
      <c r="D40" s="114" t="s">
        <v>19</v>
      </c>
      <c r="E40" s="115"/>
      <c r="F40" s="115"/>
      <c r="G40" s="116">
        <f>G34+G39</f>
        <v>4443968.5432000002</v>
      </c>
      <c r="H40" s="115"/>
      <c r="I40" s="117">
        <f>I39+I34</f>
        <v>4955026.9431999996</v>
      </c>
      <c r="J40" s="115"/>
      <c r="K40" s="115"/>
      <c r="L40" s="115"/>
      <c r="M40" s="116">
        <f>M39+M34</f>
        <v>5123427.9124799995</v>
      </c>
      <c r="N40" s="116">
        <f t="shared" si="30"/>
        <v>168400.96927999984</v>
      </c>
      <c r="O40" s="118">
        <f>N40/I40</f>
        <v>3.3985883671349935E-2</v>
      </c>
      <c r="P40" s="77"/>
      <c r="Q40" s="77"/>
      <c r="R40" s="77"/>
    </row>
    <row r="41" spans="1:20" ht="15.75" thickTop="1" x14ac:dyDescent="0.2">
      <c r="A41" s="89">
        <f t="shared" si="15"/>
        <v>35</v>
      </c>
      <c r="D41" s="75" t="s">
        <v>18</v>
      </c>
      <c r="E41" s="78">
        <f>E33/E32</f>
        <v>1084.5242829390927</v>
      </c>
      <c r="G41" s="119">
        <f>G40/E32</f>
        <v>126.9560205462233</v>
      </c>
      <c r="I41" s="119">
        <f>I40/E32</f>
        <v>141.55602054622327</v>
      </c>
      <c r="M41" s="119">
        <f>M40/E32</f>
        <v>146.36692699348643</v>
      </c>
      <c r="N41" s="119">
        <f t="shared" si="30"/>
        <v>4.8109064472631644</v>
      </c>
      <c r="O41" s="94">
        <f>N41/I41</f>
        <v>3.3985883671349928E-2</v>
      </c>
    </row>
    <row r="42" spans="1:20" ht="15.75" thickBot="1" x14ac:dyDescent="0.25">
      <c r="A42" s="89">
        <f t="shared" si="15"/>
        <v>36</v>
      </c>
    </row>
    <row r="43" spans="1:20" x14ac:dyDescent="0.2">
      <c r="A43" s="89">
        <f t="shared" si="15"/>
        <v>37</v>
      </c>
      <c r="B43" s="156" t="s">
        <v>68</v>
      </c>
      <c r="C43" s="90" t="s">
        <v>62</v>
      </c>
      <c r="D43" s="91"/>
      <c r="E43" s="92"/>
      <c r="F43" s="92"/>
      <c r="G43" s="92"/>
      <c r="H43" s="92"/>
      <c r="I43" s="92"/>
      <c r="J43" s="92"/>
      <c r="K43" s="92"/>
      <c r="L43" s="92"/>
      <c r="M43" s="92"/>
      <c r="N43" s="92"/>
      <c r="O43" s="92"/>
      <c r="P43" s="92"/>
      <c r="Q43" s="92"/>
      <c r="R43" s="92"/>
    </row>
    <row r="44" spans="1:20" x14ac:dyDescent="0.2">
      <c r="A44" s="89">
        <f t="shared" si="15"/>
        <v>38</v>
      </c>
      <c r="B44" s="157"/>
      <c r="C44" s="75"/>
      <c r="D44" s="75" t="s">
        <v>17</v>
      </c>
      <c r="E44" s="130">
        <v>4330</v>
      </c>
      <c r="F44" s="78">
        <v>51.79</v>
      </c>
      <c r="G44" s="93">
        <f>F44*E44</f>
        <v>224250.69999999998</v>
      </c>
      <c r="H44" s="78">
        <v>51.79</v>
      </c>
      <c r="I44" s="93">
        <f>H44*E44</f>
        <v>224250.69999999998</v>
      </c>
      <c r="J44" s="94">
        <f>I44/I47</f>
        <v>2.773571536051854E-2</v>
      </c>
      <c r="K44" s="94"/>
      <c r="L44" s="78">
        <f>ROUND(H44*S47,2)</f>
        <v>53.76</v>
      </c>
      <c r="M44" s="93">
        <f>L44*E44</f>
        <v>232780.79999999999</v>
      </c>
      <c r="N44" s="93">
        <f>M44-I44</f>
        <v>8530.1000000000058</v>
      </c>
      <c r="O44" s="94">
        <f>IF(I44=0,0,N44/I44)</f>
        <v>3.803823131878744E-2</v>
      </c>
      <c r="P44" s="94">
        <f>M44/M$47</f>
        <v>2.7736708558123137E-2</v>
      </c>
      <c r="Q44" s="95">
        <f>P44-J44</f>
        <v>9.9319760459709583E-7</v>
      </c>
      <c r="R44" s="95"/>
    </row>
    <row r="45" spans="1:20" x14ac:dyDescent="0.2">
      <c r="A45" s="89">
        <f t="shared" si="15"/>
        <v>39</v>
      </c>
      <c r="C45" s="75"/>
      <c r="D45" s="75" t="s">
        <v>48</v>
      </c>
      <c r="E45" s="130">
        <v>336204.93199999997</v>
      </c>
      <c r="F45" s="78">
        <v>5.54</v>
      </c>
      <c r="G45" s="93">
        <f t="shared" ref="G45" si="34">F45*E45</f>
        <v>1862575.3232799999</v>
      </c>
      <c r="H45" s="78">
        <v>5.54</v>
      </c>
      <c r="I45" s="93">
        <f t="shared" ref="I45" si="35">H45*E45</f>
        <v>1862575.3232799999</v>
      </c>
      <c r="J45" s="94">
        <f>I45/I47</f>
        <v>0.2303665451390782</v>
      </c>
      <c r="K45" s="94"/>
      <c r="L45" s="78">
        <f>ROUND(H45*S47,2)</f>
        <v>5.75</v>
      </c>
      <c r="M45" s="93">
        <f t="shared" ref="M45" si="36">L45*E45</f>
        <v>1933178.3589999999</v>
      </c>
      <c r="N45" s="93">
        <f t="shared" ref="N45" si="37">M45-I45</f>
        <v>70603.035720000044</v>
      </c>
      <c r="O45" s="94">
        <f t="shared" ref="O45" si="38">IF(I45=0,0,N45/I45)</f>
        <v>3.7906137184115549E-2</v>
      </c>
      <c r="P45" s="94">
        <f>M45/M$47</f>
        <v>0.23034547838332775</v>
      </c>
      <c r="Q45" s="95">
        <f t="shared" ref="Q45" si="39">P45-J45</f>
        <v>-2.1066755750448474E-5</v>
      </c>
      <c r="R45" s="95"/>
      <c r="T45" s="96">
        <f>L45/H45-1</f>
        <v>3.7906137184115618E-2</v>
      </c>
    </row>
    <row r="46" spans="1:20" x14ac:dyDescent="0.2">
      <c r="A46" s="89">
        <f t="shared" si="15"/>
        <v>40</v>
      </c>
      <c r="D46" s="75" t="s">
        <v>47</v>
      </c>
      <c r="E46" s="130">
        <v>83253883</v>
      </c>
      <c r="F46" s="79">
        <v>6.0109999999999997E-2</v>
      </c>
      <c r="G46" s="93">
        <f t="shared" ref="G46" si="40">F46*E46</f>
        <v>5004390.9071300002</v>
      </c>
      <c r="H46" s="80">
        <v>7.2050000000000003E-2</v>
      </c>
      <c r="I46" s="93">
        <f t="shared" ref="I46" si="41">H46*E46</f>
        <v>5998442.2701500002</v>
      </c>
      <c r="J46" s="94">
        <f>I46/I47</f>
        <v>0.74189773950040316</v>
      </c>
      <c r="K46" s="94"/>
      <c r="L46" s="98">
        <f>ROUND(H46*S47,5)</f>
        <v>7.4789999999999995E-2</v>
      </c>
      <c r="M46" s="93">
        <f t="shared" ref="M46" si="42">L46*E46</f>
        <v>6226557.9095699992</v>
      </c>
      <c r="N46" s="93">
        <f t="shared" ref="N46" si="43">M46-I46</f>
        <v>228115.63941999897</v>
      </c>
      <c r="O46" s="94">
        <f t="shared" ref="O46" si="44">IF(I46=0,0,N46/I46)</f>
        <v>3.8029146426092821E-2</v>
      </c>
      <c r="P46" s="94">
        <f>M46/M$47</f>
        <v>0.74191781305854909</v>
      </c>
      <c r="Q46" s="95">
        <f t="shared" ref="Q46" si="45">P46-J46</f>
        <v>2.0073558145927706E-5</v>
      </c>
      <c r="R46" s="95"/>
      <c r="T46" s="96">
        <f>L46/H46-1</f>
        <v>3.8029146426092897E-2</v>
      </c>
    </row>
    <row r="47" spans="1:20" s="99" customFormat="1" ht="20.45" customHeight="1" x14ac:dyDescent="0.25">
      <c r="A47" s="89">
        <f t="shared" si="15"/>
        <v>41</v>
      </c>
      <c r="C47" s="100"/>
      <c r="D47" s="101" t="s">
        <v>6</v>
      </c>
      <c r="E47" s="102"/>
      <c r="F47" s="102"/>
      <c r="G47" s="103">
        <f>SUM(G44:G46)</f>
        <v>7091216.9304099996</v>
      </c>
      <c r="H47" s="102"/>
      <c r="I47" s="103">
        <f>SUM(I44:I46)</f>
        <v>8085268.2934300005</v>
      </c>
      <c r="J47" s="104">
        <f>SUM(J44:J46)</f>
        <v>0.99999999999999989</v>
      </c>
      <c r="K47" s="105">
        <f>I47+Summary!I13</f>
        <v>8393228.5734299999</v>
      </c>
      <c r="L47" s="102"/>
      <c r="M47" s="103">
        <f>SUM(M44:M46)</f>
        <v>8392517.0685699992</v>
      </c>
      <c r="N47" s="103">
        <f>SUM(N44:N46)</f>
        <v>307248.77513999899</v>
      </c>
      <c r="O47" s="104">
        <f t="shared" ref="O47" si="46">N47/I47</f>
        <v>3.8001061187996191E-2</v>
      </c>
      <c r="P47" s="104">
        <f>SUM(P44:P46)</f>
        <v>1</v>
      </c>
      <c r="Q47" s="150">
        <f t="shared" ref="Q47" si="47">P47-J47</f>
        <v>0</v>
      </c>
      <c r="R47" s="106">
        <f>M47-K47</f>
        <v>-711.50486000068486</v>
      </c>
      <c r="S47" s="142">
        <f>K47/I47</f>
        <v>1.0380890613426204</v>
      </c>
    </row>
    <row r="48" spans="1:20" x14ac:dyDescent="0.2">
      <c r="A48" s="89">
        <f t="shared" si="15"/>
        <v>42</v>
      </c>
      <c r="D48" s="75" t="s">
        <v>26</v>
      </c>
      <c r="G48" s="93">
        <v>1003898.71</v>
      </c>
      <c r="I48" s="108">
        <f>G48-($H$145*E46)</f>
        <v>9847.3469800000312</v>
      </c>
      <c r="K48" s="108"/>
      <c r="M48" s="93">
        <f>I48</f>
        <v>9847.3469800000312</v>
      </c>
      <c r="N48" s="93">
        <f t="shared" ref="N48:N54" si="48">M48-I48</f>
        <v>0</v>
      </c>
      <c r="O48" s="78">
        <v>0</v>
      </c>
    </row>
    <row r="49" spans="1:20" x14ac:dyDescent="0.2">
      <c r="A49" s="89">
        <f t="shared" si="15"/>
        <v>43</v>
      </c>
      <c r="D49" s="75" t="s">
        <v>27</v>
      </c>
      <c r="G49" s="93">
        <v>1026862.23</v>
      </c>
      <c r="I49" s="108">
        <f t="shared" ref="I49:I51" si="49">G49</f>
        <v>1026862.23</v>
      </c>
      <c r="M49" s="93">
        <f t="shared" ref="M49:M51" si="50">I49</f>
        <v>1026862.23</v>
      </c>
      <c r="N49" s="93">
        <f t="shared" si="48"/>
        <v>0</v>
      </c>
      <c r="O49" s="78">
        <v>0</v>
      </c>
    </row>
    <row r="50" spans="1:20" x14ac:dyDescent="0.2">
      <c r="A50" s="89">
        <f t="shared" si="15"/>
        <v>44</v>
      </c>
      <c r="D50" s="75" t="s">
        <v>29</v>
      </c>
      <c r="G50" s="93">
        <v>0</v>
      </c>
      <c r="I50" s="108">
        <f t="shared" si="49"/>
        <v>0</v>
      </c>
      <c r="M50" s="93">
        <f t="shared" si="50"/>
        <v>0</v>
      </c>
      <c r="N50" s="93">
        <f t="shared" si="48"/>
        <v>0</v>
      </c>
      <c r="O50" s="78">
        <v>0</v>
      </c>
    </row>
    <row r="51" spans="1:20" x14ac:dyDescent="0.2">
      <c r="A51" s="89">
        <f t="shared" si="15"/>
        <v>45</v>
      </c>
      <c r="D51" s="75" t="s">
        <v>39</v>
      </c>
      <c r="G51" s="93">
        <v>0</v>
      </c>
      <c r="I51" s="108">
        <f t="shared" si="49"/>
        <v>0</v>
      </c>
      <c r="M51" s="93">
        <f t="shared" si="50"/>
        <v>0</v>
      </c>
      <c r="N51" s="93"/>
      <c r="O51" s="78"/>
    </row>
    <row r="52" spans="1:20" x14ac:dyDescent="0.2">
      <c r="A52" s="89">
        <f t="shared" si="15"/>
        <v>46</v>
      </c>
      <c r="D52" s="110" t="s">
        <v>8</v>
      </c>
      <c r="E52" s="111"/>
      <c r="F52" s="111"/>
      <c r="G52" s="112">
        <f>SUM(G48:G51)</f>
        <v>2030760.94</v>
      </c>
      <c r="H52" s="111"/>
      <c r="I52" s="112">
        <f>SUM(I48:I51)</f>
        <v>1036709.57698</v>
      </c>
      <c r="J52" s="111"/>
      <c r="K52" s="111"/>
      <c r="L52" s="111"/>
      <c r="M52" s="112">
        <f>SUM(M48:M51)</f>
        <v>1036709.57698</v>
      </c>
      <c r="N52" s="112">
        <f t="shared" si="48"/>
        <v>0</v>
      </c>
      <c r="O52" s="113">
        <f t="shared" ref="O52" si="51">N52-J52</f>
        <v>0</v>
      </c>
    </row>
    <row r="53" spans="1:20" s="99" customFormat="1" ht="26.45" customHeight="1" thickBot="1" x14ac:dyDescent="0.25">
      <c r="A53" s="89">
        <f t="shared" si="15"/>
        <v>47</v>
      </c>
      <c r="C53" s="100"/>
      <c r="D53" s="114" t="s">
        <v>19</v>
      </c>
      <c r="E53" s="115"/>
      <c r="F53" s="115"/>
      <c r="G53" s="116">
        <f>G47+G52</f>
        <v>9121977.870409999</v>
      </c>
      <c r="H53" s="115"/>
      <c r="I53" s="117">
        <f>I52+I47</f>
        <v>9121977.8704100009</v>
      </c>
      <c r="J53" s="115"/>
      <c r="K53" s="115"/>
      <c r="L53" s="115"/>
      <c r="M53" s="116">
        <f>M52+M47</f>
        <v>9429226.6455499995</v>
      </c>
      <c r="N53" s="116">
        <f t="shared" si="48"/>
        <v>307248.77513999864</v>
      </c>
      <c r="O53" s="118">
        <f>N53/I53</f>
        <v>3.3682253948089096E-2</v>
      </c>
      <c r="P53" s="77"/>
      <c r="Q53" s="77"/>
      <c r="R53" s="77"/>
    </row>
    <row r="54" spans="1:20" ht="15.75" thickTop="1" x14ac:dyDescent="0.2">
      <c r="A54" s="89">
        <f t="shared" si="15"/>
        <v>48</v>
      </c>
      <c r="D54" s="75" t="s">
        <v>18</v>
      </c>
      <c r="E54" s="78">
        <f>E46/E44</f>
        <v>19227.224711316398</v>
      </c>
      <c r="G54" s="119">
        <f>G53/E44</f>
        <v>2106.6923488244802</v>
      </c>
      <c r="I54" s="119">
        <f>I53/E44</f>
        <v>2106.6923488244806</v>
      </c>
      <c r="M54" s="119">
        <f>M53/E44</f>
        <v>2177.6504955080832</v>
      </c>
      <c r="N54" s="119">
        <f t="shared" si="48"/>
        <v>70.958146683602536</v>
      </c>
      <c r="O54" s="94">
        <f>N54/I54</f>
        <v>3.3682253948089137E-2</v>
      </c>
    </row>
    <row r="55" spans="1:20" ht="15.75" thickBot="1" x14ac:dyDescent="0.25">
      <c r="A55" s="89">
        <f t="shared" si="15"/>
        <v>49</v>
      </c>
    </row>
    <row r="56" spans="1:20" x14ac:dyDescent="0.2">
      <c r="A56" s="89">
        <f t="shared" si="15"/>
        <v>50</v>
      </c>
      <c r="B56" s="91" t="s">
        <v>49</v>
      </c>
      <c r="C56" s="90" t="s">
        <v>69</v>
      </c>
      <c r="D56" s="91"/>
      <c r="E56" s="92"/>
      <c r="F56" s="92"/>
      <c r="G56" s="92"/>
      <c r="H56" s="92"/>
      <c r="I56" s="92"/>
      <c r="J56" s="92"/>
      <c r="K56" s="92"/>
      <c r="L56" s="92"/>
      <c r="M56" s="92"/>
      <c r="N56" s="92"/>
      <c r="O56" s="92"/>
      <c r="P56" s="92"/>
      <c r="Q56" s="92"/>
      <c r="R56" s="92"/>
    </row>
    <row r="57" spans="1:20" x14ac:dyDescent="0.2">
      <c r="A57" s="89">
        <f t="shared" si="15"/>
        <v>51</v>
      </c>
      <c r="C57" s="75"/>
      <c r="D57" s="75" t="s">
        <v>17</v>
      </c>
      <c r="E57" s="130">
        <v>60</v>
      </c>
      <c r="F57" s="78">
        <v>1275.1199999999999</v>
      </c>
      <c r="G57" s="93">
        <f>F57*E57</f>
        <v>76507.199999999997</v>
      </c>
      <c r="H57" s="78">
        <v>1275.1199999999999</v>
      </c>
      <c r="I57" s="93">
        <f>H57*E57</f>
        <v>76507.199999999997</v>
      </c>
      <c r="J57" s="94">
        <f>I57/I61</f>
        <v>3.4980076565086837E-2</v>
      </c>
      <c r="K57" s="94"/>
      <c r="L57" s="78">
        <f>ROUND(H57*S61,2)</f>
        <v>1392.76</v>
      </c>
      <c r="M57" s="93">
        <f>L57*E57</f>
        <v>83565.600000000006</v>
      </c>
      <c r="N57" s="93">
        <f>M57-I57</f>
        <v>7058.4000000000087</v>
      </c>
      <c r="O57" s="94">
        <f>IF(I57=0,0,N57/I57)</f>
        <v>9.2257983562331503E-2</v>
      </c>
      <c r="P57" s="94">
        <f>M57/M$61</f>
        <v>3.4982945038575006E-2</v>
      </c>
      <c r="Q57" s="95">
        <f>P57-J57</f>
        <v>2.8684734881684326E-6</v>
      </c>
      <c r="R57" s="95"/>
      <c r="T57" s="96"/>
    </row>
    <row r="58" spans="1:20" x14ac:dyDescent="0.2">
      <c r="A58" s="89">
        <f t="shared" si="15"/>
        <v>52</v>
      </c>
      <c r="C58" s="75"/>
      <c r="D58" s="75" t="s">
        <v>71</v>
      </c>
      <c r="E58" s="130">
        <v>51120</v>
      </c>
      <c r="F58" s="78">
        <v>6.43</v>
      </c>
      <c r="G58" s="93">
        <f t="shared" ref="G58" si="52">F58*E58</f>
        <v>328701.59999999998</v>
      </c>
      <c r="H58" s="78">
        <v>6.43</v>
      </c>
      <c r="I58" s="93">
        <f t="shared" ref="I58" si="53">H58*E58</f>
        <v>328701.59999999998</v>
      </c>
      <c r="J58" s="94">
        <f>I58/I61</f>
        <v>0.15028660224222748</v>
      </c>
      <c r="K58" s="94"/>
      <c r="L58" s="78">
        <f>ROUND(H58*S61,2)</f>
        <v>7.02</v>
      </c>
      <c r="M58" s="93">
        <f t="shared" ref="M58" si="54">L58*E58</f>
        <v>358862.39999999997</v>
      </c>
      <c r="N58" s="93">
        <f t="shared" ref="N58" si="55">M58-I58</f>
        <v>30160.799999999988</v>
      </c>
      <c r="O58" s="94">
        <f t="shared" ref="O58" si="56">IF(I58=0,0,N58/I58)</f>
        <v>9.175738724727836E-2</v>
      </c>
      <c r="P58" s="94">
        <f>M58/M$61</f>
        <v>0.15023004221367547</v>
      </c>
      <c r="Q58" s="95">
        <f t="shared" ref="Q58" si="57">P58-J58</f>
        <v>-5.6560028552005148E-5</v>
      </c>
      <c r="R58" s="95"/>
      <c r="T58" s="96">
        <f>L58/H58-1</f>
        <v>9.1757387247278333E-2</v>
      </c>
    </row>
    <row r="59" spans="1:20" x14ac:dyDescent="0.2">
      <c r="A59" s="89">
        <f t="shared" si="15"/>
        <v>53</v>
      </c>
      <c r="C59" s="75"/>
      <c r="D59" s="75" t="s">
        <v>70</v>
      </c>
      <c r="E59" s="130">
        <v>6525.78</v>
      </c>
      <c r="F59" s="78">
        <v>9.32</v>
      </c>
      <c r="G59" s="93">
        <f t="shared" ref="G59" si="58">F59*E59</f>
        <v>60820.2696</v>
      </c>
      <c r="H59" s="78">
        <v>9.32</v>
      </c>
      <c r="I59" s="93">
        <f t="shared" ref="I59" si="59">H59*E59</f>
        <v>60820.2696</v>
      </c>
      <c r="J59" s="94">
        <f>I59/I61</f>
        <v>2.780781007953792E-2</v>
      </c>
      <c r="K59" s="94"/>
      <c r="L59" s="78">
        <f>ROUND(H59*S61,2)</f>
        <v>10.18</v>
      </c>
      <c r="M59" s="93">
        <f t="shared" ref="M59" si="60">L59*E59</f>
        <v>66432.440399999992</v>
      </c>
      <c r="N59" s="93">
        <f t="shared" ref="N59" si="61">M59-I59</f>
        <v>5612.1707999999926</v>
      </c>
      <c r="O59" s="94">
        <f t="shared" ref="O59" si="62">IF(I59=0,0,N59/I59)</f>
        <v>9.2274678111587863E-2</v>
      </c>
      <c r="P59" s="94">
        <f>M59/M$61</f>
        <v>2.7810515466790278E-2</v>
      </c>
      <c r="Q59" s="95">
        <f t="shared" ref="Q59" si="63">P59-J59</f>
        <v>2.705387252357333E-6</v>
      </c>
      <c r="R59" s="95"/>
      <c r="T59" s="96">
        <f>L59/H59-1</f>
        <v>9.227467811158796E-2</v>
      </c>
    </row>
    <row r="60" spans="1:20" x14ac:dyDescent="0.2">
      <c r="A60" s="89">
        <f t="shared" si="15"/>
        <v>54</v>
      </c>
      <c r="C60" s="75"/>
      <c r="D60" s="75" t="s">
        <v>47</v>
      </c>
      <c r="E60" s="130">
        <v>27371755</v>
      </c>
      <c r="F60" s="79">
        <v>5.0939999999999999E-2</v>
      </c>
      <c r="G60" s="93">
        <f t="shared" ref="G60" si="64">F60*E60</f>
        <v>1394317.1997</v>
      </c>
      <c r="H60" s="80">
        <v>6.2880000000000005E-2</v>
      </c>
      <c r="I60" s="93">
        <f t="shared" ref="I60" si="65">H60*E60</f>
        <v>1721135.9544000002</v>
      </c>
      <c r="J60" s="94">
        <f>I60/I61</f>
        <v>0.78692551111314768</v>
      </c>
      <c r="K60" s="94"/>
      <c r="L60" s="98">
        <f>ROUND(H60*S61,5)</f>
        <v>6.8680000000000005E-2</v>
      </c>
      <c r="M60" s="93">
        <f t="shared" ref="M60" si="66">L60*E60</f>
        <v>1879892.1334000002</v>
      </c>
      <c r="N60" s="93">
        <f t="shared" ref="N60" si="67">M60-I60</f>
        <v>158756.179</v>
      </c>
      <c r="O60" s="94">
        <f t="shared" ref="O60" si="68">IF(I60=0,0,N60/I60)</f>
        <v>9.2239185750636124E-2</v>
      </c>
      <c r="P60" s="94">
        <f>M60/M$61</f>
        <v>0.7869764972809592</v>
      </c>
      <c r="Q60" s="95">
        <f t="shared" ref="Q60" si="69">P60-J60</f>
        <v>5.0986167811517547E-5</v>
      </c>
      <c r="R60" s="95"/>
      <c r="T60" s="96">
        <f>L60/H60-1</f>
        <v>9.2239185750636166E-2</v>
      </c>
    </row>
    <row r="61" spans="1:20" s="99" customFormat="1" ht="20.45" customHeight="1" x14ac:dyDescent="0.25">
      <c r="A61" s="89">
        <f t="shared" si="15"/>
        <v>55</v>
      </c>
      <c r="C61" s="100"/>
      <c r="D61" s="101" t="s">
        <v>6</v>
      </c>
      <c r="E61" s="102"/>
      <c r="F61" s="102"/>
      <c r="G61" s="103">
        <f>SUM(G57:G60)</f>
        <v>1860346.2693</v>
      </c>
      <c r="H61" s="102"/>
      <c r="I61" s="103">
        <f>SUM(I57:I60)</f>
        <v>2187165.0240000002</v>
      </c>
      <c r="J61" s="104">
        <f>SUM(J57:J60)</f>
        <v>0.99999999999999989</v>
      </c>
      <c r="K61" s="105">
        <f>I61+Summary!I18</f>
        <v>2388948.0240000002</v>
      </c>
      <c r="L61" s="102"/>
      <c r="M61" s="103">
        <f>SUM(M57:M60)</f>
        <v>2388752.5738000004</v>
      </c>
      <c r="N61" s="103">
        <f>SUM(N57:N60)</f>
        <v>201587.54979999998</v>
      </c>
      <c r="O61" s="104">
        <f t="shared" ref="O61" si="70">N61/I61</f>
        <v>9.2168422404326072E-2</v>
      </c>
      <c r="P61" s="104">
        <f>SUM(P57:P60)</f>
        <v>1</v>
      </c>
      <c r="Q61" s="150">
        <f t="shared" ref="Q61" si="71">P61-J61</f>
        <v>0</v>
      </c>
      <c r="R61" s="106">
        <f>M61-K61</f>
        <v>-195.45019999984652</v>
      </c>
      <c r="S61" s="142">
        <f>K61/I61</f>
        <v>1.0922577847514079</v>
      </c>
    </row>
    <row r="62" spans="1:20" x14ac:dyDescent="0.2">
      <c r="A62" s="89">
        <f t="shared" si="15"/>
        <v>56</v>
      </c>
      <c r="D62" s="75" t="s">
        <v>26</v>
      </c>
      <c r="G62" s="93">
        <v>329263.45</v>
      </c>
      <c r="I62" s="108">
        <f>G62-($H$145*E60)</f>
        <v>2444.6953000000212</v>
      </c>
      <c r="K62" s="108"/>
      <c r="M62" s="93">
        <f>I62</f>
        <v>2444.6953000000212</v>
      </c>
      <c r="N62" s="93">
        <f t="shared" ref="N62:N68" si="72">M62-I62</f>
        <v>0</v>
      </c>
      <c r="O62" s="78">
        <v>0</v>
      </c>
    </row>
    <row r="63" spans="1:20" x14ac:dyDescent="0.2">
      <c r="A63" s="89">
        <f t="shared" si="15"/>
        <v>57</v>
      </c>
      <c r="D63" s="75" t="s">
        <v>27</v>
      </c>
      <c r="G63" s="93">
        <v>276195.52</v>
      </c>
      <c r="I63" s="108">
        <f t="shared" ref="I63:I65" si="73">G63</f>
        <v>276195.52</v>
      </c>
      <c r="M63" s="93">
        <f t="shared" ref="M63:M65" si="74">I63</f>
        <v>276195.52</v>
      </c>
      <c r="N63" s="93">
        <f t="shared" si="72"/>
        <v>0</v>
      </c>
      <c r="O63" s="78">
        <v>0</v>
      </c>
    </row>
    <row r="64" spans="1:20" x14ac:dyDescent="0.2">
      <c r="A64" s="89">
        <f t="shared" si="15"/>
        <v>58</v>
      </c>
      <c r="D64" s="75" t="s">
        <v>29</v>
      </c>
      <c r="G64" s="93">
        <v>0</v>
      </c>
      <c r="I64" s="108">
        <f t="shared" si="73"/>
        <v>0</v>
      </c>
      <c r="M64" s="93">
        <f t="shared" si="74"/>
        <v>0</v>
      </c>
      <c r="N64" s="93">
        <f t="shared" si="72"/>
        <v>0</v>
      </c>
      <c r="O64" s="78">
        <v>0</v>
      </c>
    </row>
    <row r="65" spans="1:20" x14ac:dyDescent="0.2">
      <c r="A65" s="89">
        <f t="shared" si="15"/>
        <v>59</v>
      </c>
      <c r="D65" s="75" t="s">
        <v>39</v>
      </c>
      <c r="G65" s="93">
        <v>0</v>
      </c>
      <c r="I65" s="108">
        <f t="shared" si="73"/>
        <v>0</v>
      </c>
      <c r="M65" s="93">
        <f t="shared" si="74"/>
        <v>0</v>
      </c>
      <c r="N65" s="93"/>
      <c r="O65" s="78"/>
    </row>
    <row r="66" spans="1:20" x14ac:dyDescent="0.2">
      <c r="A66" s="89">
        <f t="shared" si="15"/>
        <v>60</v>
      </c>
      <c r="D66" s="110" t="s">
        <v>8</v>
      </c>
      <c r="E66" s="111"/>
      <c r="F66" s="111"/>
      <c r="G66" s="112">
        <f>SUM(G62:G65)</f>
        <v>605458.97</v>
      </c>
      <c r="H66" s="111"/>
      <c r="I66" s="112">
        <f>SUM(I62:I65)</f>
        <v>278640.21530000004</v>
      </c>
      <c r="J66" s="111"/>
      <c r="K66" s="111"/>
      <c r="L66" s="111"/>
      <c r="M66" s="112">
        <f>SUM(M62:M65)</f>
        <v>278640.21530000004</v>
      </c>
      <c r="N66" s="112">
        <f t="shared" si="72"/>
        <v>0</v>
      </c>
      <c r="O66" s="113">
        <f t="shared" ref="O66" si="75">N66-J66</f>
        <v>0</v>
      </c>
    </row>
    <row r="67" spans="1:20" s="99" customFormat="1" ht="26.45" customHeight="1" thickBot="1" x14ac:dyDescent="0.25">
      <c r="A67" s="89">
        <f t="shared" si="15"/>
        <v>61</v>
      </c>
      <c r="C67" s="100"/>
      <c r="D67" s="114" t="s">
        <v>19</v>
      </c>
      <c r="E67" s="115"/>
      <c r="F67" s="115"/>
      <c r="G67" s="116">
        <f>G61+G66</f>
        <v>2465805.2393</v>
      </c>
      <c r="H67" s="115"/>
      <c r="I67" s="117">
        <f>I66+I61</f>
        <v>2465805.2393000005</v>
      </c>
      <c r="J67" s="115"/>
      <c r="K67" s="115"/>
      <c r="L67" s="115"/>
      <c r="M67" s="116">
        <f>M66+M61</f>
        <v>2667392.7891000006</v>
      </c>
      <c r="N67" s="116">
        <f t="shared" si="72"/>
        <v>201587.54980000015</v>
      </c>
      <c r="O67" s="118">
        <f>N67/I67</f>
        <v>8.1753232812996776E-2</v>
      </c>
      <c r="P67" s="77"/>
      <c r="Q67" s="77"/>
      <c r="R67" s="77"/>
    </row>
    <row r="68" spans="1:20" ht="15.75" thickTop="1" x14ac:dyDescent="0.2">
      <c r="A68" s="89">
        <f t="shared" si="15"/>
        <v>62</v>
      </c>
      <c r="D68" s="75" t="s">
        <v>18</v>
      </c>
      <c r="E68" s="78">
        <f>E60/E57</f>
        <v>456195.91666666669</v>
      </c>
      <c r="G68" s="119">
        <f>G67/E57</f>
        <v>41096.75398833333</v>
      </c>
      <c r="I68" s="119">
        <f>I67/E57</f>
        <v>41096.753988333345</v>
      </c>
      <c r="M68" s="119">
        <f>M67/E57</f>
        <v>44456.546485000013</v>
      </c>
      <c r="N68" s="119">
        <f t="shared" si="72"/>
        <v>3359.7924966666687</v>
      </c>
      <c r="O68" s="94">
        <f>N68/I68</f>
        <v>8.1753232812996748E-2</v>
      </c>
    </row>
    <row r="69" spans="1:20" ht="15.75" thickBot="1" x14ac:dyDescent="0.25">
      <c r="A69" s="89">
        <f t="shared" si="15"/>
        <v>63</v>
      </c>
    </row>
    <row r="70" spans="1:20" x14ac:dyDescent="0.2">
      <c r="A70" s="89">
        <f t="shared" si="15"/>
        <v>64</v>
      </c>
      <c r="B70" s="156" t="s">
        <v>75</v>
      </c>
      <c r="C70" s="90" t="s">
        <v>74</v>
      </c>
      <c r="D70" s="91"/>
      <c r="E70" s="92"/>
      <c r="F70" s="92"/>
      <c r="G70" s="92"/>
      <c r="H70" s="92"/>
      <c r="I70" s="92"/>
      <c r="J70" s="92"/>
      <c r="K70" s="92"/>
      <c r="L70" s="92"/>
      <c r="M70" s="92"/>
      <c r="N70" s="92"/>
      <c r="O70" s="92"/>
      <c r="P70" s="92"/>
      <c r="Q70" s="92"/>
      <c r="R70" s="92"/>
    </row>
    <row r="71" spans="1:20" x14ac:dyDescent="0.2">
      <c r="A71" s="89">
        <f t="shared" si="15"/>
        <v>65</v>
      </c>
      <c r="B71" s="157"/>
      <c r="C71" s="75"/>
      <c r="D71" s="75" t="s">
        <v>17</v>
      </c>
      <c r="E71" s="130">
        <v>12</v>
      </c>
      <c r="F71" s="151" t="str">
        <f>H71</f>
        <v>$2/MWH</v>
      </c>
      <c r="G71" s="93"/>
      <c r="H71" s="120" t="s">
        <v>76</v>
      </c>
      <c r="I71" s="93">
        <f>2*E73/1000</f>
        <v>179854.06599999999</v>
      </c>
      <c r="J71" s="94"/>
      <c r="K71" s="94"/>
      <c r="L71" s="152" t="str">
        <f t="shared" ref="L71:M73" si="76">H71</f>
        <v>$2/MWH</v>
      </c>
      <c r="M71" s="93">
        <f t="shared" si="76"/>
        <v>179854.06599999999</v>
      </c>
      <c r="N71" s="93"/>
      <c r="O71" s="94"/>
      <c r="P71" s="94"/>
      <c r="Q71" s="95"/>
      <c r="R71" s="95"/>
      <c r="T71" s="96"/>
    </row>
    <row r="72" spans="1:20" x14ac:dyDescent="0.2">
      <c r="A72" s="89">
        <f t="shared" si="15"/>
        <v>66</v>
      </c>
      <c r="D72" s="75" t="s">
        <v>48</v>
      </c>
      <c r="E72" s="130">
        <v>164584</v>
      </c>
      <c r="F72" s="78">
        <f>H72</f>
        <v>1.75</v>
      </c>
      <c r="G72" s="93">
        <f t="shared" ref="G72" si="77">F72*E72</f>
        <v>288022</v>
      </c>
      <c r="H72" s="78">
        <v>1.75</v>
      </c>
      <c r="I72" s="93">
        <f t="shared" ref="I72" si="78">H72*E72</f>
        <v>288022</v>
      </c>
      <c r="J72" s="94">
        <f>IF(I73=0,0,I72/I73)</f>
        <v>7.4912164582379842E-2</v>
      </c>
      <c r="K72" s="94"/>
      <c r="L72" s="120">
        <f t="shared" si="76"/>
        <v>1.75</v>
      </c>
      <c r="M72" s="93">
        <f t="shared" si="76"/>
        <v>288022</v>
      </c>
      <c r="N72" s="93">
        <f t="shared" ref="N72" si="79">M72-I72</f>
        <v>0</v>
      </c>
      <c r="O72" s="94">
        <f t="shared" ref="O72" si="80">IF(I72=0,0,N72/I72)</f>
        <v>0</v>
      </c>
      <c r="P72" s="94">
        <f>IF(M73=0,0,M72/M73)</f>
        <v>7.4912164582379842E-2</v>
      </c>
      <c r="Q72" s="95">
        <f t="shared" ref="Q72" si="81">P72-J72</f>
        <v>0</v>
      </c>
      <c r="R72" s="95"/>
      <c r="T72" s="96">
        <f>L72/H72-1</f>
        <v>0</v>
      </c>
    </row>
    <row r="73" spans="1:20" x14ac:dyDescent="0.2">
      <c r="A73" s="89">
        <f t="shared" ref="A73:A117" si="82">A72+1</f>
        <v>67</v>
      </c>
      <c r="D73" s="75" t="s">
        <v>47</v>
      </c>
      <c r="E73" s="130">
        <v>89927033</v>
      </c>
      <c r="F73" s="79">
        <v>4.275462E-2</v>
      </c>
      <c r="G73" s="93">
        <f t="shared" ref="G73" si="83">F73*E73</f>
        <v>3844796.12364246</v>
      </c>
      <c r="H73" s="80">
        <f>F73</f>
        <v>4.275462E-2</v>
      </c>
      <c r="I73" s="93">
        <f t="shared" ref="I73" si="84">H73*E73</f>
        <v>3844796.12364246</v>
      </c>
      <c r="J73" s="94">
        <f>IF(I74=0,0,I73/I74)</f>
        <v>0.89151133092756829</v>
      </c>
      <c r="K73" s="94"/>
      <c r="L73" s="152">
        <f t="shared" si="76"/>
        <v>4.275462E-2</v>
      </c>
      <c r="M73" s="93">
        <f t="shared" si="76"/>
        <v>3844796.12364246</v>
      </c>
      <c r="N73" s="93">
        <f t="shared" ref="N73" si="85">M73-I73</f>
        <v>0</v>
      </c>
      <c r="O73" s="94">
        <f t="shared" ref="O73" si="86">IF(I73=0,0,N73/I73)</f>
        <v>0</v>
      </c>
      <c r="P73" s="94">
        <f>IF(M74=0,0,M73/M74)</f>
        <v>0.89151133092756829</v>
      </c>
      <c r="Q73" s="95">
        <f t="shared" ref="Q73" si="87">P73-J73</f>
        <v>0</v>
      </c>
      <c r="R73" s="95"/>
      <c r="T73" s="96">
        <f>L73/H73-1</f>
        <v>0</v>
      </c>
    </row>
    <row r="74" spans="1:20" s="99" customFormat="1" ht="20.45" customHeight="1" x14ac:dyDescent="0.25">
      <c r="A74" s="89">
        <f t="shared" si="82"/>
        <v>68</v>
      </c>
      <c r="C74" s="100"/>
      <c r="D74" s="101" t="s">
        <v>6</v>
      </c>
      <c r="E74" s="102"/>
      <c r="F74" s="102"/>
      <c r="G74" s="103">
        <f>SUM(G71:G73)</f>
        <v>4132818.12364246</v>
      </c>
      <c r="H74" s="102"/>
      <c r="I74" s="103">
        <f>SUM(I71:I73)</f>
        <v>4312672.1896424601</v>
      </c>
      <c r="J74" s="104">
        <f>SUM(J71:J73)</f>
        <v>0.96642349550994811</v>
      </c>
      <c r="K74" s="105">
        <f>I74+Summary!I14</f>
        <v>4312672.1896424601</v>
      </c>
      <c r="L74" s="102"/>
      <c r="M74" s="103">
        <f>SUM(M71:M73)</f>
        <v>4312672.1896424601</v>
      </c>
      <c r="N74" s="103">
        <f>SUM(N71:N73)</f>
        <v>0</v>
      </c>
      <c r="O74" s="104">
        <f>IF(I74=0,0,N74/I74)</f>
        <v>0</v>
      </c>
      <c r="P74" s="104">
        <f>SUM(P71:P73)</f>
        <v>0.96642349550994811</v>
      </c>
      <c r="Q74" s="150">
        <f t="shared" ref="Q74" si="88">P74-J74</f>
        <v>0</v>
      </c>
      <c r="R74" s="106">
        <f>M74-K74</f>
        <v>0</v>
      </c>
      <c r="S74" s="121">
        <v>1</v>
      </c>
    </row>
    <row r="75" spans="1:20" x14ac:dyDescent="0.2">
      <c r="A75" s="89">
        <f t="shared" si="82"/>
        <v>69</v>
      </c>
      <c r="D75" s="75" t="s">
        <v>26</v>
      </c>
      <c r="G75" s="93">
        <v>0</v>
      </c>
      <c r="I75" s="108">
        <v>0</v>
      </c>
      <c r="K75" s="108"/>
      <c r="M75" s="93">
        <f>I75</f>
        <v>0</v>
      </c>
      <c r="N75" s="93">
        <f t="shared" ref="N75:N80" si="89">M75-I75</f>
        <v>0</v>
      </c>
      <c r="O75" s="78">
        <v>0</v>
      </c>
    </row>
    <row r="76" spans="1:20" x14ac:dyDescent="0.2">
      <c r="A76" s="89">
        <f t="shared" si="82"/>
        <v>70</v>
      </c>
      <c r="D76" s="75" t="s">
        <v>27</v>
      </c>
      <c r="G76" s="93">
        <v>388386</v>
      </c>
      <c r="I76" s="108">
        <f t="shared" ref="I76:I78" si="90">G76</f>
        <v>388386</v>
      </c>
      <c r="M76" s="93">
        <f t="shared" ref="M76:M78" si="91">I76</f>
        <v>388386</v>
      </c>
      <c r="N76" s="93">
        <f t="shared" si="89"/>
        <v>0</v>
      </c>
      <c r="O76" s="78">
        <v>0</v>
      </c>
    </row>
    <row r="77" spans="1:20" x14ac:dyDescent="0.2">
      <c r="A77" s="89">
        <f t="shared" si="82"/>
        <v>71</v>
      </c>
      <c r="D77" s="75" t="s">
        <v>29</v>
      </c>
      <c r="F77" s="78"/>
      <c r="G77" s="93">
        <f>F77*E77</f>
        <v>0</v>
      </c>
      <c r="I77" s="108">
        <f t="shared" si="90"/>
        <v>0</v>
      </c>
      <c r="M77" s="93">
        <f t="shared" si="91"/>
        <v>0</v>
      </c>
      <c r="N77" s="93">
        <f t="shared" si="89"/>
        <v>0</v>
      </c>
      <c r="O77" s="78">
        <v>0</v>
      </c>
    </row>
    <row r="78" spans="1:20" x14ac:dyDescent="0.2">
      <c r="A78" s="89">
        <f t="shared" si="82"/>
        <v>72</v>
      </c>
      <c r="D78" s="75" t="s">
        <v>39</v>
      </c>
      <c r="G78" s="93">
        <v>0</v>
      </c>
      <c r="I78" s="108">
        <f t="shared" si="90"/>
        <v>0</v>
      </c>
      <c r="M78" s="93">
        <f t="shared" si="91"/>
        <v>0</v>
      </c>
      <c r="N78" s="93"/>
      <c r="O78" s="78"/>
    </row>
    <row r="79" spans="1:20" x14ac:dyDescent="0.2">
      <c r="A79" s="89">
        <f t="shared" si="82"/>
        <v>73</v>
      </c>
      <c r="D79" s="110" t="s">
        <v>8</v>
      </c>
      <c r="E79" s="111"/>
      <c r="F79" s="111"/>
      <c r="G79" s="112">
        <f>SUM(G75:G78)</f>
        <v>388386</v>
      </c>
      <c r="H79" s="111"/>
      <c r="I79" s="112">
        <f>SUM(I75:I78)</f>
        <v>388386</v>
      </c>
      <c r="J79" s="111"/>
      <c r="K79" s="111"/>
      <c r="L79" s="111"/>
      <c r="M79" s="112">
        <f>SUM(M75:M78)</f>
        <v>388386</v>
      </c>
      <c r="N79" s="112">
        <f t="shared" si="89"/>
        <v>0</v>
      </c>
      <c r="O79" s="113">
        <f t="shared" ref="O79" si="92">N79-J79</f>
        <v>0</v>
      </c>
    </row>
    <row r="80" spans="1:20" s="99" customFormat="1" ht="26.45" customHeight="1" thickBot="1" x14ac:dyDescent="0.25">
      <c r="A80" s="89">
        <f t="shared" si="82"/>
        <v>74</v>
      </c>
      <c r="C80" s="100"/>
      <c r="D80" s="114" t="s">
        <v>19</v>
      </c>
      <c r="E80" s="115"/>
      <c r="F80" s="115"/>
      <c r="G80" s="116">
        <f>G74+G79</f>
        <v>4521204.1236424595</v>
      </c>
      <c r="H80" s="115"/>
      <c r="I80" s="117">
        <f>I79+I74</f>
        <v>4701058.1896424601</v>
      </c>
      <c r="J80" s="115"/>
      <c r="K80" s="115"/>
      <c r="L80" s="115"/>
      <c r="M80" s="116">
        <f>M79+M74</f>
        <v>4701058.1896424601</v>
      </c>
      <c r="N80" s="116">
        <f t="shared" si="89"/>
        <v>0</v>
      </c>
      <c r="O80" s="118">
        <f>IF(I80=0,0,N80/I80)</f>
        <v>0</v>
      </c>
      <c r="P80" s="77"/>
      <c r="Q80" s="77"/>
      <c r="R80" s="77"/>
    </row>
    <row r="81" spans="1:20" ht="15.75" thickTop="1" x14ac:dyDescent="0.2">
      <c r="A81" s="89">
        <f t="shared" si="82"/>
        <v>75</v>
      </c>
      <c r="D81" s="75" t="s">
        <v>18</v>
      </c>
      <c r="E81" s="77" t="s">
        <v>59</v>
      </c>
      <c r="G81" s="119"/>
      <c r="I81" s="119"/>
      <c r="M81" s="119"/>
      <c r="N81" s="119">
        <f>M81-I81</f>
        <v>0</v>
      </c>
      <c r="O81" s="94"/>
    </row>
    <row r="82" spans="1:20" ht="15.75" thickBot="1" x14ac:dyDescent="0.25">
      <c r="A82" s="89">
        <f t="shared" si="82"/>
        <v>76</v>
      </c>
    </row>
    <row r="83" spans="1:20" x14ac:dyDescent="0.2">
      <c r="A83" s="89">
        <f t="shared" si="82"/>
        <v>77</v>
      </c>
      <c r="B83" s="91" t="s">
        <v>30</v>
      </c>
      <c r="C83" s="90" t="s">
        <v>89</v>
      </c>
      <c r="D83" s="91"/>
      <c r="E83" s="92"/>
      <c r="F83" s="92"/>
      <c r="G83" s="92"/>
      <c r="H83" s="92"/>
      <c r="I83" s="92"/>
      <c r="J83" s="92"/>
      <c r="K83" s="92"/>
      <c r="L83" s="92"/>
      <c r="M83" s="92"/>
      <c r="N83" s="92"/>
      <c r="O83" s="92"/>
      <c r="P83" s="92"/>
      <c r="Q83" s="92"/>
      <c r="R83" s="92"/>
    </row>
    <row r="84" spans="1:20" x14ac:dyDescent="0.2">
      <c r="A84" s="89">
        <f t="shared" si="82"/>
        <v>78</v>
      </c>
      <c r="B84" s="122"/>
      <c r="C84" s="108"/>
      <c r="D84" s="77" t="s">
        <v>77</v>
      </c>
      <c r="E84" s="130">
        <v>24898</v>
      </c>
      <c r="F84" s="78">
        <v>2.95</v>
      </c>
      <c r="G84" s="93">
        <f t="shared" ref="G84" si="93">F84*E84</f>
        <v>73449.100000000006</v>
      </c>
      <c r="H84" s="78">
        <v>2.95</v>
      </c>
      <c r="I84" s="93">
        <f t="shared" ref="I84" si="94">H84*E84</f>
        <v>73449.100000000006</v>
      </c>
      <c r="J84" s="94">
        <f t="shared" ref="J84:J95" si="95">I84/I$96</f>
        <v>0.11444824859467671</v>
      </c>
      <c r="K84" s="94"/>
      <c r="L84" s="78">
        <f t="shared" ref="L84:L95" si="96">ROUND(H84*S$96,2)</f>
        <v>3.06</v>
      </c>
      <c r="M84" s="93">
        <f t="shared" ref="M84" si="97">L84*E84</f>
        <v>76187.88</v>
      </c>
      <c r="N84" s="93">
        <f t="shared" ref="N84" si="98">M84-I84</f>
        <v>2738.7799999999988</v>
      </c>
      <c r="O84" s="94">
        <f t="shared" ref="O84" si="99">IF(I84=0,0,N84/I84)</f>
        <v>3.728813559322032E-2</v>
      </c>
      <c r="P84" s="94">
        <f t="shared" ref="P84:P95" si="100">M84/M$96</f>
        <v>0.1144032298556682</v>
      </c>
      <c r="Q84" s="95">
        <f t="shared" ref="Q84" si="101">P84-J84</f>
        <v>-4.5018739008514941E-5</v>
      </c>
      <c r="R84" s="95"/>
      <c r="T84" s="96">
        <f>L84/H84-1</f>
        <v>3.7288135593220195E-2</v>
      </c>
    </row>
    <row r="85" spans="1:20" x14ac:dyDescent="0.2">
      <c r="A85" s="89">
        <f t="shared" si="82"/>
        <v>79</v>
      </c>
      <c r="B85" s="122"/>
      <c r="C85" s="108"/>
      <c r="D85" s="77" t="s">
        <v>78</v>
      </c>
      <c r="E85" s="130">
        <v>12</v>
      </c>
      <c r="F85" s="78">
        <v>3.55</v>
      </c>
      <c r="G85" s="93">
        <f t="shared" ref="G85:G88" si="102">F85*E85</f>
        <v>42.599999999999994</v>
      </c>
      <c r="H85" s="78">
        <v>3.55</v>
      </c>
      <c r="I85" s="93">
        <f t="shared" ref="I85:I88" si="103">H85*E85</f>
        <v>42.599999999999994</v>
      </c>
      <c r="J85" s="94">
        <f t="shared" si="95"/>
        <v>6.6379239366217246E-5</v>
      </c>
      <c r="K85" s="94"/>
      <c r="L85" s="78">
        <f t="shared" si="96"/>
        <v>3.69</v>
      </c>
      <c r="M85" s="93">
        <f t="shared" ref="M85:M88" si="104">L85*E85</f>
        <v>44.28</v>
      </c>
      <c r="N85" s="93">
        <f t="shared" ref="N85:N88" si="105">M85-I85</f>
        <v>1.6800000000000068</v>
      </c>
      <c r="O85" s="94">
        <f t="shared" ref="O85:O88" si="106">IF(I85=0,0,N85/I85)</f>
        <v>3.9436619718310022E-2</v>
      </c>
      <c r="P85" s="94">
        <f t="shared" si="100"/>
        <v>6.6490562777294596E-5</v>
      </c>
      <c r="Q85" s="95">
        <f t="shared" ref="Q85:Q88" si="107">P85-J85</f>
        <v>1.1132341107735063E-7</v>
      </c>
      <c r="R85" s="95"/>
      <c r="T85" s="96">
        <f t="shared" ref="T85:T95" si="108">L85/H85-1</f>
        <v>3.9436619718309807E-2</v>
      </c>
    </row>
    <row r="86" spans="1:20" x14ac:dyDescent="0.2">
      <c r="A86" s="89">
        <f t="shared" si="82"/>
        <v>80</v>
      </c>
      <c r="B86" s="122"/>
      <c r="C86" s="108"/>
      <c r="D86" s="77" t="s">
        <v>79</v>
      </c>
      <c r="E86" s="130">
        <v>752</v>
      </c>
      <c r="F86" s="78">
        <v>4.7</v>
      </c>
      <c r="G86" s="93">
        <f t="shared" si="102"/>
        <v>3534.4</v>
      </c>
      <c r="H86" s="78">
        <v>4.7</v>
      </c>
      <c r="I86" s="93">
        <f t="shared" si="103"/>
        <v>3534.4</v>
      </c>
      <c r="J86" s="94">
        <f t="shared" si="95"/>
        <v>5.5072953900459683E-3</v>
      </c>
      <c r="K86" s="94"/>
      <c r="L86" s="78">
        <f t="shared" si="96"/>
        <v>4.88</v>
      </c>
      <c r="M86" s="93">
        <f t="shared" si="104"/>
        <v>3669.7599999999998</v>
      </c>
      <c r="N86" s="93">
        <f t="shared" si="105"/>
        <v>135.35999999999967</v>
      </c>
      <c r="O86" s="94">
        <f t="shared" si="106"/>
        <v>3.8297872340425441E-2</v>
      </c>
      <c r="P86" s="94">
        <f t="shared" si="100"/>
        <v>5.5104879778140152E-3</v>
      </c>
      <c r="Q86" s="95">
        <f t="shared" si="107"/>
        <v>3.192587768046859E-6</v>
      </c>
      <c r="R86" s="95"/>
      <c r="T86" s="96">
        <f t="shared" si="108"/>
        <v>3.8297872340425476E-2</v>
      </c>
    </row>
    <row r="87" spans="1:20" x14ac:dyDescent="0.2">
      <c r="A87" s="89">
        <f t="shared" si="82"/>
        <v>81</v>
      </c>
      <c r="B87" s="122"/>
      <c r="C87" s="108"/>
      <c r="D87" s="77" t="s">
        <v>80</v>
      </c>
      <c r="E87" s="130">
        <v>7906</v>
      </c>
      <c r="F87" s="78">
        <v>3.38</v>
      </c>
      <c r="G87" s="93">
        <f t="shared" si="102"/>
        <v>26722.28</v>
      </c>
      <c r="H87" s="78">
        <v>3.38</v>
      </c>
      <c r="I87" s="93">
        <f t="shared" si="103"/>
        <v>26722.28</v>
      </c>
      <c r="J87" s="94">
        <f t="shared" si="95"/>
        <v>4.1638606115753048E-2</v>
      </c>
      <c r="K87" s="94"/>
      <c r="L87" s="78">
        <f t="shared" si="96"/>
        <v>3.51</v>
      </c>
      <c r="M87" s="93">
        <f t="shared" si="104"/>
        <v>27750.059999999998</v>
      </c>
      <c r="N87" s="93">
        <f t="shared" si="105"/>
        <v>1027.7799999999988</v>
      </c>
      <c r="O87" s="94">
        <f t="shared" si="106"/>
        <v>3.8461538461538422E-2</v>
      </c>
      <c r="P87" s="94">
        <f t="shared" si="100"/>
        <v>4.1669311348321851E-2</v>
      </c>
      <c r="Q87" s="95">
        <f t="shared" si="107"/>
        <v>3.070523256880342E-5</v>
      </c>
      <c r="R87" s="95"/>
      <c r="T87" s="96">
        <f t="shared" si="108"/>
        <v>3.8461538461538325E-2</v>
      </c>
    </row>
    <row r="88" spans="1:20" x14ac:dyDescent="0.2">
      <c r="A88" s="89">
        <f t="shared" si="82"/>
        <v>82</v>
      </c>
      <c r="B88" s="122"/>
      <c r="C88" s="108"/>
      <c r="D88" s="77" t="s">
        <v>81</v>
      </c>
      <c r="E88" s="130">
        <v>6211</v>
      </c>
      <c r="F88" s="78">
        <v>5.2</v>
      </c>
      <c r="G88" s="93">
        <f t="shared" si="102"/>
        <v>32297.200000000001</v>
      </c>
      <c r="H88" s="78">
        <v>5.2</v>
      </c>
      <c r="I88" s="93">
        <f t="shared" si="103"/>
        <v>32297.200000000001</v>
      </c>
      <c r="J88" s="94">
        <f t="shared" si="95"/>
        <v>5.0325435907478684E-2</v>
      </c>
      <c r="K88" s="94"/>
      <c r="L88" s="78">
        <f t="shared" si="96"/>
        <v>5.4</v>
      </c>
      <c r="M88" s="93">
        <f t="shared" si="104"/>
        <v>33539.4</v>
      </c>
      <c r="N88" s="93">
        <f t="shared" si="105"/>
        <v>1242.2000000000007</v>
      </c>
      <c r="O88" s="94">
        <f t="shared" si="106"/>
        <v>3.8461538461538484E-2</v>
      </c>
      <c r="P88" s="94">
        <f t="shared" si="100"/>
        <v>5.036254700119229E-2</v>
      </c>
      <c r="Q88" s="95">
        <f t="shared" si="107"/>
        <v>3.7111093713605714E-5</v>
      </c>
      <c r="R88" s="95"/>
      <c r="T88" s="96">
        <f t="shared" si="108"/>
        <v>3.8461538461538547E-2</v>
      </c>
    </row>
    <row r="89" spans="1:20" x14ac:dyDescent="0.2">
      <c r="A89" s="89">
        <f t="shared" si="82"/>
        <v>83</v>
      </c>
      <c r="B89" s="122"/>
      <c r="C89" s="108"/>
      <c r="D89" s="77" t="s">
        <v>82</v>
      </c>
      <c r="E89" s="130">
        <v>96</v>
      </c>
      <c r="F89" s="78">
        <v>2.95</v>
      </c>
      <c r="G89" s="93">
        <f t="shared" ref="G89:G95" si="109">F89*E89</f>
        <v>283.20000000000005</v>
      </c>
      <c r="H89" s="78">
        <v>2.95</v>
      </c>
      <c r="I89" s="93">
        <f t="shared" ref="I89:I95" si="110">H89*E89</f>
        <v>283.20000000000005</v>
      </c>
      <c r="J89" s="94">
        <f t="shared" si="95"/>
        <v>4.4128170395569784E-4</v>
      </c>
      <c r="K89" s="94"/>
      <c r="L89" s="78">
        <f t="shared" si="96"/>
        <v>3.06</v>
      </c>
      <c r="M89" s="93">
        <f t="shared" ref="M89:M95" si="111">L89*E89</f>
        <v>293.76</v>
      </c>
      <c r="N89" s="93">
        <f t="shared" ref="N89:N95" si="112">M89-I89</f>
        <v>10.559999999999945</v>
      </c>
      <c r="O89" s="94">
        <f t="shared" ref="O89:O95" si="113">IF(I89=0,0,N89/I89)</f>
        <v>3.728813559322014E-2</v>
      </c>
      <c r="P89" s="94">
        <f t="shared" si="100"/>
        <v>4.4110812379083246E-4</v>
      </c>
      <c r="Q89" s="95">
        <f t="shared" ref="Q89:Q95" si="114">P89-J89</f>
        <v>-1.7358016486538133E-7</v>
      </c>
      <c r="R89" s="95"/>
      <c r="T89" s="96">
        <f t="shared" si="108"/>
        <v>3.7288135593220195E-2</v>
      </c>
    </row>
    <row r="90" spans="1:20" x14ac:dyDescent="0.2">
      <c r="A90" s="89">
        <f t="shared" si="82"/>
        <v>84</v>
      </c>
      <c r="B90" s="122"/>
      <c r="C90" s="108"/>
      <c r="D90" s="77" t="s">
        <v>83</v>
      </c>
      <c r="E90" s="130">
        <v>24</v>
      </c>
      <c r="F90" s="78">
        <v>4.7</v>
      </c>
      <c r="G90" s="93">
        <f t="shared" si="109"/>
        <v>112.80000000000001</v>
      </c>
      <c r="H90" s="78">
        <v>4.7</v>
      </c>
      <c r="I90" s="93">
        <f t="shared" si="110"/>
        <v>112.80000000000001</v>
      </c>
      <c r="J90" s="94">
        <f t="shared" si="95"/>
        <v>1.7576474649082881E-4</v>
      </c>
      <c r="K90" s="94"/>
      <c r="L90" s="78">
        <f t="shared" si="96"/>
        <v>4.88</v>
      </c>
      <c r="M90" s="93">
        <f t="shared" si="111"/>
        <v>117.12</v>
      </c>
      <c r="N90" s="93">
        <f t="shared" si="112"/>
        <v>4.3199999999999932</v>
      </c>
      <c r="O90" s="94">
        <f t="shared" si="113"/>
        <v>3.8297872340425469E-2</v>
      </c>
      <c r="P90" s="94">
        <f t="shared" si="100"/>
        <v>1.7586663758980902E-4</v>
      </c>
      <c r="Q90" s="95">
        <f t="shared" si="114"/>
        <v>1.0189109898021314E-7</v>
      </c>
      <c r="R90" s="95"/>
      <c r="T90" s="96">
        <f t="shared" si="108"/>
        <v>3.8297872340425476E-2</v>
      </c>
    </row>
    <row r="91" spans="1:20" x14ac:dyDescent="0.2">
      <c r="A91" s="89">
        <f t="shared" si="82"/>
        <v>85</v>
      </c>
      <c r="B91" s="122"/>
      <c r="C91" s="108"/>
      <c r="D91" s="77" t="s">
        <v>84</v>
      </c>
      <c r="E91" s="130">
        <v>72</v>
      </c>
      <c r="F91" s="78">
        <v>5.2</v>
      </c>
      <c r="G91" s="93">
        <f t="shared" si="109"/>
        <v>374.40000000000003</v>
      </c>
      <c r="H91" s="78">
        <v>5.2</v>
      </c>
      <c r="I91" s="93">
        <f t="shared" si="110"/>
        <v>374.40000000000003</v>
      </c>
      <c r="J91" s="94">
        <f t="shared" si="95"/>
        <v>5.8338937133126155E-4</v>
      </c>
      <c r="K91" s="94"/>
      <c r="L91" s="78">
        <f t="shared" si="96"/>
        <v>5.4</v>
      </c>
      <c r="M91" s="93">
        <f t="shared" si="111"/>
        <v>388.8</v>
      </c>
      <c r="N91" s="93">
        <f t="shared" si="112"/>
        <v>14.399999999999977</v>
      </c>
      <c r="O91" s="94">
        <f t="shared" si="113"/>
        <v>3.8461538461538394E-2</v>
      </c>
      <c r="P91" s="94">
        <f t="shared" si="100"/>
        <v>5.8381957560551352E-4</v>
      </c>
      <c r="Q91" s="95">
        <f t="shared" si="114"/>
        <v>4.3020427425196749E-7</v>
      </c>
      <c r="R91" s="95"/>
      <c r="T91" s="96">
        <f t="shared" si="108"/>
        <v>3.8461538461538547E-2</v>
      </c>
    </row>
    <row r="92" spans="1:20" x14ac:dyDescent="0.2">
      <c r="A92" s="89">
        <f t="shared" si="82"/>
        <v>86</v>
      </c>
      <c r="B92" s="122"/>
      <c r="C92" s="108"/>
      <c r="D92" s="77" t="s">
        <v>85</v>
      </c>
      <c r="E92" s="130">
        <v>42546</v>
      </c>
      <c r="F92" s="78">
        <v>9.84</v>
      </c>
      <c r="G92" s="93">
        <f t="shared" si="109"/>
        <v>418652.64</v>
      </c>
      <c r="H92" s="78">
        <v>9.84</v>
      </c>
      <c r="I92" s="93">
        <f t="shared" si="110"/>
        <v>418652.64</v>
      </c>
      <c r="J92" s="94">
        <f t="shared" si="95"/>
        <v>0.65234375121734223</v>
      </c>
      <c r="K92" s="94"/>
      <c r="L92" s="78">
        <f t="shared" si="96"/>
        <v>10.210000000000001</v>
      </c>
      <c r="M92" s="93">
        <f t="shared" si="111"/>
        <v>434394.66000000003</v>
      </c>
      <c r="N92" s="93">
        <f t="shared" si="112"/>
        <v>15742.020000000019</v>
      </c>
      <c r="O92" s="94">
        <f t="shared" si="113"/>
        <v>3.7601626016260208E-2</v>
      </c>
      <c r="P92" s="94">
        <f t="shared" si="100"/>
        <v>0.65228422337063108</v>
      </c>
      <c r="Q92" s="95">
        <f t="shared" si="114"/>
        <v>-5.9527846711149301E-5</v>
      </c>
      <c r="R92" s="95"/>
      <c r="T92" s="96">
        <f t="shared" si="108"/>
        <v>3.7601626016260159E-2</v>
      </c>
    </row>
    <row r="93" spans="1:20" x14ac:dyDescent="0.2">
      <c r="A93" s="89">
        <f t="shared" si="82"/>
        <v>87</v>
      </c>
      <c r="B93" s="122"/>
      <c r="C93" s="108"/>
      <c r="D93" s="77" t="s">
        <v>86</v>
      </c>
      <c r="E93" s="130">
        <v>3345</v>
      </c>
      <c r="F93" s="78">
        <v>12.98</v>
      </c>
      <c r="G93" s="93">
        <f t="shared" si="109"/>
        <v>43418.1</v>
      </c>
      <c r="H93" s="78">
        <v>12.98</v>
      </c>
      <c r="I93" s="93">
        <f t="shared" si="110"/>
        <v>43418.1</v>
      </c>
      <c r="J93" s="94">
        <f t="shared" si="95"/>
        <v>6.7654001237707914E-2</v>
      </c>
      <c r="K93" s="94"/>
      <c r="L93" s="78">
        <f t="shared" si="96"/>
        <v>13.47</v>
      </c>
      <c r="M93" s="93">
        <f t="shared" si="111"/>
        <v>45057.15</v>
      </c>
      <c r="N93" s="93">
        <f t="shared" si="112"/>
        <v>1639.0500000000029</v>
      </c>
      <c r="O93" s="94">
        <f t="shared" si="113"/>
        <v>3.7750385208012396E-2</v>
      </c>
      <c r="P93" s="94">
        <f t="shared" si="100"/>
        <v>6.7657526211404237E-2</v>
      </c>
      <c r="Q93" s="95">
        <f t="shared" si="114"/>
        <v>3.524973696322764E-6</v>
      </c>
      <c r="R93" s="95"/>
      <c r="T93" s="96">
        <f t="shared" si="108"/>
        <v>3.7750385208012327E-2</v>
      </c>
    </row>
    <row r="94" spans="1:20" x14ac:dyDescent="0.2">
      <c r="A94" s="89">
        <f t="shared" si="82"/>
        <v>88</v>
      </c>
      <c r="B94" s="122"/>
      <c r="C94" s="108"/>
      <c r="D94" s="77" t="s">
        <v>87</v>
      </c>
      <c r="E94" s="130">
        <v>2440</v>
      </c>
      <c r="F94" s="78">
        <v>17.559999999999999</v>
      </c>
      <c r="G94" s="93">
        <f t="shared" si="109"/>
        <v>42846.399999999994</v>
      </c>
      <c r="H94" s="78">
        <v>17.559999999999999</v>
      </c>
      <c r="I94" s="93">
        <f t="shared" si="110"/>
        <v>42846.399999999994</v>
      </c>
      <c r="J94" s="94">
        <f t="shared" si="95"/>
        <v>6.6763179379828411E-2</v>
      </c>
      <c r="K94" s="94"/>
      <c r="L94" s="78">
        <f t="shared" si="96"/>
        <v>18.23</v>
      </c>
      <c r="M94" s="93">
        <f t="shared" si="111"/>
        <v>44481.200000000004</v>
      </c>
      <c r="N94" s="93">
        <f t="shared" si="112"/>
        <v>1634.8000000000102</v>
      </c>
      <c r="O94" s="94">
        <f t="shared" si="113"/>
        <v>3.8154897494305486E-2</v>
      </c>
      <c r="P94" s="94">
        <f t="shared" si="100"/>
        <v>6.6792683401296224E-2</v>
      </c>
      <c r="Q94" s="95">
        <f t="shared" si="114"/>
        <v>2.950402146781328E-5</v>
      </c>
      <c r="R94" s="95"/>
      <c r="T94" s="96">
        <f t="shared" si="108"/>
        <v>3.815489749430534E-2</v>
      </c>
    </row>
    <row r="95" spans="1:20" x14ac:dyDescent="0.2">
      <c r="A95" s="89">
        <f t="shared" si="82"/>
        <v>89</v>
      </c>
      <c r="B95" s="122"/>
      <c r="C95" s="108"/>
      <c r="D95" s="77" t="s">
        <v>88</v>
      </c>
      <c r="E95" s="130">
        <v>10</v>
      </c>
      <c r="F95" s="78">
        <v>3.38</v>
      </c>
      <c r="G95" s="93">
        <f t="shared" si="109"/>
        <v>33.799999999999997</v>
      </c>
      <c r="H95" s="78">
        <v>3.38</v>
      </c>
      <c r="I95" s="93">
        <f t="shared" si="110"/>
        <v>33.799999999999997</v>
      </c>
      <c r="J95" s="94">
        <f t="shared" si="95"/>
        <v>5.2667096022961103E-5</v>
      </c>
      <c r="K95" s="94"/>
      <c r="L95" s="78">
        <f t="shared" si="96"/>
        <v>3.51</v>
      </c>
      <c r="M95" s="93">
        <f t="shared" si="111"/>
        <v>35.099999999999994</v>
      </c>
      <c r="N95" s="93">
        <f t="shared" si="112"/>
        <v>1.2999999999999972</v>
      </c>
      <c r="O95" s="94">
        <f t="shared" si="113"/>
        <v>3.846153846153838E-2</v>
      </c>
      <c r="P95" s="94">
        <f t="shared" si="100"/>
        <v>5.2705933908831072E-5</v>
      </c>
      <c r="Q95" s="95">
        <f t="shared" si="114"/>
        <v>3.8837885869968535E-8</v>
      </c>
      <c r="R95" s="95"/>
      <c r="T95" s="96">
        <f t="shared" si="108"/>
        <v>3.8461538461538325E-2</v>
      </c>
    </row>
    <row r="96" spans="1:20" s="99" customFormat="1" ht="24.6" customHeight="1" x14ac:dyDescent="0.25">
      <c r="A96" s="89">
        <f t="shared" si="82"/>
        <v>90</v>
      </c>
      <c r="C96" s="100"/>
      <c r="D96" s="101" t="s">
        <v>6</v>
      </c>
      <c r="E96" s="102"/>
      <c r="F96" s="102"/>
      <c r="G96" s="103">
        <f>SUM(G84:G95)</f>
        <v>641766.92000000004</v>
      </c>
      <c r="H96" s="102"/>
      <c r="I96" s="103">
        <f>SUM(I84:I95)</f>
        <v>641766.92000000004</v>
      </c>
      <c r="J96" s="104">
        <f>SUM(J84:J95)</f>
        <v>0.99999999999999989</v>
      </c>
      <c r="K96" s="105">
        <f>I96+Summary!I15</f>
        <v>666211.22000000009</v>
      </c>
      <c r="L96" s="102"/>
      <c r="M96" s="103">
        <f>SUM(M84:M95)</f>
        <v>665959.16999999993</v>
      </c>
      <c r="N96" s="103">
        <f>SUM(N84:N95)</f>
        <v>24192.250000000025</v>
      </c>
      <c r="O96" s="104">
        <f t="shared" ref="O96" si="115">N96/I96</f>
        <v>3.7696318158623732E-2</v>
      </c>
      <c r="P96" s="104">
        <f>SUM(P84:P95)</f>
        <v>1.0000000000000002</v>
      </c>
      <c r="Q96" s="150">
        <f t="shared" ref="Q96" si="116">P96-J96</f>
        <v>0</v>
      </c>
      <c r="R96" s="106">
        <f>M96-K96</f>
        <v>-252.05000000016298</v>
      </c>
      <c r="S96" s="99">
        <f>K96/I96</f>
        <v>1.0380890619915406</v>
      </c>
    </row>
    <row r="97" spans="1:18" x14ac:dyDescent="0.2">
      <c r="A97" s="89">
        <f t="shared" si="82"/>
        <v>91</v>
      </c>
      <c r="D97" s="75" t="s">
        <v>26</v>
      </c>
      <c r="G97" s="93">
        <v>0</v>
      </c>
      <c r="I97" s="108">
        <v>0</v>
      </c>
      <c r="K97" s="108"/>
      <c r="M97" s="93">
        <f>I97</f>
        <v>0</v>
      </c>
      <c r="N97" s="93">
        <f>M97-I97</f>
        <v>0</v>
      </c>
      <c r="O97" s="78">
        <v>0</v>
      </c>
    </row>
    <row r="98" spans="1:18" x14ac:dyDescent="0.2">
      <c r="A98" s="89">
        <f t="shared" si="82"/>
        <v>92</v>
      </c>
      <c r="D98" s="75" t="s">
        <v>27</v>
      </c>
      <c r="G98" s="93">
        <v>0</v>
      </c>
      <c r="I98" s="108">
        <v>0</v>
      </c>
      <c r="M98" s="93">
        <f t="shared" ref="M98:M99" si="117">I98</f>
        <v>0</v>
      </c>
      <c r="N98" s="93">
        <f>M98-I98</f>
        <v>0</v>
      </c>
      <c r="O98" s="78">
        <v>0</v>
      </c>
    </row>
    <row r="99" spans="1:18" x14ac:dyDescent="0.2">
      <c r="A99" s="89">
        <f t="shared" si="82"/>
        <v>93</v>
      </c>
      <c r="D99" s="75" t="s">
        <v>29</v>
      </c>
      <c r="G99" s="93">
        <v>0</v>
      </c>
      <c r="I99" s="108">
        <v>0</v>
      </c>
      <c r="M99" s="93">
        <f t="shared" si="117"/>
        <v>0</v>
      </c>
      <c r="N99" s="93">
        <f>M99-I99</f>
        <v>0</v>
      </c>
      <c r="O99" s="78">
        <v>0</v>
      </c>
    </row>
    <row r="100" spans="1:18" x14ac:dyDescent="0.2">
      <c r="A100" s="89">
        <f t="shared" si="82"/>
        <v>94</v>
      </c>
      <c r="D100" s="75" t="s">
        <v>39</v>
      </c>
      <c r="G100" s="93"/>
      <c r="I100" s="108"/>
      <c r="M100" s="93"/>
      <c r="N100" s="93"/>
      <c r="O100" s="78"/>
    </row>
    <row r="101" spans="1:18" x14ac:dyDescent="0.2">
      <c r="A101" s="89">
        <f t="shared" si="82"/>
        <v>95</v>
      </c>
      <c r="D101" s="110" t="s">
        <v>8</v>
      </c>
      <c r="E101" s="111"/>
      <c r="F101" s="111"/>
      <c r="G101" s="112">
        <f>SUM(G97:G99)</f>
        <v>0</v>
      </c>
      <c r="H101" s="111"/>
      <c r="I101" s="112">
        <f>SUM(I97:I99)</f>
        <v>0</v>
      </c>
      <c r="J101" s="111"/>
      <c r="K101" s="111"/>
      <c r="L101" s="111"/>
      <c r="M101" s="112">
        <f>SUM(M97:M99)</f>
        <v>0</v>
      </c>
      <c r="N101" s="112">
        <f>M101-I101</f>
        <v>0</v>
      </c>
      <c r="O101" s="113">
        <f>N101-J101</f>
        <v>0</v>
      </c>
    </row>
    <row r="102" spans="1:18" s="99" customFormat="1" ht="26.45" customHeight="1" thickBot="1" x14ac:dyDescent="0.25">
      <c r="A102" s="89">
        <f t="shared" si="82"/>
        <v>96</v>
      </c>
      <c r="C102" s="100"/>
      <c r="D102" s="114" t="s">
        <v>19</v>
      </c>
      <c r="E102" s="115"/>
      <c r="F102" s="115"/>
      <c r="G102" s="116">
        <f>G96+G101</f>
        <v>641766.92000000004</v>
      </c>
      <c r="H102" s="115"/>
      <c r="I102" s="117">
        <f>I101+I96</f>
        <v>641766.92000000004</v>
      </c>
      <c r="J102" s="115"/>
      <c r="K102" s="115"/>
      <c r="L102" s="115"/>
      <c r="M102" s="116">
        <f>M101+M96</f>
        <v>665959.16999999993</v>
      </c>
      <c r="N102" s="116">
        <f>M102-I102</f>
        <v>24192.249999999884</v>
      </c>
      <c r="O102" s="118">
        <f>N102/I102</f>
        <v>3.769631815862351E-2</v>
      </c>
      <c r="P102" s="77"/>
      <c r="Q102" s="77"/>
      <c r="R102" s="77"/>
    </row>
    <row r="103" spans="1:18" ht="15.75" thickTop="1" x14ac:dyDescent="0.2">
      <c r="A103" s="89">
        <f t="shared" si="82"/>
        <v>97</v>
      </c>
      <c r="G103" s="119"/>
      <c r="H103" s="135"/>
      <c r="I103" s="119"/>
      <c r="M103" s="119"/>
      <c r="N103" s="119"/>
      <c r="O103" s="94"/>
    </row>
    <row r="104" spans="1:18" x14ac:dyDescent="0.2">
      <c r="A104" s="89">
        <f t="shared" si="82"/>
        <v>98</v>
      </c>
      <c r="B104" s="123"/>
      <c r="C104" s="124"/>
      <c r="D104" s="123"/>
      <c r="E104" s="123"/>
      <c r="F104" s="123"/>
      <c r="G104" s="123"/>
      <c r="H104" s="137"/>
      <c r="I104" s="123"/>
      <c r="J104" s="123"/>
      <c r="K104" s="123"/>
      <c r="L104" s="123"/>
      <c r="M104" s="123"/>
      <c r="N104" s="123"/>
      <c r="O104" s="123"/>
      <c r="P104" s="123"/>
      <c r="Q104" s="123"/>
      <c r="R104" s="123"/>
    </row>
    <row r="105" spans="1:18" x14ac:dyDescent="0.2">
      <c r="A105" s="89">
        <f t="shared" si="82"/>
        <v>99</v>
      </c>
      <c r="H105" s="135"/>
    </row>
    <row r="106" spans="1:18" s="99" customFormat="1" ht="19.899999999999999" customHeight="1" x14ac:dyDescent="0.25">
      <c r="A106" s="89">
        <f t="shared" si="82"/>
        <v>100</v>
      </c>
      <c r="B106" s="99" t="s">
        <v>28</v>
      </c>
      <c r="C106" s="100"/>
      <c r="D106" s="101" t="s">
        <v>6</v>
      </c>
      <c r="E106" s="102"/>
      <c r="F106" s="102"/>
      <c r="G106" s="125">
        <f t="shared" ref="G106:G111" si="118">G10+G22+G34+G47+G74+G61+G96</f>
        <v>43630774.089162461</v>
      </c>
      <c r="H106" s="138"/>
      <c r="I106" s="125">
        <f t="shared" ref="I106:I111" si="119">I10+I22+I34+I47+I74+I61+I96</f>
        <v>54887978.356983468</v>
      </c>
      <c r="J106" s="102"/>
      <c r="K106" s="102"/>
      <c r="L106" s="102"/>
      <c r="M106" s="125">
        <f t="shared" ref="M106:N111" si="120">M10+M22+M34+M47+M74+M61+M96</f>
        <v>56932511.972052455</v>
      </c>
      <c r="N106" s="125">
        <f t="shared" si="120"/>
        <v>2044533.6150689966</v>
      </c>
      <c r="O106" s="104">
        <f>N106/I106</f>
        <v>3.724920604238046E-2</v>
      </c>
      <c r="P106" s="126"/>
      <c r="Q106" s="126"/>
      <c r="R106" s="126"/>
    </row>
    <row r="107" spans="1:18" x14ac:dyDescent="0.2">
      <c r="A107" s="89">
        <f t="shared" si="82"/>
        <v>101</v>
      </c>
      <c r="D107" s="75" t="s">
        <v>26</v>
      </c>
      <c r="G107" s="108">
        <f t="shared" si="118"/>
        <v>5457160.6000000006</v>
      </c>
      <c r="H107" s="134"/>
      <c r="I107" s="108">
        <f t="shared" si="119"/>
        <v>236195.52142000024</v>
      </c>
      <c r="M107" s="108">
        <f t="shared" si="120"/>
        <v>236195.52142000024</v>
      </c>
      <c r="N107" s="108">
        <f t="shared" si="120"/>
        <v>0</v>
      </c>
    </row>
    <row r="108" spans="1:18" x14ac:dyDescent="0.2">
      <c r="A108" s="89">
        <f t="shared" si="82"/>
        <v>102</v>
      </c>
      <c r="D108" s="75" t="s">
        <v>27</v>
      </c>
      <c r="G108" s="108">
        <f t="shared" si="118"/>
        <v>6025037.2400000002</v>
      </c>
      <c r="H108" s="134"/>
      <c r="I108" s="108">
        <f t="shared" si="119"/>
        <v>6025037.2400000002</v>
      </c>
      <c r="M108" s="108">
        <f t="shared" si="120"/>
        <v>6025037.2400000002</v>
      </c>
      <c r="N108" s="108">
        <f t="shared" si="120"/>
        <v>0</v>
      </c>
    </row>
    <row r="109" spans="1:18" x14ac:dyDescent="0.2">
      <c r="A109" s="89">
        <f t="shared" si="82"/>
        <v>103</v>
      </c>
      <c r="D109" s="75" t="s">
        <v>29</v>
      </c>
      <c r="G109" s="108">
        <f t="shared" si="118"/>
        <v>0</v>
      </c>
      <c r="H109" s="134"/>
      <c r="I109" s="108">
        <f t="shared" si="119"/>
        <v>0</v>
      </c>
      <c r="M109" s="108">
        <f t="shared" si="120"/>
        <v>0</v>
      </c>
      <c r="N109" s="108">
        <f t="shared" si="120"/>
        <v>0</v>
      </c>
    </row>
    <row r="110" spans="1:18" x14ac:dyDescent="0.2">
      <c r="A110" s="89">
        <f t="shared" si="82"/>
        <v>104</v>
      </c>
      <c r="D110" s="75" t="s">
        <v>39</v>
      </c>
      <c r="G110" s="108">
        <f t="shared" si="118"/>
        <v>0</v>
      </c>
      <c r="H110" s="135"/>
      <c r="I110" s="108">
        <f t="shared" si="119"/>
        <v>0</v>
      </c>
      <c r="M110" s="108">
        <f t="shared" si="120"/>
        <v>0</v>
      </c>
      <c r="N110" s="108">
        <f t="shared" si="120"/>
        <v>0</v>
      </c>
      <c r="O110" s="78"/>
    </row>
    <row r="111" spans="1:18" x14ac:dyDescent="0.2">
      <c r="A111" s="89">
        <f t="shared" si="82"/>
        <v>105</v>
      </c>
      <c r="D111" s="110" t="s">
        <v>8</v>
      </c>
      <c r="E111" s="111"/>
      <c r="F111" s="111"/>
      <c r="G111" s="127">
        <f t="shared" si="118"/>
        <v>11482197.84</v>
      </c>
      <c r="H111" s="139"/>
      <c r="I111" s="127">
        <f t="shared" si="119"/>
        <v>6261232.7614200013</v>
      </c>
      <c r="J111" s="111"/>
      <c r="K111" s="111"/>
      <c r="L111" s="111"/>
      <c r="M111" s="127">
        <f t="shared" si="120"/>
        <v>6261232.7614200013</v>
      </c>
      <c r="N111" s="127">
        <f t="shared" si="120"/>
        <v>0</v>
      </c>
      <c r="O111" s="111"/>
    </row>
    <row r="112" spans="1:18" s="99" customFormat="1" ht="21" customHeight="1" thickBot="1" x14ac:dyDescent="0.3">
      <c r="A112" s="89">
        <f t="shared" si="82"/>
        <v>106</v>
      </c>
      <c r="C112" s="100"/>
      <c r="D112" s="114" t="s">
        <v>19</v>
      </c>
      <c r="E112" s="115"/>
      <c r="F112" s="115"/>
      <c r="G112" s="117">
        <f>G111+G106</f>
        <v>55112971.929162458</v>
      </c>
      <c r="H112" s="140"/>
      <c r="I112" s="117">
        <f>I111+I106</f>
        <v>61149211.118403472</v>
      </c>
      <c r="J112" s="115"/>
      <c r="K112" s="115"/>
      <c r="L112" s="115"/>
      <c r="M112" s="117">
        <f>M111+M106</f>
        <v>63193744.733472459</v>
      </c>
      <c r="N112" s="117">
        <f>N111+N106</f>
        <v>2044533.6150689966</v>
      </c>
      <c r="O112" s="118">
        <f>N112/I112</f>
        <v>3.3435159304183948E-2</v>
      </c>
      <c r="P112" s="126"/>
      <c r="Q112" s="126"/>
      <c r="R112" s="126"/>
    </row>
    <row r="113" spans="1:20" ht="15.75" thickTop="1" x14ac:dyDescent="0.2">
      <c r="A113" s="89">
        <f t="shared" si="82"/>
        <v>107</v>
      </c>
      <c r="H113" s="135"/>
    </row>
    <row r="114" spans="1:20" x14ac:dyDescent="0.2">
      <c r="A114" s="89">
        <f t="shared" si="82"/>
        <v>108</v>
      </c>
      <c r="D114" s="75" t="s">
        <v>37</v>
      </c>
      <c r="H114" s="135"/>
      <c r="N114" s="108">
        <f>N112-Summary!L6</f>
        <v>201474.73773300112</v>
      </c>
    </row>
    <row r="115" spans="1:20" x14ac:dyDescent="0.2">
      <c r="A115" s="89">
        <f t="shared" si="82"/>
        <v>109</v>
      </c>
      <c r="H115" s="135"/>
      <c r="N115" s="108"/>
    </row>
    <row r="116" spans="1:20" ht="15.75" x14ac:dyDescent="0.25">
      <c r="A116" s="89">
        <f t="shared" si="82"/>
        <v>110</v>
      </c>
      <c r="B116" s="128" t="s">
        <v>90</v>
      </c>
      <c r="E116" s="124"/>
      <c r="F116" s="124"/>
      <c r="G116" s="124"/>
      <c r="H116" s="141"/>
      <c r="I116" s="124"/>
      <c r="J116" s="124"/>
      <c r="K116" s="124"/>
      <c r="L116" s="124"/>
      <c r="M116" s="124"/>
      <c r="N116" s="124"/>
      <c r="O116" s="124"/>
      <c r="P116" s="124"/>
      <c r="Q116" s="124"/>
      <c r="R116" s="124"/>
    </row>
    <row r="117" spans="1:20" ht="15.75" thickBot="1" x14ac:dyDescent="0.25">
      <c r="A117" s="89">
        <f t="shared" si="82"/>
        <v>111</v>
      </c>
      <c r="D117" s="76"/>
      <c r="E117" s="129"/>
      <c r="F117" s="129"/>
      <c r="G117" s="129"/>
      <c r="H117" s="135"/>
    </row>
    <row r="118" spans="1:20" x14ac:dyDescent="0.2">
      <c r="A118" s="89">
        <f>A113+1</f>
        <v>108</v>
      </c>
      <c r="B118" s="91" t="s">
        <v>72</v>
      </c>
      <c r="C118" s="90" t="s">
        <v>73</v>
      </c>
      <c r="D118" s="91"/>
      <c r="E118" s="92"/>
      <c r="F118" s="92"/>
      <c r="G118" s="92"/>
      <c r="H118" s="136"/>
      <c r="I118" s="92"/>
      <c r="J118" s="92"/>
      <c r="K118" s="92"/>
      <c r="L118" s="92"/>
      <c r="M118" s="92"/>
      <c r="N118" s="92"/>
      <c r="O118" s="92"/>
      <c r="P118" s="92"/>
      <c r="Q118" s="92"/>
      <c r="R118" s="92"/>
    </row>
    <row r="119" spans="1:20" ht="12.6" customHeight="1" x14ac:dyDescent="0.2">
      <c r="A119" s="89">
        <f t="shared" ref="A119:A121" si="121">A118+1</f>
        <v>109</v>
      </c>
      <c r="C119" s="75"/>
      <c r="D119" s="75" t="s">
        <v>17</v>
      </c>
      <c r="E119" s="130"/>
      <c r="F119" s="78"/>
      <c r="G119" s="93"/>
      <c r="H119" s="78">
        <v>1275.1199999999999</v>
      </c>
      <c r="I119" s="93"/>
      <c r="J119" s="94"/>
      <c r="K119" s="94"/>
      <c r="L119" s="78">
        <f>H119*S119</f>
        <v>1376.3645279999998</v>
      </c>
      <c r="M119" s="93"/>
      <c r="N119" s="93"/>
      <c r="O119" s="94"/>
      <c r="P119" s="94"/>
      <c r="Q119" s="95"/>
      <c r="R119" s="95"/>
      <c r="S119" s="131">
        <v>1.0793999999999999</v>
      </c>
      <c r="T119" s="96">
        <f t="shared" ref="T119:T121" si="122">L119/H119-1</f>
        <v>7.9399999999999915E-2</v>
      </c>
    </row>
    <row r="120" spans="1:20" x14ac:dyDescent="0.2">
      <c r="A120" s="89">
        <f t="shared" si="121"/>
        <v>110</v>
      </c>
      <c r="D120" s="75" t="s">
        <v>48</v>
      </c>
      <c r="E120" s="130"/>
      <c r="F120" s="98"/>
      <c r="G120" s="93"/>
      <c r="H120" s="78">
        <v>6.43</v>
      </c>
      <c r="I120" s="93"/>
      <c r="J120" s="94"/>
      <c r="K120" s="94"/>
      <c r="L120" s="78">
        <f>H120*S120</f>
        <v>6.9405419999999989</v>
      </c>
      <c r="M120" s="93"/>
      <c r="N120" s="93"/>
      <c r="O120" s="94"/>
      <c r="P120" s="94"/>
      <c r="Q120" s="95"/>
      <c r="R120" s="95"/>
      <c r="S120" s="131">
        <f>S119</f>
        <v>1.0793999999999999</v>
      </c>
      <c r="T120" s="96">
        <f t="shared" si="122"/>
        <v>7.9399999999999915E-2</v>
      </c>
    </row>
    <row r="121" spans="1:20" ht="15.75" thickBot="1" x14ac:dyDescent="0.25">
      <c r="A121" s="89">
        <f t="shared" si="121"/>
        <v>111</v>
      </c>
      <c r="D121" s="75" t="s">
        <v>47</v>
      </c>
      <c r="E121" s="130"/>
      <c r="F121" s="98"/>
      <c r="G121" s="93"/>
      <c r="H121" s="80">
        <v>6.2880000000000005E-2</v>
      </c>
      <c r="I121" s="93"/>
      <c r="J121" s="94"/>
      <c r="K121" s="94"/>
      <c r="L121" s="98">
        <f t="shared" ref="L121" si="123">H121*S121</f>
        <v>6.7872671999999995E-2</v>
      </c>
      <c r="M121" s="93"/>
      <c r="N121" s="93"/>
      <c r="O121" s="94"/>
      <c r="P121" s="94"/>
      <c r="Q121" s="95"/>
      <c r="R121" s="95"/>
      <c r="S121" s="131">
        <f>S120</f>
        <v>1.0793999999999999</v>
      </c>
      <c r="T121" s="96">
        <f t="shared" si="122"/>
        <v>7.9399999999999915E-2</v>
      </c>
    </row>
    <row r="122" spans="1:20" x14ac:dyDescent="0.2">
      <c r="A122" s="89">
        <f>A117+1</f>
        <v>112</v>
      </c>
      <c r="B122" s="91" t="s">
        <v>72</v>
      </c>
      <c r="C122" s="90" t="s">
        <v>97</v>
      </c>
      <c r="D122" s="91"/>
      <c r="E122" s="92"/>
      <c r="F122" s="92"/>
      <c r="G122" s="92"/>
      <c r="H122" s="92"/>
      <c r="I122" s="92"/>
      <c r="J122" s="92"/>
      <c r="K122" s="92"/>
      <c r="L122" s="92"/>
      <c r="M122" s="92"/>
      <c r="N122" s="92"/>
      <c r="O122" s="92"/>
      <c r="P122" s="92"/>
      <c r="Q122" s="92"/>
      <c r="R122" s="92"/>
    </row>
    <row r="123" spans="1:20" ht="12.6" customHeight="1" x14ac:dyDescent="0.2">
      <c r="A123" s="89">
        <f t="shared" ref="A123:A143" si="124">A122+1</f>
        <v>113</v>
      </c>
      <c r="D123" s="75" t="s">
        <v>91</v>
      </c>
      <c r="E123" s="130"/>
      <c r="F123" s="78"/>
      <c r="G123" s="93"/>
      <c r="H123" s="78">
        <v>2969.66</v>
      </c>
      <c r="I123" s="93"/>
      <c r="J123" s="94"/>
      <c r="K123" s="94"/>
      <c r="L123" s="78">
        <f>H123*S123</f>
        <v>3205.4510039999996</v>
      </c>
      <c r="M123" s="93"/>
      <c r="N123" s="93"/>
      <c r="O123" s="94"/>
      <c r="P123" s="94"/>
      <c r="Q123" s="95"/>
      <c r="R123" s="95"/>
      <c r="S123" s="131">
        <f>S119</f>
        <v>1.0793999999999999</v>
      </c>
      <c r="T123" s="96">
        <f t="shared" ref="T123:T125" si="125">L123/H123-1</f>
        <v>7.9399999999999915E-2</v>
      </c>
    </row>
    <row r="124" spans="1:20" x14ac:dyDescent="0.2">
      <c r="A124" s="89">
        <f t="shared" si="124"/>
        <v>114</v>
      </c>
      <c r="D124" s="75" t="s">
        <v>48</v>
      </c>
      <c r="E124" s="130"/>
      <c r="F124" s="98"/>
      <c r="G124" s="93"/>
      <c r="H124" s="78">
        <v>6.43</v>
      </c>
      <c r="I124" s="93"/>
      <c r="J124" s="94"/>
      <c r="K124" s="94"/>
      <c r="L124" s="78">
        <f>H124*S124</f>
        <v>6.9405419999999989</v>
      </c>
      <c r="M124" s="93"/>
      <c r="N124" s="93"/>
      <c r="O124" s="94"/>
      <c r="P124" s="94"/>
      <c r="Q124" s="95"/>
      <c r="R124" s="95"/>
      <c r="S124" s="131">
        <f>S123</f>
        <v>1.0793999999999999</v>
      </c>
      <c r="T124" s="96">
        <f t="shared" si="125"/>
        <v>7.9399999999999915E-2</v>
      </c>
    </row>
    <row r="125" spans="1:20" ht="15.75" thickBot="1" x14ac:dyDescent="0.25">
      <c r="A125" s="89">
        <f t="shared" si="124"/>
        <v>115</v>
      </c>
      <c r="D125" s="75" t="s">
        <v>47</v>
      </c>
      <c r="E125" s="130"/>
      <c r="F125" s="98"/>
      <c r="G125" s="93"/>
      <c r="H125" s="98">
        <v>5.6770000000000001E-2</v>
      </c>
      <c r="I125" s="93"/>
      <c r="J125" s="94"/>
      <c r="K125" s="94"/>
      <c r="L125" s="98">
        <f t="shared" ref="L125:L139" si="126">H125*S125</f>
        <v>6.1277537999999999E-2</v>
      </c>
      <c r="M125" s="93"/>
      <c r="N125" s="93"/>
      <c r="O125" s="94"/>
      <c r="P125" s="94"/>
      <c r="Q125" s="95"/>
      <c r="R125" s="95"/>
      <c r="S125" s="131">
        <f>S123</f>
        <v>1.0793999999999999</v>
      </c>
      <c r="T125" s="96">
        <f t="shared" si="125"/>
        <v>7.9399999999999915E-2</v>
      </c>
    </row>
    <row r="126" spans="1:20" x14ac:dyDescent="0.2">
      <c r="A126" s="89">
        <f t="shared" si="124"/>
        <v>116</v>
      </c>
      <c r="B126" s="91" t="s">
        <v>49</v>
      </c>
      <c r="C126" s="90" t="s">
        <v>92</v>
      </c>
      <c r="D126" s="91"/>
      <c r="E126" s="92"/>
      <c r="F126" s="92"/>
      <c r="G126" s="92"/>
      <c r="H126" s="92"/>
      <c r="I126" s="92"/>
      <c r="J126" s="92"/>
      <c r="K126" s="92"/>
      <c r="L126" s="92"/>
      <c r="M126" s="92"/>
      <c r="N126" s="92"/>
      <c r="O126" s="92"/>
      <c r="P126" s="92"/>
      <c r="Q126" s="92"/>
      <c r="R126" s="92"/>
      <c r="S126" s="131"/>
    </row>
    <row r="127" spans="1:20" ht="12.6" customHeight="1" x14ac:dyDescent="0.2">
      <c r="A127" s="89">
        <f t="shared" si="124"/>
        <v>117</v>
      </c>
      <c r="D127" s="75" t="s">
        <v>17</v>
      </c>
      <c r="E127" s="130"/>
      <c r="F127" s="78"/>
      <c r="G127" s="93"/>
      <c r="H127" s="78">
        <v>3542.66</v>
      </c>
      <c r="I127" s="93"/>
      <c r="J127" s="94"/>
      <c r="K127" s="94"/>
      <c r="L127" s="78">
        <f t="shared" si="126"/>
        <v>3823.9472039999996</v>
      </c>
      <c r="M127" s="93"/>
      <c r="N127" s="93"/>
      <c r="O127" s="94"/>
      <c r="P127" s="94"/>
      <c r="Q127" s="95"/>
      <c r="R127" s="95"/>
      <c r="S127" s="131">
        <f>S119</f>
        <v>1.0793999999999999</v>
      </c>
      <c r="T127" s="96">
        <f t="shared" ref="T127:T129" si="127">L127/H127-1</f>
        <v>7.9399999999999915E-2</v>
      </c>
    </row>
    <row r="128" spans="1:20" x14ac:dyDescent="0.2">
      <c r="A128" s="89">
        <f t="shared" si="124"/>
        <v>118</v>
      </c>
      <c r="D128" s="75" t="s">
        <v>48</v>
      </c>
      <c r="E128" s="130"/>
      <c r="F128" s="98"/>
      <c r="G128" s="93"/>
      <c r="H128" s="78">
        <v>6.43</v>
      </c>
      <c r="I128" s="93"/>
      <c r="J128" s="94"/>
      <c r="K128" s="94"/>
      <c r="L128" s="78">
        <f>L124</f>
        <v>6.9405419999999989</v>
      </c>
      <c r="M128" s="93"/>
      <c r="N128" s="93"/>
      <c r="O128" s="94"/>
      <c r="P128" s="94"/>
      <c r="Q128" s="95"/>
      <c r="R128" s="95"/>
      <c r="S128" s="131">
        <f>S127</f>
        <v>1.0793999999999999</v>
      </c>
      <c r="T128" s="96">
        <f t="shared" si="127"/>
        <v>7.9399999999999915E-2</v>
      </c>
    </row>
    <row r="129" spans="1:20" ht="15.75" thickBot="1" x14ac:dyDescent="0.25">
      <c r="A129" s="89">
        <f t="shared" si="124"/>
        <v>119</v>
      </c>
      <c r="D129" s="75" t="s">
        <v>47</v>
      </c>
      <c r="E129" s="130"/>
      <c r="F129" s="98"/>
      <c r="G129" s="93"/>
      <c r="H129" s="132">
        <v>5.5590000000000001E-2</v>
      </c>
      <c r="I129" s="93"/>
      <c r="J129" s="94"/>
      <c r="K129" s="94"/>
      <c r="L129" s="132">
        <f t="shared" si="126"/>
        <v>6.0003845999999993E-2</v>
      </c>
      <c r="M129" s="93"/>
      <c r="N129" s="93"/>
      <c r="O129" s="94"/>
      <c r="P129" s="94"/>
      <c r="Q129" s="95"/>
      <c r="R129" s="95"/>
      <c r="S129" s="131">
        <f>S128</f>
        <v>1.0793999999999999</v>
      </c>
      <c r="T129" s="96">
        <f t="shared" si="127"/>
        <v>7.9399999999999915E-2</v>
      </c>
    </row>
    <row r="130" spans="1:20" x14ac:dyDescent="0.2">
      <c r="A130" s="89">
        <f t="shared" si="124"/>
        <v>120</v>
      </c>
      <c r="B130" s="91" t="s">
        <v>49</v>
      </c>
      <c r="C130" s="90" t="s">
        <v>95</v>
      </c>
      <c r="D130" s="91"/>
      <c r="E130" s="92"/>
      <c r="F130" s="92"/>
      <c r="G130" s="92"/>
      <c r="H130" s="92"/>
      <c r="I130" s="92"/>
      <c r="J130" s="92"/>
      <c r="K130" s="92"/>
      <c r="L130" s="92"/>
      <c r="M130" s="92"/>
      <c r="N130" s="92"/>
      <c r="O130" s="92"/>
      <c r="P130" s="92"/>
      <c r="Q130" s="92"/>
      <c r="R130" s="92"/>
      <c r="S130" s="131"/>
    </row>
    <row r="131" spans="1:20" ht="12.6" customHeight="1" x14ac:dyDescent="0.2">
      <c r="A131" s="89">
        <f t="shared" si="124"/>
        <v>121</v>
      </c>
      <c r="D131" s="75" t="s">
        <v>17</v>
      </c>
      <c r="E131" s="130"/>
      <c r="F131" s="78"/>
      <c r="G131" s="93"/>
      <c r="H131" s="78">
        <v>2969.66</v>
      </c>
      <c r="I131" s="93"/>
      <c r="J131" s="94"/>
      <c r="K131" s="94"/>
      <c r="L131" s="78">
        <f t="shared" si="126"/>
        <v>3228.6143519999996</v>
      </c>
      <c r="M131" s="93"/>
      <c r="N131" s="93"/>
      <c r="O131" s="94"/>
      <c r="P131" s="94"/>
      <c r="Q131" s="95"/>
      <c r="R131" s="95"/>
      <c r="S131" s="131">
        <v>1.0871999999999999</v>
      </c>
      <c r="T131" s="96">
        <f t="shared" ref="T131:T134" si="128">L131/H131-1</f>
        <v>8.7199999999999944E-2</v>
      </c>
    </row>
    <row r="132" spans="1:20" x14ac:dyDescent="0.2">
      <c r="A132" s="89">
        <f t="shared" si="124"/>
        <v>122</v>
      </c>
      <c r="D132" s="75" t="s">
        <v>93</v>
      </c>
      <c r="E132" s="130"/>
      <c r="F132" s="98"/>
      <c r="G132" s="93"/>
      <c r="H132" s="78">
        <v>6.43</v>
      </c>
      <c r="I132" s="93"/>
      <c r="J132" s="94"/>
      <c r="K132" s="94"/>
      <c r="L132" s="78">
        <f>L58</f>
        <v>7.02</v>
      </c>
      <c r="M132" s="93"/>
      <c r="N132" s="93"/>
      <c r="O132" s="94"/>
      <c r="P132" s="94"/>
      <c r="Q132" s="95"/>
      <c r="R132" s="95"/>
      <c r="S132" s="131">
        <f>S131</f>
        <v>1.0871999999999999</v>
      </c>
      <c r="T132" s="96">
        <f t="shared" ref="T132" si="129">L132/H132-1</f>
        <v>9.1757387247278333E-2</v>
      </c>
    </row>
    <row r="133" spans="1:20" x14ac:dyDescent="0.2">
      <c r="A133" s="89">
        <f t="shared" si="124"/>
        <v>123</v>
      </c>
      <c r="D133" s="75" t="s">
        <v>94</v>
      </c>
      <c r="E133" s="130"/>
      <c r="F133" s="98"/>
      <c r="G133" s="93"/>
      <c r="H133" s="78">
        <v>9.32</v>
      </c>
      <c r="I133" s="93"/>
      <c r="J133" s="94"/>
      <c r="K133" s="94"/>
      <c r="L133" s="78">
        <f>L59</f>
        <v>10.18</v>
      </c>
      <c r="M133" s="93"/>
      <c r="N133" s="93"/>
      <c r="O133" s="94"/>
      <c r="P133" s="94"/>
      <c r="Q133" s="95"/>
      <c r="R133" s="95"/>
      <c r="S133" s="131">
        <f>S132</f>
        <v>1.0871999999999999</v>
      </c>
      <c r="T133" s="96">
        <f t="shared" si="128"/>
        <v>9.227467811158796E-2</v>
      </c>
    </row>
    <row r="134" spans="1:20" ht="15.75" thickBot="1" x14ac:dyDescent="0.25">
      <c r="A134" s="89">
        <f t="shared" si="124"/>
        <v>124</v>
      </c>
      <c r="D134" s="75" t="s">
        <v>47</v>
      </c>
      <c r="E134" s="130"/>
      <c r="F134" s="98"/>
      <c r="G134" s="93"/>
      <c r="H134" s="132">
        <v>5.6770000000000001E-2</v>
      </c>
      <c r="I134" s="93"/>
      <c r="J134" s="94"/>
      <c r="K134" s="94"/>
      <c r="L134" s="132">
        <f t="shared" si="126"/>
        <v>6.1720343999999996E-2</v>
      </c>
      <c r="M134" s="93"/>
      <c r="N134" s="93"/>
      <c r="O134" s="94"/>
      <c r="P134" s="94"/>
      <c r="Q134" s="95"/>
      <c r="R134" s="95"/>
      <c r="S134" s="131">
        <f>S133</f>
        <v>1.0871999999999999</v>
      </c>
      <c r="T134" s="96">
        <f t="shared" si="128"/>
        <v>8.7199999999999944E-2</v>
      </c>
    </row>
    <row r="135" spans="1:20" x14ac:dyDescent="0.2">
      <c r="A135" s="89">
        <f t="shared" si="124"/>
        <v>125</v>
      </c>
      <c r="B135" s="91" t="s">
        <v>49</v>
      </c>
      <c r="C135" s="90" t="s">
        <v>96</v>
      </c>
      <c r="D135" s="91"/>
      <c r="E135" s="92"/>
      <c r="F135" s="92"/>
      <c r="G135" s="92"/>
      <c r="H135" s="92"/>
      <c r="I135" s="92"/>
      <c r="J135" s="92"/>
      <c r="K135" s="92"/>
      <c r="L135" s="92"/>
      <c r="M135" s="92"/>
      <c r="N135" s="92"/>
      <c r="O135" s="92"/>
      <c r="P135" s="92"/>
      <c r="Q135" s="92"/>
      <c r="R135" s="92"/>
      <c r="S135" s="131"/>
    </row>
    <row r="136" spans="1:20" ht="12.6" customHeight="1" x14ac:dyDescent="0.2">
      <c r="A136" s="89">
        <f t="shared" si="124"/>
        <v>126</v>
      </c>
      <c r="D136" s="75" t="s">
        <v>17</v>
      </c>
      <c r="E136" s="130"/>
      <c r="F136" s="78"/>
      <c r="G136" s="93"/>
      <c r="H136" s="78">
        <v>3542.66</v>
      </c>
      <c r="I136" s="93"/>
      <c r="J136" s="94"/>
      <c r="K136" s="94"/>
      <c r="L136" s="78">
        <f t="shared" si="126"/>
        <v>3851.5799519999996</v>
      </c>
      <c r="M136" s="93"/>
      <c r="N136" s="93"/>
      <c r="O136" s="94"/>
      <c r="P136" s="94"/>
      <c r="Q136" s="95"/>
      <c r="R136" s="95"/>
      <c r="S136" s="131">
        <f>S134</f>
        <v>1.0871999999999999</v>
      </c>
      <c r="T136" s="96">
        <f t="shared" ref="T136:T139" si="130">L136/H136-1</f>
        <v>8.7199999999999944E-2</v>
      </c>
    </row>
    <row r="137" spans="1:20" x14ac:dyDescent="0.2">
      <c r="A137" s="89">
        <f t="shared" si="124"/>
        <v>127</v>
      </c>
      <c r="D137" s="75" t="s">
        <v>93</v>
      </c>
      <c r="E137" s="130"/>
      <c r="F137" s="98"/>
      <c r="G137" s="93"/>
      <c r="H137" s="78">
        <v>6.43</v>
      </c>
      <c r="I137" s="93"/>
      <c r="J137" s="94"/>
      <c r="K137" s="94"/>
      <c r="L137" s="78">
        <f>L132</f>
        <v>7.02</v>
      </c>
      <c r="M137" s="93"/>
      <c r="N137" s="93"/>
      <c r="O137" s="94"/>
      <c r="P137" s="94"/>
      <c r="Q137" s="95"/>
      <c r="R137" s="95"/>
      <c r="S137" s="131">
        <f>S136</f>
        <v>1.0871999999999999</v>
      </c>
      <c r="T137" s="96">
        <f t="shared" si="130"/>
        <v>9.1757387247278333E-2</v>
      </c>
    </row>
    <row r="138" spans="1:20" x14ac:dyDescent="0.2">
      <c r="A138" s="89">
        <f t="shared" si="124"/>
        <v>128</v>
      </c>
      <c r="D138" s="75" t="s">
        <v>94</v>
      </c>
      <c r="E138" s="130"/>
      <c r="F138" s="98"/>
      <c r="G138" s="93"/>
      <c r="H138" s="78">
        <v>9.32</v>
      </c>
      <c r="I138" s="93"/>
      <c r="J138" s="94"/>
      <c r="K138" s="94"/>
      <c r="L138" s="78">
        <f>L133</f>
        <v>10.18</v>
      </c>
      <c r="M138" s="93"/>
      <c r="N138" s="93"/>
      <c r="O138" s="94"/>
      <c r="P138" s="94"/>
      <c r="Q138" s="95"/>
      <c r="R138" s="95"/>
      <c r="S138" s="131">
        <f>S137</f>
        <v>1.0871999999999999</v>
      </c>
      <c r="T138" s="96">
        <f t="shared" si="130"/>
        <v>9.227467811158796E-2</v>
      </c>
    </row>
    <row r="139" spans="1:20" ht="15.75" thickBot="1" x14ac:dyDescent="0.25">
      <c r="A139" s="89">
        <f t="shared" si="124"/>
        <v>129</v>
      </c>
      <c r="D139" s="75" t="s">
        <v>47</v>
      </c>
      <c r="E139" s="130"/>
      <c r="F139" s="98"/>
      <c r="G139" s="93"/>
      <c r="H139" s="132">
        <v>5.5590000000000001E-2</v>
      </c>
      <c r="I139" s="93"/>
      <c r="J139" s="94"/>
      <c r="K139" s="94"/>
      <c r="L139" s="132">
        <f t="shared" si="126"/>
        <v>6.0437447999999998E-2</v>
      </c>
      <c r="M139" s="93"/>
      <c r="N139" s="93"/>
      <c r="O139" s="94"/>
      <c r="P139" s="94"/>
      <c r="Q139" s="95"/>
      <c r="R139" s="95"/>
      <c r="S139" s="131">
        <f>S138</f>
        <v>1.0871999999999999</v>
      </c>
      <c r="T139" s="96">
        <f t="shared" si="130"/>
        <v>8.7199999999999944E-2</v>
      </c>
    </row>
    <row r="140" spans="1:20" x14ac:dyDescent="0.2">
      <c r="A140" s="89">
        <f t="shared" si="124"/>
        <v>130</v>
      </c>
      <c r="B140" s="92" t="s">
        <v>108</v>
      </c>
      <c r="C140" s="166"/>
      <c r="D140" s="92"/>
      <c r="E140" s="92"/>
      <c r="F140" s="92"/>
      <c r="G140" s="91"/>
      <c r="H140" s="91"/>
      <c r="I140" s="92"/>
      <c r="J140" s="92"/>
      <c r="K140" s="92"/>
      <c r="L140" s="92"/>
      <c r="M140" s="92"/>
      <c r="N140" s="160"/>
      <c r="O140" s="160"/>
      <c r="P140" s="160"/>
      <c r="Q140" s="160"/>
      <c r="R140" s="160"/>
      <c r="S140" s="131"/>
      <c r="T140" s="96"/>
    </row>
    <row r="141" spans="1:20" x14ac:dyDescent="0.2">
      <c r="A141" s="89">
        <f t="shared" si="124"/>
        <v>131</v>
      </c>
      <c r="B141" s="77"/>
      <c r="C141" s="129"/>
      <c r="D141" s="77" t="s">
        <v>109</v>
      </c>
      <c r="E141" s="167"/>
      <c r="F141" s="98"/>
      <c r="G141" s="168"/>
      <c r="H141" s="97">
        <v>4.2</v>
      </c>
      <c r="I141" s="169"/>
      <c r="J141" s="143"/>
      <c r="K141" s="94"/>
      <c r="L141" s="170">
        <f>6.2</f>
        <v>6.2</v>
      </c>
      <c r="M141" s="169"/>
      <c r="N141" s="163"/>
      <c r="O141" s="164"/>
      <c r="P141" s="164"/>
      <c r="Q141" s="165"/>
      <c r="R141" s="165"/>
      <c r="S141" s="131"/>
      <c r="T141" s="96"/>
    </row>
    <row r="142" spans="1:20" x14ac:dyDescent="0.2">
      <c r="A142" s="89">
        <f t="shared" si="124"/>
        <v>132</v>
      </c>
      <c r="B142" s="77"/>
      <c r="C142" s="129"/>
      <c r="D142" s="77" t="s">
        <v>110</v>
      </c>
      <c r="E142" s="167"/>
      <c r="F142" s="98"/>
      <c r="G142" s="171"/>
      <c r="H142" s="172">
        <v>4.9000000000000004</v>
      </c>
      <c r="I142" s="169"/>
      <c r="J142" s="143"/>
      <c r="K142" s="94"/>
      <c r="L142" s="173">
        <f>6.9</f>
        <v>6.9</v>
      </c>
      <c r="M142" s="169"/>
      <c r="N142" s="163"/>
      <c r="O142" s="164"/>
      <c r="P142" s="164"/>
      <c r="Q142" s="165"/>
      <c r="R142" s="165"/>
      <c r="S142" s="131"/>
      <c r="T142" s="96"/>
    </row>
    <row r="143" spans="1:20" x14ac:dyDescent="0.2">
      <c r="A143" s="89">
        <f t="shared" si="124"/>
        <v>133</v>
      </c>
      <c r="B143" s="77"/>
      <c r="C143" s="129"/>
      <c r="D143" s="77" t="s">
        <v>111</v>
      </c>
      <c r="H143" s="172">
        <v>5.6</v>
      </c>
      <c r="L143" s="173">
        <f>7.6</f>
        <v>7.6</v>
      </c>
      <c r="N143" s="161"/>
      <c r="O143" s="161"/>
      <c r="P143" s="161"/>
      <c r="Q143" s="161"/>
      <c r="R143" s="161"/>
    </row>
    <row r="145" spans="5:9" x14ac:dyDescent="0.2">
      <c r="G145" s="133" t="s">
        <v>103</v>
      </c>
      <c r="H145" s="77">
        <v>1.1939999999999999E-2</v>
      </c>
      <c r="I145" s="77" t="s">
        <v>105</v>
      </c>
    </row>
    <row r="147" spans="5:9" x14ac:dyDescent="0.2">
      <c r="E147" s="77">
        <v>529523798</v>
      </c>
    </row>
    <row r="148" spans="5:9" x14ac:dyDescent="0.2">
      <c r="E148" s="144">
        <f>E9+E21+E33+E46+E60+E73</f>
        <v>527193790</v>
      </c>
    </row>
    <row r="149" spans="5:9" x14ac:dyDescent="0.2">
      <c r="E149" s="77">
        <f>E148-E147</f>
        <v>-2330008</v>
      </c>
    </row>
    <row r="150" spans="5:9" x14ac:dyDescent="0.2">
      <c r="E150" s="143">
        <f>E149/E147</f>
        <v>-4.4001950597884172E-3</v>
      </c>
    </row>
    <row r="152" spans="5:9" x14ac:dyDescent="0.2">
      <c r="E152" s="144">
        <f>E8+E20+E32+E44+E57</f>
        <v>333794</v>
      </c>
    </row>
  </sheetData>
  <mergeCells count="4">
    <mergeCell ref="B43:B44"/>
    <mergeCell ref="B31:B32"/>
    <mergeCell ref="B70:B71"/>
    <mergeCell ref="B7:B8"/>
  </mergeCells>
  <phoneticPr fontId="7" type="noConversion"/>
  <printOptions horizontalCentered="1"/>
  <pageMargins left="0.7" right="0.7" top="0.75" bottom="0.75" header="0.3" footer="0.3"/>
  <pageSetup scale="58" fitToHeight="7" orientation="landscape" r:id="rId1"/>
  <headerFooter>
    <oddHeader>&amp;R&amp;"Arial,Bold"&amp;10Exhibit 4
Page &amp;P of &amp;N</oddHeader>
  </headerFooter>
  <rowBreaks count="2" manualBreakCount="2">
    <brk id="55" max="17" man="1"/>
    <brk id="82" max="17" man="1"/>
  </rowBreaks>
  <ignoredErrors>
    <ignoredError sqref="M10 N10:N69 L125:L137 O47:O69 O10:O46 M74 N105 O105:O112 O70:O103 N70:N103" formula="1"/>
  </ignoredError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8FD2D1-0261-4B16-940C-DD9AB8DBD482}">
  <sheetPr>
    <pageSetUpPr fitToPage="1"/>
  </sheetPr>
  <dimension ref="A1:I84"/>
  <sheetViews>
    <sheetView view="pageBreakPreview" topLeftCell="A41" zoomScaleNormal="85" zoomScaleSheetLayoutView="100" workbookViewId="0">
      <selection activeCell="E48" sqref="E48"/>
    </sheetView>
  </sheetViews>
  <sheetFormatPr defaultColWidth="8.85546875" defaultRowHeight="12.75" x14ac:dyDescent="0.2"/>
  <cols>
    <col min="1" max="1" width="1.7109375" style="2" customWidth="1"/>
    <col min="2" max="2" width="1.28515625" style="2" customWidth="1"/>
    <col min="3" max="3" width="8" style="10" customWidth="1"/>
    <col min="4" max="4" width="28.7109375" style="10" bestFit="1" customWidth="1"/>
    <col min="5" max="5" width="33.7109375" style="2" bestFit="1" customWidth="1"/>
    <col min="6" max="6" width="14.7109375" style="2" customWidth="1"/>
    <col min="7" max="7" width="12.5703125" style="2" customWidth="1"/>
    <col min="8" max="8" width="11.7109375" style="2" customWidth="1"/>
    <col min="9" max="9" width="13.28515625" style="2" customWidth="1"/>
    <col min="10" max="16384" width="8.85546875" style="2"/>
  </cols>
  <sheetData>
    <row r="1" spans="1:9" x14ac:dyDescent="0.2">
      <c r="A1" s="1" t="str">
        <f>Summary!A1</f>
        <v>TAYLOR COUNTY RECC</v>
      </c>
    </row>
    <row r="2" spans="1:9" x14ac:dyDescent="0.2">
      <c r="A2" s="1" t="s">
        <v>99</v>
      </c>
    </row>
    <row r="4" spans="1:9" x14ac:dyDescent="0.2">
      <c r="C4" s="38" t="s">
        <v>60</v>
      </c>
      <c r="D4" s="37"/>
      <c r="E4" s="37" t="s">
        <v>2</v>
      </c>
      <c r="F4" s="41" t="s">
        <v>45</v>
      </c>
      <c r="G4" s="41" t="s">
        <v>46</v>
      </c>
      <c r="H4" s="41" t="s">
        <v>100</v>
      </c>
      <c r="I4" s="41" t="s">
        <v>16</v>
      </c>
    </row>
    <row r="5" spans="1:9" x14ac:dyDescent="0.2">
      <c r="C5" s="10" t="str">
        <f>'Billing Detail'!C7</f>
        <v>A</v>
      </c>
      <c r="D5" s="60" t="str">
        <f>'Billing Detail'!B7</f>
        <v>Residential Farm and Home</v>
      </c>
    </row>
    <row r="6" spans="1:9" x14ac:dyDescent="0.2">
      <c r="D6" s="60"/>
      <c r="E6" s="2" t="str">
        <f>'Billing Detail'!D8</f>
        <v>Customer Charge</v>
      </c>
      <c r="F6" s="39">
        <f>'Billing Detail'!H8</f>
        <v>17.010000000000002</v>
      </c>
      <c r="G6" s="39">
        <f>'Billing Detail'!L8</f>
        <v>17.66</v>
      </c>
      <c r="H6" s="39">
        <f>G6-F6</f>
        <v>0.64999999999999858</v>
      </c>
      <c r="I6" s="4">
        <f>H6/F6</f>
        <v>3.8212815990593681E-2</v>
      </c>
    </row>
    <row r="7" spans="1:9" x14ac:dyDescent="0.2">
      <c r="D7" s="60"/>
      <c r="E7" s="2" t="str">
        <f>'Billing Detail'!D9</f>
        <v>Energy Charge per kWh</v>
      </c>
      <c r="F7" s="40">
        <f>'Billing Detail'!H9</f>
        <v>0.104769</v>
      </c>
      <c r="G7" s="40">
        <f>'Billing Detail'!L9</f>
        <v>0.10876</v>
      </c>
      <c r="H7" s="39">
        <f t="shared" ref="H7:H56" si="0">G7-F7</f>
        <v>3.9909999999999946E-3</v>
      </c>
      <c r="I7" s="4">
        <f t="shared" ref="I7:I56" si="1">H7/F7</f>
        <v>3.8093329133617716E-2</v>
      </c>
    </row>
    <row r="8" spans="1:9" x14ac:dyDescent="0.2">
      <c r="C8" s="10" t="str">
        <f>'Billing Detail'!C19</f>
        <v>ETS</v>
      </c>
      <c r="D8" s="60" t="str">
        <f>'Billing Detail'!B19</f>
        <v>Residential ETS</v>
      </c>
      <c r="F8" s="39"/>
      <c r="G8" s="39"/>
      <c r="H8" s="39"/>
      <c r="I8" s="4"/>
    </row>
    <row r="9" spans="1:9" x14ac:dyDescent="0.2">
      <c r="D9" s="60"/>
      <c r="E9" s="2" t="str">
        <f>'Billing Detail'!D21</f>
        <v>Energy Charge per kWh</v>
      </c>
      <c r="F9" s="40">
        <f>'Billing Detail'!H21</f>
        <v>6.2859999999999999E-2</v>
      </c>
      <c r="G9" s="40">
        <f>'Billing Detail'!L21</f>
        <v>6.5250000000000002E-2</v>
      </c>
      <c r="H9" s="39">
        <f t="shared" si="0"/>
        <v>2.3900000000000032E-3</v>
      </c>
      <c r="I9" s="4">
        <f t="shared" si="1"/>
        <v>3.8020999045497987E-2</v>
      </c>
    </row>
    <row r="10" spans="1:9" x14ac:dyDescent="0.2">
      <c r="C10" s="10" t="str">
        <f>'Billing Detail'!C31</f>
        <v>GP1</v>
      </c>
      <c r="D10" s="60" t="str">
        <f>'Billing Detail'!B31</f>
        <v>Small Commercial Part 1 &lt; 50 KVA</v>
      </c>
      <c r="F10" s="40"/>
      <c r="G10" s="40"/>
      <c r="H10" s="39"/>
      <c r="I10" s="4"/>
    </row>
    <row r="11" spans="1:9" x14ac:dyDescent="0.2">
      <c r="D11" s="60"/>
      <c r="E11" s="2" t="str">
        <f>'Billing Detail'!D32</f>
        <v>Customer Charge</v>
      </c>
      <c r="F11" s="39">
        <f>'Billing Detail'!H32</f>
        <v>25</v>
      </c>
      <c r="G11" s="39">
        <f>'Billing Detail'!L32</f>
        <v>25.95</v>
      </c>
      <c r="H11" s="39">
        <f t="shared" si="0"/>
        <v>0.94999999999999929</v>
      </c>
      <c r="I11" s="4">
        <f t="shared" si="1"/>
        <v>3.7999999999999971E-2</v>
      </c>
    </row>
    <row r="12" spans="1:9" x14ac:dyDescent="0.2">
      <c r="D12" s="60"/>
      <c r="E12" s="2" t="str">
        <f>'Billing Detail'!D33</f>
        <v>Energy Charge per kWh</v>
      </c>
      <c r="F12" s="40">
        <f>'Billing Detail'!H33</f>
        <v>9.3340000000000006E-2</v>
      </c>
      <c r="G12" s="40">
        <f>'Billing Detail'!L33</f>
        <v>9.69E-2</v>
      </c>
      <c r="H12" s="39">
        <f t="shared" si="0"/>
        <v>3.5599999999999937E-3</v>
      </c>
      <c r="I12" s="4">
        <f t="shared" si="1"/>
        <v>3.814013284765367E-2</v>
      </c>
    </row>
    <row r="13" spans="1:9" x14ac:dyDescent="0.2">
      <c r="C13" s="10" t="str">
        <f>'Billing Detail'!C43</f>
        <v>GP2</v>
      </c>
      <c r="D13" s="60" t="str">
        <f>'Billing Detail'!B43</f>
        <v>Small Commercial Part 2 &gt; 50 KVA</v>
      </c>
      <c r="F13" s="39"/>
      <c r="G13" s="39"/>
      <c r="H13" s="39"/>
      <c r="I13" s="4"/>
    </row>
    <row r="14" spans="1:9" x14ac:dyDescent="0.2">
      <c r="D14" s="60"/>
      <c r="E14" s="2" t="str">
        <f>'Billing Detail'!D44</f>
        <v>Customer Charge</v>
      </c>
      <c r="F14" s="39">
        <f>'Billing Detail'!H44</f>
        <v>51.79</v>
      </c>
      <c r="G14" s="39">
        <f>'Billing Detail'!L44</f>
        <v>53.76</v>
      </c>
      <c r="H14" s="39">
        <f t="shared" si="0"/>
        <v>1.9699999999999989</v>
      </c>
      <c r="I14" s="4">
        <f t="shared" si="1"/>
        <v>3.8038231318787391E-2</v>
      </c>
    </row>
    <row r="15" spans="1:9" x14ac:dyDescent="0.2">
      <c r="D15" s="60"/>
      <c r="E15" s="2" t="str">
        <f>'Billing Detail'!D45</f>
        <v>Demand Charge per kW</v>
      </c>
      <c r="F15" s="39">
        <f>'Billing Detail'!H45</f>
        <v>5.54</v>
      </c>
      <c r="G15" s="39">
        <f>'Billing Detail'!L45</f>
        <v>5.75</v>
      </c>
      <c r="H15" s="39">
        <f t="shared" si="0"/>
        <v>0.20999999999999996</v>
      </c>
      <c r="I15" s="4">
        <f t="shared" si="1"/>
        <v>3.7906137184115514E-2</v>
      </c>
    </row>
    <row r="16" spans="1:9" x14ac:dyDescent="0.2">
      <c r="D16" s="60"/>
      <c r="E16" s="2" t="str">
        <f>'Billing Detail'!D46</f>
        <v>Energy Charge per kWh</v>
      </c>
      <c r="F16" s="40">
        <f>'Billing Detail'!H46</f>
        <v>7.2050000000000003E-2</v>
      </c>
      <c r="G16" s="40">
        <f>'Billing Detail'!L46</f>
        <v>7.4789999999999995E-2</v>
      </c>
      <c r="H16" s="39">
        <f t="shared" si="0"/>
        <v>2.7399999999999924E-3</v>
      </c>
      <c r="I16" s="4">
        <f t="shared" si="1"/>
        <v>3.8029146426092883E-2</v>
      </c>
    </row>
    <row r="17" spans="3:9" x14ac:dyDescent="0.2">
      <c r="C17" s="10" t="str">
        <f>'Billing Detail'!C56</f>
        <v>B1</v>
      </c>
      <c r="D17" s="60" t="str">
        <f>'Billing Detail'!B56</f>
        <v>Large Industrial</v>
      </c>
      <c r="F17" s="40"/>
      <c r="G17" s="40"/>
      <c r="H17" s="39"/>
      <c r="I17" s="4"/>
    </row>
    <row r="18" spans="3:9" x14ac:dyDescent="0.2">
      <c r="D18" s="60"/>
      <c r="E18" s="2" t="str">
        <f>'Billing Detail'!D57</f>
        <v>Customer Charge</v>
      </c>
      <c r="F18" s="39">
        <f>'Billing Detail'!H57</f>
        <v>1275.1199999999999</v>
      </c>
      <c r="G18" s="39">
        <f>'Billing Detail'!L57</f>
        <v>1392.76</v>
      </c>
      <c r="H18" s="39">
        <f t="shared" si="0"/>
        <v>117.6400000000001</v>
      </c>
      <c r="I18" s="4">
        <f t="shared" si="1"/>
        <v>9.2257983562331475E-2</v>
      </c>
    </row>
    <row r="19" spans="3:9" x14ac:dyDescent="0.2">
      <c r="D19" s="60"/>
      <c r="E19" s="2" t="str">
        <f>'Billing Detail'!D58</f>
        <v>Demand Charge Contract per kW</v>
      </c>
      <c r="F19" s="39">
        <f>'Billing Detail'!H58</f>
        <v>6.43</v>
      </c>
      <c r="G19" s="39">
        <f>'Billing Detail'!L58</f>
        <v>7.02</v>
      </c>
      <c r="H19" s="39">
        <f t="shared" si="0"/>
        <v>0.58999999999999986</v>
      </c>
      <c r="I19" s="4">
        <f t="shared" si="1"/>
        <v>9.175738724727836E-2</v>
      </c>
    </row>
    <row r="20" spans="3:9" x14ac:dyDescent="0.2">
      <c r="D20" s="60"/>
      <c r="E20" s="2" t="str">
        <f>'Billing Detail'!D59</f>
        <v>Demand Charge Excess per kW</v>
      </c>
      <c r="F20" s="39">
        <f>'Billing Detail'!H59</f>
        <v>9.32</v>
      </c>
      <c r="G20" s="39">
        <f>'Billing Detail'!L59</f>
        <v>10.18</v>
      </c>
      <c r="H20" s="39">
        <f t="shared" si="0"/>
        <v>0.85999999999999943</v>
      </c>
      <c r="I20" s="4">
        <f t="shared" si="1"/>
        <v>9.2274678111587918E-2</v>
      </c>
    </row>
    <row r="21" spans="3:9" x14ac:dyDescent="0.2">
      <c r="D21" s="60"/>
      <c r="E21" s="2" t="str">
        <f>'Billing Detail'!D60</f>
        <v>Energy Charge per kWh</v>
      </c>
      <c r="F21" s="40">
        <f>'Billing Detail'!H60</f>
        <v>6.2880000000000005E-2</v>
      </c>
      <c r="G21" s="40">
        <f>'Billing Detail'!L60</f>
        <v>6.8680000000000005E-2</v>
      </c>
      <c r="H21" s="39">
        <f t="shared" si="0"/>
        <v>5.7999999999999996E-3</v>
      </c>
      <c r="I21" s="4">
        <f t="shared" si="1"/>
        <v>9.2239185750636124E-2</v>
      </c>
    </row>
    <row r="22" spans="3:9" x14ac:dyDescent="0.2">
      <c r="C22" s="10" t="str">
        <f>'Billing Detail'!C83</f>
        <v>SL</v>
      </c>
      <c r="D22" s="60" t="str">
        <f>'Billing Detail'!B83</f>
        <v>Lighting</v>
      </c>
      <c r="F22" s="39"/>
      <c r="G22" s="39"/>
      <c r="H22" s="39"/>
      <c r="I22" s="4"/>
    </row>
    <row r="23" spans="3:9" x14ac:dyDescent="0.2">
      <c r="D23" s="60"/>
      <c r="E23" s="2" t="str">
        <f>'Billing Detail'!D84</f>
        <v>175 Watt Mercury Vapor</v>
      </c>
      <c r="F23" s="39">
        <f>'Billing Detail'!H84</f>
        <v>2.95</v>
      </c>
      <c r="G23" s="39">
        <f>'Billing Detail'!L84</f>
        <v>3.06</v>
      </c>
      <c r="H23" s="39">
        <f t="shared" si="0"/>
        <v>0.10999999999999988</v>
      </c>
      <c r="I23" s="4">
        <f t="shared" si="1"/>
        <v>3.7288135593220292E-2</v>
      </c>
    </row>
    <row r="24" spans="3:9" x14ac:dyDescent="0.2">
      <c r="D24" s="2"/>
      <c r="E24" s="2" t="str">
        <f>'Billing Detail'!D85</f>
        <v>250 Watt Mercury Vapor</v>
      </c>
      <c r="F24" s="39">
        <f>'Billing Detail'!H85</f>
        <v>3.55</v>
      </c>
      <c r="G24" s="39">
        <f>'Billing Detail'!L85</f>
        <v>3.69</v>
      </c>
      <c r="H24" s="39">
        <f t="shared" si="0"/>
        <v>0.14000000000000012</v>
      </c>
      <c r="I24" s="4">
        <f t="shared" si="1"/>
        <v>3.9436619718309897E-2</v>
      </c>
    </row>
    <row r="25" spans="3:9" x14ac:dyDescent="0.2">
      <c r="D25" s="2"/>
      <c r="E25" s="2" t="str">
        <f>'Billing Detail'!D86</f>
        <v>400 Watt Mercury Vapor</v>
      </c>
      <c r="F25" s="39">
        <f>'Billing Detail'!H86</f>
        <v>4.7</v>
      </c>
      <c r="G25" s="39">
        <f>'Billing Detail'!L86</f>
        <v>4.88</v>
      </c>
      <c r="H25" s="39">
        <f t="shared" si="0"/>
        <v>0.17999999999999972</v>
      </c>
      <c r="I25" s="4">
        <f t="shared" si="1"/>
        <v>3.8297872340425469E-2</v>
      </c>
    </row>
    <row r="26" spans="3:9" x14ac:dyDescent="0.2">
      <c r="D26" s="2"/>
      <c r="E26" s="2" t="str">
        <f>'Billing Detail'!D87</f>
        <v>100 Watt HPSodium</v>
      </c>
      <c r="F26" s="39">
        <f>'Billing Detail'!H87</f>
        <v>3.38</v>
      </c>
      <c r="G26" s="39">
        <f>'Billing Detail'!L87</f>
        <v>3.51</v>
      </c>
      <c r="H26" s="39">
        <f t="shared" si="0"/>
        <v>0.12999999999999989</v>
      </c>
      <c r="I26" s="4">
        <f t="shared" si="1"/>
        <v>3.8461538461538429E-2</v>
      </c>
    </row>
    <row r="27" spans="3:9" x14ac:dyDescent="0.2">
      <c r="D27" s="2"/>
      <c r="E27" s="2" t="str">
        <f>'Billing Detail'!D88</f>
        <v>250 Watt HPSodium</v>
      </c>
      <c r="F27" s="39">
        <f>'Billing Detail'!H88</f>
        <v>5.2</v>
      </c>
      <c r="G27" s="39">
        <f>'Billing Detail'!L88</f>
        <v>5.4</v>
      </c>
      <c r="H27" s="39">
        <f t="shared" si="0"/>
        <v>0.20000000000000018</v>
      </c>
      <c r="I27" s="4">
        <f t="shared" si="1"/>
        <v>3.8461538461538491E-2</v>
      </c>
    </row>
    <row r="28" spans="3:9" x14ac:dyDescent="0.2">
      <c r="D28" s="2"/>
      <c r="E28" s="2" t="str">
        <f>'Billing Detail'!D89</f>
        <v>175 Watt Mercury Metered</v>
      </c>
      <c r="F28" s="39">
        <f>'Billing Detail'!H89</f>
        <v>2.95</v>
      </c>
      <c r="G28" s="39">
        <f>'Billing Detail'!L89</f>
        <v>3.06</v>
      </c>
      <c r="H28" s="39">
        <f t="shared" si="0"/>
        <v>0.10999999999999988</v>
      </c>
      <c r="I28" s="4">
        <f t="shared" si="1"/>
        <v>3.7288135593220292E-2</v>
      </c>
    </row>
    <row r="29" spans="3:9" x14ac:dyDescent="0.2">
      <c r="D29" s="2"/>
      <c r="E29" s="2" t="str">
        <f>'Billing Detail'!D90</f>
        <v>400 Watt Mercury Metered</v>
      </c>
      <c r="F29" s="39">
        <f>'Billing Detail'!H90</f>
        <v>4.7</v>
      </c>
      <c r="G29" s="39">
        <f>'Billing Detail'!L90</f>
        <v>4.88</v>
      </c>
      <c r="H29" s="39">
        <f t="shared" si="0"/>
        <v>0.17999999999999972</v>
      </c>
      <c r="I29" s="4">
        <f t="shared" si="1"/>
        <v>3.8297872340425469E-2</v>
      </c>
    </row>
    <row r="30" spans="3:9" x14ac:dyDescent="0.2">
      <c r="D30" s="2"/>
      <c r="E30" s="2" t="str">
        <f>'Billing Detail'!D91</f>
        <v>250 Watt HPS Con Metered</v>
      </c>
      <c r="F30" s="39">
        <f>'Billing Detail'!H91</f>
        <v>5.2</v>
      </c>
      <c r="G30" s="39">
        <f>'Billing Detail'!L91</f>
        <v>5.4</v>
      </c>
      <c r="H30" s="39">
        <f t="shared" si="0"/>
        <v>0.20000000000000018</v>
      </c>
      <c r="I30" s="4">
        <f t="shared" si="1"/>
        <v>3.8461538461538491E-2</v>
      </c>
    </row>
    <row r="31" spans="3:9" x14ac:dyDescent="0.2">
      <c r="D31" s="2"/>
      <c r="E31" s="2" t="str">
        <f>'Billing Detail'!D92</f>
        <v>LED Security Light</v>
      </c>
      <c r="F31" s="39">
        <f>'Billing Detail'!H92</f>
        <v>9.84</v>
      </c>
      <c r="G31" s="39">
        <f>'Billing Detail'!L92</f>
        <v>10.210000000000001</v>
      </c>
      <c r="H31" s="39">
        <f t="shared" si="0"/>
        <v>0.37000000000000099</v>
      </c>
      <c r="I31" s="4">
        <f t="shared" si="1"/>
        <v>3.7601626016260263E-2</v>
      </c>
    </row>
    <row r="32" spans="3:9" x14ac:dyDescent="0.2">
      <c r="D32" s="2"/>
      <c r="E32" s="2" t="str">
        <f>'Billing Detail'!D93</f>
        <v>LED Cobra Head Light</v>
      </c>
      <c r="F32" s="39">
        <f>'Billing Detail'!H93</f>
        <v>12.98</v>
      </c>
      <c r="G32" s="39">
        <f>'Billing Detail'!L93</f>
        <v>13.47</v>
      </c>
      <c r="H32" s="39">
        <f t="shared" si="0"/>
        <v>0.49000000000000021</v>
      </c>
      <c r="I32" s="4">
        <f t="shared" si="1"/>
        <v>3.7750385208012341E-2</v>
      </c>
    </row>
    <row r="33" spans="3:9" x14ac:dyDescent="0.2">
      <c r="D33" s="2"/>
      <c r="E33" s="2" t="str">
        <f>'Billing Detail'!D94</f>
        <v>LED Directional Light</v>
      </c>
      <c r="F33" s="39">
        <f>'Billing Detail'!H94</f>
        <v>17.559999999999999</v>
      </c>
      <c r="G33" s="39">
        <f>'Billing Detail'!L94</f>
        <v>18.23</v>
      </c>
      <c r="H33" s="39">
        <f t="shared" si="0"/>
        <v>0.67000000000000171</v>
      </c>
      <c r="I33" s="4">
        <f t="shared" si="1"/>
        <v>3.815489749430534E-2</v>
      </c>
    </row>
    <row r="34" spans="3:9" x14ac:dyDescent="0.2">
      <c r="D34" s="2"/>
      <c r="E34" s="2" t="str">
        <f>'Billing Detail'!D95</f>
        <v>100 Watt HPS Metered</v>
      </c>
      <c r="F34" s="39">
        <f>'Billing Detail'!H95</f>
        <v>3.38</v>
      </c>
      <c r="G34" s="39">
        <f>'Billing Detail'!L95</f>
        <v>3.51</v>
      </c>
      <c r="H34" s="39">
        <f t="shared" si="0"/>
        <v>0.12999999999999989</v>
      </c>
      <c r="I34" s="4">
        <f t="shared" si="1"/>
        <v>3.8461538461538429E-2</v>
      </c>
    </row>
    <row r="35" spans="3:9" x14ac:dyDescent="0.2">
      <c r="C35" s="10" t="str">
        <f>'Billing Detail'!C118</f>
        <v>C1</v>
      </c>
      <c r="D35" s="70" t="str">
        <f>'Billing Detail'!B118</f>
        <v xml:space="preserve">Large Industrial </v>
      </c>
      <c r="H35" s="39"/>
      <c r="I35" s="4"/>
    </row>
    <row r="36" spans="3:9" x14ac:dyDescent="0.2">
      <c r="D36" s="70"/>
      <c r="E36" s="2" t="str">
        <f>'Billing Detail'!D119</f>
        <v>Customer Charge</v>
      </c>
      <c r="F36" s="68">
        <f>'Billing Detail'!H119</f>
        <v>1275.1199999999999</v>
      </c>
      <c r="G36" s="68">
        <f>'Billing Detail'!L119</f>
        <v>1376.3645279999998</v>
      </c>
      <c r="H36" s="39">
        <f t="shared" ref="H36:H38" si="2">G36-F36</f>
        <v>101.24452799999995</v>
      </c>
      <c r="I36" s="4">
        <f t="shared" ref="I36:I38" si="3">H36/F36</f>
        <v>7.9399999999999971E-2</v>
      </c>
    </row>
    <row r="37" spans="3:9" x14ac:dyDescent="0.2">
      <c r="D37" s="70"/>
      <c r="E37" s="2" t="str">
        <f>'Billing Detail'!D120</f>
        <v>Demand Charge per kW</v>
      </c>
      <c r="F37" s="68">
        <f>'Billing Detail'!H120</f>
        <v>6.43</v>
      </c>
      <c r="G37" s="68">
        <f>'Billing Detail'!L120</f>
        <v>6.9405419999999989</v>
      </c>
      <c r="H37" s="39">
        <f t="shared" si="2"/>
        <v>0.51054199999999916</v>
      </c>
      <c r="I37" s="4">
        <f t="shared" si="3"/>
        <v>7.9399999999999873E-2</v>
      </c>
    </row>
    <row r="38" spans="3:9" x14ac:dyDescent="0.2">
      <c r="D38" s="70"/>
      <c r="E38" s="2" t="str">
        <f>'Billing Detail'!D121</f>
        <v>Energy Charge per kWh</v>
      </c>
      <c r="F38" s="64">
        <f>'Billing Detail'!H121</f>
        <v>6.2880000000000005E-2</v>
      </c>
      <c r="G38" s="64">
        <f>'Billing Detail'!L121</f>
        <v>6.7872671999999995E-2</v>
      </c>
      <c r="H38" s="39">
        <f t="shared" si="2"/>
        <v>4.9926719999999897E-3</v>
      </c>
      <c r="I38" s="4">
        <f t="shared" si="3"/>
        <v>7.9399999999999832E-2</v>
      </c>
    </row>
    <row r="39" spans="3:9" x14ac:dyDescent="0.2">
      <c r="C39" s="10" t="str">
        <f>'Billing Detail'!C122</f>
        <v>C2</v>
      </c>
      <c r="D39" s="70" t="str">
        <f>'Billing Detail'!B122</f>
        <v xml:space="preserve">Large Industrial </v>
      </c>
      <c r="H39" s="39"/>
      <c r="I39" s="4"/>
    </row>
    <row r="40" spans="3:9" x14ac:dyDescent="0.2">
      <c r="D40" s="70"/>
      <c r="E40" s="2" t="str">
        <f>'Billing Detail'!D123</f>
        <v>Consumer Charge</v>
      </c>
      <c r="F40" s="68">
        <f>'Billing Detail'!H123</f>
        <v>2969.66</v>
      </c>
      <c r="G40" s="68">
        <f>'Billing Detail'!L123</f>
        <v>3205.4510039999996</v>
      </c>
      <c r="H40" s="39">
        <f t="shared" si="0"/>
        <v>235.7910039999997</v>
      </c>
      <c r="I40" s="4">
        <f t="shared" si="1"/>
        <v>7.9399999999999901E-2</v>
      </c>
    </row>
    <row r="41" spans="3:9" x14ac:dyDescent="0.2">
      <c r="D41" s="70"/>
      <c r="E41" s="2" t="str">
        <f>'Billing Detail'!D124</f>
        <v>Demand Charge per kW</v>
      </c>
      <c r="F41" s="68">
        <f>'Billing Detail'!H124</f>
        <v>6.43</v>
      </c>
      <c r="G41" s="68">
        <f>'Billing Detail'!L124</f>
        <v>6.9405419999999989</v>
      </c>
      <c r="H41" s="39">
        <f t="shared" si="0"/>
        <v>0.51054199999999916</v>
      </c>
      <c r="I41" s="4">
        <f t="shared" si="1"/>
        <v>7.9399999999999873E-2</v>
      </c>
    </row>
    <row r="42" spans="3:9" x14ac:dyDescent="0.2">
      <c r="D42" s="70"/>
      <c r="E42" s="2" t="str">
        <f>'Billing Detail'!D125</f>
        <v>Energy Charge per kWh</v>
      </c>
      <c r="F42" s="64">
        <f>'Billing Detail'!H125</f>
        <v>5.6770000000000001E-2</v>
      </c>
      <c r="G42" s="64">
        <f>'Billing Detail'!L125</f>
        <v>6.1277537999999999E-2</v>
      </c>
      <c r="H42" s="39">
        <f t="shared" si="0"/>
        <v>4.5075379999999984E-3</v>
      </c>
      <c r="I42" s="4">
        <f t="shared" si="1"/>
        <v>7.9399999999999971E-2</v>
      </c>
    </row>
    <row r="43" spans="3:9" x14ac:dyDescent="0.2">
      <c r="C43" s="10" t="str">
        <f>'Billing Detail'!C126</f>
        <v>C3</v>
      </c>
      <c r="D43" s="70" t="str">
        <f>'Billing Detail'!B126</f>
        <v>Large Industrial</v>
      </c>
      <c r="F43" s="68"/>
      <c r="G43" s="68"/>
      <c r="H43" s="39"/>
      <c r="I43" s="4"/>
    </row>
    <row r="44" spans="3:9" x14ac:dyDescent="0.2">
      <c r="D44" s="70"/>
      <c r="E44" s="2" t="str">
        <f>'Billing Detail'!D127</f>
        <v>Customer Charge</v>
      </c>
      <c r="F44" s="68">
        <f>'Billing Detail'!H127</f>
        <v>3542.66</v>
      </c>
      <c r="G44" s="68">
        <f>'Billing Detail'!L127</f>
        <v>3823.9472039999996</v>
      </c>
      <c r="H44" s="39">
        <f t="shared" si="0"/>
        <v>281.28720399999975</v>
      </c>
      <c r="I44" s="4">
        <f t="shared" si="1"/>
        <v>7.9399999999999929E-2</v>
      </c>
    </row>
    <row r="45" spans="3:9" x14ac:dyDescent="0.2">
      <c r="D45" s="70"/>
      <c r="E45" s="2" t="str">
        <f>'Billing Detail'!D128</f>
        <v>Demand Charge per kW</v>
      </c>
      <c r="F45" s="68">
        <f>'Billing Detail'!H128</f>
        <v>6.43</v>
      </c>
      <c r="G45" s="68">
        <f>'Billing Detail'!L128</f>
        <v>6.9405419999999989</v>
      </c>
      <c r="H45" s="39">
        <f t="shared" si="0"/>
        <v>0.51054199999999916</v>
      </c>
      <c r="I45" s="4">
        <f t="shared" si="1"/>
        <v>7.9399999999999873E-2</v>
      </c>
    </row>
    <row r="46" spans="3:9" x14ac:dyDescent="0.2">
      <c r="D46" s="70"/>
      <c r="E46" s="2" t="str">
        <f>'Billing Detail'!D129</f>
        <v>Energy Charge per kWh</v>
      </c>
      <c r="F46" s="64">
        <f>'Billing Detail'!H129</f>
        <v>5.5590000000000001E-2</v>
      </c>
      <c r="G46" s="64">
        <f>'Billing Detail'!L129</f>
        <v>6.0003845999999993E-2</v>
      </c>
      <c r="H46" s="39">
        <f t="shared" si="0"/>
        <v>4.4138459999999921E-3</v>
      </c>
      <c r="I46" s="4">
        <f t="shared" si="1"/>
        <v>7.939999999999986E-2</v>
      </c>
    </row>
    <row r="47" spans="3:9" x14ac:dyDescent="0.2">
      <c r="C47" s="10" t="str">
        <f>'Billing Detail'!C130</f>
        <v>B2</v>
      </c>
      <c r="D47" s="70" t="str">
        <f>'Billing Detail'!B130</f>
        <v>Large Industrial</v>
      </c>
      <c r="F47" s="68"/>
      <c r="G47" s="68"/>
      <c r="H47" s="39"/>
      <c r="I47" s="4"/>
    </row>
    <row r="48" spans="3:9" x14ac:dyDescent="0.2">
      <c r="D48" s="70"/>
      <c r="E48" s="2" t="str">
        <f>'Billing Detail'!D131</f>
        <v>Customer Charge</v>
      </c>
      <c r="F48" s="68">
        <f>'Billing Detail'!H131</f>
        <v>2969.66</v>
      </c>
      <c r="G48" s="68">
        <f>'Billing Detail'!L131</f>
        <v>3228.6143519999996</v>
      </c>
      <c r="H48" s="39">
        <f t="shared" si="0"/>
        <v>258.95435199999974</v>
      </c>
      <c r="I48" s="4">
        <f t="shared" si="1"/>
        <v>8.7199999999999916E-2</v>
      </c>
    </row>
    <row r="49" spans="3:9" x14ac:dyDescent="0.2">
      <c r="D49" s="70"/>
      <c r="E49" s="2" t="str">
        <f>'Billing Detail'!D132</f>
        <v>Demand Charge -Contract per kW</v>
      </c>
      <c r="F49" s="68">
        <f>'Billing Detail'!H132</f>
        <v>6.43</v>
      </c>
      <c r="G49" s="68">
        <f>'Billing Detail'!L132</f>
        <v>7.02</v>
      </c>
      <c r="H49" s="39">
        <f t="shared" si="0"/>
        <v>0.58999999999999986</v>
      </c>
      <c r="I49" s="4">
        <f t="shared" si="1"/>
        <v>9.175738724727836E-2</v>
      </c>
    </row>
    <row r="50" spans="3:9" x14ac:dyDescent="0.2">
      <c r="D50" s="70"/>
      <c r="E50" s="2" t="str">
        <f>'Billing Detail'!D133</f>
        <v>Demand Charge -Excess per kW</v>
      </c>
      <c r="F50" s="68">
        <f>'Billing Detail'!H133</f>
        <v>9.32</v>
      </c>
      <c r="G50" s="68">
        <f>'Billing Detail'!L133</f>
        <v>10.18</v>
      </c>
      <c r="H50" s="39">
        <f t="shared" si="0"/>
        <v>0.85999999999999943</v>
      </c>
      <c r="I50" s="4">
        <f t="shared" si="1"/>
        <v>9.2274678111587918E-2</v>
      </c>
    </row>
    <row r="51" spans="3:9" x14ac:dyDescent="0.2">
      <c r="D51" s="70"/>
      <c r="E51" s="2" t="str">
        <f>'Billing Detail'!D134</f>
        <v>Energy Charge per kWh</v>
      </c>
      <c r="F51" s="64">
        <f>'Billing Detail'!H134</f>
        <v>5.6770000000000001E-2</v>
      </c>
      <c r="G51" s="64">
        <f>'Billing Detail'!L134</f>
        <v>6.1720343999999996E-2</v>
      </c>
      <c r="H51" s="39">
        <f t="shared" si="0"/>
        <v>4.9503439999999954E-3</v>
      </c>
      <c r="I51" s="4">
        <f t="shared" si="1"/>
        <v>8.7199999999999916E-2</v>
      </c>
    </row>
    <row r="52" spans="3:9" x14ac:dyDescent="0.2">
      <c r="C52" s="10" t="str">
        <f>'Billing Detail'!C135</f>
        <v>B3</v>
      </c>
      <c r="D52" s="70" t="str">
        <f>'Billing Detail'!B135</f>
        <v>Large Industrial</v>
      </c>
      <c r="F52" s="68"/>
      <c r="G52" s="68"/>
      <c r="H52" s="39"/>
      <c r="I52" s="4"/>
    </row>
    <row r="53" spans="3:9" x14ac:dyDescent="0.2">
      <c r="D53" s="69"/>
      <c r="E53" s="2" t="str">
        <f>'Billing Detail'!D136</f>
        <v>Customer Charge</v>
      </c>
      <c r="F53" s="68">
        <f>'Billing Detail'!H136</f>
        <v>3542.66</v>
      </c>
      <c r="G53" s="68">
        <f>'Billing Detail'!L136</f>
        <v>3851.5799519999996</v>
      </c>
      <c r="H53" s="39">
        <f t="shared" si="0"/>
        <v>308.91995199999974</v>
      </c>
      <c r="I53" s="4">
        <f t="shared" si="1"/>
        <v>8.719999999999993E-2</v>
      </c>
    </row>
    <row r="54" spans="3:9" x14ac:dyDescent="0.2">
      <c r="E54" s="2" t="str">
        <f>'Billing Detail'!D137</f>
        <v>Demand Charge -Contract per kW</v>
      </c>
      <c r="F54" s="68">
        <f>'Billing Detail'!H137</f>
        <v>6.43</v>
      </c>
      <c r="G54" s="68">
        <f>'Billing Detail'!L137</f>
        <v>7.02</v>
      </c>
      <c r="H54" s="39">
        <f t="shared" si="0"/>
        <v>0.58999999999999986</v>
      </c>
      <c r="I54" s="4">
        <f t="shared" si="1"/>
        <v>9.175738724727836E-2</v>
      </c>
    </row>
    <row r="55" spans="3:9" x14ac:dyDescent="0.2">
      <c r="E55" s="2" t="str">
        <f>'Billing Detail'!D138</f>
        <v>Demand Charge -Excess per kW</v>
      </c>
      <c r="F55" s="68">
        <f>'Billing Detail'!H138</f>
        <v>9.32</v>
      </c>
      <c r="G55" s="68">
        <f>'Billing Detail'!L138</f>
        <v>10.18</v>
      </c>
      <c r="H55" s="39">
        <f t="shared" si="0"/>
        <v>0.85999999999999943</v>
      </c>
      <c r="I55" s="4">
        <f t="shared" si="1"/>
        <v>9.2274678111587918E-2</v>
      </c>
    </row>
    <row r="56" spans="3:9" x14ac:dyDescent="0.2">
      <c r="E56" s="2" t="str">
        <f>'Billing Detail'!D139</f>
        <v>Energy Charge per kWh</v>
      </c>
      <c r="F56" s="64">
        <f>'Billing Detail'!H139</f>
        <v>5.5590000000000001E-2</v>
      </c>
      <c r="G56" s="64">
        <f>'Billing Detail'!L139</f>
        <v>6.0437447999999998E-2</v>
      </c>
      <c r="H56" s="39">
        <f t="shared" si="0"/>
        <v>4.8474479999999973E-3</v>
      </c>
      <c r="I56" s="4">
        <f t="shared" si="1"/>
        <v>8.7199999999999944E-2</v>
      </c>
    </row>
    <row r="57" spans="3:9" x14ac:dyDescent="0.2">
      <c r="D57" s="70" t="str">
        <f>'Billing Detail'!B140</f>
        <v>Interruptible Service</v>
      </c>
      <c r="F57" s="64"/>
      <c r="G57" s="64"/>
      <c r="H57" s="39"/>
      <c r="I57" s="4"/>
    </row>
    <row r="58" spans="3:9" x14ac:dyDescent="0.2">
      <c r="E58" s="2" t="str">
        <f>'Billing Detail'!D141</f>
        <v>Demand Credit per kW - 200 Hrs</v>
      </c>
      <c r="F58" s="162">
        <f>'Billing Detail'!H141</f>
        <v>4.2</v>
      </c>
      <c r="G58" s="162">
        <f>'Billing Detail'!L141</f>
        <v>6.2</v>
      </c>
      <c r="H58" s="39">
        <f t="shared" ref="H58:H60" si="4">G58-F58</f>
        <v>2</v>
      </c>
      <c r="I58" s="4">
        <f t="shared" ref="I58:I60" si="5">H58/F58</f>
        <v>0.47619047619047616</v>
      </c>
    </row>
    <row r="59" spans="3:9" x14ac:dyDescent="0.2">
      <c r="E59" s="2" t="str">
        <f>'Billing Detail'!D142</f>
        <v>Demand Credit per kW - 300 Hrs</v>
      </c>
      <c r="F59" s="162">
        <f>'Billing Detail'!H142</f>
        <v>4.9000000000000004</v>
      </c>
      <c r="G59" s="162">
        <f>'Billing Detail'!L142</f>
        <v>6.9</v>
      </c>
      <c r="H59" s="39">
        <f t="shared" si="4"/>
        <v>2</v>
      </c>
      <c r="I59" s="4">
        <f t="shared" si="5"/>
        <v>0.4081632653061224</v>
      </c>
    </row>
    <row r="60" spans="3:9" x14ac:dyDescent="0.2">
      <c r="E60" s="2" t="str">
        <f>'Billing Detail'!D143</f>
        <v>Demand Credit per kW - 400 Hrs</v>
      </c>
      <c r="F60" s="162">
        <f>'Billing Detail'!H143</f>
        <v>5.6</v>
      </c>
      <c r="G60" s="162">
        <f>'Billing Detail'!L143</f>
        <v>7.6</v>
      </c>
      <c r="H60" s="39">
        <f t="shared" si="4"/>
        <v>2</v>
      </c>
      <c r="I60" s="4">
        <f t="shared" si="5"/>
        <v>0.35714285714285715</v>
      </c>
    </row>
    <row r="61" spans="3:9" x14ac:dyDescent="0.2">
      <c r="F61" s="39"/>
      <c r="G61" s="39"/>
    </row>
    <row r="62" spans="3:9" ht="41.45" customHeight="1" x14ac:dyDescent="0.2">
      <c r="C62" s="158" t="s">
        <v>51</v>
      </c>
      <c r="D62" s="158"/>
      <c r="E62" s="158"/>
      <c r="F62" s="158"/>
      <c r="G62" s="158"/>
    </row>
    <row r="63" spans="3:9" x14ac:dyDescent="0.2">
      <c r="D63" s="2"/>
      <c r="F63" s="159" t="s">
        <v>52</v>
      </c>
      <c r="G63" s="159"/>
    </row>
    <row r="64" spans="3:9" x14ac:dyDescent="0.2">
      <c r="C64" s="56" t="s">
        <v>53</v>
      </c>
      <c r="D64" s="46"/>
      <c r="E64" s="47"/>
      <c r="F64" s="48" t="s">
        <v>54</v>
      </c>
      <c r="G64" s="48" t="s">
        <v>55</v>
      </c>
    </row>
    <row r="65" spans="3:8" x14ac:dyDescent="0.2">
      <c r="C65" s="57" t="str">
        <f>Summary!C10</f>
        <v>A</v>
      </c>
      <c r="D65" s="3" t="str">
        <f>Summary!B10</f>
        <v>Residential Farm and Home</v>
      </c>
      <c r="F65" s="49">
        <f>Summary!L10</f>
        <v>1342422.0187689979</v>
      </c>
      <c r="G65" s="50">
        <f>Summary!N10</f>
        <v>3.4208403671335888E-2</v>
      </c>
    </row>
    <row r="66" spans="3:8" x14ac:dyDescent="0.2">
      <c r="C66" s="57" t="str">
        <f>Summary!C11</f>
        <v>ETS</v>
      </c>
      <c r="D66" s="3" t="str">
        <f>Summary!B11</f>
        <v>Residential ETS</v>
      </c>
      <c r="F66" s="49">
        <f>Summary!L11</f>
        <v>682.05207999999948</v>
      </c>
      <c r="G66" s="50">
        <f>Summary!N11</f>
        <v>3.2305059639813151E-2</v>
      </c>
      <c r="H66" s="1"/>
    </row>
    <row r="67" spans="3:8" x14ac:dyDescent="0.2">
      <c r="C67" s="57" t="str">
        <f>Summary!C12</f>
        <v>GP1</v>
      </c>
      <c r="D67" s="3" t="str">
        <f>Summary!B12</f>
        <v>Small Commercial Part 1 &lt; 50 KVA</v>
      </c>
      <c r="F67" s="49">
        <f>Summary!L12</f>
        <v>168400.9692799995</v>
      </c>
      <c r="G67" s="50">
        <f>Summary!N12</f>
        <v>3.3985883671349935E-2</v>
      </c>
      <c r="H67" s="1"/>
    </row>
    <row r="68" spans="3:8" x14ac:dyDescent="0.2">
      <c r="C68" s="57" t="str">
        <f>Summary!C13</f>
        <v>GP2</v>
      </c>
      <c r="D68" s="3" t="str">
        <f>Summary!B13</f>
        <v>Small Commercial Part 2 &gt; 50 KVA</v>
      </c>
      <c r="F68" s="49">
        <f>Summary!L13</f>
        <v>307248.77513999899</v>
      </c>
      <c r="G68" s="50">
        <f>Summary!N13</f>
        <v>3.3682253948089096E-2</v>
      </c>
      <c r="H68" s="1"/>
    </row>
    <row r="69" spans="3:8" x14ac:dyDescent="0.2">
      <c r="C69" s="57" t="str">
        <f>Summary!C18</f>
        <v>B1</v>
      </c>
      <c r="D69" s="3" t="str">
        <f>Summary!B18</f>
        <v>Large Industrial</v>
      </c>
      <c r="F69" s="49">
        <f>Summary!L18</f>
        <v>201587.54979999998</v>
      </c>
      <c r="G69" s="50">
        <f>Summary!N18</f>
        <v>8.1753232812996776E-2</v>
      </c>
      <c r="H69" s="1"/>
    </row>
    <row r="70" spans="3:8" x14ac:dyDescent="0.2">
      <c r="C70" s="57" t="str">
        <f>Summary!C14</f>
        <v>Special</v>
      </c>
      <c r="D70" s="3" t="str">
        <f>Summary!B14</f>
        <v>Tennessee Gas / Kinder Morgan</v>
      </c>
      <c r="F70" s="49">
        <f>Summary!L14</f>
        <v>0</v>
      </c>
      <c r="G70" s="50">
        <f>Summary!N14</f>
        <v>0</v>
      </c>
      <c r="H70" s="1"/>
    </row>
    <row r="71" spans="3:8" x14ac:dyDescent="0.2">
      <c r="C71" s="57" t="str">
        <f>Summary!C15</f>
        <v>SL</v>
      </c>
      <c r="D71" s="3" t="str">
        <f>Summary!B15</f>
        <v>Lighting</v>
      </c>
      <c r="F71" s="49">
        <f>Summary!L15</f>
        <v>24192.249999999884</v>
      </c>
      <c r="G71" s="50">
        <f>Summary!N15</f>
        <v>3.769631815862351E-2</v>
      </c>
      <c r="H71" s="1"/>
    </row>
    <row r="72" spans="3:8" x14ac:dyDescent="0.2">
      <c r="C72" s="61" t="s">
        <v>56</v>
      </c>
      <c r="D72" s="18"/>
      <c r="E72" s="18"/>
      <c r="F72" s="51">
        <f>Summary!L29</f>
        <v>2044533.615068987</v>
      </c>
      <c r="G72" s="52">
        <f>Summary!N29</f>
        <v>3.3435159304183802E-2</v>
      </c>
    </row>
    <row r="73" spans="3:8" x14ac:dyDescent="0.2">
      <c r="C73" s="57"/>
      <c r="D73" s="2"/>
      <c r="F73" s="53"/>
      <c r="G73" s="54"/>
    </row>
    <row r="74" spans="3:8" x14ac:dyDescent="0.2">
      <c r="D74" s="2"/>
    </row>
    <row r="75" spans="3:8" ht="40.15" customHeight="1" x14ac:dyDescent="0.2">
      <c r="C75" s="158" t="s">
        <v>57</v>
      </c>
      <c r="D75" s="158"/>
      <c r="E75" s="158"/>
      <c r="F75" s="158"/>
      <c r="G75" s="158"/>
      <c r="H75" s="145"/>
    </row>
    <row r="76" spans="3:8" x14ac:dyDescent="0.2">
      <c r="D76" s="2"/>
      <c r="E76" s="55" t="s">
        <v>18</v>
      </c>
      <c r="F76" s="159" t="s">
        <v>52</v>
      </c>
      <c r="G76" s="159"/>
    </row>
    <row r="77" spans="3:8" x14ac:dyDescent="0.2">
      <c r="C77" s="56" t="s">
        <v>53</v>
      </c>
      <c r="D77" s="47"/>
      <c r="E77" s="56" t="s">
        <v>58</v>
      </c>
      <c r="F77" s="48" t="s">
        <v>54</v>
      </c>
      <c r="G77" s="48" t="s">
        <v>55</v>
      </c>
    </row>
    <row r="78" spans="3:8" x14ac:dyDescent="0.2">
      <c r="C78" s="10" t="str">
        <f>Summary!C10</f>
        <v>A</v>
      </c>
      <c r="D78" s="67" t="str">
        <f>Summary!B10</f>
        <v>Residential Farm and Home</v>
      </c>
      <c r="E78" s="58">
        <f>'Billing Detail'!E17</f>
        <v>980.42976642057897</v>
      </c>
      <c r="F78" s="39">
        <f>'Billing Detail'!N17</f>
        <v>4.5628951977845418</v>
      </c>
      <c r="G78" s="4">
        <f>Summary!N10</f>
        <v>3.4208403671335888E-2</v>
      </c>
    </row>
    <row r="79" spans="3:8" x14ac:dyDescent="0.2">
      <c r="C79" s="10" t="str">
        <f>Summary!C11</f>
        <v>ETS</v>
      </c>
      <c r="D79" s="67" t="str">
        <f>Summary!B11</f>
        <v>Residential ETS</v>
      </c>
      <c r="E79" s="59" t="s">
        <v>59</v>
      </c>
      <c r="F79" s="39">
        <v>0</v>
      </c>
      <c r="G79" s="4">
        <f>Summary!N11</f>
        <v>3.2305059639813151E-2</v>
      </c>
    </row>
    <row r="80" spans="3:8" x14ac:dyDescent="0.2">
      <c r="C80" s="10" t="str">
        <f>Summary!C12</f>
        <v>GP1</v>
      </c>
      <c r="D80" s="67" t="str">
        <f>Summary!B12</f>
        <v>Small Commercial Part 1 &lt; 50 KVA</v>
      </c>
      <c r="E80" s="58">
        <f>'Billing Detail'!E41</f>
        <v>1084.5242829390927</v>
      </c>
      <c r="F80" s="39">
        <f>'Billing Detail'!N41</f>
        <v>4.8109064472631644</v>
      </c>
      <c r="G80" s="4">
        <f>Summary!N12</f>
        <v>3.3985883671349935E-2</v>
      </c>
    </row>
    <row r="81" spans="3:7" x14ac:dyDescent="0.2">
      <c r="C81" s="10" t="str">
        <f>Summary!C13</f>
        <v>GP2</v>
      </c>
      <c r="D81" s="67" t="str">
        <f>Summary!B13</f>
        <v>Small Commercial Part 2 &gt; 50 KVA</v>
      </c>
      <c r="E81" s="58">
        <f>'Billing Detail'!E54</f>
        <v>19227.224711316398</v>
      </c>
      <c r="F81" s="39">
        <f>'Billing Detail'!N54</f>
        <v>70.958146683602536</v>
      </c>
      <c r="G81" s="4">
        <f>Summary!N13</f>
        <v>3.3682253948089096E-2</v>
      </c>
    </row>
    <row r="82" spans="3:7" x14ac:dyDescent="0.2">
      <c r="C82" s="10" t="str">
        <f>Summary!C18</f>
        <v>B1</v>
      </c>
      <c r="D82" s="67" t="str">
        <f>Summary!B18</f>
        <v>Large Industrial</v>
      </c>
      <c r="E82" s="58">
        <f>'Billing Detail'!E68</f>
        <v>456195.91666666669</v>
      </c>
      <c r="F82" s="39">
        <f>'Billing Detail'!N68</f>
        <v>3359.7924966666687</v>
      </c>
      <c r="G82" s="4">
        <f>Summary!N18</f>
        <v>8.1753232812996776E-2</v>
      </c>
    </row>
    <row r="83" spans="3:7" x14ac:dyDescent="0.2">
      <c r="C83" s="10" t="str">
        <f>Summary!C14</f>
        <v>Special</v>
      </c>
      <c r="D83" s="67" t="str">
        <f>Summary!B14</f>
        <v>Tennessee Gas / Kinder Morgan</v>
      </c>
      <c r="E83" s="58">
        <v>0</v>
      </c>
      <c r="F83" s="39">
        <f>'Billing Detail'!N81</f>
        <v>0</v>
      </c>
      <c r="G83" s="4">
        <f>Summary!N14</f>
        <v>0</v>
      </c>
    </row>
    <row r="84" spans="3:7" x14ac:dyDescent="0.2">
      <c r="C84" s="10" t="str">
        <f>Summary!C15</f>
        <v>SL</v>
      </c>
      <c r="D84" s="67" t="str">
        <f>Summary!B15</f>
        <v>Lighting</v>
      </c>
      <c r="E84" s="63" t="s">
        <v>59</v>
      </c>
      <c r="F84" s="62" t="s">
        <v>59</v>
      </c>
      <c r="G84" s="4">
        <f>Summary!N15</f>
        <v>3.769631815862351E-2</v>
      </c>
    </row>
  </sheetData>
  <mergeCells count="4">
    <mergeCell ref="C62:G62"/>
    <mergeCell ref="F63:G63"/>
    <mergeCell ref="F76:G76"/>
    <mergeCell ref="C75:G75"/>
  </mergeCells>
  <printOptions horizontalCentered="1"/>
  <pageMargins left="0.7" right="0.7" top="0.75" bottom="0.75" header="0.3" footer="0.3"/>
  <pageSetup paperSize="9" scale="86" orientation="portrait" r:id="rId1"/>
  <headerFooter>
    <oddHeader>&amp;R&amp;"Arial,Bold"&amp;10Exhibit 3
Page &amp;Pof 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Summary</vt:lpstr>
      <vt:lpstr>Billing Detail</vt:lpstr>
      <vt:lpstr>Notice Table</vt:lpstr>
      <vt:lpstr>'Billing Detail'!Print_Area</vt:lpstr>
      <vt:lpstr>'Notice Table'!Print_Area</vt:lpstr>
      <vt:lpstr>Summary!Print_Area</vt:lpstr>
      <vt:lpstr>'Billing Detail'!Print_Titles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Wolfram</dc:creator>
  <cp:lastModifiedBy>John Wolfram</cp:lastModifiedBy>
  <cp:lastPrinted>2021-03-24T19:29:18Z</cp:lastPrinted>
  <dcterms:created xsi:type="dcterms:W3CDTF">2021-02-09T02:13:44Z</dcterms:created>
  <dcterms:modified xsi:type="dcterms:W3CDTF">2025-12-02T20:39:48Z</dcterms:modified>
</cp:coreProperties>
</file>