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Revenue Requirement TABLE" sheetId="65" r:id="rId1"/>
    <sheet name="Revenue Requirement" sheetId="6" r:id="rId2"/>
    <sheet name="1.30 - As Filed And Adj Rev Inc" sheetId="31" r:id="rId3"/>
    <sheet name="Capacity Revenues" sheetId="42" r:id="rId4"/>
    <sheet name="Interest Expense ES Removal" sheetId="26" r:id="rId5"/>
    <sheet name="Table 2 ES Inter Exp " sheetId="62" r:id="rId6"/>
    <sheet name="Forced Outage Claims &amp; Expense" sheetId="49" r:id="rId7"/>
    <sheet name="Deferred Cost Amortization" sheetId="58" r:id="rId8"/>
    <sheet name="Dues" sheetId="18" r:id="rId9"/>
    <sheet name="Interest Exp - ST Investments" sheetId="38" r:id="rId10"/>
    <sheet name="Generation Outage Exp Normal" sheetId="52" r:id="rId11"/>
    <sheet name="Table 1 Gener Maint" sheetId="64" r:id="rId12"/>
    <sheet name="Generation Maintenance Summary" sheetId="63" r:id="rId13"/>
    <sheet name="As Filed Depr Summary" sheetId="54" r:id="rId14"/>
    <sheet name="Depr Summary Adj 1,2 and 3" sheetId="55" r:id="rId15"/>
    <sheet name="Adj 1 Response to AG-Nucor 1-43" sheetId="57" r:id="rId16"/>
    <sheet name="AG-Nucor 1-43 With Formulas" sheetId="59" r:id="rId17"/>
    <sheet name="Adj 2 Depr-No Int NS or Retire " sheetId="60" r:id="rId18"/>
    <sheet name="Adj 3 Depr-Extend Lifespans" sheetId="61" r:id="rId19"/>
  </sheets>
  <definedNames>
    <definedName name="\\" localSheetId="17" hidden="1">#REF!</definedName>
    <definedName name="\\" localSheetId="18" hidden="1">#REF!</definedName>
    <definedName name="\\" localSheetId="16" hidden="1">#REF!</definedName>
    <definedName name="\\" localSheetId="14" hidden="1">#REF!</definedName>
    <definedName name="\\" localSheetId="0" hidden="1">#REF!</definedName>
    <definedName name="\\" hidden="1">#REF!</definedName>
    <definedName name="\\\" localSheetId="17" hidden="1">#REF!</definedName>
    <definedName name="\\\" localSheetId="18" hidden="1">#REF!</definedName>
    <definedName name="\\\" localSheetId="16" hidden="1">#REF!</definedName>
    <definedName name="\\\" localSheetId="14" hidden="1">#REF!</definedName>
    <definedName name="\\\" localSheetId="0" hidden="1">#REF!</definedName>
    <definedName name="\\\" hidden="1">#REF!</definedName>
    <definedName name="\\\\" localSheetId="17" hidden="1">#REF!</definedName>
    <definedName name="\\\\" localSheetId="18" hidden="1">#REF!</definedName>
    <definedName name="\\\\" localSheetId="16" hidden="1">#REF!</definedName>
    <definedName name="\\\\" localSheetId="14" hidden="1">#REF!</definedName>
    <definedName name="\\\\" localSheetId="10" hidden="1">#REF!</definedName>
    <definedName name="\\\\" localSheetId="0" hidden="1">#REF!</definedName>
    <definedName name="\\\\" hidden="1">#REF!</definedName>
    <definedName name="__123Graph_A" localSheetId="17" hidden="1">#REF!</definedName>
    <definedName name="__123Graph_A" localSheetId="18" hidden="1">#REF!</definedName>
    <definedName name="__123Graph_A" localSheetId="16" hidden="1">#REF!</definedName>
    <definedName name="__123Graph_A" localSheetId="14" hidden="1">#REF!</definedName>
    <definedName name="__123Graph_A" localSheetId="0" hidden="1">#REF!</definedName>
    <definedName name="__123Graph_A" hidden="1">#REF!</definedName>
    <definedName name="__123Graph_B" localSheetId="17" hidden="1">#REF!</definedName>
    <definedName name="__123Graph_B" localSheetId="18" hidden="1">#REF!</definedName>
    <definedName name="__123Graph_B" localSheetId="16" hidden="1">#REF!</definedName>
    <definedName name="__123Graph_B" localSheetId="14" hidden="1">#REF!</definedName>
    <definedName name="__123Graph_B" localSheetId="0" hidden="1">#REF!</definedName>
    <definedName name="__123Graph_B" hidden="1">#REF!</definedName>
    <definedName name="__123Graph_C" localSheetId="17" hidden="1">#REF!</definedName>
    <definedName name="__123Graph_C" localSheetId="18" hidden="1">#REF!</definedName>
    <definedName name="__123Graph_C" localSheetId="16" hidden="1">#REF!</definedName>
    <definedName name="__123Graph_C" localSheetId="14" hidden="1">#REF!</definedName>
    <definedName name="__123Graph_C" localSheetId="10" hidden="1">#REF!</definedName>
    <definedName name="__123Graph_C" localSheetId="0" hidden="1">#REF!</definedName>
    <definedName name="__123Graph_C" hidden="1">#REF!</definedName>
    <definedName name="__123Graph_D" localSheetId="17" hidden="1">#REF!</definedName>
    <definedName name="__123Graph_D" localSheetId="18" hidden="1">#REF!</definedName>
    <definedName name="__123Graph_D" localSheetId="16" hidden="1">#REF!</definedName>
    <definedName name="__123Graph_D" localSheetId="14" hidden="1">#REF!</definedName>
    <definedName name="__123Graph_D" localSheetId="0" hidden="1">#REF!</definedName>
    <definedName name="__123Graph_D" hidden="1">#REF!</definedName>
    <definedName name="__123Graph_E" localSheetId="17" hidden="1">#REF!</definedName>
    <definedName name="__123Graph_E" localSheetId="18" hidden="1">#REF!</definedName>
    <definedName name="__123Graph_E" localSheetId="16" hidden="1">#REF!</definedName>
    <definedName name="__123Graph_E" localSheetId="14" hidden="1">#REF!</definedName>
    <definedName name="__123Graph_E" localSheetId="10" hidden="1">#REF!</definedName>
    <definedName name="__123Graph_E" localSheetId="0" hidden="1">#REF!</definedName>
    <definedName name="__123Graph_E" hidden="1">#REF!</definedName>
    <definedName name="__123Graph_F" localSheetId="17" hidden="1">#REF!</definedName>
    <definedName name="__123Graph_F" localSheetId="18" hidden="1">#REF!</definedName>
    <definedName name="__123Graph_F" localSheetId="16" hidden="1">#REF!</definedName>
    <definedName name="__123Graph_F" localSheetId="14" hidden="1">#REF!</definedName>
    <definedName name="__123Graph_F" localSheetId="0" hidden="1">#REF!</definedName>
    <definedName name="__123Graph_F" hidden="1">#REF!</definedName>
    <definedName name="__123Graph_X" localSheetId="17" hidden="1">#REF!</definedName>
    <definedName name="__123Graph_X" localSheetId="18" hidden="1">#REF!</definedName>
    <definedName name="__123Graph_X" localSheetId="16" hidden="1">#REF!</definedName>
    <definedName name="__123Graph_X" localSheetId="14" hidden="1">#REF!</definedName>
    <definedName name="__123Graph_X" localSheetId="0" hidden="1">#REF!</definedName>
    <definedName name="__123Graph_X" hidden="1">#REF!</definedName>
    <definedName name="_xlnm._FilterDatabase" localSheetId="15" hidden="1">'Adj 1 Response to AG-Nucor 1-43'!$A$8:$W$281</definedName>
    <definedName name="_xlnm._FilterDatabase" localSheetId="17" hidden="1">'Adj 2 Depr-No Int NS or Retire '!$A$8:$W$281</definedName>
    <definedName name="_xlnm._FilterDatabase" localSheetId="18" hidden="1">'Adj 3 Depr-Extend Lifespans'!$A$8:$W$281</definedName>
    <definedName name="_xlnm._FilterDatabase" localSheetId="16" hidden="1">'AG-Nucor 1-43 With Formulas'!$A$8:$W$281</definedName>
    <definedName name="_xlnm._FilterDatabase" localSheetId="13" hidden="1">'As Filed Depr Summary'!$A$8:$Q$281</definedName>
    <definedName name="_xlnm._FilterDatabase" localSheetId="14" hidden="1">'Depr Summary Adj 1,2 and 3'!$A$9:$P$282</definedName>
    <definedName name="_Key1" localSheetId="17" hidden="1">#REF!</definedName>
    <definedName name="_Key1" localSheetId="18" hidden="1">#REF!</definedName>
    <definedName name="_Key1" localSheetId="16" hidden="1">#REF!</definedName>
    <definedName name="_Key1" localSheetId="14" hidden="1">#REF!</definedName>
    <definedName name="_Key1" localSheetId="0" hidden="1">#REF!</definedName>
    <definedName name="_Key1" hidden="1">#REF!</definedName>
    <definedName name="_Order1" hidden="1">0</definedName>
    <definedName name="_Order2" hidden="1">0</definedName>
    <definedName name="_Sort" localSheetId="17" hidden="1">#REF!</definedName>
    <definedName name="_Sort" localSheetId="18" hidden="1">#REF!</definedName>
    <definedName name="_Sort" localSheetId="16" hidden="1">#REF!</definedName>
    <definedName name="_Sort" localSheetId="14" hidden="1">#REF!</definedName>
    <definedName name="_Sort" localSheetId="0" hidden="1">#REF!</definedName>
    <definedName name="_Sort" hidden="1">#REF!</definedName>
    <definedName name="_xlnm.Print_Area" localSheetId="15">'Adj 1 Response to AG-Nucor 1-43'!$A$1:$U$279</definedName>
    <definedName name="_xlnm.Print_Area" localSheetId="17">'Adj 2 Depr-No Int NS or Retire '!$A$1:$U$279</definedName>
    <definedName name="_xlnm.Print_Area" localSheetId="18">'Adj 3 Depr-Extend Lifespans'!$A$1:$U$279</definedName>
    <definedName name="_xlnm.Print_Area" localSheetId="16">'AG-Nucor 1-43 With Formulas'!$A$1:$U$279</definedName>
    <definedName name="_xlnm.Print_Area" localSheetId="13">'As Filed Depr Summary'!$A$1:$O$279</definedName>
    <definedName name="_xlnm.Print_Area" localSheetId="14">'Depr Summary Adj 1,2 and 3'!$A$1:$O$280</definedName>
    <definedName name="_xlnm.Print_Area" localSheetId="12">'Generation Maintenance Summary'!$A$1:$D$66</definedName>
    <definedName name="_xlnm.Print_Area" localSheetId="9">'Interest Exp - ST Investments'!$A$1:$I$21</definedName>
    <definedName name="_xlnm.Print_Area" localSheetId="1">'Revenue Requirement'!$A$1:$H$28</definedName>
    <definedName name="_xlnm.Print_Area" localSheetId="0">'Revenue Requirement TABLE'!$A$1:$H$32</definedName>
    <definedName name="_xlnm.Print_Area" localSheetId="5">'Table 2 ES Inter Exp '!$A$1:$K$21</definedName>
    <definedName name="_xlnm.Print_Titles" localSheetId="15">'Adj 1 Response to AG-Nucor 1-43'!$1:$10</definedName>
    <definedName name="_xlnm.Print_Titles" localSheetId="17">'Adj 2 Depr-No Int NS or Retire '!$1:$10</definedName>
    <definedName name="_xlnm.Print_Titles" localSheetId="18">'Adj 3 Depr-Extend Lifespans'!$1:$10</definedName>
    <definedName name="_xlnm.Print_Titles" localSheetId="16">'AG-Nucor 1-43 With Formulas'!$1:$10</definedName>
    <definedName name="_xlnm.Print_Titles" localSheetId="13">'As Filed Depr Summary'!$1:$10</definedName>
    <definedName name="_xlnm.Print_Titles" localSheetId="14">'Depr Summary Adj 1,2 and 3'!$1:$11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Operating_Graphs_Stats." hidden="1">{#N/A,#N/A,TRUE,"Operating Graphs";#N/A,#N/A,TRUE,"Stats"}</definedName>
    <definedName name="wrn.Print._.All." hidden="1">{#N/A,#N/A,FALSE,"Summary";#N/A,#N/A,FALSE,"City Gate";#N/A,#N/A,FALSE,"Ind Trans";#N/A,#N/A,FALSE,"Electric Gen"}</definedName>
    <definedName name="wrn.printb1." hidden="1">{#N/A,#N/A,FALSE,"B-1";#N/A,#N/A,FALSE,"B-1(P2)";#N/A,#N/A,FALSE,"B-1(P3)";#N/A,#N/A,FALSE,"B-1(P4)"}</definedName>
    <definedName name="wrn.printb1.4." hidden="1">{"page1",#N/A,FALSE,"B-1_4";"page2",#N/A,FALSE,"B-1_4";"page3",#N/A,FALSE,"B-1_4";"page4",#N/A,FALSE,"B-1_4";"page5",#N/A,FALSE,"B-1_4";"page6",#N/A,FALSE,"B-1_4";"page7",#N/A,FALSE,"B-1_4";"page8",#N/A,FALSE,"B-1_4"}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</definedNames>
  <calcPr calcId="145621"/>
</workbook>
</file>

<file path=xl/calcChain.xml><?xml version="1.0" encoding="utf-8"?>
<calcChain xmlns="http://schemas.openxmlformats.org/spreadsheetml/2006/main">
  <c r="E26" i="65" l="1"/>
  <c r="C26" i="65"/>
  <c r="E25" i="65"/>
  <c r="C25" i="65"/>
  <c r="E24" i="65"/>
  <c r="C24" i="65"/>
  <c r="E23" i="65"/>
  <c r="C23" i="65"/>
  <c r="E22" i="65"/>
  <c r="C22" i="65"/>
  <c r="E21" i="65"/>
  <c r="C21" i="65"/>
  <c r="E20" i="65"/>
  <c r="C20" i="65"/>
  <c r="E19" i="65"/>
  <c r="C19" i="65"/>
  <c r="E18" i="65"/>
  <c r="C18" i="65"/>
  <c r="E17" i="65"/>
  <c r="C17" i="65"/>
  <c r="C16" i="65"/>
  <c r="D22" i="6"/>
  <c r="H22" i="6" s="1"/>
  <c r="D21" i="6"/>
  <c r="F22" i="6"/>
  <c r="G18" i="64" l="1"/>
  <c r="G17" i="64"/>
  <c r="G16" i="64"/>
  <c r="G15" i="64"/>
  <c r="G14" i="64"/>
  <c r="G22" i="64" l="1"/>
  <c r="G20" i="64"/>
  <c r="G24" i="64" l="1"/>
  <c r="D15" i="6" l="1"/>
  <c r="F40" i="52"/>
  <c r="F37" i="52"/>
  <c r="D63" i="63"/>
  <c r="D59" i="63"/>
  <c r="D61" i="63" s="1"/>
  <c r="D65" i="63" s="1"/>
  <c r="D49" i="63"/>
  <c r="D52" i="63" s="1"/>
  <c r="D43" i="63"/>
  <c r="D37" i="63"/>
  <c r="D12" i="63"/>
  <c r="D20" i="63" s="1"/>
  <c r="D25" i="63" s="1"/>
  <c r="F33" i="52" s="1"/>
  <c r="D54" i="63" l="1"/>
  <c r="D66" i="63" s="1"/>
  <c r="M12" i="62" l="1"/>
  <c r="J16" i="62" l="1"/>
  <c r="J20" i="62" s="1"/>
  <c r="H16" i="62"/>
  <c r="H20" i="62" s="1"/>
  <c r="F16" i="62"/>
  <c r="F20" i="62" s="1"/>
  <c r="D20" i="62"/>
  <c r="D16" i="62"/>
  <c r="G12" i="31" l="1"/>
  <c r="F15" i="6"/>
  <c r="H15" i="6" s="1"/>
  <c r="D24" i="6"/>
  <c r="I33" i="26"/>
  <c r="I31" i="26"/>
  <c r="I28" i="26"/>
  <c r="I24" i="26"/>
  <c r="D19" i="6" l="1"/>
  <c r="AI14" i="55"/>
  <c r="AA14" i="55"/>
  <c r="S14" i="55"/>
  <c r="U24" i="61"/>
  <c r="U23" i="61"/>
  <c r="U22" i="61"/>
  <c r="U21" i="61"/>
  <c r="U20" i="61"/>
  <c r="Q20" i="61" s="1"/>
  <c r="S20" i="61" s="1"/>
  <c r="AG21" i="55" s="1"/>
  <c r="AD24" i="61"/>
  <c r="AD23" i="61"/>
  <c r="AD22" i="61"/>
  <c r="AD21" i="61"/>
  <c r="AD20" i="61"/>
  <c r="X24" i="61"/>
  <c r="X23" i="61"/>
  <c r="X22" i="61"/>
  <c r="X21" i="61"/>
  <c r="X20" i="61"/>
  <c r="AK244" i="55"/>
  <c r="AI244" i="55"/>
  <c r="AK243" i="55"/>
  <c r="AI243" i="55"/>
  <c r="AK242" i="55"/>
  <c r="AI242" i="55"/>
  <c r="AK241" i="55"/>
  <c r="AI241" i="55"/>
  <c r="AK240" i="55"/>
  <c r="AI240" i="55"/>
  <c r="AK239" i="55"/>
  <c r="AI239" i="55"/>
  <c r="AK238" i="55"/>
  <c r="AI238" i="55"/>
  <c r="AK237" i="55"/>
  <c r="AI237" i="55"/>
  <c r="AK236" i="55"/>
  <c r="AI236" i="55"/>
  <c r="AK235" i="55"/>
  <c r="AI235" i="55"/>
  <c r="AK229" i="55"/>
  <c r="AI229" i="55"/>
  <c r="AK228" i="55"/>
  <c r="AI228" i="55"/>
  <c r="AK227" i="55"/>
  <c r="AI227" i="55"/>
  <c r="AK221" i="55"/>
  <c r="AI221" i="55"/>
  <c r="AK220" i="55"/>
  <c r="AI220" i="55"/>
  <c r="AK219" i="55"/>
  <c r="AI219" i="55"/>
  <c r="AK218" i="55"/>
  <c r="AI218" i="55"/>
  <c r="AK217" i="55"/>
  <c r="AI217" i="55"/>
  <c r="AK216" i="55"/>
  <c r="AI216" i="55"/>
  <c r="AC244" i="55"/>
  <c r="AA244" i="55"/>
  <c r="AC243" i="55"/>
  <c r="AA243" i="55"/>
  <c r="AC242" i="55"/>
  <c r="AA242" i="55"/>
  <c r="AC241" i="55"/>
  <c r="AA241" i="55"/>
  <c r="AC240" i="55"/>
  <c r="AA240" i="55"/>
  <c r="AC239" i="55"/>
  <c r="AA239" i="55"/>
  <c r="AC238" i="55"/>
  <c r="AA238" i="55"/>
  <c r="AC237" i="55"/>
  <c r="AA237" i="55"/>
  <c r="AC236" i="55"/>
  <c r="AA236" i="55"/>
  <c r="AC235" i="55"/>
  <c r="AA235" i="55"/>
  <c r="AC229" i="55"/>
  <c r="AA229" i="55"/>
  <c r="AC228" i="55"/>
  <c r="AA228" i="55"/>
  <c r="AC227" i="55"/>
  <c r="AA227" i="55"/>
  <c r="AC221" i="55"/>
  <c r="AA221" i="55"/>
  <c r="AC220" i="55"/>
  <c r="AA220" i="55"/>
  <c r="AC219" i="55"/>
  <c r="AA219" i="55"/>
  <c r="AC218" i="55"/>
  <c r="AA218" i="55"/>
  <c r="AC217" i="55"/>
  <c r="AA217" i="55"/>
  <c r="AC216" i="55"/>
  <c r="AA216" i="55"/>
  <c r="U244" i="55"/>
  <c r="S244" i="55"/>
  <c r="U243" i="55"/>
  <c r="S243" i="55"/>
  <c r="U242" i="55"/>
  <c r="S242" i="55"/>
  <c r="U241" i="55"/>
  <c r="S241" i="55"/>
  <c r="U240" i="55"/>
  <c r="S240" i="55"/>
  <c r="U239" i="55"/>
  <c r="S239" i="55"/>
  <c r="U238" i="55"/>
  <c r="S238" i="55"/>
  <c r="U237" i="55"/>
  <c r="S237" i="55"/>
  <c r="U236" i="55"/>
  <c r="S236" i="55"/>
  <c r="U235" i="55"/>
  <c r="S235" i="55"/>
  <c r="U229" i="55"/>
  <c r="S229" i="55"/>
  <c r="U228" i="55"/>
  <c r="S228" i="55"/>
  <c r="U227" i="55"/>
  <c r="S227" i="55"/>
  <c r="U221" i="55"/>
  <c r="S221" i="55"/>
  <c r="U220" i="55"/>
  <c r="S220" i="55"/>
  <c r="U219" i="55"/>
  <c r="S219" i="55"/>
  <c r="U218" i="55"/>
  <c r="S218" i="55"/>
  <c r="U217" i="55"/>
  <c r="S217" i="55"/>
  <c r="U216" i="55"/>
  <c r="S216" i="55"/>
  <c r="AG24" i="55"/>
  <c r="AG38" i="55"/>
  <c r="AG34" i="55"/>
  <c r="AG32" i="55"/>
  <c r="AG31" i="55"/>
  <c r="AG53" i="55"/>
  <c r="AG49" i="55"/>
  <c r="AG47" i="55"/>
  <c r="AG46" i="55"/>
  <c r="AG45" i="55"/>
  <c r="AG62" i="55"/>
  <c r="AG60" i="55"/>
  <c r="AG76" i="55"/>
  <c r="AG72" i="55"/>
  <c r="AG71" i="55"/>
  <c r="AG70" i="55"/>
  <c r="AG69" i="55"/>
  <c r="AG87" i="55"/>
  <c r="AG85" i="55"/>
  <c r="AG84" i="55"/>
  <c r="AG83" i="55"/>
  <c r="AG116" i="55"/>
  <c r="AG115" i="55"/>
  <c r="AG114" i="55"/>
  <c r="AG113" i="55"/>
  <c r="AG112" i="55"/>
  <c r="AG111" i="55"/>
  <c r="AG110" i="55"/>
  <c r="AG109" i="55"/>
  <c r="AG108" i="55"/>
  <c r="AG127" i="55"/>
  <c r="AG126" i="55"/>
  <c r="AG122" i="55"/>
  <c r="AG149" i="55"/>
  <c r="AG148" i="55"/>
  <c r="AG147" i="55"/>
  <c r="AG146" i="55"/>
  <c r="AG145" i="55"/>
  <c r="AG144" i="55"/>
  <c r="AG143" i="55"/>
  <c r="AG142" i="55"/>
  <c r="AG139" i="55"/>
  <c r="AG173" i="55"/>
  <c r="AG172" i="55"/>
  <c r="AG171" i="55"/>
  <c r="AG170" i="55"/>
  <c r="AG169" i="55"/>
  <c r="AG168" i="55"/>
  <c r="AG167" i="55"/>
  <c r="AG166" i="55"/>
  <c r="AG165" i="55"/>
  <c r="AG164" i="55"/>
  <c r="AG155" i="55"/>
  <c r="AG196" i="55"/>
  <c r="AG195" i="55"/>
  <c r="AG194" i="55"/>
  <c r="AG193" i="55"/>
  <c r="AG192" i="55"/>
  <c r="AG191" i="55"/>
  <c r="AG190" i="55"/>
  <c r="AG189" i="55"/>
  <c r="AG188" i="55"/>
  <c r="AG208" i="55"/>
  <c r="AG207" i="55"/>
  <c r="AG206" i="55"/>
  <c r="AG205" i="55"/>
  <c r="AG204" i="55"/>
  <c r="AG203" i="55"/>
  <c r="AG82" i="55"/>
  <c r="AG68" i="55"/>
  <c r="AG59" i="55"/>
  <c r="AG44" i="55"/>
  <c r="AG30" i="55"/>
  <c r="M274" i="61"/>
  <c r="K274" i="61"/>
  <c r="M257" i="61"/>
  <c r="Q255" i="61"/>
  <c r="Q254" i="61"/>
  <c r="Q253" i="61"/>
  <c r="Q252" i="61"/>
  <c r="Q251" i="61"/>
  <c r="Q250" i="61"/>
  <c r="Q249" i="61"/>
  <c r="Q245" i="61"/>
  <c r="S245" i="61" s="1"/>
  <c r="O245" i="61"/>
  <c r="M245" i="61"/>
  <c r="K245" i="61"/>
  <c r="Q230" i="61"/>
  <c r="O230" i="61"/>
  <c r="M230" i="61"/>
  <c r="K230" i="61"/>
  <c r="S230" i="61" s="1"/>
  <c r="Q222" i="61"/>
  <c r="S222" i="61" s="1"/>
  <c r="O222" i="61"/>
  <c r="M222" i="61"/>
  <c r="K222" i="61"/>
  <c r="M209" i="61"/>
  <c r="K209" i="61"/>
  <c r="AD207" i="61"/>
  <c r="U207" i="61" s="1"/>
  <c r="Q207" i="61" s="1"/>
  <c r="S207" i="61" s="1"/>
  <c r="Y207" i="61"/>
  <c r="O207" i="61"/>
  <c r="AA206" i="61"/>
  <c r="Y206" i="61"/>
  <c r="AD206" i="61" s="1"/>
  <c r="U206" i="61" s="1"/>
  <c r="O206" i="61"/>
  <c r="Q206" i="61" s="1"/>
  <c r="S206" i="61" s="1"/>
  <c r="AA205" i="61"/>
  <c r="Y205" i="61"/>
  <c r="AD205" i="61" s="1"/>
  <c r="U205" i="61" s="1"/>
  <c r="O205" i="61"/>
  <c r="AD204" i="61"/>
  <c r="U204" i="61" s="1"/>
  <c r="Q204" i="61" s="1"/>
  <c r="S204" i="61" s="1"/>
  <c r="AA204" i="61"/>
  <c r="Y204" i="61"/>
  <c r="O204" i="61"/>
  <c r="Y203" i="61"/>
  <c r="AD203" i="61" s="1"/>
  <c r="U203" i="61" s="1"/>
  <c r="O203" i="61"/>
  <c r="AA202" i="61"/>
  <c r="Y202" i="61"/>
  <c r="AD202" i="61" s="1"/>
  <c r="U202" i="61" s="1"/>
  <c r="O202" i="61"/>
  <c r="AD201" i="61"/>
  <c r="U201" i="61" s="1"/>
  <c r="Q201" i="61" s="1"/>
  <c r="S201" i="61" s="1"/>
  <c r="AG202" i="55" s="1"/>
  <c r="Y201" i="61"/>
  <c r="O201" i="61"/>
  <c r="Y200" i="61"/>
  <c r="AD200" i="61" s="1"/>
  <c r="U200" i="61" s="1"/>
  <c r="O200" i="61"/>
  <c r="O209" i="61" s="1"/>
  <c r="M197" i="61"/>
  <c r="K197" i="61"/>
  <c r="AA195" i="61"/>
  <c r="Y195" i="61"/>
  <c r="AD195" i="61" s="1"/>
  <c r="U195" i="61"/>
  <c r="O195" i="61"/>
  <c r="Q195" i="61" s="1"/>
  <c r="S195" i="61" s="1"/>
  <c r="AD194" i="61"/>
  <c r="U194" i="61" s="1"/>
  <c r="Q194" i="61" s="1"/>
  <c r="S194" i="61" s="1"/>
  <c r="Y194" i="61"/>
  <c r="O194" i="61"/>
  <c r="Y193" i="61"/>
  <c r="AD193" i="61" s="1"/>
  <c r="U193" i="61" s="1"/>
  <c r="O193" i="61"/>
  <c r="AD192" i="61"/>
  <c r="U192" i="61" s="1"/>
  <c r="Q192" i="61" s="1"/>
  <c r="S192" i="61" s="1"/>
  <c r="Y192" i="61"/>
  <c r="O192" i="61"/>
  <c r="Y191" i="61"/>
  <c r="AD191" i="61" s="1"/>
  <c r="U191" i="61" s="1"/>
  <c r="O191" i="61"/>
  <c r="AD190" i="61"/>
  <c r="U190" i="61" s="1"/>
  <c r="Q190" i="61" s="1"/>
  <c r="S190" i="61" s="1"/>
  <c r="AA190" i="61"/>
  <c r="Y190" i="61"/>
  <c r="O190" i="61"/>
  <c r="AD189" i="61"/>
  <c r="U189" i="61" s="1"/>
  <c r="Q189" i="61" s="1"/>
  <c r="S189" i="61" s="1"/>
  <c r="AA189" i="61"/>
  <c r="Y189" i="61"/>
  <c r="O189" i="61"/>
  <c r="AA188" i="61"/>
  <c r="Y188" i="61"/>
  <c r="AD188" i="61" s="1"/>
  <c r="U188" i="61" s="1"/>
  <c r="O188" i="61"/>
  <c r="Q188" i="61" s="1"/>
  <c r="S188" i="61" s="1"/>
  <c r="AA187" i="61"/>
  <c r="Y187" i="61"/>
  <c r="AD187" i="61" s="1"/>
  <c r="U187" i="61" s="1"/>
  <c r="O187" i="61"/>
  <c r="AD186" i="61"/>
  <c r="U186" i="61" s="1"/>
  <c r="Q186" i="61" s="1"/>
  <c r="S186" i="61" s="1"/>
  <c r="AG187" i="55" s="1"/>
  <c r="Y186" i="61"/>
  <c r="O186" i="61"/>
  <c r="Y185" i="61"/>
  <c r="AD185" i="61" s="1"/>
  <c r="U185" i="61" s="1"/>
  <c r="O185" i="61"/>
  <c r="AD184" i="61"/>
  <c r="U184" i="61" s="1"/>
  <c r="Y184" i="61"/>
  <c r="Q184" i="61"/>
  <c r="S184" i="61" s="1"/>
  <c r="AG185" i="55" s="1"/>
  <c r="O184" i="61"/>
  <c r="Y183" i="61"/>
  <c r="AD183" i="61" s="1"/>
  <c r="U183" i="61"/>
  <c r="O183" i="61"/>
  <c r="AD182" i="61"/>
  <c r="U182" i="61" s="1"/>
  <c r="Q182" i="61" s="1"/>
  <c r="S182" i="61" s="1"/>
  <c r="AG183" i="55" s="1"/>
  <c r="Y182" i="61"/>
  <c r="O182" i="61"/>
  <c r="Y181" i="61"/>
  <c r="AD181" i="61" s="1"/>
  <c r="U181" i="61" s="1"/>
  <c r="O181" i="61"/>
  <c r="AD180" i="61"/>
  <c r="U180" i="61" s="1"/>
  <c r="Y180" i="61"/>
  <c r="Q180" i="61"/>
  <c r="S180" i="61" s="1"/>
  <c r="AG181" i="55" s="1"/>
  <c r="O180" i="61"/>
  <c r="Y179" i="61"/>
  <c r="AD179" i="61" s="1"/>
  <c r="U179" i="61" s="1"/>
  <c r="O179" i="61"/>
  <c r="AD178" i="61"/>
  <c r="U178" i="61" s="1"/>
  <c r="Y178" i="61"/>
  <c r="S178" i="61"/>
  <c r="AG179" i="55" s="1"/>
  <c r="Q178" i="61"/>
  <c r="O178" i="61"/>
  <c r="Y177" i="61"/>
  <c r="AD177" i="61" s="1"/>
  <c r="U177" i="61" s="1"/>
  <c r="O177" i="61"/>
  <c r="M174" i="61"/>
  <c r="K174" i="61"/>
  <c r="AA172" i="61"/>
  <c r="Y172" i="61"/>
  <c r="AD172" i="61" s="1"/>
  <c r="U172" i="61"/>
  <c r="O172" i="61"/>
  <c r="Q172" i="61" s="1"/>
  <c r="S172" i="61" s="1"/>
  <c r="AD171" i="61"/>
  <c r="U171" i="61" s="1"/>
  <c r="Y171" i="61"/>
  <c r="Q171" i="61"/>
  <c r="S171" i="61" s="1"/>
  <c r="O171" i="61"/>
  <c r="Y170" i="61"/>
  <c r="AD170" i="61" s="1"/>
  <c r="U170" i="61"/>
  <c r="O170" i="61"/>
  <c r="Q170" i="61" s="1"/>
  <c r="S170" i="61" s="1"/>
  <c r="AD169" i="61"/>
  <c r="U169" i="61" s="1"/>
  <c r="Y169" i="61"/>
  <c r="Q169" i="61"/>
  <c r="S169" i="61" s="1"/>
  <c r="O169" i="61"/>
  <c r="Y168" i="61"/>
  <c r="AD168" i="61" s="1"/>
  <c r="U168" i="61"/>
  <c r="O168" i="61"/>
  <c r="Q168" i="61" s="1"/>
  <c r="S168" i="61" s="1"/>
  <c r="AD167" i="61"/>
  <c r="AA167" i="61"/>
  <c r="Y167" i="61"/>
  <c r="U167" i="61"/>
  <c r="Q167" i="61" s="1"/>
  <c r="S167" i="61" s="1"/>
  <c r="O167" i="61"/>
  <c r="AD166" i="61"/>
  <c r="U166" i="61" s="1"/>
  <c r="AA166" i="61"/>
  <c r="Y166" i="61"/>
  <c r="Q166" i="61"/>
  <c r="S166" i="61" s="1"/>
  <c r="O166" i="61"/>
  <c r="AA165" i="61"/>
  <c r="Y165" i="61"/>
  <c r="AD165" i="61" s="1"/>
  <c r="U165" i="61" s="1"/>
  <c r="O165" i="61"/>
  <c r="Q165" i="61" s="1"/>
  <c r="S165" i="61" s="1"/>
  <c r="AA164" i="61"/>
  <c r="Y164" i="61"/>
  <c r="AD164" i="61" s="1"/>
  <c r="U164" i="61"/>
  <c r="O164" i="61"/>
  <c r="Q164" i="61" s="1"/>
  <c r="S164" i="61" s="1"/>
  <c r="AD163" i="61"/>
  <c r="AA163" i="61"/>
  <c r="Y163" i="61"/>
  <c r="U163" i="61"/>
  <c r="Q163" i="61" s="1"/>
  <c r="S163" i="61" s="1"/>
  <c r="O163" i="61"/>
  <c r="Y162" i="61"/>
  <c r="AD162" i="61" s="1"/>
  <c r="U162" i="61" s="1"/>
  <c r="Q162" i="61" s="1"/>
  <c r="S162" i="61" s="1"/>
  <c r="AG163" i="55" s="1"/>
  <c r="O162" i="61"/>
  <c r="AD161" i="61"/>
  <c r="Y161" i="61"/>
  <c r="U161" i="61"/>
  <c r="Q161" i="61" s="1"/>
  <c r="S161" i="61" s="1"/>
  <c r="AG162" i="55" s="1"/>
  <c r="O161" i="61"/>
  <c r="AD160" i="61"/>
  <c r="U160" i="61" s="1"/>
  <c r="Y160" i="61"/>
  <c r="O160" i="61"/>
  <c r="AD159" i="61"/>
  <c r="Y159" i="61"/>
  <c r="U159" i="61"/>
  <c r="Q159" i="61" s="1"/>
  <c r="S159" i="61" s="1"/>
  <c r="AG160" i="55" s="1"/>
  <c r="O159" i="61"/>
  <c r="AD158" i="61"/>
  <c r="U158" i="61" s="1"/>
  <c r="Y158" i="61"/>
  <c r="O158" i="61"/>
  <c r="AD157" i="61"/>
  <c r="U157" i="61" s="1"/>
  <c r="Q157" i="61" s="1"/>
  <c r="S157" i="61" s="1"/>
  <c r="AG158" i="55" s="1"/>
  <c r="Y157" i="61"/>
  <c r="O157" i="61"/>
  <c r="Y156" i="61"/>
  <c r="AD156" i="61" s="1"/>
  <c r="U156" i="61" s="1"/>
  <c r="Q156" i="61" s="1"/>
  <c r="S156" i="61" s="1"/>
  <c r="AG157" i="55" s="1"/>
  <c r="O156" i="61"/>
  <c r="AD155" i="61"/>
  <c r="Y155" i="61"/>
  <c r="U155" i="61"/>
  <c r="Q155" i="61" s="1"/>
  <c r="S155" i="61" s="1"/>
  <c r="AG156" i="55" s="1"/>
  <c r="O155" i="61"/>
  <c r="Y154" i="61"/>
  <c r="AD154" i="61" s="1"/>
  <c r="U154" i="61" s="1"/>
  <c r="Q154" i="61" s="1"/>
  <c r="S154" i="61" s="1"/>
  <c r="O154" i="61"/>
  <c r="AD153" i="61"/>
  <c r="U153" i="61" s="1"/>
  <c r="Q153" i="61" s="1"/>
  <c r="S153" i="61" s="1"/>
  <c r="AG154" i="55" s="1"/>
  <c r="Y153" i="61"/>
  <c r="O153" i="61"/>
  <c r="M150" i="61"/>
  <c r="K150" i="61"/>
  <c r="AD148" i="61"/>
  <c r="U148" i="61" s="1"/>
  <c r="Q148" i="61" s="1"/>
  <c r="S148" i="61" s="1"/>
  <c r="Y148" i="61"/>
  <c r="O148" i="61"/>
  <c r="Y147" i="61"/>
  <c r="AD147" i="61" s="1"/>
  <c r="U147" i="61" s="1"/>
  <c r="O147" i="61"/>
  <c r="AD146" i="61"/>
  <c r="U146" i="61" s="1"/>
  <c r="Q146" i="61" s="1"/>
  <c r="S146" i="61" s="1"/>
  <c r="Y146" i="61"/>
  <c r="O146" i="61"/>
  <c r="Y145" i="61"/>
  <c r="AD145" i="61" s="1"/>
  <c r="U145" i="61" s="1"/>
  <c r="O145" i="61"/>
  <c r="AD144" i="61"/>
  <c r="U144" i="61" s="1"/>
  <c r="Q144" i="61" s="1"/>
  <c r="AA144" i="61"/>
  <c r="Y144" i="61"/>
  <c r="S144" i="61"/>
  <c r="O144" i="61"/>
  <c r="AD143" i="61"/>
  <c r="U143" i="61" s="1"/>
  <c r="AA143" i="61"/>
  <c r="Y143" i="61"/>
  <c r="S143" i="61"/>
  <c r="Q143" i="61"/>
  <c r="O143" i="61"/>
  <c r="AA142" i="61"/>
  <c r="Y142" i="61"/>
  <c r="AD142" i="61" s="1"/>
  <c r="U142" i="61" s="1"/>
  <c r="O142" i="61"/>
  <c r="Q142" i="61" s="1"/>
  <c r="S142" i="61" s="1"/>
  <c r="AA141" i="61"/>
  <c r="Y141" i="61"/>
  <c r="AD141" i="61" s="1"/>
  <c r="U141" i="61" s="1"/>
  <c r="O141" i="61"/>
  <c r="AD140" i="61"/>
  <c r="U140" i="61" s="1"/>
  <c r="Q140" i="61" s="1"/>
  <c r="S140" i="61" s="1"/>
  <c r="AG141" i="55" s="1"/>
  <c r="Y140" i="61"/>
  <c r="O140" i="61"/>
  <c r="Y139" i="61"/>
  <c r="AD139" i="61" s="1"/>
  <c r="U139" i="61" s="1"/>
  <c r="O139" i="61"/>
  <c r="AD138" i="61"/>
  <c r="U138" i="61" s="1"/>
  <c r="Q138" i="61" s="1"/>
  <c r="S138" i="61" s="1"/>
  <c r="Y138" i="61"/>
  <c r="O138" i="61"/>
  <c r="Y137" i="61"/>
  <c r="AD137" i="61" s="1"/>
  <c r="U137" i="61" s="1"/>
  <c r="O137" i="61"/>
  <c r="AD136" i="61"/>
  <c r="U136" i="61" s="1"/>
  <c r="Y136" i="61"/>
  <c r="O136" i="61"/>
  <c r="Y135" i="61"/>
  <c r="AD135" i="61" s="1"/>
  <c r="U135" i="61" s="1"/>
  <c r="O135" i="61"/>
  <c r="AD134" i="61"/>
  <c r="U134" i="61" s="1"/>
  <c r="Y134" i="61"/>
  <c r="Q134" i="61"/>
  <c r="S134" i="61" s="1"/>
  <c r="AG135" i="55" s="1"/>
  <c r="O134" i="61"/>
  <c r="Y133" i="61"/>
  <c r="AD133" i="61" s="1"/>
  <c r="U133" i="61" s="1"/>
  <c r="O133" i="61"/>
  <c r="Y132" i="61"/>
  <c r="AD132" i="61" s="1"/>
  <c r="U132" i="61" s="1"/>
  <c r="Q132" i="61" s="1"/>
  <c r="S132" i="61" s="1"/>
  <c r="AG133" i="55" s="1"/>
  <c r="O132" i="61"/>
  <c r="Y131" i="61"/>
  <c r="AD131" i="61" s="1"/>
  <c r="U131" i="61" s="1"/>
  <c r="O131" i="61"/>
  <c r="M128" i="61"/>
  <c r="K128" i="61"/>
  <c r="AD126" i="61"/>
  <c r="Y126" i="61"/>
  <c r="U126" i="61"/>
  <c r="Q126" i="61" s="1"/>
  <c r="S126" i="61" s="1"/>
  <c r="O126" i="61"/>
  <c r="AA125" i="61"/>
  <c r="Y125" i="61"/>
  <c r="AD125" i="61" s="1"/>
  <c r="U125" i="61" s="1"/>
  <c r="Q125" i="61" s="1"/>
  <c r="S125" i="61" s="1"/>
  <c r="O125" i="61"/>
  <c r="Y124" i="61"/>
  <c r="AD124" i="61" s="1"/>
  <c r="U124" i="61" s="1"/>
  <c r="O124" i="61"/>
  <c r="AD123" i="61"/>
  <c r="U123" i="61" s="1"/>
  <c r="Q123" i="61" s="1"/>
  <c r="Y123" i="61"/>
  <c r="S123" i="61"/>
  <c r="AG124" i="55" s="1"/>
  <c r="O123" i="61"/>
  <c r="Y122" i="61"/>
  <c r="AD122" i="61" s="1"/>
  <c r="U122" i="61" s="1"/>
  <c r="O122" i="61"/>
  <c r="AD121" i="61"/>
  <c r="U121" i="61" s="1"/>
  <c r="Q121" i="61" s="1"/>
  <c r="S121" i="61" s="1"/>
  <c r="Y121" i="61"/>
  <c r="O121" i="61"/>
  <c r="Y120" i="61"/>
  <c r="AD120" i="61" s="1"/>
  <c r="U120" i="61" s="1"/>
  <c r="O120" i="61"/>
  <c r="M117" i="61"/>
  <c r="M211" i="61" s="1"/>
  <c r="K117" i="61"/>
  <c r="AA115" i="61"/>
  <c r="Y115" i="61"/>
  <c r="AD115" i="61" s="1"/>
  <c r="U115" i="61" s="1"/>
  <c r="O115" i="61"/>
  <c r="AD114" i="61"/>
  <c r="U114" i="61" s="1"/>
  <c r="Q114" i="61" s="1"/>
  <c r="Y114" i="61"/>
  <c r="S114" i="61"/>
  <c r="O114" i="61"/>
  <c r="Y113" i="61"/>
  <c r="AD113" i="61" s="1"/>
  <c r="U113" i="61" s="1"/>
  <c r="O113" i="61"/>
  <c r="Q113" i="61" s="1"/>
  <c r="S113" i="61" s="1"/>
  <c r="AD112" i="61"/>
  <c r="U112" i="61" s="1"/>
  <c r="Q112" i="61" s="1"/>
  <c r="S112" i="61" s="1"/>
  <c r="Y112" i="61"/>
  <c r="O112" i="61"/>
  <c r="Y111" i="61"/>
  <c r="AD111" i="61" s="1"/>
  <c r="U111" i="61" s="1"/>
  <c r="O111" i="61"/>
  <c r="AD110" i="61"/>
  <c r="AA110" i="61"/>
  <c r="Y110" i="61"/>
  <c r="U110" i="61"/>
  <c r="O110" i="61"/>
  <c r="AD109" i="61"/>
  <c r="U109" i="61" s="1"/>
  <c r="Q109" i="61" s="1"/>
  <c r="S109" i="61" s="1"/>
  <c r="AA109" i="61"/>
  <c r="Y109" i="61"/>
  <c r="O109" i="61"/>
  <c r="AA108" i="61"/>
  <c r="Y108" i="61"/>
  <c r="AD108" i="61" s="1"/>
  <c r="U108" i="61" s="1"/>
  <c r="Q108" i="61" s="1"/>
  <c r="S108" i="61" s="1"/>
  <c r="O108" i="61"/>
  <c r="AA107" i="61"/>
  <c r="Y107" i="61"/>
  <c r="AD107" i="61" s="1"/>
  <c r="U107" i="61" s="1"/>
  <c r="O107" i="61"/>
  <c r="AD106" i="61"/>
  <c r="U106" i="61" s="1"/>
  <c r="Q106" i="61" s="1"/>
  <c r="S106" i="61" s="1"/>
  <c r="AG107" i="55" s="1"/>
  <c r="Y106" i="61"/>
  <c r="O106" i="61"/>
  <c r="Y105" i="61"/>
  <c r="AD105" i="61" s="1"/>
  <c r="U105" i="61" s="1"/>
  <c r="O105" i="61"/>
  <c r="AD104" i="61"/>
  <c r="U104" i="61" s="1"/>
  <c r="Q104" i="61" s="1"/>
  <c r="S104" i="61" s="1"/>
  <c r="AG105" i="55" s="1"/>
  <c r="Y104" i="61"/>
  <c r="O104" i="61"/>
  <c r="Y103" i="61"/>
  <c r="AD103" i="61" s="1"/>
  <c r="U103" i="61" s="1"/>
  <c r="O103" i="61"/>
  <c r="AD102" i="61"/>
  <c r="U102" i="61" s="1"/>
  <c r="Q102" i="61" s="1"/>
  <c r="S102" i="61" s="1"/>
  <c r="AG103" i="55" s="1"/>
  <c r="Y102" i="61"/>
  <c r="O102" i="61"/>
  <c r="Y101" i="61"/>
  <c r="AD101" i="61" s="1"/>
  <c r="U101" i="61" s="1"/>
  <c r="O101" i="61"/>
  <c r="AD100" i="61"/>
  <c r="U100" i="61" s="1"/>
  <c r="Q100" i="61" s="1"/>
  <c r="S100" i="61" s="1"/>
  <c r="AG101" i="55" s="1"/>
  <c r="Y100" i="61"/>
  <c r="O100" i="61"/>
  <c r="Y99" i="61"/>
  <c r="AD99" i="61" s="1"/>
  <c r="U99" i="61" s="1"/>
  <c r="O99" i="61"/>
  <c r="AD98" i="61"/>
  <c r="U98" i="61" s="1"/>
  <c r="Y98" i="61"/>
  <c r="O98" i="61"/>
  <c r="Y97" i="61"/>
  <c r="AD97" i="61" s="1"/>
  <c r="U97" i="61" s="1"/>
  <c r="O97" i="61"/>
  <c r="M90" i="61"/>
  <c r="K90" i="61"/>
  <c r="Y88" i="61"/>
  <c r="AD88" i="61" s="1"/>
  <c r="U88" i="61" s="1"/>
  <c r="O88" i="61"/>
  <c r="AD87" i="61"/>
  <c r="U87" i="61" s="1"/>
  <c r="Y87" i="61"/>
  <c r="O87" i="61"/>
  <c r="Y86" i="61"/>
  <c r="AD86" i="61" s="1"/>
  <c r="U86" i="61" s="1"/>
  <c r="O86" i="61"/>
  <c r="Y85" i="61"/>
  <c r="AD85" i="61" s="1"/>
  <c r="U85" i="61" s="1"/>
  <c r="O85" i="61"/>
  <c r="Q85" i="61" s="1"/>
  <c r="S85" i="61" s="1"/>
  <c r="AG86" i="55" s="1"/>
  <c r="Y84" i="61"/>
  <c r="AD84" i="61" s="1"/>
  <c r="U84" i="61" s="1"/>
  <c r="O84" i="61"/>
  <c r="Y83" i="61"/>
  <c r="AD83" i="61" s="1"/>
  <c r="U83" i="61" s="1"/>
  <c r="S83" i="61"/>
  <c r="O83" i="61"/>
  <c r="Q83" i="61" s="1"/>
  <c r="Y82" i="61"/>
  <c r="AD82" i="61" s="1"/>
  <c r="U82" i="61" s="1"/>
  <c r="O82" i="61"/>
  <c r="Y81" i="61"/>
  <c r="AD81" i="61" s="1"/>
  <c r="U81" i="61" s="1"/>
  <c r="O81" i="61"/>
  <c r="M78" i="61"/>
  <c r="K78" i="61"/>
  <c r="AD76" i="61"/>
  <c r="U76" i="61" s="1"/>
  <c r="Q76" i="61" s="1"/>
  <c r="S76" i="61" s="1"/>
  <c r="AG77" i="55" s="1"/>
  <c r="Y76" i="61"/>
  <c r="O76" i="61"/>
  <c r="AD75" i="61"/>
  <c r="Y75" i="61"/>
  <c r="U75" i="61"/>
  <c r="Q75" i="61" s="1"/>
  <c r="S75" i="61" s="1"/>
  <c r="O75" i="61"/>
  <c r="AD74" i="61"/>
  <c r="U74" i="61" s="1"/>
  <c r="Y74" i="61"/>
  <c r="Q74" i="61"/>
  <c r="S74" i="61" s="1"/>
  <c r="AG75" i="55" s="1"/>
  <c r="O74" i="61"/>
  <c r="AD73" i="61"/>
  <c r="Y73" i="61"/>
  <c r="U73" i="61"/>
  <c r="O73" i="61"/>
  <c r="AD72" i="61"/>
  <c r="U72" i="61" s="1"/>
  <c r="Q72" i="61" s="1"/>
  <c r="S72" i="61" s="1"/>
  <c r="AG73" i="55" s="1"/>
  <c r="Y72" i="61"/>
  <c r="O72" i="61"/>
  <c r="Y71" i="61"/>
  <c r="AD71" i="61" s="1"/>
  <c r="U71" i="61" s="1"/>
  <c r="O71" i="61"/>
  <c r="AD70" i="61"/>
  <c r="U70" i="61" s="1"/>
  <c r="Y70" i="61"/>
  <c r="O70" i="61"/>
  <c r="Q70" i="61" s="1"/>
  <c r="S70" i="61" s="1"/>
  <c r="Y69" i="61"/>
  <c r="AD69" i="61" s="1"/>
  <c r="U69" i="61" s="1"/>
  <c r="O69" i="61"/>
  <c r="AD68" i="61"/>
  <c r="U68" i="61" s="1"/>
  <c r="Y68" i="61"/>
  <c r="Q68" i="61"/>
  <c r="S68" i="61" s="1"/>
  <c r="O68" i="61"/>
  <c r="Y67" i="61"/>
  <c r="AD67" i="61" s="1"/>
  <c r="U67" i="61" s="1"/>
  <c r="O67" i="61"/>
  <c r="M64" i="61"/>
  <c r="K64" i="61"/>
  <c r="AD62" i="61"/>
  <c r="U62" i="61" s="1"/>
  <c r="Q62" i="61" s="1"/>
  <c r="S62" i="61" s="1"/>
  <c r="AG63" i="55" s="1"/>
  <c r="Y62" i="61"/>
  <c r="O62" i="61"/>
  <c r="AD61" i="61"/>
  <c r="U61" i="61" s="1"/>
  <c r="Q61" i="61" s="1"/>
  <c r="S61" i="61" s="1"/>
  <c r="Y61" i="61"/>
  <c r="O61" i="61"/>
  <c r="AD60" i="61"/>
  <c r="U60" i="61" s="1"/>
  <c r="Q60" i="61" s="1"/>
  <c r="S60" i="61" s="1"/>
  <c r="AG61" i="55" s="1"/>
  <c r="Y60" i="61"/>
  <c r="O60" i="61"/>
  <c r="AD59" i="61"/>
  <c r="U59" i="61" s="1"/>
  <c r="Q59" i="61" s="1"/>
  <c r="S59" i="61" s="1"/>
  <c r="Y59" i="61"/>
  <c r="O59" i="61"/>
  <c r="AD58" i="61"/>
  <c r="Y58" i="61"/>
  <c r="U58" i="61"/>
  <c r="Q58" i="61" s="1"/>
  <c r="O58" i="61"/>
  <c r="M55" i="61"/>
  <c r="K55" i="61"/>
  <c r="AD53" i="61"/>
  <c r="U53" i="61" s="1"/>
  <c r="Q53" i="61" s="1"/>
  <c r="S53" i="61" s="1"/>
  <c r="AG54" i="55" s="1"/>
  <c r="Y53" i="61"/>
  <c r="O53" i="61"/>
  <c r="Y52" i="61"/>
  <c r="AD52" i="61" s="1"/>
  <c r="U52" i="61" s="1"/>
  <c r="O52" i="61"/>
  <c r="Q52" i="61" s="1"/>
  <c r="S52" i="61" s="1"/>
  <c r="AD51" i="61"/>
  <c r="U51" i="61" s="1"/>
  <c r="Q51" i="61" s="1"/>
  <c r="S51" i="61" s="1"/>
  <c r="AG52" i="55" s="1"/>
  <c r="Y51" i="61"/>
  <c r="O51" i="61"/>
  <c r="Y50" i="61"/>
  <c r="AD50" i="61" s="1"/>
  <c r="U50" i="61" s="1"/>
  <c r="O50" i="61"/>
  <c r="AD49" i="61"/>
  <c r="U49" i="61" s="1"/>
  <c r="Q49" i="61" s="1"/>
  <c r="S49" i="61" s="1"/>
  <c r="AG50" i="55" s="1"/>
  <c r="Y49" i="61"/>
  <c r="O49" i="61"/>
  <c r="Y48" i="61"/>
  <c r="AD48" i="61" s="1"/>
  <c r="U48" i="61" s="1"/>
  <c r="O48" i="61"/>
  <c r="AD47" i="61"/>
  <c r="U47" i="61" s="1"/>
  <c r="Q47" i="61" s="1"/>
  <c r="S47" i="61" s="1"/>
  <c r="AG48" i="55" s="1"/>
  <c r="Y47" i="61"/>
  <c r="O47" i="61"/>
  <c r="Y46" i="61"/>
  <c r="AD46" i="61" s="1"/>
  <c r="U46" i="61" s="1"/>
  <c r="O46" i="61"/>
  <c r="Q46" i="61" s="1"/>
  <c r="S46" i="61" s="1"/>
  <c r="AD45" i="61"/>
  <c r="U45" i="61" s="1"/>
  <c r="Q45" i="61" s="1"/>
  <c r="S45" i="61" s="1"/>
  <c r="Y45" i="61"/>
  <c r="O45" i="61"/>
  <c r="Y44" i="61"/>
  <c r="AD44" i="61" s="1"/>
  <c r="U44" i="61" s="1"/>
  <c r="S44" i="61"/>
  <c r="O44" i="61"/>
  <c r="AD43" i="61"/>
  <c r="U43" i="61" s="1"/>
  <c r="Q43" i="61" s="1"/>
  <c r="Y43" i="61"/>
  <c r="O43" i="61"/>
  <c r="O55" i="61" s="1"/>
  <c r="M40" i="61"/>
  <c r="K40" i="61"/>
  <c r="Y38" i="61"/>
  <c r="AD38" i="61" s="1"/>
  <c r="U38" i="61" s="1"/>
  <c r="O38" i="61"/>
  <c r="AD37" i="61"/>
  <c r="U37" i="61" s="1"/>
  <c r="Q37" i="61" s="1"/>
  <c r="S37" i="61" s="1"/>
  <c r="Y37" i="61"/>
  <c r="O37" i="61"/>
  <c r="Y36" i="61"/>
  <c r="AD36" i="61" s="1"/>
  <c r="U36" i="61" s="1"/>
  <c r="O36" i="61"/>
  <c r="AD35" i="61"/>
  <c r="U35" i="61" s="1"/>
  <c r="Q35" i="61" s="1"/>
  <c r="S35" i="61" s="1"/>
  <c r="AG36" i="55" s="1"/>
  <c r="Y35" i="61"/>
  <c r="O35" i="61"/>
  <c r="Y34" i="61"/>
  <c r="AD34" i="61" s="1"/>
  <c r="U34" i="61" s="1"/>
  <c r="O34" i="61"/>
  <c r="AD33" i="61"/>
  <c r="U33" i="61" s="1"/>
  <c r="Q33" i="61" s="1"/>
  <c r="S33" i="61" s="1"/>
  <c r="Y33" i="61"/>
  <c r="O33" i="61"/>
  <c r="Y32" i="61"/>
  <c r="AD32" i="61" s="1"/>
  <c r="U32" i="61" s="1"/>
  <c r="O32" i="61"/>
  <c r="AD31" i="61"/>
  <c r="U31" i="61" s="1"/>
  <c r="Q31" i="61" s="1"/>
  <c r="S31" i="61" s="1"/>
  <c r="Y31" i="61"/>
  <c r="O31" i="61"/>
  <c r="Y30" i="61"/>
  <c r="AD30" i="61" s="1"/>
  <c r="U30" i="61" s="1"/>
  <c r="O30" i="61"/>
  <c r="O40" i="61" s="1"/>
  <c r="AD29" i="61"/>
  <c r="U29" i="61" s="1"/>
  <c r="Q29" i="61" s="1"/>
  <c r="Y29" i="61"/>
  <c r="O29" i="61"/>
  <c r="M26" i="61"/>
  <c r="M92" i="61" s="1"/>
  <c r="K26" i="61"/>
  <c r="Q24" i="61"/>
  <c r="S24" i="61" s="1"/>
  <c r="AG25" i="55" s="1"/>
  <c r="O24" i="61"/>
  <c r="Q23" i="61"/>
  <c r="S23" i="61" s="1"/>
  <c r="O23" i="61"/>
  <c r="O22" i="61"/>
  <c r="O26" i="61" s="1"/>
  <c r="Q21" i="61"/>
  <c r="S21" i="61" s="1"/>
  <c r="AG22" i="55" s="1"/>
  <c r="O21" i="61"/>
  <c r="O20" i="61"/>
  <c r="Q15" i="61"/>
  <c r="S15" i="61" s="1"/>
  <c r="O15" i="61"/>
  <c r="M15" i="61"/>
  <c r="K15" i="61"/>
  <c r="Q208" i="55"/>
  <c r="Q207" i="55"/>
  <c r="Q206" i="55"/>
  <c r="Q205" i="55"/>
  <c r="Q204" i="55"/>
  <c r="Q203" i="55"/>
  <c r="Q202" i="55"/>
  <c r="Q201" i="55"/>
  <c r="Q195" i="55"/>
  <c r="Q194" i="55"/>
  <c r="Q193" i="55"/>
  <c r="Q192" i="55"/>
  <c r="Q191" i="55"/>
  <c r="Q190" i="55"/>
  <c r="Q189" i="55"/>
  <c r="Q188" i="55"/>
  <c r="Q187" i="55"/>
  <c r="Q186" i="55"/>
  <c r="Q185" i="55"/>
  <c r="Q184" i="55"/>
  <c r="Q183" i="55"/>
  <c r="Q182" i="55"/>
  <c r="Q181" i="55"/>
  <c r="Q180" i="55"/>
  <c r="Q179" i="55"/>
  <c r="Q178" i="55"/>
  <c r="Q172" i="55"/>
  <c r="Q171" i="55"/>
  <c r="Q170" i="55"/>
  <c r="Q169" i="55"/>
  <c r="Q168" i="55"/>
  <c r="Q167" i="55"/>
  <c r="Q166" i="55"/>
  <c r="Q165" i="55"/>
  <c r="Q164" i="55"/>
  <c r="Q163" i="55"/>
  <c r="Q162" i="55"/>
  <c r="Q161" i="55"/>
  <c r="Q160" i="55"/>
  <c r="Q159" i="55"/>
  <c r="Q158" i="55"/>
  <c r="Q157" i="55"/>
  <c r="Q156" i="55"/>
  <c r="Q155" i="55"/>
  <c r="Q154" i="55"/>
  <c r="Q149" i="55"/>
  <c r="Q148" i="55"/>
  <c r="Q147" i="55"/>
  <c r="Q146" i="55"/>
  <c r="Q145" i="55"/>
  <c r="Q144" i="55"/>
  <c r="Q143" i="55"/>
  <c r="Q142" i="55"/>
  <c r="Q141" i="55"/>
  <c r="Q140" i="55"/>
  <c r="Q139" i="55"/>
  <c r="Q138" i="55"/>
  <c r="Q137" i="55"/>
  <c r="Q136" i="55"/>
  <c r="Q135" i="55"/>
  <c r="Q134" i="55"/>
  <c r="Q133" i="55"/>
  <c r="Q132" i="55"/>
  <c r="Q127" i="55"/>
  <c r="Q126" i="55"/>
  <c r="Q125" i="55"/>
  <c r="Q124" i="55"/>
  <c r="Q123" i="55"/>
  <c r="Q122" i="55"/>
  <c r="Q121" i="55"/>
  <c r="Q115" i="55"/>
  <c r="Q114" i="55"/>
  <c r="Q113" i="55"/>
  <c r="Q112" i="55"/>
  <c r="Q111" i="55"/>
  <c r="Q110" i="55"/>
  <c r="Q109" i="55"/>
  <c r="Q108" i="55"/>
  <c r="Q107" i="55"/>
  <c r="Q106" i="55"/>
  <c r="Q105" i="55"/>
  <c r="Q104" i="55"/>
  <c r="Q103" i="55"/>
  <c r="Q102" i="55"/>
  <c r="Q101" i="55"/>
  <c r="Q100" i="55"/>
  <c r="Q99" i="55"/>
  <c r="Q98" i="55"/>
  <c r="Q89" i="55"/>
  <c r="Q88" i="55"/>
  <c r="Q87" i="55"/>
  <c r="Q86" i="55"/>
  <c r="Q85" i="55"/>
  <c r="Q84" i="55"/>
  <c r="Q83" i="55"/>
  <c r="Q82" i="55"/>
  <c r="Q77" i="55"/>
  <c r="Q76" i="55"/>
  <c r="Q75" i="55"/>
  <c r="Q74" i="55"/>
  <c r="Q73" i="55"/>
  <c r="Q72" i="55"/>
  <c r="Q71" i="55"/>
  <c r="Q70" i="55"/>
  <c r="Q69" i="55"/>
  <c r="Q68" i="55"/>
  <c r="Q63" i="55"/>
  <c r="Q62" i="55"/>
  <c r="Q61" i="55"/>
  <c r="Q60" i="55"/>
  <c r="Q59" i="55"/>
  <c r="Q54" i="55"/>
  <c r="Q53" i="55"/>
  <c r="Q52" i="55"/>
  <c r="Q51" i="55"/>
  <c r="Q50" i="55"/>
  <c r="Q49" i="55"/>
  <c r="Q48" i="55"/>
  <c r="Q47" i="55"/>
  <c r="Q46" i="55"/>
  <c r="Q45" i="55"/>
  <c r="Q44" i="55"/>
  <c r="Q39" i="55"/>
  <c r="Q38" i="55"/>
  <c r="Q37" i="55"/>
  <c r="Q36" i="55"/>
  <c r="Q35" i="55"/>
  <c r="Q34" i="55"/>
  <c r="Q33" i="55"/>
  <c r="Q32" i="55"/>
  <c r="Q31" i="55"/>
  <c r="Q30" i="55"/>
  <c r="Q25" i="55"/>
  <c r="Q24" i="55"/>
  <c r="Q23" i="55"/>
  <c r="Q22" i="55"/>
  <c r="Q21" i="55"/>
  <c r="AA206" i="60"/>
  <c r="Y206" i="60"/>
  <c r="AA205" i="60"/>
  <c r="Y205" i="60"/>
  <c r="AD205" i="60"/>
  <c r="U205" i="60" s="1"/>
  <c r="AD206" i="60"/>
  <c r="U206" i="60" s="1"/>
  <c r="Q206" i="60" s="1"/>
  <c r="AA204" i="60"/>
  <c r="Y204" i="60"/>
  <c r="AD204" i="60" s="1"/>
  <c r="U204" i="60" s="1"/>
  <c r="AA202" i="60"/>
  <c r="Y202" i="60"/>
  <c r="AD202" i="60" s="1"/>
  <c r="U202" i="60" s="1"/>
  <c r="AD207" i="60"/>
  <c r="AD203" i="60"/>
  <c r="AD201" i="60"/>
  <c r="AD200" i="60"/>
  <c r="U207" i="60"/>
  <c r="U203" i="60"/>
  <c r="U201" i="60"/>
  <c r="U200" i="60"/>
  <c r="F18" i="6"/>
  <c r="Y196" i="55"/>
  <c r="Y195" i="55"/>
  <c r="Y194" i="55"/>
  <c r="Y193" i="55"/>
  <c r="Y192" i="55"/>
  <c r="Y191" i="55"/>
  <c r="Y190" i="55"/>
  <c r="Y189" i="55"/>
  <c r="Y188" i="55"/>
  <c r="Y187" i="55"/>
  <c r="Y186" i="55"/>
  <c r="Y185" i="55"/>
  <c r="Y184" i="55"/>
  <c r="Y183" i="55"/>
  <c r="Y182" i="55"/>
  <c r="Y181" i="55"/>
  <c r="Y180" i="55"/>
  <c r="Y179" i="55"/>
  <c r="Y178" i="55"/>
  <c r="Y173" i="55"/>
  <c r="Y172" i="55"/>
  <c r="Y171" i="55"/>
  <c r="Y170" i="55"/>
  <c r="Y169" i="55"/>
  <c r="Y168" i="55"/>
  <c r="Y167" i="55"/>
  <c r="Y166" i="55"/>
  <c r="Y165" i="55"/>
  <c r="Y164" i="55"/>
  <c r="Y163" i="55"/>
  <c r="Y162" i="55"/>
  <c r="Y161" i="55"/>
  <c r="Y160" i="55"/>
  <c r="Y159" i="55"/>
  <c r="Y158" i="55"/>
  <c r="Y157" i="55"/>
  <c r="Y156" i="55"/>
  <c r="Y155" i="55"/>
  <c r="Y154" i="55"/>
  <c r="Y149" i="55"/>
  <c r="Y148" i="55"/>
  <c r="Y147" i="55"/>
  <c r="Y146" i="55"/>
  <c r="Y145" i="55"/>
  <c r="Y144" i="55"/>
  <c r="Y143" i="55"/>
  <c r="Y142" i="55"/>
  <c r="Y141" i="55"/>
  <c r="Y140" i="55"/>
  <c r="Y139" i="55"/>
  <c r="Y138" i="55"/>
  <c r="Y137" i="55"/>
  <c r="Y136" i="55"/>
  <c r="Y135" i="55"/>
  <c r="Y134" i="55"/>
  <c r="Y133" i="55"/>
  <c r="Y132" i="55"/>
  <c r="Y127" i="55"/>
  <c r="Y126" i="55"/>
  <c r="Y125" i="55"/>
  <c r="Y124" i="55"/>
  <c r="Y123" i="55"/>
  <c r="Y122" i="55"/>
  <c r="Y121" i="55"/>
  <c r="Y116" i="55"/>
  <c r="Y115" i="55"/>
  <c r="Y114" i="55"/>
  <c r="Y113" i="55"/>
  <c r="Y112" i="55"/>
  <c r="Y111" i="55"/>
  <c r="Y110" i="55"/>
  <c r="Y109" i="55"/>
  <c r="Y108" i="55"/>
  <c r="Y107" i="55"/>
  <c r="Y106" i="55"/>
  <c r="Y105" i="55"/>
  <c r="Y104" i="55"/>
  <c r="Y103" i="55"/>
  <c r="Y102" i="55"/>
  <c r="Y101" i="55"/>
  <c r="Y100" i="55"/>
  <c r="Y99" i="55"/>
  <c r="Y98" i="55"/>
  <c r="Y89" i="55"/>
  <c r="Y88" i="55"/>
  <c r="Y87" i="55"/>
  <c r="Y86" i="55"/>
  <c r="Y85" i="55"/>
  <c r="Y84" i="55"/>
  <c r="Y83" i="55"/>
  <c r="Y82" i="55"/>
  <c r="Y77" i="55"/>
  <c r="Y76" i="55"/>
  <c r="Y75" i="55"/>
  <c r="Y74" i="55"/>
  <c r="Y73" i="55"/>
  <c r="Y72" i="55"/>
  <c r="Y71" i="55"/>
  <c r="Y70" i="55"/>
  <c r="Y69" i="55"/>
  <c r="Y68" i="55"/>
  <c r="Y63" i="55"/>
  <c r="Y62" i="55"/>
  <c r="Y61" i="55"/>
  <c r="Y60" i="55"/>
  <c r="Y59" i="55"/>
  <c r="Y54" i="55"/>
  <c r="Y53" i="55"/>
  <c r="Y52" i="55"/>
  <c r="Y51" i="55"/>
  <c r="Y50" i="55"/>
  <c r="Y49" i="55"/>
  <c r="Y48" i="55"/>
  <c r="Y47" i="55"/>
  <c r="Y46" i="55"/>
  <c r="Y45" i="55"/>
  <c r="Y44" i="55"/>
  <c r="Y39" i="55"/>
  <c r="Y38" i="55"/>
  <c r="Y37" i="55"/>
  <c r="Y36" i="55"/>
  <c r="Y35" i="55"/>
  <c r="Y34" i="55"/>
  <c r="Y33" i="55"/>
  <c r="Y32" i="55"/>
  <c r="Y31" i="55"/>
  <c r="Y30" i="55"/>
  <c r="Y25" i="55"/>
  <c r="Y24" i="55"/>
  <c r="Y23" i="55"/>
  <c r="Y22" i="55"/>
  <c r="Y21" i="55"/>
  <c r="U195" i="60"/>
  <c r="U194" i="60"/>
  <c r="U193" i="60"/>
  <c r="U192" i="60"/>
  <c r="U191" i="60"/>
  <c r="U190" i="60"/>
  <c r="U189" i="60"/>
  <c r="Q189" i="60" s="1"/>
  <c r="U188" i="60"/>
  <c r="U187" i="60"/>
  <c r="U186" i="60"/>
  <c r="U185" i="60"/>
  <c r="U184" i="60"/>
  <c r="U183" i="60"/>
  <c r="U182" i="60"/>
  <c r="U181" i="60"/>
  <c r="U180" i="60"/>
  <c r="U179" i="60"/>
  <c r="U178" i="60"/>
  <c r="U177" i="60"/>
  <c r="U172" i="60"/>
  <c r="U171" i="60"/>
  <c r="U170" i="60"/>
  <c r="Q170" i="60" s="1"/>
  <c r="S170" i="60" s="1"/>
  <c r="U169" i="60"/>
  <c r="U168" i="60"/>
  <c r="U167" i="60"/>
  <c r="U166" i="60"/>
  <c r="Q166" i="60" s="1"/>
  <c r="S166" i="60" s="1"/>
  <c r="U165" i="60"/>
  <c r="U164" i="60"/>
  <c r="U163" i="60"/>
  <c r="U162" i="60"/>
  <c r="Q162" i="60" s="1"/>
  <c r="S162" i="60" s="1"/>
  <c r="U161" i="60"/>
  <c r="U160" i="60"/>
  <c r="U159" i="60"/>
  <c r="U158" i="60"/>
  <c r="Q158" i="60" s="1"/>
  <c r="S158" i="60" s="1"/>
  <c r="U157" i="60"/>
  <c r="U156" i="60"/>
  <c r="U155" i="60"/>
  <c r="U154" i="60"/>
  <c r="Q154" i="60" s="1"/>
  <c r="S154" i="60" s="1"/>
  <c r="U153" i="60"/>
  <c r="U148" i="60"/>
  <c r="U147" i="60"/>
  <c r="U146" i="60"/>
  <c r="U145" i="60"/>
  <c r="U144" i="60"/>
  <c r="U143" i="60"/>
  <c r="U142" i="60"/>
  <c r="U141" i="60"/>
  <c r="U140" i="60"/>
  <c r="U139" i="60"/>
  <c r="U138" i="60"/>
  <c r="U137" i="60"/>
  <c r="U136" i="60"/>
  <c r="U135" i="60"/>
  <c r="U134" i="60"/>
  <c r="U133" i="60"/>
  <c r="U132" i="60"/>
  <c r="U131" i="60"/>
  <c r="U126" i="60"/>
  <c r="U125" i="60"/>
  <c r="U124" i="60"/>
  <c r="U123" i="60"/>
  <c r="U122" i="60"/>
  <c r="U121" i="60"/>
  <c r="Q121" i="60" s="1"/>
  <c r="U120" i="60"/>
  <c r="U115" i="60"/>
  <c r="U114" i="60"/>
  <c r="U113" i="60"/>
  <c r="U112" i="60"/>
  <c r="U111" i="60"/>
  <c r="U110" i="60"/>
  <c r="U109" i="60"/>
  <c r="U108" i="60"/>
  <c r="U107" i="60"/>
  <c r="U106" i="60"/>
  <c r="U105" i="60"/>
  <c r="U104" i="60"/>
  <c r="U103" i="60"/>
  <c r="U102" i="60"/>
  <c r="U101" i="60"/>
  <c r="U100" i="60"/>
  <c r="U99" i="60"/>
  <c r="U98" i="60"/>
  <c r="U97" i="60"/>
  <c r="U88" i="60"/>
  <c r="U87" i="60"/>
  <c r="U86" i="60"/>
  <c r="U85" i="60"/>
  <c r="U84" i="60"/>
  <c r="U83" i="60"/>
  <c r="U82" i="60"/>
  <c r="U81" i="60"/>
  <c r="U76" i="60"/>
  <c r="U75" i="60"/>
  <c r="U74" i="60"/>
  <c r="U73" i="60"/>
  <c r="U72" i="60"/>
  <c r="U71" i="60"/>
  <c r="U70" i="60"/>
  <c r="U69" i="60"/>
  <c r="U68" i="60"/>
  <c r="U67" i="60"/>
  <c r="U62" i="60"/>
  <c r="U61" i="60"/>
  <c r="U60" i="60"/>
  <c r="U59" i="60"/>
  <c r="U58" i="60"/>
  <c r="U53" i="60"/>
  <c r="U52" i="60"/>
  <c r="U51" i="60"/>
  <c r="U50" i="60"/>
  <c r="Q50" i="60" s="1"/>
  <c r="U49" i="60"/>
  <c r="U48" i="60"/>
  <c r="U47" i="60"/>
  <c r="U46" i="60"/>
  <c r="Q46" i="60" s="1"/>
  <c r="U45" i="60"/>
  <c r="U44" i="60"/>
  <c r="U43" i="60"/>
  <c r="U38" i="60"/>
  <c r="U37" i="60"/>
  <c r="Q37" i="60" s="1"/>
  <c r="S37" i="60" s="1"/>
  <c r="U36" i="60"/>
  <c r="U35" i="60"/>
  <c r="U34" i="60"/>
  <c r="U33" i="60"/>
  <c r="Q33" i="60" s="1"/>
  <c r="S33" i="60" s="1"/>
  <c r="U32" i="60"/>
  <c r="U31" i="60"/>
  <c r="U30" i="60"/>
  <c r="U29" i="60"/>
  <c r="AD195" i="60"/>
  <c r="AD194" i="60"/>
  <c r="AD193" i="60"/>
  <c r="AD192" i="60"/>
  <c r="AD191" i="60"/>
  <c r="AD190" i="60"/>
  <c r="AD189" i="60"/>
  <c r="AD188" i="60"/>
  <c r="AD187" i="60"/>
  <c r="AD186" i="60"/>
  <c r="AD185" i="60"/>
  <c r="AD184" i="60"/>
  <c r="AD183" i="60"/>
  <c r="AD182" i="60"/>
  <c r="AD181" i="60"/>
  <c r="AD180" i="60"/>
  <c r="AD179" i="60"/>
  <c r="AD178" i="60"/>
  <c r="AD177" i="60"/>
  <c r="AD172" i="60"/>
  <c r="AD171" i="60"/>
  <c r="AD170" i="60"/>
  <c r="AD169" i="60"/>
  <c r="AD168" i="60"/>
  <c r="AD167" i="60"/>
  <c r="AD166" i="60"/>
  <c r="AD165" i="60"/>
  <c r="AD164" i="60"/>
  <c r="AD163" i="60"/>
  <c r="AD162" i="60"/>
  <c r="AD161" i="60"/>
  <c r="AD160" i="60"/>
  <c r="AD159" i="60"/>
  <c r="AD158" i="60"/>
  <c r="AD157" i="60"/>
  <c r="AD156" i="60"/>
  <c r="AD155" i="60"/>
  <c r="AD154" i="60"/>
  <c r="AD153" i="60"/>
  <c r="AD148" i="60"/>
  <c r="AD147" i="60"/>
  <c r="AD146" i="60"/>
  <c r="AD145" i="60"/>
  <c r="AD144" i="60"/>
  <c r="AD143" i="60"/>
  <c r="AD142" i="60"/>
  <c r="AD141" i="60"/>
  <c r="AD140" i="60"/>
  <c r="AD139" i="60"/>
  <c r="AD138" i="60"/>
  <c r="AD137" i="60"/>
  <c r="AD136" i="60"/>
  <c r="AD135" i="60"/>
  <c r="AD134" i="60"/>
  <c r="AD133" i="60"/>
  <c r="AD132" i="60"/>
  <c r="AD131" i="60"/>
  <c r="AD126" i="60"/>
  <c r="AD125" i="60"/>
  <c r="AD124" i="60"/>
  <c r="AD123" i="60"/>
  <c r="AD122" i="60"/>
  <c r="AD121" i="60"/>
  <c r="AD120" i="60"/>
  <c r="AD115" i="60"/>
  <c r="AD114" i="60"/>
  <c r="AD113" i="60"/>
  <c r="AD112" i="60"/>
  <c r="AD111" i="60"/>
  <c r="AD110" i="60"/>
  <c r="AD109" i="60"/>
  <c r="AD108" i="60"/>
  <c r="AD107" i="60"/>
  <c r="AD106" i="60"/>
  <c r="AD105" i="60"/>
  <c r="AD104" i="60"/>
  <c r="AD103" i="60"/>
  <c r="AD102" i="60"/>
  <c r="AD101" i="60"/>
  <c r="AD100" i="60"/>
  <c r="AD99" i="60"/>
  <c r="AD98" i="60"/>
  <c r="AD97" i="60"/>
  <c r="AD88" i="60"/>
  <c r="AD87" i="60"/>
  <c r="AD86" i="60"/>
  <c r="AD85" i="60"/>
  <c r="AD84" i="60"/>
  <c r="AD83" i="60"/>
  <c r="AD82" i="60"/>
  <c r="AD81" i="60"/>
  <c r="AD76" i="60"/>
  <c r="AD75" i="60"/>
  <c r="AD74" i="60"/>
  <c r="AD73" i="60"/>
  <c r="AD72" i="60"/>
  <c r="AD71" i="60"/>
  <c r="AD70" i="60"/>
  <c r="AD69" i="60"/>
  <c r="AD68" i="60"/>
  <c r="AD67" i="60"/>
  <c r="AD62" i="60"/>
  <c r="AD61" i="60"/>
  <c r="AD60" i="60"/>
  <c r="AD59" i="60"/>
  <c r="AD58" i="60"/>
  <c r="AD53" i="60"/>
  <c r="AD52" i="60"/>
  <c r="AD51" i="60"/>
  <c r="AD50" i="60"/>
  <c r="AD49" i="60"/>
  <c r="AD48" i="60"/>
  <c r="AD47" i="60"/>
  <c r="AD46" i="60"/>
  <c r="AD45" i="60"/>
  <c r="AD44" i="60"/>
  <c r="AD43" i="60"/>
  <c r="AD38" i="60"/>
  <c r="AD37" i="60"/>
  <c r="AD36" i="60"/>
  <c r="AD35" i="60"/>
  <c r="AD34" i="60"/>
  <c r="AD33" i="60"/>
  <c r="AD32" i="60"/>
  <c r="AD31" i="60"/>
  <c r="AD30" i="60"/>
  <c r="AD29" i="60"/>
  <c r="Y195" i="60"/>
  <c r="Y190" i="60"/>
  <c r="Y189" i="60"/>
  <c r="Y188" i="60"/>
  <c r="Y187" i="60"/>
  <c r="Y172" i="60"/>
  <c r="Y167" i="60"/>
  <c r="Y166" i="60"/>
  <c r="Y165" i="60"/>
  <c r="Y164" i="60"/>
  <c r="Y163" i="60"/>
  <c r="Y144" i="60"/>
  <c r="Y143" i="60"/>
  <c r="Y142" i="60"/>
  <c r="Y141" i="60"/>
  <c r="Y125" i="60"/>
  <c r="Y115" i="60"/>
  <c r="Y110" i="60"/>
  <c r="Y109" i="60"/>
  <c r="Y108" i="60"/>
  <c r="Y107" i="60"/>
  <c r="AA172" i="60"/>
  <c r="AA195" i="60"/>
  <c r="AA190" i="60"/>
  <c r="AA189" i="60"/>
  <c r="AA188" i="60"/>
  <c r="AA187" i="60"/>
  <c r="AA167" i="60"/>
  <c r="AA166" i="60"/>
  <c r="AA165" i="60"/>
  <c r="AA164" i="60"/>
  <c r="AA163" i="60"/>
  <c r="AA144" i="60"/>
  <c r="AA143" i="60"/>
  <c r="AA142" i="60"/>
  <c r="AA141" i="60"/>
  <c r="AA125" i="60"/>
  <c r="AA115" i="60"/>
  <c r="AA110" i="60"/>
  <c r="AA109" i="60"/>
  <c r="AA108" i="60"/>
  <c r="AA107" i="60"/>
  <c r="Q207" i="60"/>
  <c r="S207" i="60" s="1"/>
  <c r="Y208" i="55" s="1"/>
  <c r="Q194" i="60"/>
  <c r="S194" i="60" s="1"/>
  <c r="Q193" i="60"/>
  <c r="Q190" i="60"/>
  <c r="S190" i="60" s="1"/>
  <c r="Q184" i="60"/>
  <c r="Q181" i="60"/>
  <c r="Q180" i="60"/>
  <c r="Q177" i="60"/>
  <c r="Q171" i="60"/>
  <c r="Q163" i="60"/>
  <c r="Q155" i="60"/>
  <c r="Q145" i="60"/>
  <c r="S145" i="60" s="1"/>
  <c r="Q137" i="60"/>
  <c r="S137" i="60" s="1"/>
  <c r="Q124" i="60"/>
  <c r="S124" i="60" s="1"/>
  <c r="Q112" i="60"/>
  <c r="Q109" i="60"/>
  <c r="Q104" i="60"/>
  <c r="Q101" i="60"/>
  <c r="Q88" i="60"/>
  <c r="S88" i="60" s="1"/>
  <c r="Q87" i="60"/>
  <c r="Q82" i="60"/>
  <c r="Q60" i="60"/>
  <c r="Q58" i="60"/>
  <c r="Q49" i="60"/>
  <c r="S49" i="60" s="1"/>
  <c r="Q43" i="60"/>
  <c r="Q35" i="60"/>
  <c r="Q29" i="60"/>
  <c r="S29" i="60" s="1"/>
  <c r="Q24" i="60"/>
  <c r="Q23" i="60"/>
  <c r="Q22" i="60"/>
  <c r="Q21" i="60"/>
  <c r="Q26" i="60" s="1"/>
  <c r="Q20" i="60"/>
  <c r="Q15" i="60"/>
  <c r="Q207" i="59"/>
  <c r="Q206" i="59"/>
  <c r="Q205" i="59"/>
  <c r="Q204" i="59"/>
  <c r="Q203" i="59"/>
  <c r="Q202" i="59"/>
  <c r="Q201" i="59"/>
  <c r="Q200" i="59"/>
  <c r="Q195" i="59"/>
  <c r="Q194" i="59"/>
  <c r="Q193" i="59"/>
  <c r="Q192" i="59"/>
  <c r="Q191" i="59"/>
  <c r="Q190" i="59"/>
  <c r="Q189" i="59"/>
  <c r="Q188" i="59"/>
  <c r="Q187" i="59"/>
  <c r="Q186" i="59"/>
  <c r="Q185" i="59"/>
  <c r="Q184" i="59"/>
  <c r="Q183" i="59"/>
  <c r="Q182" i="59"/>
  <c r="Q181" i="59"/>
  <c r="Q180" i="59"/>
  <c r="Q179" i="59"/>
  <c r="Q178" i="59"/>
  <c r="Q177" i="59"/>
  <c r="Q172" i="59"/>
  <c r="Q171" i="59"/>
  <c r="Q170" i="59"/>
  <c r="Q169" i="59"/>
  <c r="Q168" i="59"/>
  <c r="Q167" i="59"/>
  <c r="Q166" i="59"/>
  <c r="Q165" i="59"/>
  <c r="Q164" i="59"/>
  <c r="Q163" i="59"/>
  <c r="Q162" i="59"/>
  <c r="Q161" i="59"/>
  <c r="Q160" i="59"/>
  <c r="Q159" i="59"/>
  <c r="Q158" i="59"/>
  <c r="Q157" i="59"/>
  <c r="Q156" i="59"/>
  <c r="Q155" i="59"/>
  <c r="Q154" i="59"/>
  <c r="Q153" i="59"/>
  <c r="Q148" i="59"/>
  <c r="Q147" i="59"/>
  <c r="Q146" i="59"/>
  <c r="Q145" i="59"/>
  <c r="Q144" i="59"/>
  <c r="Q143" i="59"/>
  <c r="Q142" i="59"/>
  <c r="Q141" i="59"/>
  <c r="Q140" i="59"/>
  <c r="Q139" i="59"/>
  <c r="Q138" i="59"/>
  <c r="Q137" i="59"/>
  <c r="Q136" i="59"/>
  <c r="Q135" i="59"/>
  <c r="Q134" i="59"/>
  <c r="Q133" i="59"/>
  <c r="Q132" i="59"/>
  <c r="Q131" i="59"/>
  <c r="Q126" i="59"/>
  <c r="Q125" i="59"/>
  <c r="Q124" i="59"/>
  <c r="Q123" i="59"/>
  <c r="Q122" i="59"/>
  <c r="Q121" i="59"/>
  <c r="Q120" i="59"/>
  <c r="Q115" i="59"/>
  <c r="Q114" i="59"/>
  <c r="Q113" i="59"/>
  <c r="Q112" i="59"/>
  <c r="Q111" i="59"/>
  <c r="Q110" i="59"/>
  <c r="Q109" i="59"/>
  <c r="Q108" i="59"/>
  <c r="Q107" i="59"/>
  <c r="Q106" i="59"/>
  <c r="Q105" i="59"/>
  <c r="Q104" i="59"/>
  <c r="Q103" i="59"/>
  <c r="Q102" i="59"/>
  <c r="Q101" i="59"/>
  <c r="Q100" i="59"/>
  <c r="Q99" i="59"/>
  <c r="Q98" i="59"/>
  <c r="Q97" i="59"/>
  <c r="Q88" i="59"/>
  <c r="Q87" i="59"/>
  <c r="Q86" i="59"/>
  <c r="Q85" i="59"/>
  <c r="Q84" i="59"/>
  <c r="Q83" i="59"/>
  <c r="Q82" i="59"/>
  <c r="Q81" i="59"/>
  <c r="Q76" i="59"/>
  <c r="Q75" i="59"/>
  <c r="Q74" i="59"/>
  <c r="Q73" i="59"/>
  <c r="Q72" i="59"/>
  <c r="Q71" i="59"/>
  <c r="Q70" i="59"/>
  <c r="Q69" i="59"/>
  <c r="Q68" i="59"/>
  <c r="Q67" i="59"/>
  <c r="Q62" i="59"/>
  <c r="Q61" i="59"/>
  <c r="Q60" i="59"/>
  <c r="Q59" i="59"/>
  <c r="Q58" i="59"/>
  <c r="Q53" i="59"/>
  <c r="Q52" i="59"/>
  <c r="Q51" i="59"/>
  <c r="Q50" i="59"/>
  <c r="Q49" i="59"/>
  <c r="Q48" i="59"/>
  <c r="Q47" i="59"/>
  <c r="Q46" i="59"/>
  <c r="Q45" i="59"/>
  <c r="Q43" i="59"/>
  <c r="Q38" i="59"/>
  <c r="Q37" i="59"/>
  <c r="Q36" i="59"/>
  <c r="Q35" i="59"/>
  <c r="Q34" i="59"/>
  <c r="Q33" i="59"/>
  <c r="Q32" i="59"/>
  <c r="Q31" i="59"/>
  <c r="Q30" i="59"/>
  <c r="Q29" i="59"/>
  <c r="Q24" i="59"/>
  <c r="Q23" i="59"/>
  <c r="Q22" i="59"/>
  <c r="Q21" i="59"/>
  <c r="Q20" i="59"/>
  <c r="Y207" i="60"/>
  <c r="Y203" i="60"/>
  <c r="Y201" i="60"/>
  <c r="Y200" i="60"/>
  <c r="Y194" i="60"/>
  <c r="Y193" i="60"/>
  <c r="Y192" i="60"/>
  <c r="Y191" i="60"/>
  <c r="Y186" i="60"/>
  <c r="Y185" i="60"/>
  <c r="Y184" i="60"/>
  <c r="Y183" i="60"/>
  <c r="Y182" i="60"/>
  <c r="Y181" i="60"/>
  <c r="Y180" i="60"/>
  <c r="Y179" i="60"/>
  <c r="Y178" i="60"/>
  <c r="Y177" i="60"/>
  <c r="Y171" i="60"/>
  <c r="Y170" i="60"/>
  <c r="Y169" i="60"/>
  <c r="Y168" i="60"/>
  <c r="Y162" i="60"/>
  <c r="Y161" i="60"/>
  <c r="Y160" i="60"/>
  <c r="Y159" i="60"/>
  <c r="Y158" i="60"/>
  <c r="Y157" i="60"/>
  <c r="Y156" i="60"/>
  <c r="Y155" i="60"/>
  <c r="Y154" i="60"/>
  <c r="Y153" i="60"/>
  <c r="Y148" i="60"/>
  <c r="Y147" i="60"/>
  <c r="Y146" i="60"/>
  <c r="Y145" i="60"/>
  <c r="Y140" i="60"/>
  <c r="Y139" i="60"/>
  <c r="Y138" i="60"/>
  <c r="Y137" i="60"/>
  <c r="Y136" i="60"/>
  <c r="Y135" i="60"/>
  <c r="Y134" i="60"/>
  <c r="Y133" i="60"/>
  <c r="Y132" i="60"/>
  <c r="Y131" i="60"/>
  <c r="Y126" i="60"/>
  <c r="Y124" i="60"/>
  <c r="Y123" i="60"/>
  <c r="Y122" i="60"/>
  <c r="Y121" i="60"/>
  <c r="Y120" i="60"/>
  <c r="Y114" i="60"/>
  <c r="Y113" i="60"/>
  <c r="Y112" i="60"/>
  <c r="Y111" i="60"/>
  <c r="Y106" i="60"/>
  <c r="Y105" i="60"/>
  <c r="Y104" i="60"/>
  <c r="Y103" i="60"/>
  <c r="Y102" i="60"/>
  <c r="Y101" i="60"/>
  <c r="Y100" i="60"/>
  <c r="Y99" i="60"/>
  <c r="Y98" i="60"/>
  <c r="Y97" i="60"/>
  <c r="Y88" i="60"/>
  <c r="Y87" i="60"/>
  <c r="Y86" i="60"/>
  <c r="Y85" i="60"/>
  <c r="Y84" i="60"/>
  <c r="Y83" i="60"/>
  <c r="Y82" i="60"/>
  <c r="Y81" i="60"/>
  <c r="Y76" i="60"/>
  <c r="Y75" i="60"/>
  <c r="Y74" i="60"/>
  <c r="Y73" i="60"/>
  <c r="Y72" i="60"/>
  <c r="Y71" i="60"/>
  <c r="Y70" i="60"/>
  <c r="Y69" i="60"/>
  <c r="Y68" i="60"/>
  <c r="Y67" i="60"/>
  <c r="Y62" i="60"/>
  <c r="Y61" i="60"/>
  <c r="Y60" i="60"/>
  <c r="Y59" i="60"/>
  <c r="Y58" i="60"/>
  <c r="Y53" i="60"/>
  <c r="Y52" i="60"/>
  <c r="Y51" i="60"/>
  <c r="Y50" i="60"/>
  <c r="Y49" i="60"/>
  <c r="Y48" i="60"/>
  <c r="Y47" i="60"/>
  <c r="Y46" i="60"/>
  <c r="Y45" i="60"/>
  <c r="Y44" i="60"/>
  <c r="Y43" i="60"/>
  <c r="Y38" i="60"/>
  <c r="Y37" i="60"/>
  <c r="Y36" i="60"/>
  <c r="Y35" i="60"/>
  <c r="Y34" i="60"/>
  <c r="Y33" i="60"/>
  <c r="Y32" i="60"/>
  <c r="Y31" i="60"/>
  <c r="Y30" i="60"/>
  <c r="Y29" i="60"/>
  <c r="M274" i="60"/>
  <c r="K274" i="60"/>
  <c r="M257" i="60"/>
  <c r="Q255" i="60"/>
  <c r="Q254" i="60"/>
  <c r="Q253" i="60"/>
  <c r="Q252" i="60"/>
  <c r="Q251" i="60"/>
  <c r="Q250" i="60"/>
  <c r="Q249" i="60"/>
  <c r="Q245" i="60"/>
  <c r="S245" i="60" s="1"/>
  <c r="O245" i="60"/>
  <c r="M245" i="60"/>
  <c r="K245" i="60"/>
  <c r="Q230" i="60"/>
  <c r="S230" i="60" s="1"/>
  <c r="O230" i="60"/>
  <c r="M230" i="60"/>
  <c r="K230" i="60"/>
  <c r="Q222" i="60"/>
  <c r="O222" i="60"/>
  <c r="M222" i="60"/>
  <c r="K222" i="60"/>
  <c r="S222" i="60" s="1"/>
  <c r="M209" i="60"/>
  <c r="K209" i="60"/>
  <c r="O207" i="60"/>
  <c r="O206" i="60"/>
  <c r="O205" i="60"/>
  <c r="O204" i="60"/>
  <c r="O203" i="60"/>
  <c r="Q203" i="60" s="1"/>
  <c r="S203" i="60" s="1"/>
  <c r="Y204" i="55" s="1"/>
  <c r="O202" i="60"/>
  <c r="O201" i="60"/>
  <c r="O200" i="60"/>
  <c r="Q200" i="60" s="1"/>
  <c r="S200" i="60" s="1"/>
  <c r="Y201" i="55" s="1"/>
  <c r="M197" i="60"/>
  <c r="K197" i="60"/>
  <c r="O195" i="60"/>
  <c r="Q195" i="60" s="1"/>
  <c r="S195" i="60" s="1"/>
  <c r="O194" i="60"/>
  <c r="O193" i="60"/>
  <c r="O192" i="60"/>
  <c r="Q192" i="60" s="1"/>
  <c r="O191" i="60"/>
  <c r="Q191" i="60" s="1"/>
  <c r="S191" i="60" s="1"/>
  <c r="O190" i="60"/>
  <c r="O189" i="60"/>
  <c r="O188" i="60"/>
  <c r="O187" i="60"/>
  <c r="Q187" i="60" s="1"/>
  <c r="S187" i="60" s="1"/>
  <c r="O186" i="60"/>
  <c r="Q186" i="60" s="1"/>
  <c r="S186" i="60" s="1"/>
  <c r="O185" i="60"/>
  <c r="Q185" i="60" s="1"/>
  <c r="O184" i="60"/>
  <c r="O183" i="60"/>
  <c r="Q183" i="60" s="1"/>
  <c r="S183" i="60" s="1"/>
  <c r="O182" i="60"/>
  <c r="Q182" i="60" s="1"/>
  <c r="S182" i="60" s="1"/>
  <c r="O181" i="60"/>
  <c r="O180" i="60"/>
  <c r="O179" i="60"/>
  <c r="Q179" i="60" s="1"/>
  <c r="S179" i="60" s="1"/>
  <c r="O178" i="60"/>
  <c r="Q178" i="60" s="1"/>
  <c r="S178" i="60" s="1"/>
  <c r="O177" i="60"/>
  <c r="M174" i="60"/>
  <c r="K174" i="60"/>
  <c r="O172" i="60"/>
  <c r="O171" i="60"/>
  <c r="O170" i="60"/>
  <c r="O169" i="60"/>
  <c r="Q169" i="60" s="1"/>
  <c r="S169" i="60" s="1"/>
  <c r="O168" i="60"/>
  <c r="O167" i="60"/>
  <c r="Q167" i="60" s="1"/>
  <c r="O166" i="60"/>
  <c r="O165" i="60"/>
  <c r="Q165" i="60" s="1"/>
  <c r="S165" i="60" s="1"/>
  <c r="O164" i="60"/>
  <c r="O163" i="60"/>
  <c r="O162" i="60"/>
  <c r="O161" i="60"/>
  <c r="Q161" i="60" s="1"/>
  <c r="S161" i="60" s="1"/>
  <c r="O160" i="60"/>
  <c r="O159" i="60"/>
  <c r="O158" i="60"/>
  <c r="O157" i="60"/>
  <c r="Q157" i="60" s="1"/>
  <c r="S157" i="60" s="1"/>
  <c r="O156" i="60"/>
  <c r="O155" i="60"/>
  <c r="O154" i="60"/>
  <c r="O153" i="60"/>
  <c r="Q153" i="60" s="1"/>
  <c r="M150" i="60"/>
  <c r="K150" i="60"/>
  <c r="O148" i="60"/>
  <c r="O147" i="60"/>
  <c r="Q147" i="60" s="1"/>
  <c r="O146" i="60"/>
  <c r="O145" i="60"/>
  <c r="O144" i="60"/>
  <c r="O143" i="60"/>
  <c r="Q143" i="60" s="1"/>
  <c r="O142" i="60"/>
  <c r="O141" i="60"/>
  <c r="Q141" i="60" s="1"/>
  <c r="S141" i="60" s="1"/>
  <c r="O140" i="60"/>
  <c r="O139" i="60"/>
  <c r="Q139" i="60" s="1"/>
  <c r="O138" i="60"/>
  <c r="O137" i="60"/>
  <c r="O136" i="60"/>
  <c r="O135" i="60"/>
  <c r="Q135" i="60" s="1"/>
  <c r="O134" i="60"/>
  <c r="O133" i="60"/>
  <c r="Q133" i="60" s="1"/>
  <c r="O132" i="60"/>
  <c r="O131" i="60"/>
  <c r="Q131" i="60" s="1"/>
  <c r="M128" i="60"/>
  <c r="M211" i="60" s="1"/>
  <c r="K128" i="60"/>
  <c r="O126" i="60"/>
  <c r="O125" i="60"/>
  <c r="O124" i="60"/>
  <c r="O123" i="60"/>
  <c r="Q123" i="60" s="1"/>
  <c r="S123" i="60" s="1"/>
  <c r="O122" i="60"/>
  <c r="O121" i="60"/>
  <c r="O120" i="60"/>
  <c r="Q120" i="60" s="1"/>
  <c r="S120" i="60" s="1"/>
  <c r="M117" i="60"/>
  <c r="K117" i="60"/>
  <c r="K211" i="60" s="1"/>
  <c r="O115" i="60"/>
  <c r="O114" i="60"/>
  <c r="O113" i="60"/>
  <c r="Q113" i="60" s="1"/>
  <c r="O112" i="60"/>
  <c r="O111" i="60"/>
  <c r="O110" i="60"/>
  <c r="O109" i="60"/>
  <c r="O108" i="60"/>
  <c r="Q108" i="60" s="1"/>
  <c r="O107" i="60"/>
  <c r="O106" i="60"/>
  <c r="O105" i="60"/>
  <c r="Q105" i="60" s="1"/>
  <c r="O104" i="60"/>
  <c r="O103" i="60"/>
  <c r="O102" i="60"/>
  <c r="O101" i="60"/>
  <c r="O100" i="60"/>
  <c r="Q100" i="60" s="1"/>
  <c r="O99" i="60"/>
  <c r="O98" i="60"/>
  <c r="O97" i="60"/>
  <c r="Q97" i="60" s="1"/>
  <c r="M92" i="60"/>
  <c r="M90" i="60"/>
  <c r="K90" i="60"/>
  <c r="O88" i="60"/>
  <c r="O87" i="60"/>
  <c r="O86" i="60"/>
  <c r="O85" i="60"/>
  <c r="Q85" i="60" s="1"/>
  <c r="S85" i="60" s="1"/>
  <c r="O84" i="60"/>
  <c r="Q84" i="60" s="1"/>
  <c r="S84" i="60" s="1"/>
  <c r="O83" i="60"/>
  <c r="O82" i="60"/>
  <c r="O81" i="60"/>
  <c r="Q81" i="60" s="1"/>
  <c r="M78" i="60"/>
  <c r="K78" i="60"/>
  <c r="O76" i="60"/>
  <c r="O75" i="60"/>
  <c r="O74" i="60"/>
  <c r="Q74" i="60" s="1"/>
  <c r="O73" i="60"/>
  <c r="Q73" i="60" s="1"/>
  <c r="O72" i="60"/>
  <c r="O71" i="60"/>
  <c r="O70" i="60"/>
  <c r="Q70" i="60" s="1"/>
  <c r="O69" i="60"/>
  <c r="Q69" i="60" s="1"/>
  <c r="O68" i="60"/>
  <c r="O67" i="60"/>
  <c r="O64" i="60"/>
  <c r="M64" i="60"/>
  <c r="K64" i="60"/>
  <c r="O62" i="60"/>
  <c r="Q62" i="60" s="1"/>
  <c r="S62" i="60" s="1"/>
  <c r="O61" i="60"/>
  <c r="O60" i="60"/>
  <c r="O59" i="60"/>
  <c r="O58" i="60"/>
  <c r="M55" i="60"/>
  <c r="K55" i="60"/>
  <c r="O53" i="60"/>
  <c r="Q53" i="60" s="1"/>
  <c r="S53" i="60" s="1"/>
  <c r="O52" i="60"/>
  <c r="O51" i="60"/>
  <c r="O50" i="60"/>
  <c r="O49" i="60"/>
  <c r="O48" i="60"/>
  <c r="O47" i="60"/>
  <c r="O46" i="60"/>
  <c r="O45" i="60"/>
  <c r="Q45" i="60" s="1"/>
  <c r="S45" i="60" s="1"/>
  <c r="S44" i="60"/>
  <c r="O44" i="60"/>
  <c r="O43" i="60"/>
  <c r="M40" i="60"/>
  <c r="K40" i="60"/>
  <c r="O38" i="60"/>
  <c r="Q38" i="60" s="1"/>
  <c r="O37" i="60"/>
  <c r="O36" i="60"/>
  <c r="O35" i="60"/>
  <c r="O34" i="60"/>
  <c r="Q34" i="60" s="1"/>
  <c r="O33" i="60"/>
  <c r="O32" i="60"/>
  <c r="O31" i="60"/>
  <c r="Q31" i="60" s="1"/>
  <c r="O30" i="60"/>
  <c r="Q30" i="60" s="1"/>
  <c r="O29" i="60"/>
  <c r="M26" i="60"/>
  <c r="K26" i="60"/>
  <c r="K92" i="60" s="1"/>
  <c r="K259" i="60" s="1"/>
  <c r="S24" i="60"/>
  <c r="O24" i="60"/>
  <c r="S23" i="60"/>
  <c r="O23" i="60"/>
  <c r="O22" i="60"/>
  <c r="S22" i="60" s="1"/>
  <c r="O21" i="60"/>
  <c r="O20" i="60"/>
  <c r="O15" i="60"/>
  <c r="M15" i="60"/>
  <c r="K15" i="60"/>
  <c r="AG244" i="55"/>
  <c r="AG243" i="55"/>
  <c r="AG242" i="55"/>
  <c r="AG241" i="55"/>
  <c r="AG240" i="55"/>
  <c r="AE240" i="55"/>
  <c r="AG239" i="55"/>
  <c r="AG238" i="55"/>
  <c r="AG237" i="55"/>
  <c r="AG236" i="55"/>
  <c r="AE236" i="55"/>
  <c r="AG235" i="55"/>
  <c r="AG229" i="55"/>
  <c r="AG228" i="55"/>
  <c r="AG227" i="55"/>
  <c r="AG221" i="55"/>
  <c r="AE221" i="55"/>
  <c r="AG220" i="55"/>
  <c r="AG219" i="55"/>
  <c r="AG218" i="55"/>
  <c r="AG217" i="55"/>
  <c r="AE217" i="55"/>
  <c r="AG216" i="55"/>
  <c r="Q158" i="61" l="1"/>
  <c r="S158" i="61" s="1"/>
  <c r="AG159" i="55" s="1"/>
  <c r="Q136" i="61"/>
  <c r="S136" i="61" s="1"/>
  <c r="AG137" i="55" s="1"/>
  <c r="AK137" i="55" s="1"/>
  <c r="Q133" i="61"/>
  <c r="S133" i="61" s="1"/>
  <c r="AG134" i="55" s="1"/>
  <c r="AI134" i="55" s="1"/>
  <c r="Q36" i="61"/>
  <c r="S36" i="61" s="1"/>
  <c r="AG37" i="55" s="1"/>
  <c r="Q50" i="61"/>
  <c r="S50" i="61" s="1"/>
  <c r="AG51" i="55" s="1"/>
  <c r="Q38" i="61"/>
  <c r="S38" i="61" s="1"/>
  <c r="AG39" i="55" s="1"/>
  <c r="Q32" i="61"/>
  <c r="S32" i="61" s="1"/>
  <c r="AG33" i="55" s="1"/>
  <c r="S58" i="61"/>
  <c r="Q64" i="61"/>
  <c r="S64" i="61" s="1"/>
  <c r="Q40" i="61"/>
  <c r="S40" i="61" s="1"/>
  <c r="S29" i="61"/>
  <c r="Q34" i="61"/>
  <c r="S34" i="61" s="1"/>
  <c r="AG35" i="55" s="1"/>
  <c r="S43" i="61"/>
  <c r="Q48" i="61"/>
  <c r="S48" i="61" s="1"/>
  <c r="Q22" i="61"/>
  <c r="K92" i="61"/>
  <c r="K259" i="61" s="1"/>
  <c r="Q30" i="61"/>
  <c r="S30" i="61" s="1"/>
  <c r="O64" i="61"/>
  <c r="Q82" i="61"/>
  <c r="S82" i="61" s="1"/>
  <c r="Q87" i="61"/>
  <c r="S87" i="61" s="1"/>
  <c r="AG88" i="55" s="1"/>
  <c r="AI88" i="55" s="1"/>
  <c r="Q88" i="61"/>
  <c r="S88" i="61" s="1"/>
  <c r="AG89" i="55" s="1"/>
  <c r="O90" i="61"/>
  <c r="Q98" i="61"/>
  <c r="S98" i="61" s="1"/>
  <c r="AG99" i="55" s="1"/>
  <c r="Q99" i="61"/>
  <c r="S99" i="61" s="1"/>
  <c r="AG100" i="55" s="1"/>
  <c r="Q103" i="61"/>
  <c r="S103" i="61" s="1"/>
  <c r="AG104" i="55" s="1"/>
  <c r="Q107" i="61"/>
  <c r="S107" i="61" s="1"/>
  <c r="Q110" i="61"/>
  <c r="S110" i="61" s="1"/>
  <c r="Q122" i="61"/>
  <c r="S122" i="61" s="1"/>
  <c r="AG123" i="55" s="1"/>
  <c r="AK123" i="55" s="1"/>
  <c r="Q160" i="61"/>
  <c r="S160" i="61" s="1"/>
  <c r="AG161" i="55" s="1"/>
  <c r="Q69" i="61"/>
  <c r="S69" i="61" s="1"/>
  <c r="M276" i="61"/>
  <c r="M259" i="61"/>
  <c r="O92" i="61"/>
  <c r="Q81" i="61"/>
  <c r="Q84" i="61"/>
  <c r="S84" i="61" s="1"/>
  <c r="Q111" i="61"/>
  <c r="S111" i="61" s="1"/>
  <c r="Q115" i="61"/>
  <c r="S115" i="61" s="1"/>
  <c r="Q135" i="61"/>
  <c r="S135" i="61" s="1"/>
  <c r="AG136" i="55" s="1"/>
  <c r="Q71" i="61"/>
  <c r="S71" i="61" s="1"/>
  <c r="O78" i="61"/>
  <c r="Q67" i="61"/>
  <c r="Q73" i="61"/>
  <c r="S73" i="61" s="1"/>
  <c r="AG74" i="55" s="1"/>
  <c r="Q86" i="61"/>
  <c r="S86" i="61" s="1"/>
  <c r="O117" i="61"/>
  <c r="O211" i="61" s="1"/>
  <c r="Q97" i="61"/>
  <c r="Q101" i="61"/>
  <c r="S101" i="61" s="1"/>
  <c r="AG102" i="55" s="1"/>
  <c r="Q105" i="61"/>
  <c r="S105" i="61" s="1"/>
  <c r="AG106" i="55" s="1"/>
  <c r="AK106" i="55" s="1"/>
  <c r="O128" i="61"/>
  <c r="Q120" i="61"/>
  <c r="Q124" i="61"/>
  <c r="S124" i="61" s="1"/>
  <c r="AG125" i="55" s="1"/>
  <c r="Q137" i="61"/>
  <c r="S137" i="61" s="1"/>
  <c r="AG138" i="55" s="1"/>
  <c r="AI138" i="55" s="1"/>
  <c r="Q139" i="61"/>
  <c r="S139" i="61" s="1"/>
  <c r="AG140" i="55" s="1"/>
  <c r="Q141" i="61"/>
  <c r="S141" i="61" s="1"/>
  <c r="Q145" i="61"/>
  <c r="S145" i="61" s="1"/>
  <c r="Q147" i="61"/>
  <c r="S147" i="61" s="1"/>
  <c r="O174" i="61"/>
  <c r="Q187" i="61"/>
  <c r="S187" i="61" s="1"/>
  <c r="Q193" i="61"/>
  <c r="S193" i="61" s="1"/>
  <c r="Q205" i="61"/>
  <c r="S205" i="61" s="1"/>
  <c r="Q257" i="61"/>
  <c r="O150" i="61"/>
  <c r="Q131" i="61"/>
  <c r="Q185" i="61"/>
  <c r="S185" i="61" s="1"/>
  <c r="AG186" i="55" s="1"/>
  <c r="Q191" i="61"/>
  <c r="S191" i="61" s="1"/>
  <c r="Q202" i="61"/>
  <c r="S202" i="61" s="1"/>
  <c r="Q203" i="61"/>
  <c r="S203" i="61" s="1"/>
  <c r="K211" i="61"/>
  <c r="Q174" i="61"/>
  <c r="S174" i="61" s="1"/>
  <c r="O197" i="61"/>
  <c r="Q177" i="61"/>
  <c r="Q179" i="61"/>
  <c r="S179" i="61" s="1"/>
  <c r="AG180" i="55" s="1"/>
  <c r="AI180" i="55" s="1"/>
  <c r="Q181" i="61"/>
  <c r="S181" i="61" s="1"/>
  <c r="AG182" i="55" s="1"/>
  <c r="Q183" i="61"/>
  <c r="S183" i="61" s="1"/>
  <c r="AG184" i="55" s="1"/>
  <c r="Q200" i="61"/>
  <c r="AE237" i="55"/>
  <c r="AE218" i="55"/>
  <c r="AE227" i="55"/>
  <c r="AE244" i="55"/>
  <c r="AE241" i="55"/>
  <c r="AE219" i="55"/>
  <c r="AE220" i="55"/>
  <c r="AE238" i="55"/>
  <c r="AE239" i="55"/>
  <c r="AE228" i="55"/>
  <c r="AE229" i="55"/>
  <c r="AE235" i="55"/>
  <c r="AE242" i="55"/>
  <c r="AE243" i="55"/>
  <c r="Q204" i="60"/>
  <c r="S204" i="60" s="1"/>
  <c r="Y205" i="55" s="1"/>
  <c r="AC205" i="55" s="1"/>
  <c r="Q205" i="60"/>
  <c r="S205" i="60" s="1"/>
  <c r="Y206" i="55" s="1"/>
  <c r="Q202" i="60"/>
  <c r="S202" i="60" s="1"/>
  <c r="Y203" i="55" s="1"/>
  <c r="Q201" i="60"/>
  <c r="S201" i="60" s="1"/>
  <c r="Y202" i="55" s="1"/>
  <c r="S206" i="60"/>
  <c r="Y207" i="55" s="1"/>
  <c r="AC207" i="55" s="1"/>
  <c r="S185" i="60"/>
  <c r="Q188" i="60"/>
  <c r="S188" i="60" s="1"/>
  <c r="S180" i="60"/>
  <c r="S159" i="60"/>
  <c r="S163" i="60"/>
  <c r="S171" i="60"/>
  <c r="Q156" i="60"/>
  <c r="Q160" i="60"/>
  <c r="S160" i="60" s="1"/>
  <c r="Q164" i="60"/>
  <c r="Q168" i="60"/>
  <c r="S168" i="60" s="1"/>
  <c r="Q159" i="60"/>
  <c r="Q132" i="60"/>
  <c r="S132" i="60" s="1"/>
  <c r="Q136" i="60"/>
  <c r="S136" i="60" s="1"/>
  <c r="Q140" i="60"/>
  <c r="S140" i="60" s="1"/>
  <c r="Q144" i="60"/>
  <c r="S144" i="60" s="1"/>
  <c r="Q148" i="60"/>
  <c r="S148" i="60" s="1"/>
  <c r="Q134" i="60"/>
  <c r="Q150" i="60" s="1"/>
  <c r="S150" i="60" s="1"/>
  <c r="Q138" i="60"/>
  <c r="S138" i="60" s="1"/>
  <c r="Q142" i="60"/>
  <c r="S142" i="60" s="1"/>
  <c r="Q146" i="60"/>
  <c r="S135" i="60"/>
  <c r="S143" i="60"/>
  <c r="Q125" i="60"/>
  <c r="Q128" i="60" s="1"/>
  <c r="S128" i="60" s="1"/>
  <c r="Q122" i="60"/>
  <c r="Q126" i="60"/>
  <c r="S126" i="60" s="1"/>
  <c r="S109" i="60"/>
  <c r="Q98" i="60"/>
  <c r="Q117" i="60" s="1"/>
  <c r="Q102" i="60"/>
  <c r="S102" i="60" s="1"/>
  <c r="Q106" i="60"/>
  <c r="S106" i="60" s="1"/>
  <c r="Q110" i="60"/>
  <c r="S110" i="60" s="1"/>
  <c r="Q114" i="60"/>
  <c r="S114" i="60" s="1"/>
  <c r="S108" i="60"/>
  <c r="S112" i="60"/>
  <c r="Q99" i="60"/>
  <c r="S99" i="60" s="1"/>
  <c r="Q103" i="60"/>
  <c r="S103" i="60" s="1"/>
  <c r="Q107" i="60"/>
  <c r="S107" i="60" s="1"/>
  <c r="Q111" i="60"/>
  <c r="S111" i="60" s="1"/>
  <c r="Q115" i="60"/>
  <c r="S115" i="60" s="1"/>
  <c r="Q83" i="60"/>
  <c r="S83" i="60" s="1"/>
  <c r="Q86" i="60"/>
  <c r="Q68" i="60"/>
  <c r="S68" i="60" s="1"/>
  <c r="Q72" i="60"/>
  <c r="S72" i="60" s="1"/>
  <c r="Q76" i="60"/>
  <c r="S76" i="60" s="1"/>
  <c r="Q67" i="60"/>
  <c r="S67" i="60" s="1"/>
  <c r="Q71" i="60"/>
  <c r="S71" i="60" s="1"/>
  <c r="Q75" i="60"/>
  <c r="S75" i="60" s="1"/>
  <c r="S60" i="60"/>
  <c r="Q61" i="60"/>
  <c r="Q59" i="60"/>
  <c r="S59" i="60" s="1"/>
  <c r="Q48" i="60"/>
  <c r="S48" i="60" s="1"/>
  <c r="Q52" i="60"/>
  <c r="Q47" i="60"/>
  <c r="S47" i="60" s="1"/>
  <c r="Q51" i="60"/>
  <c r="S51" i="60" s="1"/>
  <c r="Q32" i="60"/>
  <c r="Q36" i="60"/>
  <c r="S36" i="60" s="1"/>
  <c r="S193" i="60"/>
  <c r="S156" i="60"/>
  <c r="S164" i="60"/>
  <c r="S134" i="60"/>
  <c r="S121" i="60"/>
  <c r="S100" i="60"/>
  <c r="S113" i="60"/>
  <c r="S104" i="60"/>
  <c r="Q90" i="60"/>
  <c r="S90" i="60" s="1"/>
  <c r="S86" i="60"/>
  <c r="S70" i="60"/>
  <c r="Q78" i="60"/>
  <c r="S78" i="60" s="1"/>
  <c r="S73" i="60"/>
  <c r="S52" i="60"/>
  <c r="S31" i="60"/>
  <c r="S34" i="60"/>
  <c r="S30" i="60"/>
  <c r="Q172" i="60"/>
  <c r="Q174" i="60" s="1"/>
  <c r="S174" i="60" s="1"/>
  <c r="S61" i="60"/>
  <c r="S38" i="60"/>
  <c r="S46" i="60"/>
  <c r="S50" i="60"/>
  <c r="S69" i="60"/>
  <c r="S87" i="60"/>
  <c r="S105" i="60"/>
  <c r="S133" i="60"/>
  <c r="S139" i="60"/>
  <c r="S147" i="60"/>
  <c r="S155" i="60"/>
  <c r="S167" i="60"/>
  <c r="S181" i="60"/>
  <c r="S189" i="60"/>
  <c r="Q40" i="60"/>
  <c r="Q197" i="60"/>
  <c r="S101" i="60"/>
  <c r="S21" i="60"/>
  <c r="S32" i="60"/>
  <c r="S35" i="60"/>
  <c r="S74" i="60"/>
  <c r="S81" i="60"/>
  <c r="S122" i="60"/>
  <c r="S146" i="60"/>
  <c r="S184" i="60"/>
  <c r="S192" i="60"/>
  <c r="S15" i="60"/>
  <c r="O209" i="60"/>
  <c r="M259" i="60"/>
  <c r="M276" i="60" s="1"/>
  <c r="S26" i="60"/>
  <c r="O26" i="60"/>
  <c r="O55" i="60"/>
  <c r="O78" i="60"/>
  <c r="O117" i="60"/>
  <c r="O150" i="60"/>
  <c r="S20" i="60"/>
  <c r="O40" i="60"/>
  <c r="S43" i="60"/>
  <c r="S82" i="60"/>
  <c r="K276" i="60"/>
  <c r="S131" i="60"/>
  <c r="S58" i="60"/>
  <c r="O90" i="60"/>
  <c r="S153" i="60"/>
  <c r="O197" i="60"/>
  <c r="Q257" i="60"/>
  <c r="O128" i="60"/>
  <c r="O174" i="60"/>
  <c r="AM238" i="55"/>
  <c r="AM228" i="55"/>
  <c r="AK208" i="55"/>
  <c r="AC208" i="55"/>
  <c r="AA208" i="55"/>
  <c r="AI207" i="55"/>
  <c r="AK206" i="55"/>
  <c r="AI205" i="55"/>
  <c r="AK204" i="55"/>
  <c r="AC204" i="55"/>
  <c r="AA204" i="55"/>
  <c r="AI203" i="55"/>
  <c r="AK202" i="55"/>
  <c r="AC201" i="55"/>
  <c r="AA201" i="55"/>
  <c r="AI196" i="55"/>
  <c r="AC196" i="55"/>
  <c r="AA196" i="55"/>
  <c r="AK195" i="55"/>
  <c r="AC195" i="55"/>
  <c r="AA195" i="55"/>
  <c r="AE195" i="55" s="1"/>
  <c r="AI194" i="55"/>
  <c r="AK194" i="55"/>
  <c r="AC194" i="55"/>
  <c r="AA194" i="55"/>
  <c r="AE194" i="55" s="1"/>
  <c r="AI193" i="55"/>
  <c r="AK193" i="55"/>
  <c r="AC193" i="55"/>
  <c r="AA193" i="55"/>
  <c r="AE193" i="55" s="1"/>
  <c r="AK192" i="55"/>
  <c r="AI192" i="55"/>
  <c r="AC192" i="55"/>
  <c r="AA192" i="55"/>
  <c r="AK191" i="55"/>
  <c r="AC191" i="55"/>
  <c r="AA191" i="55"/>
  <c r="AK190" i="55"/>
  <c r="AC190" i="55"/>
  <c r="AA190" i="55"/>
  <c r="AK189" i="55"/>
  <c r="AC189" i="55"/>
  <c r="AA189" i="55"/>
  <c r="AE189" i="55" s="1"/>
  <c r="AI188" i="55"/>
  <c r="AC188" i="55"/>
  <c r="AA188" i="55"/>
  <c r="AK187" i="55"/>
  <c r="AC187" i="55"/>
  <c r="AA187" i="55"/>
  <c r="AI186" i="55"/>
  <c r="AC186" i="55"/>
  <c r="AA186" i="55"/>
  <c r="AK185" i="55"/>
  <c r="AC185" i="55"/>
  <c r="AA185" i="55"/>
  <c r="AK184" i="55"/>
  <c r="AC184" i="55"/>
  <c r="AA184" i="55"/>
  <c r="AK183" i="55"/>
  <c r="AC183" i="55"/>
  <c r="AA183" i="55"/>
  <c r="AI182" i="55"/>
  <c r="AC182" i="55"/>
  <c r="AA182" i="55"/>
  <c r="AK181" i="55"/>
  <c r="AC181" i="55"/>
  <c r="AA181" i="55"/>
  <c r="AC180" i="55"/>
  <c r="AA180" i="55"/>
  <c r="AK179" i="55"/>
  <c r="AC179" i="55"/>
  <c r="AA179" i="55"/>
  <c r="AE179" i="55" s="1"/>
  <c r="AC178" i="55"/>
  <c r="AA178" i="55"/>
  <c r="AK173" i="55"/>
  <c r="AC173" i="55"/>
  <c r="AA173" i="55"/>
  <c r="AI172" i="55"/>
  <c r="AC172" i="55"/>
  <c r="AA172" i="55"/>
  <c r="AK171" i="55"/>
  <c r="AC171" i="55"/>
  <c r="AA171" i="55"/>
  <c r="AI170" i="55"/>
  <c r="AC170" i="55"/>
  <c r="AA170" i="55"/>
  <c r="AK169" i="55"/>
  <c r="AC169" i="55"/>
  <c r="AA169" i="55"/>
  <c r="AI168" i="55"/>
  <c r="AC168" i="55"/>
  <c r="AA168" i="55"/>
  <c r="AK167" i="55"/>
  <c r="AC167" i="55"/>
  <c r="AA167" i="55"/>
  <c r="AI166" i="55"/>
  <c r="AC166" i="55"/>
  <c r="AA166" i="55"/>
  <c r="AK165" i="55"/>
  <c r="AC165" i="55"/>
  <c r="AA165" i="55"/>
  <c r="AI164" i="55"/>
  <c r="AC164" i="55"/>
  <c r="AA164" i="55"/>
  <c r="AK163" i="55"/>
  <c r="AC163" i="55"/>
  <c r="AA163" i="55"/>
  <c r="AI162" i="55"/>
  <c r="AC162" i="55"/>
  <c r="AA162" i="55"/>
  <c r="AK161" i="55"/>
  <c r="AC161" i="55"/>
  <c r="AA161" i="55"/>
  <c r="AE161" i="55" s="1"/>
  <c r="AI160" i="55"/>
  <c r="AC160" i="55"/>
  <c r="AA160" i="55"/>
  <c r="AK159" i="55"/>
  <c r="AC159" i="55"/>
  <c r="AA159" i="55"/>
  <c r="AI158" i="55"/>
  <c r="AC158" i="55"/>
  <c r="AA158" i="55"/>
  <c r="AK157" i="55"/>
  <c r="AC157" i="55"/>
  <c r="AA157" i="55"/>
  <c r="AI156" i="55"/>
  <c r="AC156" i="55"/>
  <c r="AA156" i="55"/>
  <c r="AK155" i="55"/>
  <c r="AC155" i="55"/>
  <c r="AA155" i="55"/>
  <c r="AI154" i="55"/>
  <c r="AC154" i="55"/>
  <c r="AA154" i="55"/>
  <c r="AK149" i="55"/>
  <c r="AC149" i="55"/>
  <c r="AA149" i="55"/>
  <c r="AE149" i="55" s="1"/>
  <c r="AI148" i="55"/>
  <c r="AC148" i="55"/>
  <c r="AA148" i="55"/>
  <c r="AK147" i="55"/>
  <c r="AC147" i="55"/>
  <c r="AA147" i="55"/>
  <c r="AI146" i="55"/>
  <c r="AC146" i="55"/>
  <c r="AA146" i="55"/>
  <c r="AK145" i="55"/>
  <c r="AC145" i="55"/>
  <c r="AA145" i="55"/>
  <c r="AE145" i="55" s="1"/>
  <c r="AI144" i="55"/>
  <c r="AC144" i="55"/>
  <c r="AA144" i="55"/>
  <c r="AK143" i="55"/>
  <c r="AC143" i="55"/>
  <c r="AA143" i="55"/>
  <c r="AI142" i="55"/>
  <c r="AC142" i="55"/>
  <c r="AA142" i="55"/>
  <c r="AK141" i="55"/>
  <c r="AC141" i="55"/>
  <c r="AA141" i="55"/>
  <c r="AI140" i="55"/>
  <c r="AC140" i="55"/>
  <c r="AA140" i="55"/>
  <c r="AK139" i="55"/>
  <c r="AC139" i="55"/>
  <c r="AA139" i="55"/>
  <c r="AC138" i="55"/>
  <c r="AA138" i="55"/>
  <c r="AC137" i="55"/>
  <c r="AA137" i="55"/>
  <c r="AI136" i="55"/>
  <c r="AC136" i="55"/>
  <c r="AA136" i="55"/>
  <c r="AK135" i="55"/>
  <c r="AC135" i="55"/>
  <c r="AA135" i="55"/>
  <c r="AC134" i="55"/>
  <c r="AA134" i="55"/>
  <c r="AE134" i="55" s="1"/>
  <c r="AK133" i="55"/>
  <c r="AC133" i="55"/>
  <c r="AA133" i="55"/>
  <c r="AC132" i="55"/>
  <c r="AA132" i="55"/>
  <c r="AI127" i="55"/>
  <c r="AC127" i="55"/>
  <c r="AA127" i="55"/>
  <c r="AI126" i="55"/>
  <c r="AC126" i="55"/>
  <c r="AA126" i="55"/>
  <c r="AK125" i="55"/>
  <c r="AC125" i="55"/>
  <c r="AA125" i="55"/>
  <c r="AI124" i="55"/>
  <c r="AC124" i="55"/>
  <c r="AA124" i="55"/>
  <c r="AC123" i="55"/>
  <c r="AA123" i="55"/>
  <c r="AI122" i="55"/>
  <c r="AC122" i="55"/>
  <c r="AA122" i="55"/>
  <c r="AC121" i="55"/>
  <c r="AA121" i="55"/>
  <c r="AK116" i="55"/>
  <c r="AC116" i="55"/>
  <c r="AA116" i="55"/>
  <c r="AI115" i="55"/>
  <c r="AC115" i="55"/>
  <c r="AA115" i="55"/>
  <c r="AK114" i="55"/>
  <c r="AC114" i="55"/>
  <c r="AA114" i="55"/>
  <c r="AE114" i="55" s="1"/>
  <c r="AI113" i="55"/>
  <c r="AC113" i="55"/>
  <c r="AA113" i="55"/>
  <c r="AK112" i="55"/>
  <c r="AC112" i="55"/>
  <c r="AA112" i="55"/>
  <c r="AI111" i="55"/>
  <c r="AC111" i="55"/>
  <c r="AA111" i="55"/>
  <c r="AK110" i="55"/>
  <c r="AC110" i="55"/>
  <c r="AA110" i="55"/>
  <c r="AI109" i="55"/>
  <c r="AC109" i="55"/>
  <c r="AA109" i="55"/>
  <c r="AK108" i="55"/>
  <c r="AC108" i="55"/>
  <c r="AA108" i="55"/>
  <c r="AI107" i="55"/>
  <c r="AC107" i="55"/>
  <c r="AA107" i="55"/>
  <c r="AC106" i="55"/>
  <c r="AA106" i="55"/>
  <c r="AI105" i="55"/>
  <c r="AC105" i="55"/>
  <c r="AA105" i="55"/>
  <c r="AK104" i="55"/>
  <c r="AC104" i="55"/>
  <c r="AA104" i="55"/>
  <c r="AI103" i="55"/>
  <c r="AC103" i="55"/>
  <c r="AE103" i="55" s="1"/>
  <c r="AA103" i="55"/>
  <c r="AK102" i="55"/>
  <c r="AC102" i="55"/>
  <c r="AA102" i="55"/>
  <c r="AI101" i="55"/>
  <c r="AC101" i="55"/>
  <c r="AA101" i="55"/>
  <c r="AK100" i="55"/>
  <c r="AC100" i="55"/>
  <c r="AA100" i="55"/>
  <c r="AI99" i="55"/>
  <c r="AC99" i="55"/>
  <c r="AA99" i="55"/>
  <c r="AC98" i="55"/>
  <c r="AA98" i="55"/>
  <c r="AE98" i="55" s="1"/>
  <c r="AK89" i="55"/>
  <c r="AC89" i="55"/>
  <c r="AA89" i="55"/>
  <c r="AC88" i="55"/>
  <c r="AA88" i="55"/>
  <c r="AK87" i="55"/>
  <c r="AC87" i="55"/>
  <c r="AA87" i="55"/>
  <c r="AI86" i="55"/>
  <c r="AC86" i="55"/>
  <c r="AA86" i="55"/>
  <c r="AK85" i="55"/>
  <c r="AC85" i="55"/>
  <c r="AA85" i="55"/>
  <c r="AK84" i="55"/>
  <c r="AI84" i="55"/>
  <c r="AC84" i="55"/>
  <c r="AA84" i="55"/>
  <c r="AI83" i="55"/>
  <c r="AC83" i="55"/>
  <c r="AA83" i="55"/>
  <c r="AI82" i="55"/>
  <c r="AC82" i="55"/>
  <c r="AA82" i="55"/>
  <c r="AK77" i="55"/>
  <c r="AC77" i="55"/>
  <c r="AA77" i="55"/>
  <c r="AI76" i="55"/>
  <c r="AC76" i="55"/>
  <c r="AA76" i="55"/>
  <c r="AK75" i="55"/>
  <c r="AC75" i="55"/>
  <c r="AA75" i="55"/>
  <c r="AI74" i="55"/>
  <c r="AC74" i="55"/>
  <c r="AA74" i="55"/>
  <c r="AK73" i="55"/>
  <c r="AC73" i="55"/>
  <c r="AA73" i="55"/>
  <c r="AI72" i="55"/>
  <c r="AC72" i="55"/>
  <c r="AA72" i="55"/>
  <c r="AK71" i="55"/>
  <c r="AC71" i="55"/>
  <c r="AA71" i="55"/>
  <c r="AE71" i="55" s="1"/>
  <c r="AI70" i="55"/>
  <c r="AC70" i="55"/>
  <c r="AA70" i="55"/>
  <c r="AK69" i="55"/>
  <c r="AC69" i="55"/>
  <c r="AA69" i="55"/>
  <c r="AI68" i="55"/>
  <c r="AC68" i="55"/>
  <c r="AA68" i="55"/>
  <c r="AK63" i="55"/>
  <c r="AC63" i="55"/>
  <c r="AA63" i="55"/>
  <c r="AI62" i="55"/>
  <c r="AC62" i="55"/>
  <c r="AA62" i="55"/>
  <c r="AK61" i="55"/>
  <c r="AC61" i="55"/>
  <c r="AA61" i="55"/>
  <c r="AI60" i="55"/>
  <c r="AC60" i="55"/>
  <c r="AA60" i="55"/>
  <c r="AK59" i="55"/>
  <c r="AC59" i="55"/>
  <c r="AA59" i="55"/>
  <c r="AI54" i="55"/>
  <c r="AC54" i="55"/>
  <c r="AA54" i="55"/>
  <c r="AI53" i="55"/>
  <c r="AC53" i="55"/>
  <c r="AA53" i="55"/>
  <c r="AI52" i="55"/>
  <c r="AA52" i="55"/>
  <c r="AI51" i="55"/>
  <c r="AA51" i="55"/>
  <c r="AK50" i="55"/>
  <c r="AC50" i="55"/>
  <c r="AA50" i="55"/>
  <c r="AI49" i="55"/>
  <c r="AC49" i="55"/>
  <c r="AA49" i="55"/>
  <c r="AI48" i="55"/>
  <c r="AA48" i="55"/>
  <c r="AI47" i="55"/>
  <c r="AC47" i="55"/>
  <c r="AA47" i="55"/>
  <c r="AI46" i="55"/>
  <c r="AC46" i="55"/>
  <c r="AA46" i="55"/>
  <c r="AI45" i="55"/>
  <c r="AC45" i="55"/>
  <c r="AA45" i="55"/>
  <c r="AI44" i="55"/>
  <c r="AC44" i="55"/>
  <c r="AA44" i="55"/>
  <c r="AE44" i="55" s="1"/>
  <c r="AK39" i="55"/>
  <c r="AC39" i="55"/>
  <c r="AA39" i="55"/>
  <c r="AI38" i="55"/>
  <c r="AC38" i="55"/>
  <c r="AA38" i="55"/>
  <c r="AK37" i="55"/>
  <c r="AC37" i="55"/>
  <c r="AA37" i="55"/>
  <c r="AI36" i="55"/>
  <c r="AC36" i="55"/>
  <c r="AA36" i="55"/>
  <c r="AK35" i="55"/>
  <c r="AC35" i="55"/>
  <c r="AA35" i="55"/>
  <c r="AI34" i="55"/>
  <c r="AC34" i="55"/>
  <c r="AA34" i="55"/>
  <c r="AI33" i="55"/>
  <c r="AA33" i="55"/>
  <c r="AI32" i="55"/>
  <c r="AC32" i="55"/>
  <c r="AA32" i="55"/>
  <c r="AI31" i="55"/>
  <c r="AK31" i="55"/>
  <c r="AC31" i="55"/>
  <c r="AA31" i="55"/>
  <c r="AE31" i="55" s="1"/>
  <c r="AI30" i="55"/>
  <c r="AC30" i="55"/>
  <c r="AA30" i="55"/>
  <c r="AE30" i="55" s="1"/>
  <c r="AK25" i="55"/>
  <c r="AC25" i="55"/>
  <c r="AA25" i="55"/>
  <c r="AI24" i="55"/>
  <c r="AC24" i="55"/>
  <c r="AA24" i="55"/>
  <c r="AA23" i="55"/>
  <c r="AI22" i="55"/>
  <c r="AC22" i="55"/>
  <c r="AA22" i="55"/>
  <c r="AK21" i="55"/>
  <c r="AC21" i="55"/>
  <c r="AA21" i="55"/>
  <c r="AK14" i="55"/>
  <c r="AC14" i="55"/>
  <c r="AA16" i="55"/>
  <c r="AK258" i="55"/>
  <c r="AI258" i="55"/>
  <c r="AM256" i="55"/>
  <c r="AM255" i="55"/>
  <c r="AM254" i="55"/>
  <c r="AM253" i="55"/>
  <c r="AM252" i="55"/>
  <c r="AM251" i="55"/>
  <c r="AM250" i="55"/>
  <c r="AM243" i="55"/>
  <c r="AM241" i="55"/>
  <c r="AM240" i="55"/>
  <c r="AM239" i="55"/>
  <c r="AM237" i="55"/>
  <c r="AM236" i="55"/>
  <c r="AM235" i="55"/>
  <c r="AM229" i="55"/>
  <c r="AM221" i="55"/>
  <c r="AM220" i="55"/>
  <c r="AM219" i="55"/>
  <c r="AM217" i="55"/>
  <c r="AI21" i="55"/>
  <c r="AC258" i="55"/>
  <c r="AA258" i="55"/>
  <c r="AE256" i="55"/>
  <c r="AE255" i="55"/>
  <c r="AE254" i="55"/>
  <c r="AE253" i="55"/>
  <c r="AE252" i="55"/>
  <c r="AE251" i="55"/>
  <c r="AE250" i="55"/>
  <c r="AA246" i="55"/>
  <c r="AC246" i="55"/>
  <c r="AA231" i="55"/>
  <c r="AA223" i="55"/>
  <c r="AC151" i="55"/>
  <c r="AC91" i="55"/>
  <c r="O207" i="59"/>
  <c r="S207" i="59" s="1"/>
  <c r="O206" i="59"/>
  <c r="S206" i="59" s="1"/>
  <c r="O205" i="59"/>
  <c r="S205" i="59" s="1"/>
  <c r="S204" i="59"/>
  <c r="O204" i="59"/>
  <c r="O203" i="59"/>
  <c r="S203" i="59" s="1"/>
  <c r="O202" i="59"/>
  <c r="S202" i="59" s="1"/>
  <c r="O201" i="59"/>
  <c r="S201" i="59" s="1"/>
  <c r="S200" i="59"/>
  <c r="O200" i="59"/>
  <c r="S195" i="59"/>
  <c r="O195" i="59"/>
  <c r="O194" i="59"/>
  <c r="S194" i="59" s="1"/>
  <c r="O193" i="59"/>
  <c r="S193" i="59" s="1"/>
  <c r="S192" i="59"/>
  <c r="O192" i="59"/>
  <c r="S191" i="59"/>
  <c r="O191" i="59"/>
  <c r="O190" i="59"/>
  <c r="S190" i="59" s="1"/>
  <c r="O189" i="59"/>
  <c r="S189" i="59" s="1"/>
  <c r="S188" i="59"/>
  <c r="O188" i="59"/>
  <c r="S187" i="59"/>
  <c r="O187" i="59"/>
  <c r="O186" i="59"/>
  <c r="S186" i="59" s="1"/>
  <c r="O185" i="59"/>
  <c r="S185" i="59" s="1"/>
  <c r="S184" i="59"/>
  <c r="O184" i="59"/>
  <c r="S183" i="59"/>
  <c r="O183" i="59"/>
  <c r="O182" i="59"/>
  <c r="S182" i="59" s="1"/>
  <c r="O181" i="59"/>
  <c r="S181" i="59" s="1"/>
  <c r="S180" i="59"/>
  <c r="O180" i="59"/>
  <c r="S179" i="59"/>
  <c r="O179" i="59"/>
  <c r="O178" i="59"/>
  <c r="S178" i="59" s="1"/>
  <c r="O177" i="59"/>
  <c r="O172" i="59"/>
  <c r="S172" i="59" s="1"/>
  <c r="O171" i="59"/>
  <c r="S171" i="59" s="1"/>
  <c r="O170" i="59"/>
  <c r="S170" i="59" s="1"/>
  <c r="S169" i="59"/>
  <c r="O169" i="59"/>
  <c r="O168" i="59"/>
  <c r="S168" i="59" s="1"/>
  <c r="O167" i="59"/>
  <c r="S167" i="59" s="1"/>
  <c r="O166" i="59"/>
  <c r="S166" i="59" s="1"/>
  <c r="S165" i="59"/>
  <c r="O165" i="59"/>
  <c r="O164" i="59"/>
  <c r="S164" i="59" s="1"/>
  <c r="O163" i="59"/>
  <c r="S163" i="59" s="1"/>
  <c r="O162" i="59"/>
  <c r="S162" i="59" s="1"/>
  <c r="S161" i="59"/>
  <c r="O161" i="59"/>
  <c r="O160" i="59"/>
  <c r="S160" i="59" s="1"/>
  <c r="O159" i="59"/>
  <c r="S159" i="59" s="1"/>
  <c r="O158" i="59"/>
  <c r="S158" i="59" s="1"/>
  <c r="S157" i="59"/>
  <c r="O157" i="59"/>
  <c r="O156" i="59"/>
  <c r="O174" i="59" s="1"/>
  <c r="O155" i="59"/>
  <c r="S155" i="59" s="1"/>
  <c r="O154" i="59"/>
  <c r="S154" i="59" s="1"/>
  <c r="S153" i="59"/>
  <c r="O153" i="59"/>
  <c r="O148" i="59"/>
  <c r="S148" i="59" s="1"/>
  <c r="O147" i="59"/>
  <c r="S147" i="59" s="1"/>
  <c r="O146" i="59"/>
  <c r="S146" i="59" s="1"/>
  <c r="S145" i="59"/>
  <c r="O145" i="59"/>
  <c r="O144" i="59"/>
  <c r="S144" i="59" s="1"/>
  <c r="O143" i="59"/>
  <c r="S143" i="59" s="1"/>
  <c r="O142" i="59"/>
  <c r="S142" i="59" s="1"/>
  <c r="S141" i="59"/>
  <c r="O141" i="59"/>
  <c r="O140" i="59"/>
  <c r="S140" i="59" s="1"/>
  <c r="O139" i="59"/>
  <c r="S139" i="59" s="1"/>
  <c r="O138" i="59"/>
  <c r="S138" i="59" s="1"/>
  <c r="S137" i="59"/>
  <c r="O137" i="59"/>
  <c r="O136" i="59"/>
  <c r="S136" i="59" s="1"/>
  <c r="O135" i="59"/>
  <c r="S135" i="59" s="1"/>
  <c r="O134" i="59"/>
  <c r="S134" i="59" s="1"/>
  <c r="S133" i="59"/>
  <c r="O133" i="59"/>
  <c r="O132" i="59"/>
  <c r="S132" i="59" s="1"/>
  <c r="O131" i="59"/>
  <c r="S126" i="59"/>
  <c r="O126" i="59"/>
  <c r="O125" i="59"/>
  <c r="S125" i="59" s="1"/>
  <c r="S124" i="59"/>
  <c r="O124" i="59"/>
  <c r="O123" i="59"/>
  <c r="S123" i="59" s="1"/>
  <c r="S122" i="59"/>
  <c r="O122" i="59"/>
  <c r="O121" i="59"/>
  <c r="S120" i="59"/>
  <c r="O120" i="59"/>
  <c r="O115" i="59"/>
  <c r="S115" i="59" s="1"/>
  <c r="O114" i="59"/>
  <c r="S114" i="59" s="1"/>
  <c r="O113" i="59"/>
  <c r="S113" i="59" s="1"/>
  <c r="S112" i="59"/>
  <c r="O112" i="59"/>
  <c r="O111" i="59"/>
  <c r="S111" i="59" s="1"/>
  <c r="O110" i="59"/>
  <c r="S110" i="59" s="1"/>
  <c r="O109" i="59"/>
  <c r="S109" i="59" s="1"/>
  <c r="S108" i="59"/>
  <c r="O108" i="59"/>
  <c r="O107" i="59"/>
  <c r="S107" i="59" s="1"/>
  <c r="O106" i="59"/>
  <c r="S106" i="59" s="1"/>
  <c r="O105" i="59"/>
  <c r="S105" i="59" s="1"/>
  <c r="S104" i="59"/>
  <c r="O104" i="59"/>
  <c r="O103" i="59"/>
  <c r="S103" i="59" s="1"/>
  <c r="O102" i="59"/>
  <c r="S102" i="59" s="1"/>
  <c r="O101" i="59"/>
  <c r="S101" i="59" s="1"/>
  <c r="S100" i="59"/>
  <c r="O100" i="59"/>
  <c r="O99" i="59"/>
  <c r="S99" i="59" s="1"/>
  <c r="O98" i="59"/>
  <c r="S98" i="59" s="1"/>
  <c r="O97" i="59"/>
  <c r="O88" i="59"/>
  <c r="S88" i="59" s="1"/>
  <c r="O87" i="59"/>
  <c r="S87" i="59" s="1"/>
  <c r="O86" i="59"/>
  <c r="S86" i="59" s="1"/>
  <c r="S85" i="59"/>
  <c r="O85" i="59"/>
  <c r="O84" i="59"/>
  <c r="S84" i="59" s="1"/>
  <c r="O83" i="59"/>
  <c r="S83" i="59" s="1"/>
  <c r="O82" i="59"/>
  <c r="S81" i="59"/>
  <c r="O81" i="59"/>
  <c r="O76" i="59"/>
  <c r="S76" i="59" s="1"/>
  <c r="O75" i="59"/>
  <c r="S75" i="59" s="1"/>
  <c r="O74" i="59"/>
  <c r="S74" i="59" s="1"/>
  <c r="S73" i="59"/>
  <c r="O73" i="59"/>
  <c r="O72" i="59"/>
  <c r="S72" i="59" s="1"/>
  <c r="O71" i="59"/>
  <c r="S71" i="59" s="1"/>
  <c r="O70" i="59"/>
  <c r="S70" i="59" s="1"/>
  <c r="S69" i="59"/>
  <c r="O69" i="59"/>
  <c r="O68" i="59"/>
  <c r="S68" i="59" s="1"/>
  <c r="O67" i="59"/>
  <c r="S62" i="59"/>
  <c r="O62" i="59"/>
  <c r="O61" i="59"/>
  <c r="S61" i="59" s="1"/>
  <c r="O60" i="59"/>
  <c r="S60" i="59" s="1"/>
  <c r="O59" i="59"/>
  <c r="S59" i="59" s="1"/>
  <c r="O58" i="59"/>
  <c r="O53" i="59"/>
  <c r="S53" i="59" s="1"/>
  <c r="O52" i="59"/>
  <c r="S52" i="59" s="1"/>
  <c r="O51" i="59"/>
  <c r="S51" i="59" s="1"/>
  <c r="S50" i="59"/>
  <c r="O50" i="59"/>
  <c r="O49" i="59"/>
  <c r="S49" i="59" s="1"/>
  <c r="O48" i="59"/>
  <c r="S48" i="59" s="1"/>
  <c r="O47" i="59"/>
  <c r="S47" i="59" s="1"/>
  <c r="S46" i="59"/>
  <c r="O46" i="59"/>
  <c r="O45" i="59"/>
  <c r="S45" i="59" s="1"/>
  <c r="O44" i="59"/>
  <c r="S44" i="59" s="1"/>
  <c r="O43" i="59"/>
  <c r="O38" i="59"/>
  <c r="S38" i="59" s="1"/>
  <c r="O37" i="59"/>
  <c r="S37" i="59" s="1"/>
  <c r="O36" i="59"/>
  <c r="S36" i="59" s="1"/>
  <c r="S35" i="59"/>
  <c r="O35" i="59"/>
  <c r="O34" i="59"/>
  <c r="S34" i="59" s="1"/>
  <c r="O33" i="59"/>
  <c r="S33" i="59" s="1"/>
  <c r="O32" i="59"/>
  <c r="S32" i="59" s="1"/>
  <c r="S31" i="59"/>
  <c r="O31" i="59"/>
  <c r="O30" i="59"/>
  <c r="S30" i="59" s="1"/>
  <c r="O29" i="59"/>
  <c r="S24" i="59"/>
  <c r="O24" i="59"/>
  <c r="O23" i="59"/>
  <c r="S23" i="59" s="1"/>
  <c r="O22" i="59"/>
  <c r="S22" i="59" s="1"/>
  <c r="O21" i="59"/>
  <c r="S21" i="59" s="1"/>
  <c r="O20" i="59"/>
  <c r="M274" i="59"/>
  <c r="K274" i="59"/>
  <c r="M257" i="59"/>
  <c r="Q255" i="59"/>
  <c r="Q254" i="59"/>
  <c r="Q253" i="59"/>
  <c r="Q252" i="59"/>
  <c r="Q251" i="59"/>
  <c r="Q250" i="59"/>
  <c r="Q249" i="59"/>
  <c r="Q257" i="59" s="1"/>
  <c r="Q245" i="59"/>
  <c r="S245" i="59" s="1"/>
  <c r="O245" i="59"/>
  <c r="M245" i="59"/>
  <c r="K245" i="59"/>
  <c r="Q230" i="59"/>
  <c r="S230" i="59" s="1"/>
  <c r="O230" i="59"/>
  <c r="M230" i="59"/>
  <c r="K230" i="59"/>
  <c r="Q222" i="59"/>
  <c r="O222" i="59"/>
  <c r="M222" i="59"/>
  <c r="K222" i="59"/>
  <c r="S222" i="59" s="1"/>
  <c r="O209" i="59"/>
  <c r="M209" i="59"/>
  <c r="K209" i="59"/>
  <c r="M197" i="59"/>
  <c r="K197" i="59"/>
  <c r="M174" i="59"/>
  <c r="K174" i="59"/>
  <c r="M150" i="59"/>
  <c r="M211" i="59" s="1"/>
  <c r="K150" i="59"/>
  <c r="K211" i="59" s="1"/>
  <c r="O128" i="59"/>
  <c r="M128" i="59"/>
  <c r="K128" i="59"/>
  <c r="O117" i="59"/>
  <c r="M117" i="59"/>
  <c r="K117" i="59"/>
  <c r="M90" i="59"/>
  <c r="K90" i="59"/>
  <c r="M78" i="59"/>
  <c r="K78" i="59"/>
  <c r="M64" i="59"/>
  <c r="K64" i="59"/>
  <c r="M55" i="59"/>
  <c r="K55" i="59"/>
  <c r="M40" i="59"/>
  <c r="K40" i="59"/>
  <c r="M26" i="59"/>
  <c r="M92" i="59" s="1"/>
  <c r="K26" i="59"/>
  <c r="O15" i="59"/>
  <c r="M15" i="59"/>
  <c r="K15" i="59"/>
  <c r="O259" i="61" l="1"/>
  <c r="Q90" i="61"/>
  <c r="S90" i="61" s="1"/>
  <c r="S81" i="61"/>
  <c r="Q26" i="61"/>
  <c r="S22" i="61"/>
  <c r="AG23" i="55" s="1"/>
  <c r="S200" i="61"/>
  <c r="AG201" i="55" s="1"/>
  <c r="AI201" i="55" s="1"/>
  <c r="Q209" i="61"/>
  <c r="S209" i="61" s="1"/>
  <c r="Q197" i="61"/>
  <c r="S197" i="61" s="1"/>
  <c r="S177" i="61"/>
  <c r="AG178" i="55" s="1"/>
  <c r="AI178" i="55" s="1"/>
  <c r="Q150" i="61"/>
  <c r="S150" i="61" s="1"/>
  <c r="S131" i="61"/>
  <c r="AG132" i="55" s="1"/>
  <c r="AI132" i="55" s="1"/>
  <c r="K276" i="61"/>
  <c r="Q55" i="61"/>
  <c r="S55" i="61" s="1"/>
  <c r="Q78" i="61"/>
  <c r="S78" i="61" s="1"/>
  <c r="S67" i="61"/>
  <c r="S120" i="61"/>
  <c r="AG121" i="55" s="1"/>
  <c r="AK121" i="55" s="1"/>
  <c r="Q128" i="61"/>
  <c r="S128" i="61" s="1"/>
  <c r="Q117" i="61"/>
  <c r="S117" i="61" s="1"/>
  <c r="S97" i="61"/>
  <c r="AG98" i="55" s="1"/>
  <c r="AK98" i="55" s="1"/>
  <c r="AK30" i="55"/>
  <c r="AK32" i="55"/>
  <c r="AM32" i="55" s="1"/>
  <c r="AK76" i="55"/>
  <c r="AM76" i="55" s="1"/>
  <c r="AE99" i="55"/>
  <c r="AE115" i="55"/>
  <c r="AE123" i="55"/>
  <c r="AE124" i="55"/>
  <c r="AE127" i="55"/>
  <c r="AE146" i="55"/>
  <c r="AE162" i="55"/>
  <c r="AK178" i="55"/>
  <c r="AE181" i="55"/>
  <c r="AK188" i="55"/>
  <c r="AE191" i="55"/>
  <c r="AM194" i="55"/>
  <c r="AE36" i="55"/>
  <c r="AK45" i="55"/>
  <c r="AK49" i="55"/>
  <c r="AK60" i="55"/>
  <c r="AM60" i="55" s="1"/>
  <c r="AK140" i="55"/>
  <c r="AM140" i="55" s="1"/>
  <c r="AI141" i="55"/>
  <c r="AM141" i="55" s="1"/>
  <c r="AE156" i="55"/>
  <c r="AM188" i="55"/>
  <c r="AK34" i="55"/>
  <c r="AM34" i="55" s="1"/>
  <c r="AI35" i="55"/>
  <c r="AM35" i="55" s="1"/>
  <c r="AK36" i="55"/>
  <c r="AM36" i="55" s="1"/>
  <c r="AI37" i="55"/>
  <c r="AK53" i="55"/>
  <c r="AM53" i="55" s="1"/>
  <c r="AK72" i="55"/>
  <c r="AE83" i="55"/>
  <c r="AE101" i="55"/>
  <c r="AE109" i="55"/>
  <c r="AE113" i="55"/>
  <c r="AE133" i="55"/>
  <c r="AE148" i="55"/>
  <c r="AE160" i="55"/>
  <c r="AE164" i="55"/>
  <c r="AE168" i="55"/>
  <c r="AE169" i="55"/>
  <c r="AE170" i="55"/>
  <c r="AE171" i="55"/>
  <c r="AE172" i="55"/>
  <c r="AK182" i="55"/>
  <c r="AI187" i="55"/>
  <c r="AM187" i="55" s="1"/>
  <c r="AK205" i="55"/>
  <c r="AM14" i="55"/>
  <c r="AM16" i="55" s="1"/>
  <c r="AE38" i="55"/>
  <c r="AE100" i="55"/>
  <c r="AE112" i="55"/>
  <c r="AE116" i="55"/>
  <c r="AE132" i="55"/>
  <c r="AE147" i="55"/>
  <c r="AE163" i="55"/>
  <c r="AE182" i="55"/>
  <c r="AE183" i="55"/>
  <c r="AE187" i="55"/>
  <c r="AE190" i="55"/>
  <c r="AM192" i="55"/>
  <c r="AK68" i="55"/>
  <c r="AM68" i="55" s="1"/>
  <c r="AK88" i="55"/>
  <c r="AM88" i="55" s="1"/>
  <c r="AK101" i="55"/>
  <c r="AM101" i="55" s="1"/>
  <c r="AI102" i="55"/>
  <c r="AM102" i="55" s="1"/>
  <c r="AK103" i="55"/>
  <c r="AM103" i="55" s="1"/>
  <c r="AI104" i="55"/>
  <c r="AM104" i="55" s="1"/>
  <c r="AK105" i="55"/>
  <c r="AM105" i="55" s="1"/>
  <c r="AI106" i="55"/>
  <c r="AM106" i="55" s="1"/>
  <c r="AK107" i="55"/>
  <c r="AM107" i="55" s="1"/>
  <c r="AI108" i="55"/>
  <c r="AE136" i="55"/>
  <c r="AE142" i="55"/>
  <c r="AK164" i="55"/>
  <c r="AI165" i="55"/>
  <c r="AM165" i="55" s="1"/>
  <c r="AK166" i="55"/>
  <c r="AI167" i="55"/>
  <c r="AM167" i="55" s="1"/>
  <c r="AK168" i="55"/>
  <c r="AI169" i="55"/>
  <c r="AM169" i="55" s="1"/>
  <c r="AK170" i="55"/>
  <c r="AI171" i="55"/>
  <c r="AM182" i="55"/>
  <c r="AK22" i="55"/>
  <c r="AM22" i="55" s="1"/>
  <c r="AM37" i="55"/>
  <c r="AM45" i="55"/>
  <c r="AK47" i="55"/>
  <c r="AM47" i="55" s="1"/>
  <c r="AE50" i="55"/>
  <c r="AE61" i="55"/>
  <c r="AE62" i="55"/>
  <c r="AK70" i="55"/>
  <c r="AE73" i="55"/>
  <c r="AE74" i="55"/>
  <c r="AK82" i="55"/>
  <c r="AE85" i="55"/>
  <c r="AE86" i="55"/>
  <c r="AI98" i="55"/>
  <c r="AM98" i="55" s="1"/>
  <c r="AK99" i="55"/>
  <c r="AM99" i="55" s="1"/>
  <c r="AI100" i="55"/>
  <c r="AM100" i="55" s="1"/>
  <c r="AM108" i="55"/>
  <c r="AE111" i="55"/>
  <c r="AK122" i="55"/>
  <c r="AM122" i="55" s="1"/>
  <c r="AE137" i="55"/>
  <c r="AE138" i="55"/>
  <c r="AE139" i="55"/>
  <c r="AE140" i="55"/>
  <c r="AE141" i="55"/>
  <c r="AK142" i="55"/>
  <c r="AM142" i="55" s="1"/>
  <c r="AI143" i="55"/>
  <c r="AK144" i="55"/>
  <c r="AM144" i="55" s="1"/>
  <c r="AI145" i="55"/>
  <c r="AK146" i="55"/>
  <c r="AM146" i="55" s="1"/>
  <c r="AI147" i="55"/>
  <c r="AM147" i="55" s="1"/>
  <c r="AK148" i="55"/>
  <c r="AE154" i="55"/>
  <c r="AE155" i="55"/>
  <c r="AK156" i="55"/>
  <c r="AM156" i="55" s="1"/>
  <c r="AI157" i="55"/>
  <c r="AK158" i="55"/>
  <c r="AI159" i="55"/>
  <c r="AM159" i="55" s="1"/>
  <c r="AK160" i="55"/>
  <c r="AI161" i="55"/>
  <c r="AM161" i="55" s="1"/>
  <c r="AK162" i="55"/>
  <c r="AM162" i="55" s="1"/>
  <c r="AI163" i="55"/>
  <c r="AM163" i="55" s="1"/>
  <c r="AM171" i="55"/>
  <c r="AK180" i="55"/>
  <c r="AI181" i="55"/>
  <c r="AM181" i="55" s="1"/>
  <c r="AE185" i="55"/>
  <c r="AE186" i="55"/>
  <c r="AK186" i="55"/>
  <c r="AM186" i="55" s="1"/>
  <c r="AI191" i="55"/>
  <c r="AM193" i="55"/>
  <c r="AK196" i="55"/>
  <c r="AM196" i="55" s="1"/>
  <c r="AE204" i="55"/>
  <c r="AK207" i="55"/>
  <c r="AK24" i="55"/>
  <c r="AM24" i="55" s="1"/>
  <c r="AE34" i="55"/>
  <c r="AE37" i="55"/>
  <c r="AK38" i="55"/>
  <c r="AM38" i="55" s="1"/>
  <c r="AI39" i="55"/>
  <c r="AM39" i="55" s="1"/>
  <c r="AE46" i="55"/>
  <c r="AM49" i="55"/>
  <c r="AE54" i="55"/>
  <c r="AK62" i="55"/>
  <c r="AM62" i="55" s="1"/>
  <c r="AE69" i="55"/>
  <c r="AM72" i="55"/>
  <c r="AK74" i="55"/>
  <c r="AM74" i="55" s="1"/>
  <c r="AE77" i="55"/>
  <c r="AK86" i="55"/>
  <c r="AM86" i="55" s="1"/>
  <c r="AE89" i="55"/>
  <c r="AE104" i="55"/>
  <c r="AE105" i="55"/>
  <c r="AE106" i="55"/>
  <c r="AE107" i="55"/>
  <c r="AE108" i="55"/>
  <c r="AK109" i="55"/>
  <c r="AI110" i="55"/>
  <c r="AK111" i="55"/>
  <c r="AM111" i="55" s="1"/>
  <c r="AI112" i="55"/>
  <c r="AM112" i="55" s="1"/>
  <c r="AK113" i="55"/>
  <c r="AI114" i="55"/>
  <c r="AK115" i="55"/>
  <c r="AM115" i="55" s="1"/>
  <c r="AK126" i="55"/>
  <c r="AI133" i="55"/>
  <c r="AM133" i="55" s="1"/>
  <c r="AE144" i="55"/>
  <c r="AE158" i="55"/>
  <c r="AK172" i="55"/>
  <c r="AI183" i="55"/>
  <c r="AM183" i="55" s="1"/>
  <c r="AI184" i="55"/>
  <c r="AM184" i="55" s="1"/>
  <c r="AI189" i="55"/>
  <c r="AM189" i="55" s="1"/>
  <c r="AI190" i="55"/>
  <c r="AM190" i="55" s="1"/>
  <c r="AE258" i="55"/>
  <c r="AM258" i="55"/>
  <c r="AM70" i="55"/>
  <c r="AC129" i="55"/>
  <c r="AK124" i="55"/>
  <c r="AK134" i="55"/>
  <c r="AM134" i="55" s="1"/>
  <c r="AI135" i="55"/>
  <c r="AK136" i="55"/>
  <c r="AM136" i="55" s="1"/>
  <c r="AI137" i="55"/>
  <c r="AM137" i="55" s="1"/>
  <c r="AK138" i="55"/>
  <c r="AM138" i="55" s="1"/>
  <c r="AI139" i="55"/>
  <c r="AM139" i="55" s="1"/>
  <c r="AM148" i="55"/>
  <c r="AK154" i="55"/>
  <c r="AI155" i="55"/>
  <c r="AE166" i="55"/>
  <c r="AI179" i="55"/>
  <c r="AM179" i="55" s="1"/>
  <c r="AI185" i="55"/>
  <c r="AM185" i="55" s="1"/>
  <c r="AM191" i="55"/>
  <c r="AI195" i="55"/>
  <c r="AM195" i="55" s="1"/>
  <c r="AK203" i="55"/>
  <c r="AM203" i="55" s="1"/>
  <c r="AA205" i="55"/>
  <c r="AE205" i="55" s="1"/>
  <c r="AA207" i="55"/>
  <c r="AE207" i="55" s="1"/>
  <c r="AC202" i="55"/>
  <c r="AA202" i="55"/>
  <c r="AA206" i="55"/>
  <c r="AC206" i="55"/>
  <c r="Q209" i="60"/>
  <c r="S209" i="60" s="1"/>
  <c r="AE208" i="55"/>
  <c r="AA203" i="55"/>
  <c r="AC203" i="55"/>
  <c r="AE201" i="55"/>
  <c r="AC198" i="55"/>
  <c r="AE180" i="55"/>
  <c r="AE184" i="55"/>
  <c r="AE188" i="55"/>
  <c r="AE192" i="55"/>
  <c r="AE196" i="55"/>
  <c r="AE178" i="55"/>
  <c r="AC175" i="55"/>
  <c r="AE157" i="55"/>
  <c r="AE165" i="55"/>
  <c r="AE173" i="55"/>
  <c r="AE159" i="55"/>
  <c r="AE167" i="55"/>
  <c r="AE135" i="55"/>
  <c r="AE143" i="55"/>
  <c r="AE125" i="55"/>
  <c r="AE126" i="55"/>
  <c r="AE122" i="55"/>
  <c r="AE121" i="55"/>
  <c r="AE102" i="55"/>
  <c r="AE110" i="55"/>
  <c r="AE87" i="55"/>
  <c r="AE88" i="55"/>
  <c r="AE84" i="55"/>
  <c r="AE82" i="55"/>
  <c r="AE72" i="55"/>
  <c r="AE70" i="55"/>
  <c r="AE75" i="55"/>
  <c r="AE76" i="55"/>
  <c r="AE68" i="55"/>
  <c r="AE63" i="55"/>
  <c r="AE60" i="55"/>
  <c r="AE59" i="55"/>
  <c r="AE47" i="55"/>
  <c r="AE45" i="55"/>
  <c r="AE53" i="55"/>
  <c r="AE49" i="55"/>
  <c r="AE39" i="55"/>
  <c r="AE32" i="55"/>
  <c r="AE35" i="55"/>
  <c r="S125" i="60"/>
  <c r="S98" i="60"/>
  <c r="Q64" i="60"/>
  <c r="S64" i="60" s="1"/>
  <c r="Q55" i="60"/>
  <c r="S55" i="60" s="1"/>
  <c r="O92" i="60"/>
  <c r="Q92" i="60"/>
  <c r="S92" i="60" s="1"/>
  <c r="O211" i="60"/>
  <c r="S172" i="60"/>
  <c r="S40" i="60"/>
  <c r="S97" i="60"/>
  <c r="S117" i="60"/>
  <c r="S177" i="60"/>
  <c r="S197" i="60"/>
  <c r="AE24" i="55"/>
  <c r="AE22" i="55"/>
  <c r="AE25" i="55"/>
  <c r="AI231" i="55"/>
  <c r="AI202" i="55"/>
  <c r="AI204" i="55"/>
  <c r="AM204" i="55" s="1"/>
  <c r="AI206" i="55"/>
  <c r="AM206" i="55" s="1"/>
  <c r="AI208" i="55"/>
  <c r="AM208" i="55" s="1"/>
  <c r="AM155" i="55"/>
  <c r="AI173" i="55"/>
  <c r="AM173" i="55" s="1"/>
  <c r="AI149" i="55"/>
  <c r="AK127" i="55"/>
  <c r="AI123" i="55"/>
  <c r="AM123" i="55" s="1"/>
  <c r="AI125" i="55"/>
  <c r="AM125" i="55" s="1"/>
  <c r="AI116" i="55"/>
  <c r="AM116" i="55" s="1"/>
  <c r="AK83" i="55"/>
  <c r="AM83" i="55" s="1"/>
  <c r="AI85" i="55"/>
  <c r="AM85" i="55" s="1"/>
  <c r="AI87" i="55"/>
  <c r="AM87" i="55" s="1"/>
  <c r="AI89" i="55"/>
  <c r="AM89" i="55" s="1"/>
  <c r="AI69" i="55"/>
  <c r="AM69" i="55" s="1"/>
  <c r="AI71" i="55"/>
  <c r="AM71" i="55" s="1"/>
  <c r="AI73" i="55"/>
  <c r="AM73" i="55" s="1"/>
  <c r="AI75" i="55"/>
  <c r="AM75" i="55" s="1"/>
  <c r="AI77" i="55"/>
  <c r="AM77" i="55" s="1"/>
  <c r="AI59" i="55"/>
  <c r="AM59" i="55" s="1"/>
  <c r="AI61" i="55"/>
  <c r="AM61" i="55" s="1"/>
  <c r="AI63" i="55"/>
  <c r="AM63" i="55" s="1"/>
  <c r="AC65" i="55"/>
  <c r="AM54" i="55"/>
  <c r="AK44" i="55"/>
  <c r="AK46" i="55"/>
  <c r="AM46" i="55" s="1"/>
  <c r="AK54" i="55"/>
  <c r="AI50" i="55"/>
  <c r="AM50" i="55" s="1"/>
  <c r="AM31" i="55"/>
  <c r="AI23" i="55"/>
  <c r="AI25" i="55"/>
  <c r="AM25" i="55" s="1"/>
  <c r="AM30" i="55"/>
  <c r="AM44" i="55"/>
  <c r="AM158" i="55"/>
  <c r="AM21" i="55"/>
  <c r="AI16" i="55"/>
  <c r="AM84" i="55"/>
  <c r="AM109" i="55"/>
  <c r="AM113" i="55"/>
  <c r="AM127" i="55"/>
  <c r="AM135" i="55"/>
  <c r="AM143" i="55"/>
  <c r="AM157" i="55"/>
  <c r="AM166" i="55"/>
  <c r="AM170" i="55"/>
  <c r="AM178" i="55"/>
  <c r="AM205" i="55"/>
  <c r="AM218" i="55"/>
  <c r="AM227" i="55"/>
  <c r="AK16" i="55"/>
  <c r="AM126" i="55"/>
  <c r="AM145" i="55"/>
  <c r="AM149" i="55"/>
  <c r="AM160" i="55"/>
  <c r="AM164" i="55"/>
  <c r="AM168" i="55"/>
  <c r="AM172" i="55"/>
  <c r="AM242" i="55"/>
  <c r="AM207" i="55"/>
  <c r="AM110" i="55"/>
  <c r="AM114" i="55"/>
  <c r="AM202" i="55"/>
  <c r="AI223" i="55"/>
  <c r="AC79" i="55"/>
  <c r="AE14" i="55"/>
  <c r="AA151" i="55"/>
  <c r="AC16" i="55"/>
  <c r="AC118" i="55"/>
  <c r="AA175" i="55"/>
  <c r="AA198" i="55"/>
  <c r="AE246" i="55"/>
  <c r="Q209" i="59"/>
  <c r="S209" i="59" s="1"/>
  <c r="S177" i="59"/>
  <c r="Q197" i="59"/>
  <c r="S197" i="59" s="1"/>
  <c r="O197" i="59"/>
  <c r="S156" i="59"/>
  <c r="S131" i="59"/>
  <c r="Q150" i="59"/>
  <c r="O150" i="59"/>
  <c r="O211" i="59" s="1"/>
  <c r="Q128" i="59"/>
  <c r="S128" i="59" s="1"/>
  <c r="S121" i="59"/>
  <c r="S97" i="59"/>
  <c r="Q117" i="59"/>
  <c r="S82" i="59"/>
  <c r="Q90" i="59"/>
  <c r="S90" i="59" s="1"/>
  <c r="O90" i="59"/>
  <c r="S67" i="59"/>
  <c r="Q78" i="59"/>
  <c r="S78" i="59" s="1"/>
  <c r="O78" i="59"/>
  <c r="Q64" i="59"/>
  <c r="S64" i="59" s="1"/>
  <c r="S58" i="59"/>
  <c r="O64" i="59"/>
  <c r="S43" i="59"/>
  <c r="Q55" i="59"/>
  <c r="S55" i="59" s="1"/>
  <c r="O55" i="59"/>
  <c r="S29" i="59"/>
  <c r="Q40" i="59"/>
  <c r="S40" i="59" s="1"/>
  <c r="O40" i="59"/>
  <c r="Q26" i="59"/>
  <c r="O26" i="59"/>
  <c r="S20" i="59"/>
  <c r="Q15" i="59"/>
  <c r="M276" i="59"/>
  <c r="S117" i="59"/>
  <c r="M259" i="59"/>
  <c r="K92" i="59"/>
  <c r="S150" i="59"/>
  <c r="G76" i="58"/>
  <c r="G82" i="58"/>
  <c r="G45" i="58"/>
  <c r="G46" i="58" s="1"/>
  <c r="G47" i="58" s="1"/>
  <c r="G48" i="58" s="1"/>
  <c r="G49" i="58" s="1"/>
  <c r="G50" i="58" s="1"/>
  <c r="G51" i="58" s="1"/>
  <c r="G52" i="58" s="1"/>
  <c r="G53" i="58" s="1"/>
  <c r="G54" i="58" s="1"/>
  <c r="G55" i="58" s="1"/>
  <c r="G56" i="58" s="1"/>
  <c r="G57" i="58" s="1"/>
  <c r="G58" i="58" s="1"/>
  <c r="G59" i="58" s="1"/>
  <c r="G60" i="58" s="1"/>
  <c r="G61" i="58" s="1"/>
  <c r="G62" i="58" s="1"/>
  <c r="G80" i="58" s="1"/>
  <c r="G84" i="58" s="1"/>
  <c r="G37" i="58"/>
  <c r="G11" i="58"/>
  <c r="G12" i="58" s="1"/>
  <c r="G13" i="58" s="1"/>
  <c r="G14" i="58" s="1"/>
  <c r="G15" i="58" s="1"/>
  <c r="G16" i="58" s="1"/>
  <c r="G17" i="58" s="1"/>
  <c r="G18" i="58" s="1"/>
  <c r="G19" i="58" s="1"/>
  <c r="G20" i="58" s="1"/>
  <c r="G21" i="58" s="1"/>
  <c r="G22" i="58" s="1"/>
  <c r="G23" i="58" s="1"/>
  <c r="G24" i="58" s="1"/>
  <c r="G25" i="58" s="1"/>
  <c r="G26" i="58" s="1"/>
  <c r="G27" i="58" s="1"/>
  <c r="AK201" i="55" l="1"/>
  <c r="AK132" i="55"/>
  <c r="AM132" i="55" s="1"/>
  <c r="AI121" i="55"/>
  <c r="AM121" i="55" s="1"/>
  <c r="AI151" i="55"/>
  <c r="S26" i="61"/>
  <c r="Q92" i="61"/>
  <c r="S92" i="61" s="1"/>
  <c r="Q211" i="61"/>
  <c r="S211" i="61" s="1"/>
  <c r="AC210" i="55"/>
  <c r="AK118" i="55"/>
  <c r="AK91" i="55"/>
  <c r="AK129" i="55"/>
  <c r="AE129" i="55"/>
  <c r="AE151" i="55"/>
  <c r="AE198" i="55"/>
  <c r="AK65" i="55"/>
  <c r="AK198" i="55"/>
  <c r="AK175" i="55"/>
  <c r="AE202" i="55"/>
  <c r="AK79" i="55"/>
  <c r="AI41" i="55"/>
  <c r="AE203" i="55"/>
  <c r="AM180" i="55"/>
  <c r="AM198" i="55" s="1"/>
  <c r="AI27" i="55"/>
  <c r="AM124" i="55"/>
  <c r="AM129" i="55" s="1"/>
  <c r="AM79" i="55"/>
  <c r="AM65" i="55"/>
  <c r="AE206" i="55"/>
  <c r="AI56" i="55"/>
  <c r="AI198" i="55"/>
  <c r="O259" i="60"/>
  <c r="Q211" i="60"/>
  <c r="S211" i="60" s="1"/>
  <c r="AI210" i="55"/>
  <c r="AM118" i="55"/>
  <c r="AI65" i="55"/>
  <c r="AM151" i="55"/>
  <c r="AI175" i="55"/>
  <c r="AK210" i="55"/>
  <c r="AM201" i="55"/>
  <c r="AM210" i="55" s="1"/>
  <c r="AI91" i="55"/>
  <c r="AM82" i="55"/>
  <c r="AM91" i="55" s="1"/>
  <c r="AI118" i="55"/>
  <c r="AM154" i="55"/>
  <c r="AM175" i="55" s="1"/>
  <c r="AI129" i="55"/>
  <c r="AK151" i="55"/>
  <c r="AI79" i="55"/>
  <c r="AA79" i="55"/>
  <c r="AE79" i="55"/>
  <c r="AA41" i="55"/>
  <c r="AE175" i="55"/>
  <c r="AA129" i="55"/>
  <c r="AE118" i="55"/>
  <c r="AC212" i="55"/>
  <c r="AE16" i="55"/>
  <c r="AA56" i="55"/>
  <c r="AA210" i="55"/>
  <c r="AA65" i="55"/>
  <c r="AE65" i="55"/>
  <c r="AE21" i="55"/>
  <c r="AA27" i="55"/>
  <c r="AA91" i="55"/>
  <c r="AE91" i="55"/>
  <c r="AA118" i="55"/>
  <c r="Q174" i="59"/>
  <c r="S174" i="59" s="1"/>
  <c r="O92" i="59"/>
  <c r="Q92" i="59"/>
  <c r="S92" i="59" s="1"/>
  <c r="S26" i="59"/>
  <c r="O259" i="59"/>
  <c r="S15" i="59"/>
  <c r="K259" i="59"/>
  <c r="K276" i="59"/>
  <c r="G63" i="58"/>
  <c r="G64" i="58" s="1"/>
  <c r="G65" i="58" s="1"/>
  <c r="G66" i="58" s="1"/>
  <c r="G67" i="58" s="1"/>
  <c r="G68" i="58" s="1"/>
  <c r="G69" i="58" s="1"/>
  <c r="G70" i="58" s="1"/>
  <c r="G71" i="58" s="1"/>
  <c r="G72" i="58" s="1"/>
  <c r="G73" i="58" s="1"/>
  <c r="G31" i="58"/>
  <c r="G35" i="58" s="1"/>
  <c r="G39" i="58" s="1"/>
  <c r="G87" i="58" s="1"/>
  <c r="Q259" i="61" l="1"/>
  <c r="S259" i="61" s="1"/>
  <c r="AE210" i="55"/>
  <c r="Q259" i="60"/>
  <c r="S259" i="60" s="1"/>
  <c r="AK212" i="55"/>
  <c r="AM212" i="55"/>
  <c r="AE212" i="55"/>
  <c r="AI212" i="55"/>
  <c r="AI93" i="55"/>
  <c r="AA212" i="55"/>
  <c r="AA93" i="55"/>
  <c r="Q259" i="59"/>
  <c r="S259" i="59" s="1"/>
  <c r="Q211" i="59"/>
  <c r="S211" i="59" s="1"/>
  <c r="D20" i="6"/>
  <c r="AA260" i="55" l="1"/>
  <c r="M274" i="57" l="1"/>
  <c r="K274" i="57"/>
  <c r="M257" i="57"/>
  <c r="Q255" i="57"/>
  <c r="Q254" i="57"/>
  <c r="Q253" i="57"/>
  <c r="Q252" i="57"/>
  <c r="Q251" i="57"/>
  <c r="Q250" i="57"/>
  <c r="Q249" i="57"/>
  <c r="Q245" i="57"/>
  <c r="S245" i="57" s="1"/>
  <c r="O245" i="57"/>
  <c r="M245" i="57"/>
  <c r="K245" i="57"/>
  <c r="Q230" i="57"/>
  <c r="O230" i="57"/>
  <c r="M230" i="57"/>
  <c r="K230" i="57"/>
  <c r="Q222" i="57"/>
  <c r="S222" i="57" s="1"/>
  <c r="O222" i="57"/>
  <c r="M222" i="57"/>
  <c r="K222" i="57"/>
  <c r="Q209" i="57"/>
  <c r="S209" i="57" s="1"/>
  <c r="O209" i="57"/>
  <c r="M209" i="57"/>
  <c r="K209" i="57"/>
  <c r="Q197" i="57"/>
  <c r="S197" i="57" s="1"/>
  <c r="O197" i="57"/>
  <c r="M197" i="57"/>
  <c r="K197" i="57"/>
  <c r="Q174" i="57"/>
  <c r="S174" i="57" s="1"/>
  <c r="O174" i="57"/>
  <c r="M174" i="57"/>
  <c r="K174" i="57"/>
  <c r="Q150" i="57"/>
  <c r="S150" i="57" s="1"/>
  <c r="O150" i="57"/>
  <c r="M150" i="57"/>
  <c r="K150" i="57"/>
  <c r="Q128" i="57"/>
  <c r="S128" i="57" s="1"/>
  <c r="O128" i="57"/>
  <c r="M128" i="57"/>
  <c r="K128" i="57"/>
  <c r="Q117" i="57"/>
  <c r="Q211" i="57" s="1"/>
  <c r="S211" i="57" s="1"/>
  <c r="O117" i="57"/>
  <c r="O211" i="57" s="1"/>
  <c r="M117" i="57"/>
  <c r="M211" i="57" s="1"/>
  <c r="K117" i="57"/>
  <c r="K211" i="57" s="1"/>
  <c r="Q90" i="57"/>
  <c r="S90" i="57" s="1"/>
  <c r="O90" i="57"/>
  <c r="M90" i="57"/>
  <c r="K90" i="57"/>
  <c r="Q78" i="57"/>
  <c r="S78" i="57" s="1"/>
  <c r="O78" i="57"/>
  <c r="M78" i="57"/>
  <c r="K78" i="57"/>
  <c r="Q64" i="57"/>
  <c r="S64" i="57" s="1"/>
  <c r="O64" i="57"/>
  <c r="M64" i="57"/>
  <c r="K64" i="57"/>
  <c r="Q55" i="57"/>
  <c r="S55" i="57" s="1"/>
  <c r="O55" i="57"/>
  <c r="M55" i="57"/>
  <c r="K55" i="57"/>
  <c r="Q40" i="57"/>
  <c r="S40" i="57" s="1"/>
  <c r="O40" i="57"/>
  <c r="M40" i="57"/>
  <c r="K40" i="57"/>
  <c r="Q26" i="57"/>
  <c r="Q92" i="57" s="1"/>
  <c r="S92" i="57" s="1"/>
  <c r="O26" i="57"/>
  <c r="O92" i="57" s="1"/>
  <c r="M26" i="57"/>
  <c r="M92" i="57" s="1"/>
  <c r="K26" i="57"/>
  <c r="K92" i="57" s="1"/>
  <c r="Q15" i="57"/>
  <c r="O15" i="57"/>
  <c r="O259" i="57" s="1"/>
  <c r="M15" i="57"/>
  <c r="K15" i="57"/>
  <c r="K259" i="57" s="1"/>
  <c r="Q259" i="57" l="1"/>
  <c r="S259" i="57" s="1"/>
  <c r="S230" i="57"/>
  <c r="Q257" i="57"/>
  <c r="S15" i="57"/>
  <c r="S117" i="57"/>
  <c r="M259" i="57"/>
  <c r="M276" i="57" s="1"/>
  <c r="S26" i="57"/>
  <c r="K276" i="57"/>
  <c r="U208" i="55" l="1"/>
  <c r="S208" i="55"/>
  <c r="U207" i="55"/>
  <c r="S207" i="55"/>
  <c r="U206" i="55"/>
  <c r="S206" i="55"/>
  <c r="U205" i="55"/>
  <c r="S205" i="55"/>
  <c r="U204" i="55"/>
  <c r="S204" i="55"/>
  <c r="U203" i="55"/>
  <c r="S203" i="55"/>
  <c r="U202" i="55"/>
  <c r="S202" i="55"/>
  <c r="U201" i="55"/>
  <c r="S201" i="55"/>
  <c r="U196" i="55"/>
  <c r="S196" i="55"/>
  <c r="U195" i="55"/>
  <c r="S195" i="55"/>
  <c r="U194" i="55"/>
  <c r="S194" i="55"/>
  <c r="U193" i="55"/>
  <c r="S193" i="55"/>
  <c r="U192" i="55"/>
  <c r="S192" i="55"/>
  <c r="U191" i="55"/>
  <c r="S191" i="55"/>
  <c r="U190" i="55"/>
  <c r="S190" i="55"/>
  <c r="U189" i="55"/>
  <c r="S189" i="55"/>
  <c r="U188" i="55"/>
  <c r="S188" i="55"/>
  <c r="U187" i="55"/>
  <c r="S187" i="55"/>
  <c r="U186" i="55"/>
  <c r="S186" i="55"/>
  <c r="U185" i="55"/>
  <c r="S185" i="55"/>
  <c r="U184" i="55"/>
  <c r="S184" i="55"/>
  <c r="U183" i="55"/>
  <c r="S183" i="55"/>
  <c r="U182" i="55"/>
  <c r="S182" i="55"/>
  <c r="U181" i="55"/>
  <c r="S181" i="55"/>
  <c r="U180" i="55"/>
  <c r="S180" i="55"/>
  <c r="U179" i="55"/>
  <c r="S179" i="55"/>
  <c r="U178" i="55"/>
  <c r="S178" i="55"/>
  <c r="U173" i="55"/>
  <c r="S173" i="55"/>
  <c r="U172" i="55"/>
  <c r="S172" i="55"/>
  <c r="U171" i="55"/>
  <c r="S171" i="55"/>
  <c r="U170" i="55"/>
  <c r="S170" i="55"/>
  <c r="U169" i="55"/>
  <c r="S169" i="55"/>
  <c r="U168" i="55"/>
  <c r="S168" i="55"/>
  <c r="U167" i="55"/>
  <c r="S167" i="55"/>
  <c r="U166" i="55"/>
  <c r="S166" i="55"/>
  <c r="U165" i="55"/>
  <c r="S165" i="55"/>
  <c r="U164" i="55"/>
  <c r="S164" i="55"/>
  <c r="U163" i="55"/>
  <c r="S163" i="55"/>
  <c r="U162" i="55"/>
  <c r="S162" i="55"/>
  <c r="U161" i="55"/>
  <c r="S161" i="55"/>
  <c r="U160" i="55"/>
  <c r="S160" i="55"/>
  <c r="U159" i="55"/>
  <c r="S159" i="55"/>
  <c r="U158" i="55"/>
  <c r="S158" i="55"/>
  <c r="U157" i="55"/>
  <c r="S157" i="55"/>
  <c r="U156" i="55"/>
  <c r="S156" i="55"/>
  <c r="U155" i="55"/>
  <c r="S155" i="55"/>
  <c r="U154" i="55"/>
  <c r="S154" i="55"/>
  <c r="U149" i="55"/>
  <c r="S149" i="55"/>
  <c r="U148" i="55"/>
  <c r="S148" i="55"/>
  <c r="U147" i="55"/>
  <c r="S147" i="55"/>
  <c r="U146" i="55"/>
  <c r="S146" i="55"/>
  <c r="U145" i="55"/>
  <c r="S145" i="55"/>
  <c r="U144" i="55"/>
  <c r="S144" i="55"/>
  <c r="U143" i="55"/>
  <c r="S143" i="55"/>
  <c r="U142" i="55"/>
  <c r="S142" i="55"/>
  <c r="U141" i="55"/>
  <c r="S141" i="55"/>
  <c r="U140" i="55"/>
  <c r="S140" i="55"/>
  <c r="U139" i="55"/>
  <c r="S139" i="55"/>
  <c r="U138" i="55"/>
  <c r="S138" i="55"/>
  <c r="U137" i="55"/>
  <c r="S137" i="55"/>
  <c r="U136" i="55"/>
  <c r="S136" i="55"/>
  <c r="U135" i="55"/>
  <c r="S135" i="55"/>
  <c r="U134" i="55"/>
  <c r="S134" i="55"/>
  <c r="U133" i="55"/>
  <c r="S133" i="55"/>
  <c r="U132" i="55"/>
  <c r="S132" i="55"/>
  <c r="U127" i="55"/>
  <c r="S127" i="55"/>
  <c r="U126" i="55"/>
  <c r="S126" i="55"/>
  <c r="U125" i="55"/>
  <c r="S125" i="55"/>
  <c r="U124" i="55"/>
  <c r="S124" i="55"/>
  <c r="U123" i="55"/>
  <c r="S123" i="55"/>
  <c r="U122" i="55"/>
  <c r="S122" i="55"/>
  <c r="U121" i="55"/>
  <c r="S121" i="55"/>
  <c r="U116" i="55"/>
  <c r="S116" i="55"/>
  <c r="U115" i="55"/>
  <c r="S115" i="55"/>
  <c r="U114" i="55"/>
  <c r="S114" i="55"/>
  <c r="U113" i="55"/>
  <c r="S113" i="55"/>
  <c r="U112" i="55"/>
  <c r="S112" i="55"/>
  <c r="U111" i="55"/>
  <c r="S111" i="55"/>
  <c r="U110" i="55"/>
  <c r="S110" i="55"/>
  <c r="U109" i="55"/>
  <c r="S109" i="55"/>
  <c r="U108" i="55"/>
  <c r="S108" i="55"/>
  <c r="U107" i="55"/>
  <c r="S107" i="55"/>
  <c r="U106" i="55"/>
  <c r="S106" i="55"/>
  <c r="U105" i="55"/>
  <c r="S105" i="55"/>
  <c r="U104" i="55"/>
  <c r="S104" i="55"/>
  <c r="U103" i="55"/>
  <c r="S103" i="55"/>
  <c r="U102" i="55"/>
  <c r="S102" i="55"/>
  <c r="U101" i="55"/>
  <c r="S101" i="55"/>
  <c r="U100" i="55"/>
  <c r="S100" i="55"/>
  <c r="U99" i="55"/>
  <c r="S99" i="55"/>
  <c r="U98" i="55"/>
  <c r="S98" i="55"/>
  <c r="U89" i="55"/>
  <c r="S89" i="55"/>
  <c r="U88" i="55"/>
  <c r="S88" i="55"/>
  <c r="U87" i="55"/>
  <c r="S87" i="55"/>
  <c r="U86" i="55"/>
  <c r="S86" i="55"/>
  <c r="U85" i="55"/>
  <c r="S85" i="55"/>
  <c r="U84" i="55"/>
  <c r="S84" i="55"/>
  <c r="U83" i="55"/>
  <c r="S83" i="55"/>
  <c r="U82" i="55"/>
  <c r="S82" i="55"/>
  <c r="U77" i="55"/>
  <c r="S77" i="55"/>
  <c r="U76" i="55"/>
  <c r="S76" i="55"/>
  <c r="U75" i="55"/>
  <c r="S75" i="55"/>
  <c r="U74" i="55"/>
  <c r="S74" i="55"/>
  <c r="U73" i="55"/>
  <c r="S73" i="55"/>
  <c r="U72" i="55"/>
  <c r="S72" i="55"/>
  <c r="U71" i="55"/>
  <c r="S71" i="55"/>
  <c r="U70" i="55"/>
  <c r="S70" i="55"/>
  <c r="U69" i="55"/>
  <c r="S69" i="55"/>
  <c r="U68" i="55"/>
  <c r="S68" i="55"/>
  <c r="U63" i="55"/>
  <c r="S63" i="55"/>
  <c r="U62" i="55"/>
  <c r="S62" i="55"/>
  <c r="U61" i="55"/>
  <c r="S61" i="55"/>
  <c r="U60" i="55"/>
  <c r="S60" i="55"/>
  <c r="U59" i="55"/>
  <c r="S59" i="55"/>
  <c r="U54" i="55"/>
  <c r="S54" i="55"/>
  <c r="U53" i="55"/>
  <c r="S53" i="55"/>
  <c r="S52" i="55"/>
  <c r="S51" i="55"/>
  <c r="U50" i="55"/>
  <c r="S50" i="55"/>
  <c r="U49" i="55"/>
  <c r="S49" i="55"/>
  <c r="S48" i="55"/>
  <c r="U47" i="55"/>
  <c r="S47" i="55"/>
  <c r="U46" i="55"/>
  <c r="S46" i="55"/>
  <c r="U45" i="55"/>
  <c r="S45" i="55"/>
  <c r="U44" i="55"/>
  <c r="S44" i="55"/>
  <c r="U39" i="55"/>
  <c r="S39" i="55"/>
  <c r="U38" i="55"/>
  <c r="S38" i="55"/>
  <c r="U37" i="55"/>
  <c r="S37" i="55"/>
  <c r="U36" i="55"/>
  <c r="S36" i="55"/>
  <c r="U35" i="55"/>
  <c r="S35" i="55"/>
  <c r="U34" i="55"/>
  <c r="S34" i="55"/>
  <c r="S33" i="55"/>
  <c r="U32" i="55"/>
  <c r="S32" i="55"/>
  <c r="U31" i="55"/>
  <c r="S31" i="55"/>
  <c r="U30" i="55"/>
  <c r="S30" i="55"/>
  <c r="U25" i="55"/>
  <c r="S25" i="55"/>
  <c r="U24" i="55"/>
  <c r="S24" i="55"/>
  <c r="S23" i="55"/>
  <c r="U22" i="55"/>
  <c r="S22" i="55"/>
  <c r="U21" i="55"/>
  <c r="S21" i="55"/>
  <c r="U14" i="55"/>
  <c r="U258" i="55"/>
  <c r="S258" i="55"/>
  <c r="W256" i="55"/>
  <c r="W255" i="55"/>
  <c r="W254" i="55"/>
  <c r="W253" i="55"/>
  <c r="W252" i="55"/>
  <c r="W251" i="55"/>
  <c r="W250" i="55"/>
  <c r="E275" i="55"/>
  <c r="M258" i="55"/>
  <c r="K258" i="55"/>
  <c r="G258" i="55"/>
  <c r="O256" i="55"/>
  <c r="O255" i="55"/>
  <c r="O254" i="55"/>
  <c r="O253" i="55"/>
  <c r="O252" i="55"/>
  <c r="O251" i="55"/>
  <c r="O250" i="55"/>
  <c r="K246" i="55"/>
  <c r="G246" i="55"/>
  <c r="E246" i="55"/>
  <c r="Y246" i="55" s="1"/>
  <c r="M244" i="55"/>
  <c r="O244" i="55" s="1"/>
  <c r="M243" i="55"/>
  <c r="M242" i="55"/>
  <c r="M241" i="55"/>
  <c r="M240" i="55"/>
  <c r="M239" i="55"/>
  <c r="M238" i="55"/>
  <c r="M237" i="55"/>
  <c r="M236" i="55"/>
  <c r="O236" i="55" s="1"/>
  <c r="M235" i="55"/>
  <c r="K231" i="55"/>
  <c r="G231" i="55"/>
  <c r="E231" i="55"/>
  <c r="M230" i="55"/>
  <c r="M229" i="55"/>
  <c r="O229" i="55" s="1"/>
  <c r="M228" i="55"/>
  <c r="M227" i="55"/>
  <c r="O227" i="55" s="1"/>
  <c r="K223" i="55"/>
  <c r="E223" i="55"/>
  <c r="M221" i="55"/>
  <c r="M220" i="55"/>
  <c r="M219" i="55"/>
  <c r="M218" i="55"/>
  <c r="M217" i="55"/>
  <c r="O217" i="55" s="1"/>
  <c r="G216" i="55"/>
  <c r="K210" i="55"/>
  <c r="G210" i="55"/>
  <c r="E210" i="55"/>
  <c r="M208" i="55"/>
  <c r="M207" i="55"/>
  <c r="O207" i="55" s="1"/>
  <c r="M206" i="55"/>
  <c r="M205" i="55"/>
  <c r="M204" i="55"/>
  <c r="M203" i="55"/>
  <c r="O203" i="55" s="1"/>
  <c r="M202" i="55"/>
  <c r="M201" i="55"/>
  <c r="K198" i="55"/>
  <c r="G198" i="55"/>
  <c r="E198" i="55"/>
  <c r="M196" i="55"/>
  <c r="O196" i="55" s="1"/>
  <c r="M195" i="55"/>
  <c r="M194" i="55"/>
  <c r="O194" i="55" s="1"/>
  <c r="M193" i="55"/>
  <c r="M192" i="55"/>
  <c r="M191" i="55"/>
  <c r="O191" i="55" s="1"/>
  <c r="M190" i="55"/>
  <c r="O190" i="55" s="1"/>
  <c r="M189" i="55"/>
  <c r="M188" i="55"/>
  <c r="M187" i="55"/>
  <c r="M186" i="55"/>
  <c r="M185" i="55"/>
  <c r="M184" i="55"/>
  <c r="O184" i="55" s="1"/>
  <c r="M183" i="55"/>
  <c r="M182" i="55"/>
  <c r="O182" i="55" s="1"/>
  <c r="M181" i="55"/>
  <c r="M180" i="55"/>
  <c r="M179" i="55"/>
  <c r="M178" i="55"/>
  <c r="O178" i="55" s="1"/>
  <c r="K175" i="55"/>
  <c r="G175" i="55"/>
  <c r="E175" i="55"/>
  <c r="M173" i="55"/>
  <c r="O173" i="55" s="1"/>
  <c r="M172" i="55"/>
  <c r="M171" i="55"/>
  <c r="M170" i="55"/>
  <c r="M169" i="55"/>
  <c r="O169" i="55" s="1"/>
  <c r="M168" i="55"/>
  <c r="M167" i="55"/>
  <c r="M166" i="55"/>
  <c r="M165" i="55"/>
  <c r="M164" i="55"/>
  <c r="M163" i="55"/>
  <c r="M162" i="55"/>
  <c r="M161" i="55"/>
  <c r="M160" i="55"/>
  <c r="M159" i="55"/>
  <c r="M158" i="55"/>
  <c r="M157" i="55"/>
  <c r="M156" i="55"/>
  <c r="M155" i="55"/>
  <c r="M154" i="55"/>
  <c r="O154" i="55" s="1"/>
  <c r="K151" i="55"/>
  <c r="G151" i="55"/>
  <c r="E151" i="55"/>
  <c r="M149" i="55"/>
  <c r="M148" i="55"/>
  <c r="M147" i="55"/>
  <c r="O147" i="55" s="1"/>
  <c r="M146" i="55"/>
  <c r="M145" i="55"/>
  <c r="O145" i="55" s="1"/>
  <c r="M144" i="55"/>
  <c r="M143" i="55"/>
  <c r="M142" i="55"/>
  <c r="M141" i="55"/>
  <c r="M140" i="55"/>
  <c r="O140" i="55" s="1"/>
  <c r="M139" i="55"/>
  <c r="M138" i="55"/>
  <c r="O138" i="55" s="1"/>
  <c r="M137" i="55"/>
  <c r="M136" i="55"/>
  <c r="M135" i="55"/>
  <c r="M134" i="55"/>
  <c r="M133" i="55"/>
  <c r="O133" i="55" s="1"/>
  <c r="M132" i="55"/>
  <c r="K129" i="55"/>
  <c r="G129" i="55"/>
  <c r="E129" i="55"/>
  <c r="M127" i="55"/>
  <c r="O127" i="55" s="1"/>
  <c r="M126" i="55"/>
  <c r="M125" i="55"/>
  <c r="M124" i="55"/>
  <c r="M123" i="55"/>
  <c r="M122" i="55"/>
  <c r="O122" i="55" s="1"/>
  <c r="M121" i="55"/>
  <c r="K118" i="55"/>
  <c r="G118" i="55"/>
  <c r="E118" i="55"/>
  <c r="M116" i="55"/>
  <c r="O116" i="55" s="1"/>
  <c r="M115" i="55"/>
  <c r="M114" i="55"/>
  <c r="M113" i="55"/>
  <c r="M112" i="55"/>
  <c r="M111" i="55"/>
  <c r="O111" i="55" s="1"/>
  <c r="M110" i="55"/>
  <c r="M109" i="55"/>
  <c r="M108" i="55"/>
  <c r="M107" i="55"/>
  <c r="M106" i="55"/>
  <c r="M105" i="55"/>
  <c r="M104" i="55"/>
  <c r="O104" i="55" s="1"/>
  <c r="M103" i="55"/>
  <c r="M102" i="55"/>
  <c r="M101" i="55"/>
  <c r="M100" i="55"/>
  <c r="M99" i="55"/>
  <c r="M98" i="55"/>
  <c r="K91" i="55"/>
  <c r="G91" i="55"/>
  <c r="E91" i="55"/>
  <c r="M89" i="55"/>
  <c r="M88" i="55"/>
  <c r="M87" i="55"/>
  <c r="M86" i="55"/>
  <c r="M85" i="55"/>
  <c r="O85" i="55" s="1"/>
  <c r="M84" i="55"/>
  <c r="M83" i="55"/>
  <c r="M82" i="55"/>
  <c r="K79" i="55"/>
  <c r="G79" i="55"/>
  <c r="E79" i="55"/>
  <c r="M77" i="55"/>
  <c r="M76" i="55"/>
  <c r="M75" i="55"/>
  <c r="M74" i="55"/>
  <c r="O74" i="55" s="1"/>
  <c r="M73" i="55"/>
  <c r="M72" i="55"/>
  <c r="M71" i="55"/>
  <c r="M70" i="55"/>
  <c r="M69" i="55"/>
  <c r="M68" i="55"/>
  <c r="K65" i="55"/>
  <c r="G65" i="55"/>
  <c r="E65" i="55"/>
  <c r="M63" i="55"/>
  <c r="O63" i="55" s="1"/>
  <c r="M62" i="55"/>
  <c r="M61" i="55"/>
  <c r="M60" i="55"/>
  <c r="M59" i="55"/>
  <c r="K56" i="55"/>
  <c r="E56" i="55"/>
  <c r="M54" i="55"/>
  <c r="O54" i="55" s="1"/>
  <c r="M53" i="55"/>
  <c r="G52" i="55"/>
  <c r="G51" i="55"/>
  <c r="M50" i="55"/>
  <c r="M49" i="55"/>
  <c r="O49" i="55" s="1"/>
  <c r="G48" i="55"/>
  <c r="M47" i="55"/>
  <c r="M46" i="55"/>
  <c r="M45" i="55"/>
  <c r="M44" i="55"/>
  <c r="K41" i="55"/>
  <c r="E41" i="55"/>
  <c r="M39" i="55"/>
  <c r="M38" i="55"/>
  <c r="O38" i="55" s="1"/>
  <c r="M37" i="55"/>
  <c r="M36" i="55"/>
  <c r="O36" i="55" s="1"/>
  <c r="M35" i="55"/>
  <c r="M34" i="55"/>
  <c r="O34" i="55" s="1"/>
  <c r="G33" i="55"/>
  <c r="M32" i="55"/>
  <c r="O32" i="55" s="1"/>
  <c r="M31" i="55"/>
  <c r="M30" i="55"/>
  <c r="K27" i="55"/>
  <c r="E27" i="55"/>
  <c r="M25" i="55"/>
  <c r="M24" i="55"/>
  <c r="G23" i="55"/>
  <c r="M22" i="55"/>
  <c r="M21" i="55"/>
  <c r="K16" i="55"/>
  <c r="G16" i="55"/>
  <c r="E16" i="55"/>
  <c r="M14" i="55"/>
  <c r="E274" i="54"/>
  <c r="M257" i="54"/>
  <c r="K257" i="54"/>
  <c r="G257" i="54"/>
  <c r="O255" i="54"/>
  <c r="O254" i="54"/>
  <c r="O253" i="54"/>
  <c r="O252" i="54"/>
  <c r="O251" i="54"/>
  <c r="O250" i="54"/>
  <c r="O249" i="54"/>
  <c r="K245" i="54"/>
  <c r="G245" i="54"/>
  <c r="E245" i="54"/>
  <c r="O243" i="54"/>
  <c r="M243" i="54"/>
  <c r="O242" i="54"/>
  <c r="M242" i="54"/>
  <c r="O241" i="54"/>
  <c r="M241" i="54"/>
  <c r="O240" i="54"/>
  <c r="M240" i="54"/>
  <c r="O239" i="54"/>
  <c r="M239" i="54"/>
  <c r="O238" i="54"/>
  <c r="M238" i="54"/>
  <c r="O237" i="54"/>
  <c r="M237" i="54"/>
  <c r="O236" i="54"/>
  <c r="M236" i="54"/>
  <c r="O235" i="54"/>
  <c r="M235" i="54"/>
  <c r="O234" i="54"/>
  <c r="O245" i="54" s="1"/>
  <c r="M234" i="54"/>
  <c r="M245" i="54" s="1"/>
  <c r="K230" i="54"/>
  <c r="G230" i="54"/>
  <c r="E230" i="54"/>
  <c r="O229" i="54"/>
  <c r="M229" i="54"/>
  <c r="M228" i="54"/>
  <c r="O228" i="54" s="1"/>
  <c r="O227" i="54"/>
  <c r="M227" i="54"/>
  <c r="M226" i="54"/>
  <c r="M230" i="54" s="1"/>
  <c r="K222" i="54"/>
  <c r="I222" i="54" s="1"/>
  <c r="E222" i="54"/>
  <c r="M220" i="54"/>
  <c r="O220" i="54" s="1"/>
  <c r="O219" i="54"/>
  <c r="M219" i="54"/>
  <c r="M218" i="54"/>
  <c r="O218" i="54" s="1"/>
  <c r="O217" i="54"/>
  <c r="M217" i="54"/>
  <c r="M216" i="54"/>
  <c r="O216" i="54" s="1"/>
  <c r="G215" i="54"/>
  <c r="M215" i="54" s="1"/>
  <c r="K209" i="54"/>
  <c r="G209" i="54"/>
  <c r="E209" i="54"/>
  <c r="I209" i="54" s="1"/>
  <c r="M207" i="54"/>
  <c r="O207" i="54" s="1"/>
  <c r="M206" i="54"/>
  <c r="O206" i="54" s="1"/>
  <c r="M205" i="54"/>
  <c r="O205" i="54" s="1"/>
  <c r="M204" i="54"/>
  <c r="O204" i="54" s="1"/>
  <c r="M203" i="54"/>
  <c r="O203" i="54" s="1"/>
  <c r="M202" i="54"/>
  <c r="O202" i="54" s="1"/>
  <c r="M201" i="54"/>
  <c r="O201" i="54" s="1"/>
  <c r="M200" i="54"/>
  <c r="O200" i="54" s="1"/>
  <c r="K197" i="54"/>
  <c r="I197" i="54" s="1"/>
  <c r="G197" i="54"/>
  <c r="E197" i="54"/>
  <c r="M195" i="54"/>
  <c r="O195" i="54" s="1"/>
  <c r="M194" i="54"/>
  <c r="O194" i="54" s="1"/>
  <c r="M193" i="54"/>
  <c r="O193" i="54" s="1"/>
  <c r="M192" i="54"/>
  <c r="O192" i="54" s="1"/>
  <c r="M191" i="54"/>
  <c r="O191" i="54" s="1"/>
  <c r="M190" i="54"/>
  <c r="O190" i="54" s="1"/>
  <c r="M189" i="54"/>
  <c r="O189" i="54" s="1"/>
  <c r="M188" i="54"/>
  <c r="O188" i="54" s="1"/>
  <c r="M187" i="54"/>
  <c r="O187" i="54" s="1"/>
  <c r="M186" i="54"/>
  <c r="O186" i="54" s="1"/>
  <c r="M185" i="54"/>
  <c r="O185" i="54" s="1"/>
  <c r="M184" i="54"/>
  <c r="O184" i="54" s="1"/>
  <c r="M183" i="54"/>
  <c r="O183" i="54" s="1"/>
  <c r="M182" i="54"/>
  <c r="O182" i="54" s="1"/>
  <c r="M181" i="54"/>
  <c r="O181" i="54" s="1"/>
  <c r="M180" i="54"/>
  <c r="O180" i="54" s="1"/>
  <c r="M179" i="54"/>
  <c r="O179" i="54" s="1"/>
  <c r="M178" i="54"/>
  <c r="O178" i="54" s="1"/>
  <c r="M177" i="54"/>
  <c r="O177" i="54" s="1"/>
  <c r="K174" i="54"/>
  <c r="I174" i="54" s="1"/>
  <c r="G174" i="54"/>
  <c r="E174" i="54"/>
  <c r="M172" i="54"/>
  <c r="O172" i="54" s="1"/>
  <c r="M171" i="54"/>
  <c r="O171" i="54" s="1"/>
  <c r="M170" i="54"/>
  <c r="O170" i="54" s="1"/>
  <c r="M169" i="54"/>
  <c r="O169" i="54" s="1"/>
  <c r="M168" i="54"/>
  <c r="O168" i="54" s="1"/>
  <c r="M167" i="54"/>
  <c r="O167" i="54" s="1"/>
  <c r="M166" i="54"/>
  <c r="O166" i="54" s="1"/>
  <c r="M165" i="54"/>
  <c r="O165" i="54" s="1"/>
  <c r="M164" i="54"/>
  <c r="O164" i="54" s="1"/>
  <c r="M163" i="54"/>
  <c r="O163" i="54" s="1"/>
  <c r="M162" i="54"/>
  <c r="O162" i="54" s="1"/>
  <c r="M161" i="54"/>
  <c r="O161" i="54" s="1"/>
  <c r="M160" i="54"/>
  <c r="O160" i="54" s="1"/>
  <c r="M159" i="54"/>
  <c r="O159" i="54" s="1"/>
  <c r="M158" i="54"/>
  <c r="O158" i="54" s="1"/>
  <c r="M157" i="54"/>
  <c r="O157" i="54" s="1"/>
  <c r="M156" i="54"/>
  <c r="O156" i="54" s="1"/>
  <c r="M155" i="54"/>
  <c r="O155" i="54" s="1"/>
  <c r="M154" i="54"/>
  <c r="O154" i="54" s="1"/>
  <c r="M153" i="54"/>
  <c r="O153" i="54" s="1"/>
  <c r="K150" i="54"/>
  <c r="G150" i="54"/>
  <c r="E150" i="54"/>
  <c r="M148" i="54"/>
  <c r="O148" i="54" s="1"/>
  <c r="M147" i="54"/>
  <c r="O147" i="54" s="1"/>
  <c r="M146" i="54"/>
  <c r="O146" i="54" s="1"/>
  <c r="M145" i="54"/>
  <c r="O145" i="54" s="1"/>
  <c r="M144" i="54"/>
  <c r="O144" i="54" s="1"/>
  <c r="M143" i="54"/>
  <c r="O143" i="54" s="1"/>
  <c r="M142" i="54"/>
  <c r="O142" i="54" s="1"/>
  <c r="M141" i="54"/>
  <c r="O141" i="54" s="1"/>
  <c r="M140" i="54"/>
  <c r="O140" i="54" s="1"/>
  <c r="M139" i="54"/>
  <c r="O139" i="54" s="1"/>
  <c r="M138" i="54"/>
  <c r="O138" i="54" s="1"/>
  <c r="M137" i="54"/>
  <c r="O137" i="54" s="1"/>
  <c r="M136" i="54"/>
  <c r="O136" i="54" s="1"/>
  <c r="M135" i="54"/>
  <c r="O135" i="54" s="1"/>
  <c r="M134" i="54"/>
  <c r="O134" i="54" s="1"/>
  <c r="M133" i="54"/>
  <c r="O133" i="54" s="1"/>
  <c r="M132" i="54"/>
  <c r="O132" i="54" s="1"/>
  <c r="M131" i="54"/>
  <c r="O131" i="54" s="1"/>
  <c r="K128" i="54"/>
  <c r="I128" i="54" s="1"/>
  <c r="G128" i="54"/>
  <c r="E128" i="54"/>
  <c r="M126" i="54"/>
  <c r="O126" i="54" s="1"/>
  <c r="M125" i="54"/>
  <c r="O125" i="54" s="1"/>
  <c r="M124" i="54"/>
  <c r="O124" i="54" s="1"/>
  <c r="M123" i="54"/>
  <c r="O123" i="54" s="1"/>
  <c r="M122" i="54"/>
  <c r="O122" i="54" s="1"/>
  <c r="M121" i="54"/>
  <c r="O121" i="54" s="1"/>
  <c r="M120" i="54"/>
  <c r="O120" i="54" s="1"/>
  <c r="K117" i="54"/>
  <c r="K211" i="54" s="1"/>
  <c r="G117" i="54"/>
  <c r="G211" i="54" s="1"/>
  <c r="E117" i="54"/>
  <c r="M115" i="54"/>
  <c r="O115" i="54" s="1"/>
  <c r="M114" i="54"/>
  <c r="O114" i="54" s="1"/>
  <c r="M113" i="54"/>
  <c r="O113" i="54" s="1"/>
  <c r="M112" i="54"/>
  <c r="O112" i="54" s="1"/>
  <c r="M111" i="54"/>
  <c r="O111" i="54" s="1"/>
  <c r="M110" i="54"/>
  <c r="O110" i="54" s="1"/>
  <c r="M109" i="54"/>
  <c r="O109" i="54" s="1"/>
  <c r="M108" i="54"/>
  <c r="O108" i="54" s="1"/>
  <c r="M107" i="54"/>
  <c r="O107" i="54" s="1"/>
  <c r="M106" i="54"/>
  <c r="O106" i="54" s="1"/>
  <c r="M105" i="54"/>
  <c r="O105" i="54" s="1"/>
  <c r="M104" i="54"/>
  <c r="O104" i="54" s="1"/>
  <c r="M103" i="54"/>
  <c r="O103" i="54" s="1"/>
  <c r="M102" i="54"/>
  <c r="O102" i="54" s="1"/>
  <c r="M101" i="54"/>
  <c r="O101" i="54" s="1"/>
  <c r="M100" i="54"/>
  <c r="O100" i="54" s="1"/>
  <c r="M99" i="54"/>
  <c r="O99" i="54" s="1"/>
  <c r="M98" i="54"/>
  <c r="O98" i="54" s="1"/>
  <c r="M97" i="54"/>
  <c r="O97" i="54" s="1"/>
  <c r="K90" i="54"/>
  <c r="G90" i="54"/>
  <c r="E90" i="54"/>
  <c r="I90" i="54" s="1"/>
  <c r="M88" i="54"/>
  <c r="O88" i="54" s="1"/>
  <c r="M87" i="54"/>
  <c r="O87" i="54" s="1"/>
  <c r="M86" i="54"/>
  <c r="O86" i="54" s="1"/>
  <c r="M85" i="54"/>
  <c r="O85" i="54" s="1"/>
  <c r="M84" i="54"/>
  <c r="O84" i="54" s="1"/>
  <c r="M83" i="54"/>
  <c r="O83" i="54" s="1"/>
  <c r="M82" i="54"/>
  <c r="O82" i="54" s="1"/>
  <c r="M81" i="54"/>
  <c r="O81" i="54" s="1"/>
  <c r="K78" i="54"/>
  <c r="I78" i="54" s="1"/>
  <c r="G78" i="54"/>
  <c r="E78" i="54"/>
  <c r="M76" i="54"/>
  <c r="O76" i="54" s="1"/>
  <c r="M75" i="54"/>
  <c r="O75" i="54" s="1"/>
  <c r="M74" i="54"/>
  <c r="O74" i="54" s="1"/>
  <c r="M73" i="54"/>
  <c r="O73" i="54" s="1"/>
  <c r="M72" i="54"/>
  <c r="O72" i="54" s="1"/>
  <c r="M71" i="54"/>
  <c r="O71" i="54" s="1"/>
  <c r="M70" i="54"/>
  <c r="O70" i="54" s="1"/>
  <c r="M69" i="54"/>
  <c r="O69" i="54" s="1"/>
  <c r="M68" i="54"/>
  <c r="O68" i="54" s="1"/>
  <c r="M67" i="54"/>
  <c r="O67" i="54" s="1"/>
  <c r="K64" i="54"/>
  <c r="G64" i="54"/>
  <c r="E64" i="54"/>
  <c r="M62" i="54"/>
  <c r="O62" i="54" s="1"/>
  <c r="M61" i="54"/>
  <c r="O61" i="54" s="1"/>
  <c r="M60" i="54"/>
  <c r="O60" i="54" s="1"/>
  <c r="M59" i="54"/>
  <c r="O59" i="54" s="1"/>
  <c r="M58" i="54"/>
  <c r="O58" i="54" s="1"/>
  <c r="K55" i="54"/>
  <c r="E55" i="54"/>
  <c r="M53" i="54"/>
  <c r="O53" i="54" s="1"/>
  <c r="M52" i="54"/>
  <c r="O52" i="54" s="1"/>
  <c r="M51" i="54"/>
  <c r="O51" i="54" s="1"/>
  <c r="G51" i="54"/>
  <c r="G50" i="54"/>
  <c r="M50" i="54" s="1"/>
  <c r="O50" i="54" s="1"/>
  <c r="M49" i="54"/>
  <c r="O49" i="54" s="1"/>
  <c r="M48" i="54"/>
  <c r="O48" i="54" s="1"/>
  <c r="G47" i="54"/>
  <c r="G55" i="54" s="1"/>
  <c r="O46" i="54"/>
  <c r="M46" i="54"/>
  <c r="M45" i="54"/>
  <c r="O45" i="54" s="1"/>
  <c r="O44" i="54"/>
  <c r="M44" i="54"/>
  <c r="M43" i="54"/>
  <c r="O43" i="54" s="1"/>
  <c r="K40" i="54"/>
  <c r="I40" i="54" s="1"/>
  <c r="E40" i="54"/>
  <c r="M38" i="54"/>
  <c r="O38" i="54" s="1"/>
  <c r="O37" i="54"/>
  <c r="M37" i="54"/>
  <c r="M36" i="54"/>
  <c r="O36" i="54" s="1"/>
  <c r="O35" i="54"/>
  <c r="M35" i="54"/>
  <c r="M34" i="54"/>
  <c r="O34" i="54" s="1"/>
  <c r="O33" i="54"/>
  <c r="M33" i="54"/>
  <c r="G32" i="54"/>
  <c r="M32" i="54" s="1"/>
  <c r="O32" i="54" s="1"/>
  <c r="M31" i="54"/>
  <c r="O31" i="54" s="1"/>
  <c r="M30" i="54"/>
  <c r="O30" i="54" s="1"/>
  <c r="M29" i="54"/>
  <c r="K26" i="54"/>
  <c r="I26" i="54"/>
  <c r="E26" i="54"/>
  <c r="E92" i="54" s="1"/>
  <c r="M24" i="54"/>
  <c r="O24" i="54" s="1"/>
  <c r="M23" i="54"/>
  <c r="O23" i="54" s="1"/>
  <c r="M22" i="54"/>
  <c r="G22" i="54"/>
  <c r="M21" i="54"/>
  <c r="O21" i="54" s="1"/>
  <c r="M20" i="54"/>
  <c r="O20" i="54" s="1"/>
  <c r="K15" i="54"/>
  <c r="G15" i="54"/>
  <c r="E15" i="54"/>
  <c r="M13" i="54"/>
  <c r="M15" i="54" s="1"/>
  <c r="I41" i="55" l="1"/>
  <c r="W258" i="55"/>
  <c r="I65" i="55"/>
  <c r="W85" i="55"/>
  <c r="G212" i="55"/>
  <c r="I231" i="55"/>
  <c r="Y16" i="55"/>
  <c r="AG16" i="55"/>
  <c r="AG27" i="55"/>
  <c r="Y27" i="55"/>
  <c r="AC48" i="55"/>
  <c r="AK48" i="55"/>
  <c r="AC52" i="55"/>
  <c r="AE52" i="55" s="1"/>
  <c r="AK52" i="55"/>
  <c r="AM52" i="55" s="1"/>
  <c r="Y118" i="55"/>
  <c r="AG118" i="55"/>
  <c r="Y198" i="55"/>
  <c r="AG198" i="55"/>
  <c r="Y223" i="55"/>
  <c r="AG223" i="55"/>
  <c r="W173" i="55"/>
  <c r="AC23" i="55"/>
  <c r="AK23" i="55"/>
  <c r="U33" i="55"/>
  <c r="AC33" i="55"/>
  <c r="AK33" i="55"/>
  <c r="Y41" i="55"/>
  <c r="AG41" i="55"/>
  <c r="Y65" i="55"/>
  <c r="AG65" i="55"/>
  <c r="I91" i="55"/>
  <c r="Y91" i="55"/>
  <c r="AG91" i="55"/>
  <c r="AG129" i="55"/>
  <c r="Y129" i="55"/>
  <c r="I175" i="55"/>
  <c r="Y175" i="55"/>
  <c r="AG175" i="55"/>
  <c r="M216" i="55"/>
  <c r="AK51" i="55"/>
  <c r="AM51" i="55" s="1"/>
  <c r="AC51" i="55"/>
  <c r="AE51" i="55" s="1"/>
  <c r="AG56" i="55"/>
  <c r="Y56" i="55"/>
  <c r="AG79" i="55"/>
  <c r="Y79" i="55"/>
  <c r="Y151" i="55"/>
  <c r="AG151" i="55"/>
  <c r="Y210" i="55"/>
  <c r="AG210" i="55"/>
  <c r="Y231" i="55"/>
  <c r="AG231" i="55"/>
  <c r="O13" i="54"/>
  <c r="M47" i="54"/>
  <c r="O47" i="54" s="1"/>
  <c r="O55" i="54" s="1"/>
  <c r="I55" i="54"/>
  <c r="I150" i="54"/>
  <c r="I230" i="54"/>
  <c r="E93" i="55"/>
  <c r="G41" i="55"/>
  <c r="I118" i="55"/>
  <c r="U23" i="55"/>
  <c r="U51" i="55"/>
  <c r="I117" i="54"/>
  <c r="O257" i="54"/>
  <c r="M79" i="55"/>
  <c r="M64" i="54"/>
  <c r="U48" i="55"/>
  <c r="U52" i="55"/>
  <c r="I64" i="54"/>
  <c r="E211" i="54"/>
  <c r="I211" i="54" s="1"/>
  <c r="O226" i="54"/>
  <c r="O230" i="54" s="1"/>
  <c r="I245" i="54"/>
  <c r="M52" i="55"/>
  <c r="O52" i="55" s="1"/>
  <c r="I79" i="55"/>
  <c r="I151" i="55"/>
  <c r="W207" i="55"/>
  <c r="O31" i="55"/>
  <c r="O70" i="55"/>
  <c r="M23" i="55"/>
  <c r="I27" i="55"/>
  <c r="O45" i="55"/>
  <c r="W45" i="55" s="1"/>
  <c r="O47" i="55"/>
  <c r="W47" i="55" s="1"/>
  <c r="O71" i="55"/>
  <c r="W71" i="55"/>
  <c r="O102" i="55"/>
  <c r="O114" i="55"/>
  <c r="W114" i="55"/>
  <c r="K93" i="55"/>
  <c r="M33" i="55"/>
  <c r="M41" i="55" s="1"/>
  <c r="O35" i="55"/>
  <c r="W35" i="55" s="1"/>
  <c r="O37" i="55"/>
  <c r="W37" i="55" s="1"/>
  <c r="O39" i="55"/>
  <c r="W39" i="55" s="1"/>
  <c r="O72" i="55"/>
  <c r="O88" i="55"/>
  <c r="O99" i="55"/>
  <c r="K212" i="55"/>
  <c r="O124" i="55"/>
  <c r="W124" i="55"/>
  <c r="O132" i="55"/>
  <c r="O136" i="55"/>
  <c r="W136" i="55"/>
  <c r="O144" i="55"/>
  <c r="O160" i="55"/>
  <c r="O168" i="55"/>
  <c r="W168" i="55" s="1"/>
  <c r="O181" i="55"/>
  <c r="W181" i="55"/>
  <c r="O185" i="55"/>
  <c r="O189" i="55"/>
  <c r="W189" i="55"/>
  <c r="O193" i="55"/>
  <c r="O202" i="55"/>
  <c r="O220" i="55"/>
  <c r="W220" i="55" s="1"/>
  <c r="I223" i="55"/>
  <c r="O228" i="55"/>
  <c r="O230" i="55"/>
  <c r="M246" i="55"/>
  <c r="O235" i="55"/>
  <c r="O240" i="55"/>
  <c r="W243" i="55"/>
  <c r="O243" i="55"/>
  <c r="O14" i="55"/>
  <c r="U16" i="55" s="1"/>
  <c r="M16" i="55"/>
  <c r="O22" i="55"/>
  <c r="O25" i="55"/>
  <c r="W34" i="55"/>
  <c r="W36" i="55"/>
  <c r="W38" i="55"/>
  <c r="O44" i="55"/>
  <c r="O46" i="55"/>
  <c r="W46" i="55" s="1"/>
  <c r="M48" i="55"/>
  <c r="I56" i="55"/>
  <c r="O61" i="55"/>
  <c r="O69" i="55"/>
  <c r="O73" i="55"/>
  <c r="W73" i="55"/>
  <c r="O77" i="55"/>
  <c r="O89" i="55"/>
  <c r="W89" i="55"/>
  <c r="O100" i="55"/>
  <c r="O108" i="55"/>
  <c r="W108" i="55"/>
  <c r="O112" i="55"/>
  <c r="O121" i="55"/>
  <c r="U129" i="55" s="1"/>
  <c r="S129" i="55"/>
  <c r="Q129" i="55" s="1"/>
  <c r="O125" i="55"/>
  <c r="W125" i="55"/>
  <c r="W133" i="55"/>
  <c r="O137" i="55"/>
  <c r="W137" i="55" s="1"/>
  <c r="O141" i="55"/>
  <c r="W145" i="55"/>
  <c r="O149" i="55"/>
  <c r="O157" i="55"/>
  <c r="O161" i="55"/>
  <c r="W161" i="55"/>
  <c r="O165" i="55"/>
  <c r="I210" i="55"/>
  <c r="O218" i="55"/>
  <c r="W218" i="55" s="1"/>
  <c r="W221" i="55"/>
  <c r="O221" i="55"/>
  <c r="W236" i="55"/>
  <c r="O238" i="55"/>
  <c r="W238" i="55" s="1"/>
  <c r="W241" i="55"/>
  <c r="O241" i="55"/>
  <c r="W244" i="55"/>
  <c r="I246" i="55"/>
  <c r="W74" i="55"/>
  <c r="W104" i="55"/>
  <c r="W127" i="55"/>
  <c r="W140" i="55"/>
  <c r="W196" i="55"/>
  <c r="O62" i="55"/>
  <c r="W62" i="55"/>
  <c r="O82" i="55"/>
  <c r="W82" i="55" s="1"/>
  <c r="O86" i="55"/>
  <c r="W86" i="55"/>
  <c r="O101" i="55"/>
  <c r="O105" i="55"/>
  <c r="W105" i="55"/>
  <c r="O109" i="55"/>
  <c r="O113" i="55"/>
  <c r="W113" i="55"/>
  <c r="W122" i="55"/>
  <c r="O126" i="55"/>
  <c r="O134" i="55"/>
  <c r="W134" i="55"/>
  <c r="O142" i="55"/>
  <c r="W142" i="55"/>
  <c r="O146" i="55"/>
  <c r="W146" i="55"/>
  <c r="O158" i="55"/>
  <c r="W158" i="55"/>
  <c r="O162" i="55"/>
  <c r="O166" i="55"/>
  <c r="W166" i="55"/>
  <c r="O170" i="55"/>
  <c r="O179" i="55"/>
  <c r="U198" i="55" s="1"/>
  <c r="O183" i="55"/>
  <c r="W183" i="55" s="1"/>
  <c r="O187" i="55"/>
  <c r="O195" i="55"/>
  <c r="O204" i="55"/>
  <c r="W204" i="55"/>
  <c r="O208" i="55"/>
  <c r="W208" i="55"/>
  <c r="O219" i="55"/>
  <c r="O239" i="55"/>
  <c r="W49" i="55"/>
  <c r="W63" i="55"/>
  <c r="W116" i="55"/>
  <c r="W229" i="55"/>
  <c r="O21" i="55"/>
  <c r="W21" i="55" s="1"/>
  <c r="O50" i="55"/>
  <c r="O75" i="55"/>
  <c r="W75" i="55"/>
  <c r="O83" i="55"/>
  <c r="W83" i="55" s="1"/>
  <c r="O87" i="55"/>
  <c r="O98" i="55"/>
  <c r="O106" i="55"/>
  <c r="W106" i="55"/>
  <c r="O110" i="55"/>
  <c r="O123" i="55"/>
  <c r="W123" i="55"/>
  <c r="M129" i="55"/>
  <c r="O135" i="55"/>
  <c r="W135" i="55"/>
  <c r="O143" i="55"/>
  <c r="W143" i="55"/>
  <c r="O155" i="55"/>
  <c r="U175" i="55" s="1"/>
  <c r="W155" i="55"/>
  <c r="O159" i="55"/>
  <c r="W159" i="55"/>
  <c r="O163" i="55"/>
  <c r="W163" i="55"/>
  <c r="O167" i="55"/>
  <c r="W167" i="55"/>
  <c r="O171" i="55"/>
  <c r="W171" i="55"/>
  <c r="O180" i="55"/>
  <c r="W180" i="55"/>
  <c r="O188" i="55"/>
  <c r="W188" i="55"/>
  <c r="O192" i="55"/>
  <c r="W192" i="55"/>
  <c r="O201" i="55"/>
  <c r="W201" i="55"/>
  <c r="O205" i="55"/>
  <c r="W205" i="55"/>
  <c r="G223" i="55"/>
  <c r="W228" i="55"/>
  <c r="W237" i="55"/>
  <c r="O237" i="55"/>
  <c r="W240" i="55"/>
  <c r="O242" i="55"/>
  <c r="W242" i="55" s="1"/>
  <c r="O258" i="55"/>
  <c r="W32" i="55"/>
  <c r="W191" i="55"/>
  <c r="O53" i="55"/>
  <c r="W53" i="55"/>
  <c r="O139" i="55"/>
  <c r="W14" i="55"/>
  <c r="W16" i="55" s="1"/>
  <c r="O24" i="55"/>
  <c r="O60" i="55"/>
  <c r="W60" i="55"/>
  <c r="O68" i="55"/>
  <c r="U79" i="55" s="1"/>
  <c r="O76" i="55"/>
  <c r="O84" i="55"/>
  <c r="O103" i="55"/>
  <c r="O107" i="55"/>
  <c r="W107" i="55" s="1"/>
  <c r="O115" i="55"/>
  <c r="I129" i="55"/>
  <c r="O148" i="55"/>
  <c r="W148" i="55"/>
  <c r="O156" i="55"/>
  <c r="W156" i="55" s="1"/>
  <c r="O164" i="55"/>
  <c r="O172" i="55"/>
  <c r="W172" i="55" s="1"/>
  <c r="I198" i="55"/>
  <c r="O206" i="55"/>
  <c r="W54" i="55"/>
  <c r="W111" i="55"/>
  <c r="W138" i="55"/>
  <c r="W147" i="55"/>
  <c r="W184" i="55"/>
  <c r="O186" i="55"/>
  <c r="W186" i="55"/>
  <c r="M231" i="55"/>
  <c r="W203" i="55"/>
  <c r="W169" i="55"/>
  <c r="W182" i="55"/>
  <c r="W194" i="55"/>
  <c r="S231" i="55"/>
  <c r="Q231" i="55" s="1"/>
  <c r="W178" i="55"/>
  <c r="W190" i="55"/>
  <c r="S16" i="55"/>
  <c r="Q16" i="55" s="1"/>
  <c r="W22" i="55"/>
  <c r="W44" i="55"/>
  <c r="W70" i="55"/>
  <c r="W154" i="55"/>
  <c r="W217" i="55"/>
  <c r="S65" i="55"/>
  <c r="Q65" i="55" s="1"/>
  <c r="S210" i="55"/>
  <c r="Q210" i="55" s="1"/>
  <c r="W68" i="55"/>
  <c r="S118" i="55"/>
  <c r="Q118" i="55" s="1"/>
  <c r="W132" i="55"/>
  <c r="M118" i="55"/>
  <c r="M27" i="55"/>
  <c r="M175" i="55"/>
  <c r="E212" i="55"/>
  <c r="I212" i="55" s="1"/>
  <c r="E260" i="55"/>
  <c r="O30" i="55"/>
  <c r="K260" i="55"/>
  <c r="I16" i="55"/>
  <c r="M223" i="55"/>
  <c r="O216" i="55"/>
  <c r="G56" i="55"/>
  <c r="M51" i="55"/>
  <c r="M198" i="55"/>
  <c r="O16" i="55"/>
  <c r="M65" i="55"/>
  <c r="O59" i="55"/>
  <c r="G27" i="55"/>
  <c r="M91" i="55"/>
  <c r="M151" i="55"/>
  <c r="M210" i="55"/>
  <c r="M40" i="54"/>
  <c r="O29" i="54"/>
  <c r="O40" i="54" s="1"/>
  <c r="O22" i="54"/>
  <c r="M26" i="54"/>
  <c r="O150" i="54"/>
  <c r="O209" i="54"/>
  <c r="K259" i="54"/>
  <c r="I15" i="54"/>
  <c r="K92" i="54"/>
  <c r="I92" i="54" s="1"/>
  <c r="O78" i="54"/>
  <c r="O128" i="54"/>
  <c r="O174" i="54"/>
  <c r="O197" i="54"/>
  <c r="O15" i="54"/>
  <c r="O117" i="54"/>
  <c r="O211" i="54" s="1"/>
  <c r="E276" i="54"/>
  <c r="O90" i="54"/>
  <c r="M222" i="54"/>
  <c r="O215" i="54"/>
  <c r="O222" i="54" s="1"/>
  <c r="O64" i="54"/>
  <c r="G40" i="54"/>
  <c r="M78" i="54"/>
  <c r="M117" i="54"/>
  <c r="M128" i="54"/>
  <c r="M174" i="54"/>
  <c r="M197" i="54"/>
  <c r="G222" i="54"/>
  <c r="E259" i="54"/>
  <c r="G26" i="54"/>
  <c r="G92" i="54" s="1"/>
  <c r="G259" i="54" s="1"/>
  <c r="G276" i="54" s="1"/>
  <c r="M209" i="54"/>
  <c r="M55" i="54"/>
  <c r="M90" i="54"/>
  <c r="M150" i="54"/>
  <c r="M211" i="54" s="1"/>
  <c r="D27" i="49"/>
  <c r="D26" i="49"/>
  <c r="D24" i="49"/>
  <c r="D23" i="49"/>
  <c r="D38" i="49"/>
  <c r="D37" i="49"/>
  <c r="D35" i="49"/>
  <c r="D34" i="49"/>
  <c r="H17" i="49"/>
  <c r="F25" i="49" s="1"/>
  <c r="I37" i="26"/>
  <c r="I15" i="26"/>
  <c r="O118" i="55" l="1"/>
  <c r="O151" i="55"/>
  <c r="O175" i="55"/>
  <c r="O91" i="55"/>
  <c r="O129" i="55"/>
  <c r="I93" i="55"/>
  <c r="AM33" i="55"/>
  <c r="AM41" i="55" s="1"/>
  <c r="AK41" i="55"/>
  <c r="AE23" i="55"/>
  <c r="AC27" i="55"/>
  <c r="AK223" i="55"/>
  <c r="AM216" i="55"/>
  <c r="AM223" i="55" s="1"/>
  <c r="AC41" i="55"/>
  <c r="AE33" i="55"/>
  <c r="AE41" i="55" s="1"/>
  <c r="AE216" i="55"/>
  <c r="AE223" i="55" s="1"/>
  <c r="AC223" i="55"/>
  <c r="AM48" i="55"/>
  <c r="AM56" i="55" s="1"/>
  <c r="AK56" i="55"/>
  <c r="AG212" i="55"/>
  <c r="Y212" i="55"/>
  <c r="Y93" i="55"/>
  <c r="AG93" i="55"/>
  <c r="AK27" i="55"/>
  <c r="AM23" i="55"/>
  <c r="AE48" i="55"/>
  <c r="AE56" i="55" s="1"/>
  <c r="AC56" i="55"/>
  <c r="AC93" i="55" s="1"/>
  <c r="M92" i="54"/>
  <c r="E277" i="55"/>
  <c r="O231" i="55"/>
  <c r="O51" i="55"/>
  <c r="W115" i="55"/>
  <c r="O223" i="55"/>
  <c r="W216" i="55"/>
  <c r="W103" i="55"/>
  <c r="W76" i="55"/>
  <c r="O198" i="55"/>
  <c r="O210" i="55"/>
  <c r="O212" i="55" s="1"/>
  <c r="W84" i="55"/>
  <c r="W139" i="55"/>
  <c r="W52" i="55"/>
  <c r="U210" i="55"/>
  <c r="W110" i="55"/>
  <c r="W98" i="55"/>
  <c r="W239" i="55"/>
  <c r="W219" i="55"/>
  <c r="W195" i="55"/>
  <c r="W170" i="55"/>
  <c r="W162" i="55"/>
  <c r="W126" i="55"/>
  <c r="W109" i="55"/>
  <c r="W101" i="55"/>
  <c r="S91" i="55"/>
  <c r="Q91" i="55" s="1"/>
  <c r="W149" i="55"/>
  <c r="W112" i="55"/>
  <c r="W61" i="55"/>
  <c r="W25" i="55"/>
  <c r="O246" i="55"/>
  <c r="W202" i="55"/>
  <c r="W160" i="55"/>
  <c r="W88" i="55"/>
  <c r="O23" i="55"/>
  <c r="W31" i="55"/>
  <c r="O65" i="55"/>
  <c r="W59" i="55"/>
  <c r="U118" i="55"/>
  <c r="U91" i="55"/>
  <c r="S175" i="55"/>
  <c r="Q175" i="55" s="1"/>
  <c r="W165" i="55"/>
  <c r="W157" i="55"/>
  <c r="W121" i="55"/>
  <c r="W100" i="55"/>
  <c r="W77" i="55"/>
  <c r="W69" i="55"/>
  <c r="S246" i="55"/>
  <c r="Q246" i="55" s="1"/>
  <c r="W193" i="55"/>
  <c r="W185" i="55"/>
  <c r="W144" i="55"/>
  <c r="S151" i="55"/>
  <c r="Q151" i="55" s="1"/>
  <c r="O33" i="55"/>
  <c r="O41" i="55" s="1"/>
  <c r="W102" i="55"/>
  <c r="S79" i="55"/>
  <c r="Q79" i="55" s="1"/>
  <c r="M212" i="55"/>
  <c r="W206" i="55"/>
  <c r="W24" i="55"/>
  <c r="W50" i="55"/>
  <c r="W227" i="55"/>
  <c r="U223" i="55"/>
  <c r="O48" i="55"/>
  <c r="U151" i="55"/>
  <c r="O79" i="55"/>
  <c r="S198" i="55"/>
  <c r="Q198" i="55" s="1"/>
  <c r="S223" i="55"/>
  <c r="Q223" i="55" s="1"/>
  <c r="W164" i="55"/>
  <c r="U65" i="55"/>
  <c r="W87" i="55"/>
  <c r="W91" i="55" s="1"/>
  <c r="W187" i="55"/>
  <c r="W179" i="55"/>
  <c r="W141" i="55"/>
  <c r="W99" i="55"/>
  <c r="W72" i="55"/>
  <c r="M56" i="55"/>
  <c r="M93" i="55" s="1"/>
  <c r="M260" i="55" s="1"/>
  <c r="G93" i="55"/>
  <c r="G260" i="55" s="1"/>
  <c r="M259" i="54"/>
  <c r="O26" i="54"/>
  <c r="O92" i="54" s="1"/>
  <c r="AC230" i="55" l="1"/>
  <c r="AC231" i="55" s="1"/>
  <c r="AK93" i="55"/>
  <c r="W129" i="55"/>
  <c r="AM27" i="55"/>
  <c r="AM93" i="55" s="1"/>
  <c r="AE27" i="55"/>
  <c r="AE93" i="55" s="1"/>
  <c r="O259" i="54"/>
  <c r="W151" i="55"/>
  <c r="W223" i="55"/>
  <c r="W210" i="55"/>
  <c r="W198" i="55"/>
  <c r="W175" i="55"/>
  <c r="U212" i="55"/>
  <c r="W79" i="55"/>
  <c r="W235" i="55"/>
  <c r="W246" i="55" s="1"/>
  <c r="U246" i="55"/>
  <c r="W118" i="55"/>
  <c r="G277" i="55"/>
  <c r="S212" i="55"/>
  <c r="Q212" i="55" s="1"/>
  <c r="S27" i="55"/>
  <c r="Q27" i="55" s="1"/>
  <c r="W51" i="55"/>
  <c r="W48" i="55"/>
  <c r="S56" i="55"/>
  <c r="Q56" i="55" s="1"/>
  <c r="W33" i="55"/>
  <c r="W65" i="55"/>
  <c r="O27" i="55"/>
  <c r="U56" i="55"/>
  <c r="O56" i="55"/>
  <c r="U41" i="55"/>
  <c r="W30" i="55"/>
  <c r="S41" i="55"/>
  <c r="Q41" i="55" s="1"/>
  <c r="C24" i="18"/>
  <c r="C30" i="18" s="1"/>
  <c r="E21" i="18"/>
  <c r="E19" i="18"/>
  <c r="E17" i="18"/>
  <c r="F15" i="18"/>
  <c r="E15" i="18"/>
  <c r="E13" i="18"/>
  <c r="AE230" i="55" l="1"/>
  <c r="AE231" i="55" s="1"/>
  <c r="AE260" i="55" s="1"/>
  <c r="AC260" i="55"/>
  <c r="U231" i="55"/>
  <c r="O93" i="55"/>
  <c r="O260" i="55" s="1"/>
  <c r="W231" i="55"/>
  <c r="AK230" i="55"/>
  <c r="W41" i="55"/>
  <c r="W212" i="55"/>
  <c r="U27" i="55"/>
  <c r="U93" i="55" s="1"/>
  <c r="U260" i="55" s="1"/>
  <c r="W56" i="55"/>
  <c r="W23" i="55"/>
  <c r="S93" i="55"/>
  <c r="Q93" i="55" s="1"/>
  <c r="E24" i="18"/>
  <c r="F13" i="18"/>
  <c r="F24" i="18" s="1"/>
  <c r="F30" i="18" s="1"/>
  <c r="D23" i="6" s="1"/>
  <c r="AM230" i="55" l="1"/>
  <c r="AM231" i="55" s="1"/>
  <c r="AK231" i="55"/>
  <c r="W27" i="55"/>
  <c r="W93" i="55" s="1"/>
  <c r="W260" i="55" s="1"/>
  <c r="AE263" i="55" s="1"/>
  <c r="D18" i="6" s="1"/>
  <c r="H18" i="6" s="1"/>
  <c r="S260" i="55"/>
  <c r="F25" i="31"/>
  <c r="F16" i="31"/>
  <c r="W263" i="55" l="1"/>
  <c r="D17" i="6" s="1"/>
  <c r="F20" i="31"/>
  <c r="H12" i="31"/>
  <c r="F27" i="31"/>
  <c r="F29" i="31" l="1"/>
  <c r="F19" i="52" l="1"/>
  <c r="F18" i="52"/>
  <c r="F20" i="52"/>
  <c r="F17" i="52"/>
  <c r="F16" i="52"/>
  <c r="F24" i="52" l="1"/>
  <c r="F22" i="52"/>
  <c r="F29" i="52" s="1"/>
  <c r="F31" i="52" s="1"/>
  <c r="F35" i="52" s="1"/>
  <c r="F26" i="52" l="1"/>
  <c r="F17" i="42"/>
  <c r="I10" i="38" l="1"/>
  <c r="L10" i="38" s="1"/>
  <c r="L13" i="38" s="1"/>
  <c r="I13" i="38" l="1"/>
  <c r="I17" i="38" l="1"/>
  <c r="H16" i="31" l="1"/>
  <c r="D34" i="6" l="1"/>
  <c r="G38" i="31"/>
  <c r="H25" i="31"/>
  <c r="F23" i="6" l="1"/>
  <c r="H23" i="6" s="1"/>
  <c r="G18" i="31"/>
  <c r="H18" i="31" s="1"/>
  <c r="F14" i="6"/>
  <c r="H14" i="6" s="1"/>
  <c r="E16" i="65" s="1"/>
  <c r="F21" i="6"/>
  <c r="H21" i="6" s="1"/>
  <c r="F20" i="6"/>
  <c r="H20" i="6" s="1"/>
  <c r="F17" i="6"/>
  <c r="H17" i="6" s="1"/>
  <c r="F19" i="6"/>
  <c r="H19" i="6" s="1"/>
  <c r="F16" i="6"/>
  <c r="H16" i="6" s="1"/>
  <c r="F24" i="6"/>
  <c r="I19" i="38" l="1"/>
  <c r="I21" i="38" s="1"/>
  <c r="H24" i="6"/>
  <c r="E28" i="65" s="1"/>
  <c r="I39" i="26"/>
  <c r="I41" i="26" s="1"/>
  <c r="E30" i="65" l="1"/>
  <c r="E36" i="65"/>
  <c r="H26" i="6"/>
  <c r="H34" i="6" s="1"/>
  <c r="F34" i="6" s="1"/>
  <c r="H20" i="31"/>
  <c r="H27" i="31" s="1"/>
  <c r="H28" i="6" l="1"/>
  <c r="J29" i="31" s="1"/>
  <c r="H29" i="31"/>
  <c r="G27" i="31"/>
  <c r="J30" i="31" l="1"/>
  <c r="AI246" i="55"/>
  <c r="AG246" i="55" s="1"/>
  <c r="AM244" i="55" l="1"/>
  <c r="AM260" i="55" s="1"/>
  <c r="AM263" i="55" s="1"/>
  <c r="AK246" i="55"/>
  <c r="AK260" i="55" s="1"/>
  <c r="AM246" i="55"/>
  <c r="AI260" i="55"/>
</calcChain>
</file>

<file path=xl/sharedStrings.xml><?xml version="1.0" encoding="utf-8"?>
<sst xmlns="http://schemas.openxmlformats.org/spreadsheetml/2006/main" count="3174" uniqueCount="419">
  <si>
    <t>East Kentucky Power Cooperative, Inc.</t>
  </si>
  <si>
    <t>Amount</t>
  </si>
  <si>
    <t>($ Millions)</t>
  </si>
  <si>
    <t>Schedule 1.30</t>
  </si>
  <si>
    <t>Proposed Revenue Increase</t>
  </si>
  <si>
    <t>Revenue Increase based on TIER:</t>
  </si>
  <si>
    <t>Proforma Interest on Long Term Debt</t>
  </si>
  <si>
    <t>Proposed TIER</t>
  </si>
  <si>
    <t>Authorized Margins</t>
  </si>
  <si>
    <t>Proforma Net Margins</t>
  </si>
  <si>
    <t>Required Increase in Revenues</t>
  </si>
  <si>
    <t>Impact on PSC Assessment -</t>
  </si>
  <si>
    <t xml:space="preserve">  Assessment Rate</t>
  </si>
  <si>
    <t>Additional Assessment due to Required Increase in Revenues</t>
  </si>
  <si>
    <t>Total Proposed Revenue Increase</t>
  </si>
  <si>
    <t>As Filed</t>
  </si>
  <si>
    <t>Adjustments</t>
  </si>
  <si>
    <t>Case Number 2021-00103</t>
  </si>
  <si>
    <t>Before</t>
  </si>
  <si>
    <t xml:space="preserve">Adjustment </t>
  </si>
  <si>
    <t>Gross-Up</t>
  </si>
  <si>
    <t>Factor</t>
  </si>
  <si>
    <t>After</t>
  </si>
  <si>
    <t>ACCOUNT</t>
  </si>
  <si>
    <t>INTANGIBLE PLANT</t>
  </si>
  <si>
    <t>MISCELLANEOUS INTANGIBLE PLANT</t>
  </si>
  <si>
    <t xml:space="preserve">STEAM PRODUCTION PLANT </t>
  </si>
  <si>
    <t>LAND AND LAND RIGHTS</t>
  </si>
  <si>
    <t>COOPER COMMON - LANDFILL</t>
  </si>
  <si>
    <t>COOPER COMMON - ACCESS ROAD</t>
  </si>
  <si>
    <t>SPURLOCK COMMON - LANDFILL</t>
  </si>
  <si>
    <t>SPURLOCK COMMON - AMMONIA CONTAINMENT</t>
  </si>
  <si>
    <t>SMITH COMMON - LANDFILL</t>
  </si>
  <si>
    <t>TOTAL LAND AND LAND RIGHTS</t>
  </si>
  <si>
    <t>STRUCTURES AND IMPROVEMENTS</t>
  </si>
  <si>
    <t>CENTRAL LAB</t>
  </si>
  <si>
    <t>COOPER COMMON</t>
  </si>
  <si>
    <t>COOPER UNIT 2 SCRUBBER</t>
  </si>
  <si>
    <t>SPURLOCK COMMON</t>
  </si>
  <si>
    <t>SPURLOCK UNIT 1</t>
  </si>
  <si>
    <t>SPURLOCK UNIT 2</t>
  </si>
  <si>
    <t>SPURLOCK UNIT 3</t>
  </si>
  <si>
    <t>SPURLOCK UNIT 4</t>
  </si>
  <si>
    <t>SPURLOCK UNIT 1 SCRUBBER</t>
  </si>
  <si>
    <t>SPURLOCK UNIT 2 SCRUBBER</t>
  </si>
  <si>
    <t>TOTAL STRUCTURES AND IMPROVEMENTS</t>
  </si>
  <si>
    <t>BOILER PLANT EQUIPMENT</t>
  </si>
  <si>
    <t>COOPER UNIT 1</t>
  </si>
  <si>
    <t>COOPER UNIT 2</t>
  </si>
  <si>
    <t>TOTAL BOILER PLANT EQUIPMENT</t>
  </si>
  <si>
    <t>TURBOGENERATOR UNITS</t>
  </si>
  <si>
    <t>TOTAL TURBOGENERATOR UNITS</t>
  </si>
  <si>
    <t>ACCESSORY ELECTRIC EQUIPMENT</t>
  </si>
  <si>
    <t>TOTAL ACCESSORY ELECTRIC EQUIPMENT</t>
  </si>
  <si>
    <t>MISCELLANEOUS POWER PLANT EQUIPMENT</t>
  </si>
  <si>
    <t>TOTAL MISCELLANEOUS POWER PLANT EQUIPMENT</t>
  </si>
  <si>
    <t xml:space="preserve">TOTAL STEAM PRODUCTION PLANT </t>
  </si>
  <si>
    <t xml:space="preserve">OTHER PRODUCTION PLANT </t>
  </si>
  <si>
    <t>SMITH CT COMMON</t>
  </si>
  <si>
    <t>SMITH CT UNIT 1</t>
  </si>
  <si>
    <t>SMITH CT UNIT 2</t>
  </si>
  <si>
    <t>SMITH CT UNIT 3</t>
  </si>
  <si>
    <t>SMITH CT UNIT 4</t>
  </si>
  <si>
    <t>SMITH CT UNIT 5</t>
  </si>
  <si>
    <t>SMITH CT UNIT 6</t>
  </si>
  <si>
    <t>SMITH CT UNIT 7</t>
  </si>
  <si>
    <t>SMITH CT UNIT 9</t>
  </si>
  <si>
    <t>SMITH CT UNIT 10</t>
  </si>
  <si>
    <t>GREEN VALLEY LANDFILL</t>
  </si>
  <si>
    <t>LAUREL RIDGE LANDFILL</t>
  </si>
  <si>
    <t>BAVARIAN LANDFILL</t>
  </si>
  <si>
    <t>PEARL HOLLOW LANDFILL</t>
  </si>
  <si>
    <t>PENDLETON COUNTY LANDFILL</t>
  </si>
  <si>
    <t>BLUEGRASS OLDHAM COMMON</t>
  </si>
  <si>
    <t>BLUEGRASS OLDHAM UNIT 1</t>
  </si>
  <si>
    <t>BLUEGRASS OLDHAM UNIT 2</t>
  </si>
  <si>
    <t>BLUEGRASS OLDHAM UNIT 3</t>
  </si>
  <si>
    <t>COOPERATIVE SOLAR</t>
  </si>
  <si>
    <t>FUEL HOLDERS AND ACCESSORIES</t>
  </si>
  <si>
    <t>TOTAL FUEL HOLDERS AND ACCESSORIES</t>
  </si>
  <si>
    <t>PRIME MOVERS</t>
  </si>
  <si>
    <t>TOTAL PRIME MOVERS</t>
  </si>
  <si>
    <t>GENERATORS</t>
  </si>
  <si>
    <t>GLASGOW LANDFILL</t>
  </si>
  <si>
    <t>TOTAL GENERATORS</t>
  </si>
  <si>
    <t xml:space="preserve">TOTAL OTHER PRODUCTION PLANT </t>
  </si>
  <si>
    <t xml:space="preserve">TRANSMISSION PLANT </t>
  </si>
  <si>
    <t xml:space="preserve">STATION EQUIPMENT                   </t>
  </si>
  <si>
    <t xml:space="preserve">STATION EQUIPMENT - ECS                   </t>
  </si>
  <si>
    <t xml:space="preserve">TOWERS AND FIXTURES                 </t>
  </si>
  <si>
    <t xml:space="preserve">POLES AND FIXTURES                  </t>
  </si>
  <si>
    <t xml:space="preserve">OVERHEAD CONDUCTORS AND DEVICES     </t>
  </si>
  <si>
    <t>ROADS AND TRAILS</t>
  </si>
  <si>
    <t xml:space="preserve">TOTAL TRANSMISSION PLANT </t>
  </si>
  <si>
    <t xml:space="preserve">DISTRIBUTION PLANT </t>
  </si>
  <si>
    <t>STATION EQUIPMENT - SCADA</t>
  </si>
  <si>
    <t>LINE TRANSFORMERS</t>
  </si>
  <si>
    <t xml:space="preserve">TOTAL DISTRIBUTION PLANT </t>
  </si>
  <si>
    <t xml:space="preserve">GENERAL PLANT </t>
  </si>
  <si>
    <t>OFFICE STRUCTURES AND IMPROVEMENTS</t>
  </si>
  <si>
    <t xml:space="preserve">OFFICE FURNITURE AND EQUIPMENT             </t>
  </si>
  <si>
    <t>OFFICE FURNITURE AND EQUIPMENT - PEOPLESOFT</t>
  </si>
  <si>
    <t xml:space="preserve">TRANSPORTATION EQUIPMENT                   </t>
  </si>
  <si>
    <t xml:space="preserve">STORES EQUIPMENT                           </t>
  </si>
  <si>
    <t xml:space="preserve">TOOLS, SHOP, AND GARAGE EQUIPMENT          </t>
  </si>
  <si>
    <t xml:space="preserve">LABORATORY EQUIPMENT                       </t>
  </si>
  <si>
    <t xml:space="preserve">POWER OPERATED EQUIPMENT                   </t>
  </si>
  <si>
    <t xml:space="preserve">COMMUNICATION EQUIPMENT                    </t>
  </si>
  <si>
    <t xml:space="preserve">MISCELLANEOUS EQUIPMENT                    </t>
  </si>
  <si>
    <t xml:space="preserve">TOTAL GENERAL PLANT </t>
  </si>
  <si>
    <t>TOTAL RESERVE ADJUSTMENT FOR AMORTIZATION</t>
  </si>
  <si>
    <t xml:space="preserve">TOTAL DEPRECIABLE PLANT </t>
  </si>
  <si>
    <t>NONDEPRECIABLE PLANT AND ACCOUNTS NOT STUDIED</t>
  </si>
  <si>
    <t>ORGANIZATION</t>
  </si>
  <si>
    <t>LAND</t>
  </si>
  <si>
    <t>TOTAL NONDEPRECIABLE PLANT AND ACCOUNTS NOT STUDIED</t>
  </si>
  <si>
    <t xml:space="preserve">TOTAL ELECTRIC PLANT </t>
  </si>
  <si>
    <t>PROBABLE</t>
  </si>
  <si>
    <t>NET</t>
  </si>
  <si>
    <t>ORIGINAL COST</t>
  </si>
  <si>
    <t>BOOK</t>
  </si>
  <si>
    <t>COMPOSITE</t>
  </si>
  <si>
    <t>RETIREMENT</t>
  </si>
  <si>
    <t>SURVIVOR</t>
  </si>
  <si>
    <t>SALVAGE</t>
  </si>
  <si>
    <t xml:space="preserve">AS OF </t>
  </si>
  <si>
    <t>DEPRECIATION</t>
  </si>
  <si>
    <t>FUTURE</t>
  </si>
  <si>
    <t>REMAINING</t>
  </si>
  <si>
    <t>DATE</t>
  </si>
  <si>
    <t>CURVE</t>
  </si>
  <si>
    <t>PERCENT</t>
  </si>
  <si>
    <t>RESERVE</t>
  </si>
  <si>
    <t>ACCRUALS</t>
  </si>
  <si>
    <t>AMOUNT</t>
  </si>
  <si>
    <t>RATE</t>
  </si>
  <si>
    <t>LIFE</t>
  </si>
  <si>
    <t>(9)=(8)/(5)</t>
  </si>
  <si>
    <t>(10)=(7)/(8)</t>
  </si>
  <si>
    <t>TOTAL INTANGIBLE PLANT</t>
  </si>
  <si>
    <t>SQUARE</t>
  </si>
  <si>
    <t>*</t>
  </si>
  <si>
    <t>85-S1.5</t>
  </si>
  <si>
    <t>50-R2</t>
  </si>
  <si>
    <t>60-R4</t>
  </si>
  <si>
    <t>50-S2.5</t>
  </si>
  <si>
    <t>50-R2.5</t>
  </si>
  <si>
    <t>35-R0.5</t>
  </si>
  <si>
    <t>35-R2.5</t>
  </si>
  <si>
    <t>65-R4</t>
  </si>
  <si>
    <t>20-SQ</t>
  </si>
  <si>
    <t>15-SQ</t>
  </si>
  <si>
    <t>25-SQ</t>
  </si>
  <si>
    <t>**</t>
  </si>
  <si>
    <t>RESERVE ADJUSTMENT FOR AMORTIZATION</t>
  </si>
  <si>
    <t>LIFE SPAN PROCEDURE USED.  CURVE SHOWN IS INTERIM SURVIVOR CURVE.</t>
  </si>
  <si>
    <t>Check</t>
  </si>
  <si>
    <t>Totals</t>
  </si>
  <si>
    <t>Summary AG-Nucor Revenue Requirement Recommendations</t>
  </si>
  <si>
    <t>AG-Nucor Adjustments to EKPC's Calculated Revenue Requirement:</t>
  </si>
  <si>
    <t>AG-Nucor Adjustment to Environmental Surcharge Interest Expense Removal</t>
  </si>
  <si>
    <t>Total</t>
  </si>
  <si>
    <t>($)</t>
  </si>
  <si>
    <t>TIER Requested by EKPC</t>
  </si>
  <si>
    <t>Average Interest Rate on all of Company's Debt</t>
  </si>
  <si>
    <t>Revenue Requirement Effect Assuming 1.50 TIER Ask Before Gross Up</t>
  </si>
  <si>
    <t>Revenue Requirement Effect Assuming 1.50 TIER Ask After Gross Up</t>
  </si>
  <si>
    <t>Gross Up for PSC Assessment</t>
  </si>
  <si>
    <t>AG-Nucor</t>
  </si>
  <si>
    <t>Recommended</t>
  </si>
  <si>
    <t>AG-Nucor Recommendation to Increase Miscellaneous Capacity Revenues</t>
  </si>
  <si>
    <t>Source AG-Nucor 1-20 Trial Balance</t>
  </si>
  <si>
    <t>Misc Capacity Revenues Acct 477251</t>
  </si>
  <si>
    <t>AG-Nucor Recommended Increase in Misc Capacity Revenues</t>
  </si>
  <si>
    <t>Total AG-Nucor Adjustments to EKPC's Requested Increase</t>
  </si>
  <si>
    <t>Total AG-Nucor Recommended Changes in Revenues and Expenses Other than LTD Interest Expense</t>
  </si>
  <si>
    <t>Variance - Rounding</t>
  </si>
  <si>
    <t>ADJ #1</t>
  </si>
  <si>
    <t>AG-Nucor Adjustment to Remove Interest Expense Associated With Non-Utility Investments</t>
  </si>
  <si>
    <t>Remove Interest Exp Associated with Non-Utility Temporary Cash Investments</t>
  </si>
  <si>
    <t>Non-Utility Temporary Cash Investments as of 06/30/2020 (AG-Nucor 2-21)</t>
  </si>
  <si>
    <t>$ Millions</t>
  </si>
  <si>
    <t>AG-Nucor Adjustment to Normalize Generation Maintenance Expense</t>
  </si>
  <si>
    <t>Total Company Generation Maintenance Expense Included in Test Year</t>
  </si>
  <si>
    <t>2020 Generation Maintenance Expense</t>
  </si>
  <si>
    <t>Less:</t>
  </si>
  <si>
    <t xml:space="preserve">All </t>
  </si>
  <si>
    <t>Units</t>
  </si>
  <si>
    <t>Remaining</t>
  </si>
  <si>
    <t>Case Number 2025-00208</t>
  </si>
  <si>
    <t>Increase Non-FAC Base Revenues to Account for Weather Normalization</t>
  </si>
  <si>
    <t xml:space="preserve">  2024 Assessment</t>
  </si>
  <si>
    <t xml:space="preserve">  2023 Gross Operating Revenues</t>
  </si>
  <si>
    <t>Total Gross-Ups</t>
  </si>
  <si>
    <t>Case No. 2025-00208</t>
  </si>
  <si>
    <t>PSC</t>
  </si>
  <si>
    <t>Assessment</t>
  </si>
  <si>
    <t>AG-Nucor Recommendation to Reduce Dues Expense</t>
  </si>
  <si>
    <t>AG-Nucor Recommended Reduction in Dues Expense</t>
  </si>
  <si>
    <t>AG-Nucor 1-8e</t>
  </si>
  <si>
    <t xml:space="preserve">Reported </t>
  </si>
  <si>
    <t xml:space="preserve">Calculated </t>
  </si>
  <si>
    <t>pdf total pages</t>
  </si>
  <si>
    <t>Non Recoverable</t>
  </si>
  <si>
    <t xml:space="preserve">Total </t>
  </si>
  <si>
    <t>Percentage</t>
  </si>
  <si>
    <t>Invoice Amount</t>
  </si>
  <si>
    <t>Invoice Location</t>
  </si>
  <si>
    <t>America's Power</t>
  </si>
  <si>
    <t>EEI</t>
  </si>
  <si>
    <t>12-13</t>
  </si>
  <si>
    <t>Kentucky Coal Association</t>
  </si>
  <si>
    <t>NRECA</t>
  </si>
  <si>
    <t>Waterways Council Inc.</t>
  </si>
  <si>
    <t>AG-Nucor 1-8</t>
  </si>
  <si>
    <t>Less: $10,000 Americas Power removed on Sch 1.15.</t>
  </si>
  <si>
    <t xml:space="preserve">Remove EEI, America's Power, NRECA, and Related Dues </t>
  </si>
  <si>
    <t>Staff 1-42</t>
  </si>
  <si>
    <t>Source AG-Nucor 1-8 and 2-XX, Staff 1-42</t>
  </si>
  <si>
    <t>As Filed Total Long Term Debt Interest Expense - Schedule 1.04</t>
  </si>
  <si>
    <t>Based on Balance Computed for 6/30/2024</t>
  </si>
  <si>
    <t xml:space="preserve">Based on 12/31/2023 Balances of LTD at 6/30/2024 Rates </t>
  </si>
  <si>
    <t>As Filed Net Balance Associated with Base Rates</t>
  </si>
  <si>
    <t>AG-Nucor Recommended Reduction in Base Rate LTD Interest Expense</t>
  </si>
  <si>
    <t xml:space="preserve">Reduce Interest Expense Related to Higher Assignment to ES </t>
  </si>
  <si>
    <t>Account 421.000</t>
  </si>
  <si>
    <t xml:space="preserve">  Outage Insurance Payout - Feb 2023</t>
  </si>
  <si>
    <t xml:space="preserve">  Outage Insurance Payout - Aug 2023</t>
  </si>
  <si>
    <t xml:space="preserve">  Outage Insurance Payout - Sep 2023</t>
  </si>
  <si>
    <t>Total Insurance Payouts</t>
  </si>
  <si>
    <t>AG-Nucor Recommendation to Relect Amortization of Outage Insurance Claim Receipts</t>
  </si>
  <si>
    <t>Total 2023 Outage Insurance Payouts in 2023 TY</t>
  </si>
  <si>
    <t>As Filed Outage Insurance Payouts in Acct 421.000</t>
  </si>
  <si>
    <t>(Removed from Other Non-Operating Income)</t>
  </si>
  <si>
    <t xml:space="preserve">AG-Nucor Recommended Reduction in </t>
  </si>
  <si>
    <t>Unit Outage Insurance Expense</t>
  </si>
  <si>
    <t>To Date 2025</t>
  </si>
  <si>
    <t>Source</t>
  </si>
  <si>
    <t>Sch 1.21 and AG-Nucor 2-XX</t>
  </si>
  <si>
    <t>Unit Outage Insurance Payouts</t>
  </si>
  <si>
    <t>Sch 1.19 and AG-Nucor 2-XX</t>
  </si>
  <si>
    <t>AG-Nucor 2-8</t>
  </si>
  <si>
    <t>AG-Nucor 2-7</t>
  </si>
  <si>
    <t>Application Exhibit 16 – Attachment JRW-1 – Workpaper 1.18 Depreciation ES</t>
  </si>
  <si>
    <t>ORIGINAL COST IN ES</t>
  </si>
  <si>
    <t xml:space="preserve">CALCULATED ANNUAL </t>
  </si>
  <si>
    <t>ACCRUAL</t>
  </si>
  <si>
    <t>TOTAL ACCRUAL</t>
  </si>
  <si>
    <t xml:space="preserve">ES ACCRUAL </t>
  </si>
  <si>
    <t>NET ACCRUAL</t>
  </si>
  <si>
    <t>DECEMBER 31, 2023</t>
  </si>
  <si>
    <t>TOWERS AND FIXTURES - LEASED</t>
  </si>
  <si>
    <t>MISCELLANEOUS EQUIPMENT - LEASED</t>
  </si>
  <si>
    <t>NOT ROUNDED</t>
  </si>
  <si>
    <t xml:space="preserve">COMPANY CALCULATED ANNUAL </t>
  </si>
  <si>
    <t xml:space="preserve">AG-NUCOR ROUNDED RATE COMPANY CALCULATED ANNUAL </t>
  </si>
  <si>
    <t>NO MANUAL ADJUST</t>
  </si>
  <si>
    <t>Adjustment #1 - Change in Base Rate Depreciation Expense</t>
  </si>
  <si>
    <t>EAST KENTUCKY POWER COOPERATIVE</t>
  </si>
  <si>
    <t>TABLE 1.  SUMMARY OF ESTIMATED SURVIVOR CURVES, NET SALVAGE PERCENT, ORIGINAL COST, BOOK DEPRECIATION RESERVE AND</t>
  </si>
  <si>
    <t>CALCULATED ANNUAL DEPRECIATION ACCRUALS RELATED TO ELECTRIC PLANT AS OF DECEMBER 31, 2023</t>
  </si>
  <si>
    <t xml:space="preserve">ACCRUAL </t>
  </si>
  <si>
    <t>60-S0.5</t>
  </si>
  <si>
    <t>65-R3</t>
  </si>
  <si>
    <t>32-L1</t>
  </si>
  <si>
    <t>50-S0.5</t>
  </si>
  <si>
    <t>FUEL HOLDERS, PRODUCERS &amp; ACCESSORIES</t>
  </si>
  <si>
    <t>45-R2.5</t>
  </si>
  <si>
    <t>45-R2</t>
  </si>
  <si>
    <t>45-S2.5</t>
  </si>
  <si>
    <t>52-R2</t>
  </si>
  <si>
    <t>25-R2</t>
  </si>
  <si>
    <t>75-R4</t>
  </si>
  <si>
    <t>60-R2.5</t>
  </si>
  <si>
    <t>55-R3</t>
  </si>
  <si>
    <t>12-L1.5</t>
  </si>
  <si>
    <t>20-R2</t>
  </si>
  <si>
    <t>UNRECOVERED RESERVE ADJUSTMENT FOR AMORTIZATION</t>
  </si>
  <si>
    <t>TOTAL UNRECOVERED RESERVE ADJUSTMENT FOR AMORTIZATION</t>
  </si>
  <si>
    <t>UNRECOVERED RESERVE WILL BE AMORTIZED OVER A 5-YEAR PERIOD</t>
  </si>
  <si>
    <t>Remove Terminal Net Salvage from Thermal Units</t>
  </si>
  <si>
    <t>Not Computed on Solar as Highlighted Above</t>
  </si>
  <si>
    <t>AG-Nucor Recommended Maximum Base Revenue Increase for EKPC</t>
  </si>
  <si>
    <t>Reduce Depreciation Expense to Remove Terminal Net Salvage - Thermal Generating Units</t>
  </si>
  <si>
    <t>Base Revenue Increase Requested by EKPC</t>
  </si>
  <si>
    <t>Correct Error in Outage Insurance Revenue Proforma Adjustment</t>
  </si>
  <si>
    <t>Response to AG-Nucor 2-8</t>
  </si>
  <si>
    <t>Response to AG-Nucor 1-41 and 2-9</t>
  </si>
  <si>
    <t>AG Recommendation to Decrease Amortization of Deferred Costs</t>
  </si>
  <si>
    <t>Less: Amortization</t>
  </si>
  <si>
    <t>Amortization Period</t>
  </si>
  <si>
    <t>AG Recommended Reduction in Test Year Expense - Both Cost Deferrals</t>
  </si>
  <si>
    <t>East Kentucky Power Cooperative</t>
  </si>
  <si>
    <t>Unamortized Balance of Smith 1 Cancellation Costs as of July 31, 2025</t>
  </si>
  <si>
    <t>Source: AG-Nucor 1-41 and 2-9, Application Filing and Effective Date is August 1, 2025 (Add 10 Months)</t>
  </si>
  <si>
    <t>Amortization Expense Included in the Test Year by EKPC</t>
  </si>
  <si>
    <t>Unamortized Balance of Smith 1 Cancellation Costs Deferral as of May 31, 2026</t>
  </si>
  <si>
    <t>Unamortized Balance of Spurlock 2019 Major Deferral as of May 31, 2026</t>
  </si>
  <si>
    <t>Amortization of Remaining Balance as of May 31, 2026 Over Three Years</t>
  </si>
  <si>
    <t>Unamortized Balance of Spurlock 2019 Major as of July 31, 2025</t>
  </si>
  <si>
    <t>AG Recommended Reduction in Test Year Expense - Smith 1 Cancellation Expenses</t>
  </si>
  <si>
    <t>AG Recommended Reduction in Test Year Expense - Spurlock 2019 Major</t>
  </si>
  <si>
    <t>Remove Amortization Expense Associated With Prior Rate Case Deferred Costs</t>
  </si>
  <si>
    <t>See Baron 10.15.2025 email</t>
  </si>
  <si>
    <t>AS FILED</t>
  </si>
  <si>
    <t xml:space="preserve">Remove </t>
  </si>
  <si>
    <t xml:space="preserve">Terminal Net </t>
  </si>
  <si>
    <t>Salvage</t>
  </si>
  <si>
    <t>ADJ #2</t>
  </si>
  <si>
    <t>Interim Net</t>
  </si>
  <si>
    <t>&amp; Retirements</t>
  </si>
  <si>
    <t>ADJ #3</t>
  </si>
  <si>
    <t xml:space="preserve">Modify Life </t>
  </si>
  <si>
    <t>Spans</t>
  </si>
  <si>
    <t>Adjustment #2 - Change in Base Rate Depreciation Expense</t>
  </si>
  <si>
    <t>Remove Interim Net Salvage and Interim Retirements from All Generating Units</t>
  </si>
  <si>
    <t>Adjustment #3 - Change in Base Rate Depreciation Expense</t>
  </si>
  <si>
    <t>Modify Life Spans for Specific Units</t>
  </si>
  <si>
    <t xml:space="preserve">Study </t>
  </si>
  <si>
    <t>Date</t>
  </si>
  <si>
    <t>Note: Did Not Change Rate for Solar - Terminal NS</t>
  </si>
  <si>
    <t>Solar NS Includes Terminal Net Salv of 1% as Filed</t>
  </si>
  <si>
    <t>Years</t>
  </si>
  <si>
    <t>SQUARE in As Filed Study-No Change</t>
  </si>
  <si>
    <t xml:space="preserve">Service </t>
  </si>
  <si>
    <t>Lives</t>
  </si>
  <si>
    <t>Added</t>
  </si>
  <si>
    <t>Years After</t>
  </si>
  <si>
    <t xml:space="preserve">Added </t>
  </si>
  <si>
    <t>Service</t>
  </si>
  <si>
    <t>Used for Half Year</t>
  </si>
  <si>
    <t>Calculations</t>
  </si>
  <si>
    <t>Reduce Depreciation Expense to Remove Interim Retirements and Interim Net Salvage</t>
  </si>
  <si>
    <t>Reduce Depreciation Expense to Reflect Extended Lifespans</t>
  </si>
  <si>
    <t>Includes No Terminal NS on Solar. Solar rates were not changed for test year.</t>
  </si>
  <si>
    <t>Applicable to Adjustment 1</t>
  </si>
  <si>
    <t>Sources: Schedule 1.04, Response to AG-Nucor 1-73, 2-2, and 2-3</t>
  </si>
  <si>
    <t>Less:  Amount Associated with ES (See AG-Nucor 2-2(b))</t>
  </si>
  <si>
    <t>EKPC Computed Rate Base in December 31, 2023 ES Filing-Annual Amount</t>
  </si>
  <si>
    <t>Average Interest Rate Used in June 30, 2024 ES Filing</t>
  </si>
  <si>
    <t xml:space="preserve">Long Term Debt Interest Expense for ES - Total </t>
  </si>
  <si>
    <t>Member System Allocation Ratio in December 31, 2023 ES Filing</t>
  </si>
  <si>
    <t>Long Term Debt Interest Expense for ES - After Member System Allocation</t>
  </si>
  <si>
    <t>Increase in Long Term Debt Interest Expense for the ES</t>
  </si>
  <si>
    <t>Table 1</t>
  </si>
  <si>
    <t>ES</t>
  </si>
  <si>
    <t>Filing</t>
  </si>
  <si>
    <t>Annual Rate Base</t>
  </si>
  <si>
    <t>Total LTD Interest Expense</t>
  </si>
  <si>
    <t>Member System Allocation Ratio</t>
  </si>
  <si>
    <t>ES LTD Interest Expense</t>
  </si>
  <si>
    <t>Summary of Environmental Surcharge Filings - Rate Base and LTD Interest Expense</t>
  </si>
  <si>
    <t>Long-Term Debt Interest Rate</t>
  </si>
  <si>
    <t>average</t>
  </si>
  <si>
    <t>2021 Generation Maintenance Expense</t>
  </si>
  <si>
    <t>2022 Generation Maintenance Expense</t>
  </si>
  <si>
    <t>2023 Generation Maintenance Expense</t>
  </si>
  <si>
    <t>2024 Generation Maintenance Expense</t>
  </si>
  <si>
    <t>Spurlock 2019</t>
  </si>
  <si>
    <t>Maint Amortization</t>
  </si>
  <si>
    <t>Projects</t>
  </si>
  <si>
    <t>4 Yr Average Generation Maintenance Expense - As Filed 2020-2023</t>
  </si>
  <si>
    <t>5 Yr Average Generation Maintenance Expense - 2020 - 2024</t>
  </si>
  <si>
    <t>Reduction in Average Used to Set Baseline</t>
  </si>
  <si>
    <t xml:space="preserve">Source:  Schedules 1.25,1.26, and 1.27  Response to AG-Nucor 2-6 </t>
  </si>
  <si>
    <t>Generation Maintenance - Summary</t>
  </si>
  <si>
    <t>Test Year - Twelve Months Ended December 31, 2023</t>
  </si>
  <si>
    <t>Test Year Per Books Balance - Generation Maintenance Expense</t>
  </si>
  <si>
    <t>Stat of Oper Line 30</t>
  </si>
  <si>
    <t>Note:  Amount on Sch 1.27 was slightly higher at $111,368,397-See acct 413200</t>
  </si>
  <si>
    <t>Sch 1.27 Acct 413200</t>
  </si>
  <si>
    <t>Less:Spurlock 2019 Maint Amort - Removed as Part of Overall ES Removal Adj 1.02</t>
  </si>
  <si>
    <t>Sch 1.27</t>
  </si>
  <si>
    <t>Less:ES General Maint Projects - Removed as Part of Overall ES Removal Adj 1.02</t>
  </si>
  <si>
    <t>Base Rate General Maintenance Total - 2023</t>
  </si>
  <si>
    <t xml:space="preserve">Less: Amount Deferred to Regulatory Asset - Included on Statement of Operations </t>
  </si>
  <si>
    <t xml:space="preserve">     as a reduction to Depr/Amort</t>
  </si>
  <si>
    <t>Less:  Sch 1.25 Adj to Remove the remaining unrecoverable amount in 2023</t>
  </si>
  <si>
    <t>Add: 3 Year Amortization of Current Regulatory Asset</t>
  </si>
  <si>
    <t>Sch 1.26</t>
  </si>
  <si>
    <t xml:space="preserve">Add: Additional Expense </t>
  </si>
  <si>
    <t>This amount is the additional unrecoverable amount and not the additional recoverable amount as Scheduyle 1.27 is described.</t>
  </si>
  <si>
    <t>Increase should have been the entire increase of the threshold of $13,163,745, a difference of $9,872,810</t>
  </si>
  <si>
    <t>Net Expense for 2023 After Final Adjustments- Excluding Amount in Acct 413200</t>
  </si>
  <si>
    <t xml:space="preserve">Note: The additional expense on Sch 1.27 should be the full $11.189,607.  The </t>
  </si>
  <si>
    <t xml:space="preserve">         Company's calcualtion arbitrarily lowered the amount based on threshold</t>
  </si>
  <si>
    <t>Proforma Test Year - Generation Maintenance Expense</t>
  </si>
  <si>
    <t>Expense Reported in Acct 413200</t>
  </si>
  <si>
    <t>The Correct Amount Should Have Been a Combination of the Proforma Threshold Amount and</t>
  </si>
  <si>
    <t xml:space="preserve">   Amount the 3 Yr Amortization of the Reg Asset Balance </t>
  </si>
  <si>
    <t>2020 through 2023 Average Threshold Balance</t>
  </si>
  <si>
    <t>Correct Pro Forma Amount</t>
  </si>
  <si>
    <t>Amount in Filing Below Correct Pro Forma Amount (Using Proposed 4 Yr Avg)</t>
  </si>
  <si>
    <t xml:space="preserve">Threshold Increase </t>
  </si>
  <si>
    <t xml:space="preserve">Currrent Threshold </t>
  </si>
  <si>
    <t>Proposed New Threshhold</t>
  </si>
  <si>
    <t xml:space="preserve">Increase in Threshhold </t>
  </si>
  <si>
    <t xml:space="preserve">Additional Expense Computed Above </t>
  </si>
  <si>
    <t>Additional True Recoverable Amount</t>
  </si>
  <si>
    <t>Total Generation Maintenance Expense</t>
  </si>
  <si>
    <t>Increase Generation Maintenance Expense - Based on As Filed 4 Yr Average</t>
  </si>
  <si>
    <t>Net Expense for 2023 Before Final Adjustments- Including Amount in Acct 413200</t>
  </si>
  <si>
    <t>AG-Nucor Adjustment to Increase Generation Maintenance Expense Based on 5 Yr Average</t>
  </si>
  <si>
    <t>Correct Normalization of Generation Maintenance Expense and Base on 5-Yr Average</t>
  </si>
  <si>
    <t>Expense</t>
  </si>
  <si>
    <t>Reduction in Average Used to Set Baseline (Threshold)</t>
  </si>
  <si>
    <t>Historic Average of Generation Maintenance Expense</t>
  </si>
  <si>
    <t>Maintenance</t>
  </si>
  <si>
    <t>Amortization</t>
  </si>
  <si>
    <t>All</t>
  </si>
  <si>
    <t>Table 2</t>
  </si>
  <si>
    <t>Reduction in Average Used to Set Threshold (or Baseline)</t>
  </si>
  <si>
    <t>PSC Fee</t>
  </si>
  <si>
    <t>Witness</t>
  </si>
  <si>
    <t>Kollen, Baron</t>
  </si>
  <si>
    <t>Futral</t>
  </si>
  <si>
    <t>Kollen</t>
  </si>
  <si>
    <t>Reduce Amortization Expense for Deferred Smith 1 Cancellation Costs Becoming Fully Amortized</t>
  </si>
  <si>
    <t>Reduce Amortization Expense for Deferred 2019 Spurlock Costs Becoming Fully Amortized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</si>
</sst>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,##0.000000_);[Red]\(#,##0.000000\)"/>
    <numFmt numFmtId="167" formatCode="0.0"/>
    <numFmt numFmtId="168" formatCode="0_);\(0\)"/>
    <numFmt numFmtId="169" formatCode="_(* #,##0.0_);_(* \(#,##0.0\);_(* &quot;-&quot;?_);_(@_)"/>
    <numFmt numFmtId="170" formatCode="_(* #,##0.0_);_(* \(#,##0.0\);&quot;&quot;;_(@_)"/>
    <numFmt numFmtId="171" formatCode="[Blue]#,##0,_);[Red]\(#,##0,\)"/>
    <numFmt numFmtId="172" formatCode="0\ 00\ 000\ 000"/>
    <numFmt numFmtId="173" formatCode="&quot;$&quot;#,##0\ ;\(&quot;$&quot;#,##0\)"/>
    <numFmt numFmtId="174" formatCode="_([$€-2]* #,##0.00_);_([$€-2]* \(#,##0.00\);_([$€-2]* &quot;-&quot;??_)"/>
    <numFmt numFmtId="175" formatCode="_-* #,##0.00\ [$€]_-;\-* #,##0.00\ [$€]_-;_-* &quot;-&quot;??\ [$€]_-;_-@_-"/>
    <numFmt numFmtId="176" formatCode="#,##0,;[Red]\(#,##0,\)"/>
    <numFmt numFmtId="177" formatCode="#,##0.00;[Red]\(#,##0.00\)"/>
    <numFmt numFmtId="178" formatCode="#,##0.00\ &quot;DM&quot;;[Red]\-#,##0.00\ &quot;DM&quot;"/>
    <numFmt numFmtId="179" formatCode="_(&quot;$&quot;* #,##0_);_(&quot;$&quot;* \(#,##0\);_(&quot;$&quot;* &quot;-&quot;??_);_(@_)"/>
    <numFmt numFmtId="180" formatCode="mm\-yyyy"/>
    <numFmt numFmtId="181" formatCode="0.00000"/>
    <numFmt numFmtId="182" formatCode="0.0000000"/>
    <numFmt numFmtId="183" formatCode="0.000%"/>
  </numFmts>
  <fonts count="11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b/>
      <sz val="10"/>
      <name val="Arial Unicode MS"/>
      <family val="2"/>
    </font>
    <font>
      <sz val="10"/>
      <name val="MS Sans Serif"/>
      <family val="2"/>
    </font>
    <font>
      <sz val="10"/>
      <name val="Arial Unicode MS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5"/>
      <color indexed="62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12"/>
      <name val="Arial MT"/>
    </font>
    <font>
      <sz val="10"/>
      <color indexed="64"/>
      <name val="Arial"/>
      <family val="2"/>
    </font>
    <font>
      <sz val="11"/>
      <color theme="1"/>
      <name val="Calibri"/>
      <family val="2"/>
    </font>
    <font>
      <sz val="8"/>
      <color indexed="48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Tms Rmn"/>
    </font>
    <font>
      <b/>
      <sz val="14"/>
      <name val="Arial"/>
      <family val="2"/>
    </font>
    <font>
      <sz val="6"/>
      <name val="Arial"/>
      <family val="2"/>
    </font>
    <font>
      <b/>
      <sz val="12"/>
      <name val="Tms Rmn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0"/>
      <color indexed="17"/>
      <name val="Arial"/>
      <family val="2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sz val="10"/>
      <color indexed="16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2"/>
      <color indexed="13"/>
      <name val="Tms Rmn"/>
    </font>
    <font>
      <sz val="10"/>
      <name val="Courier"/>
      <family val="3"/>
    </font>
    <font>
      <sz val="8"/>
      <color indexed="8"/>
      <name val="Wingdings"/>
      <charset val="2"/>
    </font>
    <font>
      <sz val="10"/>
      <color theme="1"/>
      <name val="Bahnschrift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3"/>
      </patternFill>
    </fill>
    <fill>
      <patternFill patternType="solid">
        <fgColor indexed="54"/>
      </patternFill>
    </fill>
    <fill>
      <patternFill patternType="solid">
        <fgColor indexed="1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17"/>
      </patternFill>
    </fill>
    <fill>
      <patternFill patternType="solid">
        <fgColor indexed="8"/>
      </patternFill>
    </fill>
    <fill>
      <patternFill patternType="solid">
        <fgColor indexed="19"/>
      </patternFill>
    </fill>
    <fill>
      <patternFill patternType="solid">
        <fgColor indexed="59"/>
      </patternFill>
    </fill>
    <fill>
      <patternFill patternType="solid">
        <fgColor indexed="18"/>
      </patternFill>
    </fill>
    <fill>
      <patternFill patternType="lightUp">
        <fgColor indexed="48"/>
        <bgColor indexed="19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</patternFill>
    </fill>
    <fill>
      <patternFill patternType="gray06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2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7" fillId="23" borderId="7" applyNumberFormat="0" applyFont="0" applyAlignment="0" applyProtection="0"/>
    <xf numFmtId="0" fontId="23" fillId="20" borderId="8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31" fillId="0" borderId="0"/>
    <xf numFmtId="0" fontId="34" fillId="0" borderId="0"/>
    <xf numFmtId="0" fontId="35" fillId="0" borderId="0" applyNumberFormat="0" applyFont="0" applyFill="0" applyBorder="0" applyAlignment="0" applyProtection="0">
      <alignment horizontal="left"/>
    </xf>
    <xf numFmtId="4" fontId="3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8" fillId="2" borderId="0" applyNumberFormat="0" applyBorder="0" applyAlignment="0" applyProtection="0"/>
    <xf numFmtId="0" fontId="37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8" fillId="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4" borderId="0" applyNumberFormat="0" applyBorder="0" applyAlignment="0" applyProtection="0"/>
    <xf numFmtId="0" fontId="37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8" fillId="5" borderId="0" applyNumberFormat="0" applyBorder="0" applyAlignment="0" applyProtection="0"/>
    <xf numFmtId="0" fontId="37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8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8" fillId="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8" borderId="0" applyNumberFormat="0" applyBorder="0" applyAlignment="0" applyProtection="0"/>
    <xf numFmtId="0" fontId="3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8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10" borderId="0" applyNumberFormat="0" applyBorder="0" applyAlignment="0" applyProtection="0"/>
    <xf numFmtId="0" fontId="37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5" borderId="0" applyNumberFormat="0" applyBorder="0" applyAlignment="0" applyProtection="0"/>
    <xf numFmtId="0" fontId="37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8" fillId="11" borderId="0" applyNumberFormat="0" applyBorder="0" applyAlignment="0" applyProtection="0"/>
    <xf numFmtId="0" fontId="37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2" borderId="0" applyNumberFormat="0" applyBorder="0" applyAlignment="0" applyProtection="0"/>
    <xf numFmtId="0" fontId="39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40" fillId="9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4" borderId="0" applyNumberFormat="0" applyBorder="0" applyAlignment="0" applyProtection="0"/>
    <xf numFmtId="0" fontId="11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40" fillId="15" borderId="0" applyNumberFormat="0" applyBorder="0" applyAlignment="0" applyProtection="0"/>
    <xf numFmtId="0" fontId="3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6" borderId="0" applyNumberFormat="0" applyBorder="0" applyAlignment="0" applyProtection="0"/>
    <xf numFmtId="0" fontId="39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40" fillId="17" borderId="0" applyNumberFormat="0" applyBorder="0" applyAlignment="0" applyProtection="0"/>
    <xf numFmtId="0" fontId="11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40" fillId="18" borderId="0" applyNumberFormat="0" applyBorder="0" applyAlignment="0" applyProtection="0"/>
    <xf numFmtId="0" fontId="11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4" borderId="0" applyNumberFormat="0" applyBorder="0" applyAlignment="0" applyProtection="0"/>
    <xf numFmtId="0" fontId="11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40" fillId="19" borderId="0" applyNumberFormat="0" applyBorder="0" applyAlignment="0" applyProtection="0"/>
    <xf numFmtId="0" fontId="12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3" fillId="20" borderId="1" applyNumberFormat="0" applyAlignment="0" applyProtection="0"/>
    <xf numFmtId="0" fontId="44" fillId="20" borderId="1" applyNumberFormat="0" applyAlignment="0" applyProtection="0"/>
    <xf numFmtId="0" fontId="14" fillId="26" borderId="2" applyNumberFormat="0" applyAlignment="0" applyProtection="0"/>
    <xf numFmtId="0" fontId="45" fillId="26" borderId="2" applyNumberFormat="0" applyAlignment="0" applyProtection="0"/>
    <xf numFmtId="0" fontId="45" fillId="26" borderId="2" applyNumberFormat="0" applyAlignment="0" applyProtection="0"/>
    <xf numFmtId="0" fontId="45" fillId="26" borderId="2" applyNumberFormat="0" applyAlignment="0" applyProtection="0"/>
    <xf numFmtId="0" fontId="46" fillId="21" borderId="2" applyNumberFormat="0" applyAlignment="0" applyProtection="0"/>
    <xf numFmtId="0" fontId="45" fillId="21" borderId="2" applyNumberFormat="0" applyAlignment="0" applyProtection="0"/>
    <xf numFmtId="0" fontId="14" fillId="21" borderId="2" applyNumberFormat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0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0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40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8" fontId="48" fillId="0" borderId="0" applyFont="0" applyFill="0" applyBorder="0" applyAlignment="0" applyProtection="0"/>
    <xf numFmtId="8" fontId="48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3" fillId="4" borderId="0" applyNumberFormat="0" applyBorder="0" applyAlignment="0" applyProtection="0"/>
    <xf numFmtId="0" fontId="54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6" fillId="0" borderId="3" applyNumberFormat="0" applyFill="0" applyAlignment="0" applyProtection="0"/>
    <xf numFmtId="0" fontId="57" fillId="0" borderId="3" applyNumberFormat="0" applyFill="0" applyAlignment="0" applyProtection="0"/>
    <xf numFmtId="0" fontId="17" fillId="0" borderId="3" applyNumberFormat="0" applyFill="0" applyAlignment="0" applyProtection="0"/>
    <xf numFmtId="0" fontId="58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60" fillId="0" borderId="4" applyNumberFormat="0" applyFill="0" applyAlignment="0" applyProtection="0"/>
    <xf numFmtId="0" fontId="61" fillId="0" borderId="4" applyNumberFormat="0" applyFill="0" applyAlignment="0" applyProtection="0"/>
    <xf numFmtId="0" fontId="18" fillId="0" borderId="4" applyNumberFormat="0" applyFill="0" applyAlignment="0" applyProtection="0"/>
    <xf numFmtId="0" fontId="62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5" applyNumberFormat="0" applyFill="0" applyAlignment="0" applyProtection="0"/>
    <xf numFmtId="0" fontId="65" fillId="0" borderId="5" applyNumberFormat="0" applyFill="0" applyAlignment="0" applyProtection="0"/>
    <xf numFmtId="0" fontId="19" fillId="0" borderId="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66" fillId="7" borderId="1" applyNumberFormat="0" applyAlignment="0" applyProtection="0"/>
    <xf numFmtId="0" fontId="66" fillId="7" borderId="1" applyNumberFormat="0" applyAlignment="0" applyProtection="0"/>
    <xf numFmtId="0" fontId="66" fillId="7" borderId="1" applyNumberFormat="0" applyAlignment="0" applyProtection="0"/>
    <xf numFmtId="0" fontId="67" fillId="7" borderId="1" applyNumberFormat="0" applyAlignment="0" applyProtection="0"/>
    <xf numFmtId="41" fontId="68" fillId="0" borderId="0">
      <alignment horizontal="left"/>
    </xf>
    <xf numFmtId="0" fontId="21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69" fillId="0" borderId="6" applyNumberFormat="0" applyFill="0" applyAlignment="0" applyProtection="0"/>
    <xf numFmtId="0" fontId="70" fillId="0" borderId="6" applyNumberFormat="0" applyFill="0" applyAlignment="0" applyProtection="0"/>
    <xf numFmtId="0" fontId="22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2" fillId="22" borderId="0" applyNumberFormat="0" applyBorder="0" applyAlignment="0" applyProtection="0"/>
    <xf numFmtId="0" fontId="6" fillId="0" borderId="0"/>
    <xf numFmtId="0" fontId="49" fillId="0" borderId="0"/>
    <xf numFmtId="37" fontId="73" fillId="0" borderId="0"/>
    <xf numFmtId="0" fontId="73" fillId="0" borderId="0"/>
    <xf numFmtId="0" fontId="4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0" fontId="74" fillId="0" borderId="0"/>
    <xf numFmtId="0" fontId="74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34" fillId="0" borderId="0"/>
    <xf numFmtId="0" fontId="7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38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6" fillId="0" borderId="0"/>
    <xf numFmtId="0" fontId="48" fillId="0" borderId="0"/>
    <xf numFmtId="0" fontId="49" fillId="0" borderId="0"/>
    <xf numFmtId="0" fontId="49" fillId="0" borderId="0"/>
    <xf numFmtId="0" fontId="34" fillId="0" borderId="0"/>
    <xf numFmtId="0" fontId="75" fillId="0" borderId="0"/>
    <xf numFmtId="0" fontId="48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34" fillId="23" borderId="7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0" fontId="34" fillId="23" borderId="1" applyNumberFormat="0" applyFont="0" applyAlignment="0" applyProtection="0"/>
    <xf numFmtId="43" fontId="66" fillId="0" borderId="0"/>
    <xf numFmtId="171" fontId="76" fillId="0" borderId="0"/>
    <xf numFmtId="0" fontId="23" fillId="20" borderId="8" applyNumberFormat="0" applyAlignment="0" applyProtection="0"/>
    <xf numFmtId="0" fontId="77" fillId="20" borderId="8" applyNumberFormat="0" applyAlignment="0" applyProtection="0"/>
    <xf numFmtId="0" fontId="77" fillId="20" borderId="8" applyNumberFormat="0" applyAlignment="0" applyProtection="0"/>
    <xf numFmtId="0" fontId="77" fillId="20" borderId="8" applyNumberFormat="0" applyAlignment="0" applyProtection="0"/>
    <xf numFmtId="0" fontId="78" fillId="20" borderId="8" applyNumberFormat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0" fontId="79" fillId="0" borderId="14">
      <alignment horizontal="center"/>
    </xf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3" fontId="48" fillId="0" borderId="0" applyFont="0" applyFill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48" fillId="29" borderId="0" applyNumberFormat="0" applyFon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9" applyNumberFormat="0" applyFill="0" applyAlignment="0" applyProtection="0"/>
    <xf numFmtId="0" fontId="81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0" fontId="7" fillId="30" borderId="0"/>
    <xf numFmtId="0" fontId="7" fillId="30" borderId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172" fontId="52" fillId="0" borderId="19" applyBorder="0">
      <alignment horizontal="center" vertical="center"/>
    </xf>
    <xf numFmtId="0" fontId="45" fillId="43" borderId="0">
      <alignment horizontal="left"/>
    </xf>
    <xf numFmtId="0" fontId="85" fillId="43" borderId="0">
      <alignment horizontal="right"/>
    </xf>
    <xf numFmtId="0" fontId="86" fillId="44" borderId="0">
      <alignment horizontal="center"/>
    </xf>
    <xf numFmtId="0" fontId="85" fillId="43" borderId="0">
      <alignment horizontal="right"/>
    </xf>
    <xf numFmtId="0" fontId="87" fillId="44" borderId="0">
      <alignment horizontal="left"/>
    </xf>
    <xf numFmtId="41" fontId="7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89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90" fillId="0" borderId="0"/>
    <xf numFmtId="0" fontId="90" fillId="0" borderId="20"/>
    <xf numFmtId="0" fontId="7" fillId="0" borderId="0" applyFont="0" applyFill="0" applyBorder="0" applyAlignment="0" applyProtection="0"/>
    <xf numFmtId="0" fontId="7" fillId="10" borderId="21" applyNumberFormat="0" applyFont="0" applyAlignment="0">
      <protection locked="0"/>
    </xf>
    <xf numFmtId="0" fontId="7" fillId="10" borderId="21" applyNumberFormat="0" applyFont="0" applyAlignment="0">
      <protection locked="0"/>
    </xf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Protection="0"/>
    <xf numFmtId="0" fontId="88" fillId="0" borderId="0" applyProtection="0"/>
    <xf numFmtId="0" fontId="91" fillId="0" borderId="0" applyProtection="0"/>
    <xf numFmtId="0" fontId="8" fillId="0" borderId="0" applyProtection="0"/>
    <xf numFmtId="0" fontId="7" fillId="0" borderId="0" applyProtection="0"/>
    <xf numFmtId="0" fontId="7" fillId="0" borderId="0" applyProtection="0"/>
    <xf numFmtId="0" fontId="9" fillId="0" borderId="0" applyProtection="0"/>
    <xf numFmtId="0" fontId="92" fillId="0" borderId="0" applyProtection="0"/>
    <xf numFmtId="2" fontId="7" fillId="0" borderId="0" applyFont="0" applyFill="0" applyBorder="0" applyAlignment="0" applyProtection="0"/>
    <xf numFmtId="0" fontId="93" fillId="45" borderId="20"/>
    <xf numFmtId="0" fontId="45" fillId="43" borderId="0">
      <alignment horizontal="left"/>
    </xf>
    <xf numFmtId="0" fontId="81" fillId="44" borderId="0">
      <alignment horizontal="left"/>
    </xf>
    <xf numFmtId="0" fontId="81" fillId="44" borderId="0">
      <alignment horizontal="left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76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8" fillId="0" borderId="0"/>
    <xf numFmtId="0" fontId="88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0" fontId="36" fillId="46" borderId="22" applyNumberFormat="0" applyFont="0" applyAlignment="0" applyProtection="0"/>
    <xf numFmtId="4" fontId="37" fillId="47" borderId="0">
      <alignment horizontal="right"/>
    </xf>
    <xf numFmtId="40" fontId="94" fillId="47" borderId="0">
      <alignment horizontal="right"/>
    </xf>
    <xf numFmtId="177" fontId="37" fillId="44" borderId="0">
      <alignment horizontal="right"/>
    </xf>
    <xf numFmtId="40" fontId="94" fillId="47" borderId="0">
      <alignment horizontal="right"/>
    </xf>
    <xf numFmtId="0" fontId="95" fillId="47" borderId="0">
      <alignment horizontal="center" vertical="center"/>
    </xf>
    <xf numFmtId="0" fontId="96" fillId="47" borderId="0">
      <alignment horizontal="right"/>
    </xf>
    <xf numFmtId="0" fontId="95" fillId="45" borderId="0">
      <alignment horizontal="center"/>
    </xf>
    <xf numFmtId="0" fontId="96" fillId="47" borderId="0">
      <alignment horizontal="right"/>
    </xf>
    <xf numFmtId="0" fontId="81" fillId="47" borderId="19"/>
    <xf numFmtId="0" fontId="97" fillId="47" borderId="19"/>
    <xf numFmtId="0" fontId="45" fillId="48" borderId="0"/>
    <xf numFmtId="0" fontId="97" fillId="47" borderId="19"/>
    <xf numFmtId="0" fontId="95" fillId="47" borderId="0" applyBorder="0">
      <alignment horizontal="centerContinuous"/>
    </xf>
    <xf numFmtId="0" fontId="97" fillId="0" borderId="0" applyBorder="0">
      <alignment horizontal="centerContinuous"/>
    </xf>
    <xf numFmtId="0" fontId="98" fillId="44" borderId="0" applyBorder="0">
      <alignment horizontal="centerContinuous"/>
    </xf>
    <xf numFmtId="0" fontId="97" fillId="0" borderId="0" applyBorder="0">
      <alignment horizontal="centerContinuous"/>
    </xf>
    <xf numFmtId="0" fontId="99" fillId="47" borderId="0" applyBorder="0">
      <alignment horizontal="centerContinuous"/>
    </xf>
    <xf numFmtId="0" fontId="100" fillId="0" borderId="0" applyBorder="0">
      <alignment horizontal="centerContinuous"/>
    </xf>
    <xf numFmtId="0" fontId="101" fillId="48" borderId="0" applyBorder="0">
      <alignment horizontal="centerContinuous"/>
    </xf>
    <xf numFmtId="0" fontId="100" fillId="0" borderId="0" applyBorder="0">
      <alignment horizontal="centerContinuous"/>
    </xf>
    <xf numFmtId="9" fontId="3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81" fillId="22" borderId="0">
      <alignment horizontal="center"/>
    </xf>
    <xf numFmtId="0" fontId="81" fillId="22" borderId="0">
      <alignment horizontal="center"/>
    </xf>
    <xf numFmtId="49" fontId="102" fillId="44" borderId="0">
      <alignment horizontal="center"/>
    </xf>
    <xf numFmtId="0" fontId="90" fillId="0" borderId="0"/>
    <xf numFmtId="0" fontId="85" fillId="43" borderId="0">
      <alignment horizontal="center"/>
    </xf>
    <xf numFmtId="0" fontId="85" fillId="43" borderId="0">
      <alignment horizontal="centerContinuous"/>
    </xf>
    <xf numFmtId="0" fontId="103" fillId="44" borderId="0">
      <alignment horizontal="left"/>
    </xf>
    <xf numFmtId="49" fontId="103" fillId="44" borderId="0">
      <alignment horizontal="center"/>
    </xf>
    <xf numFmtId="0" fontId="45" fillId="43" borderId="0">
      <alignment horizontal="left"/>
    </xf>
    <xf numFmtId="49" fontId="103" fillId="44" borderId="0">
      <alignment horizontal="left"/>
    </xf>
    <xf numFmtId="0" fontId="45" fillId="43" borderId="0">
      <alignment horizontal="centerContinuous"/>
    </xf>
    <xf numFmtId="0" fontId="45" fillId="43" borderId="0">
      <alignment horizontal="right"/>
    </xf>
    <xf numFmtId="49" fontId="81" fillId="44" borderId="0">
      <alignment horizontal="left"/>
    </xf>
    <xf numFmtId="49" fontId="81" fillId="44" borderId="0">
      <alignment horizontal="left"/>
    </xf>
    <xf numFmtId="0" fontId="85" fillId="43" borderId="0">
      <alignment horizontal="right"/>
    </xf>
    <xf numFmtId="0" fontId="103" fillId="7" borderId="0">
      <alignment horizontal="center"/>
    </xf>
    <xf numFmtId="0" fontId="104" fillId="7" borderId="0">
      <alignment horizontal="center"/>
    </xf>
    <xf numFmtId="4" fontId="9" fillId="49" borderId="23" applyNumberFormat="0" applyProtection="0">
      <alignment vertical="center"/>
    </xf>
    <xf numFmtId="4" fontId="9" fillId="49" borderId="23" applyNumberFormat="0" applyProtection="0">
      <alignment vertical="center"/>
    </xf>
    <xf numFmtId="4" fontId="105" fillId="49" borderId="24" applyNumberFormat="0" applyProtection="0">
      <alignment vertical="center"/>
    </xf>
    <xf numFmtId="4" fontId="9" fillId="49" borderId="23" applyNumberFormat="0" applyProtection="0">
      <alignment horizontal="left" vertical="center" indent="1"/>
    </xf>
    <xf numFmtId="4" fontId="9" fillId="49" borderId="23" applyNumberFormat="0" applyProtection="0">
      <alignment horizontal="left" vertical="center" indent="1"/>
    </xf>
    <xf numFmtId="0" fontId="9" fillId="50" borderId="24" applyNumberFormat="0" applyProtection="0">
      <alignment horizontal="left" vertical="top" indent="1"/>
    </xf>
    <xf numFmtId="0" fontId="9" fillId="50" borderId="24" applyNumberFormat="0" applyProtection="0">
      <alignment horizontal="left" vertical="top" indent="1"/>
    </xf>
    <xf numFmtId="4" fontId="9" fillId="48" borderId="0" applyNumberFormat="0" applyProtection="0">
      <alignment horizontal="left" vertical="center" indent="1"/>
    </xf>
    <xf numFmtId="4" fontId="9" fillId="48" borderId="0" applyNumberFormat="0" applyProtection="0">
      <alignment horizontal="left" vertical="center" indent="1"/>
    </xf>
    <xf numFmtId="4" fontId="7" fillId="49" borderId="24" applyNumberFormat="0" applyProtection="0">
      <alignment horizontal="right" vertical="center"/>
    </xf>
    <xf numFmtId="4" fontId="7" fillId="49" borderId="24" applyNumberFormat="0" applyProtection="0">
      <alignment horizontal="right" vertical="center"/>
    </xf>
    <xf numFmtId="4" fontId="106" fillId="51" borderId="24" applyNumberFormat="0" applyProtection="0">
      <alignment horizontal="right" vertical="center"/>
    </xf>
    <xf numFmtId="4" fontId="106" fillId="52" borderId="24" applyNumberFormat="0" applyProtection="0">
      <alignment horizontal="right" vertical="center"/>
    </xf>
    <xf numFmtId="4" fontId="7" fillId="22" borderId="24" applyNumberFormat="0" applyProtection="0">
      <alignment horizontal="right" vertical="center"/>
    </xf>
    <xf numFmtId="4" fontId="7" fillId="22" borderId="24" applyNumberFormat="0" applyProtection="0">
      <alignment horizontal="right" vertical="center"/>
    </xf>
    <xf numFmtId="4" fontId="7" fillId="8" borderId="24" applyNumberFormat="0" applyProtection="0">
      <alignment horizontal="right" vertical="center"/>
    </xf>
    <xf numFmtId="4" fontId="7" fillId="8" borderId="24" applyNumberFormat="0" applyProtection="0">
      <alignment horizontal="right" vertical="center"/>
    </xf>
    <xf numFmtId="4" fontId="7" fillId="3" borderId="24" applyNumberFormat="0" applyProtection="0">
      <alignment horizontal="right" vertical="center"/>
    </xf>
    <xf numFmtId="4" fontId="7" fillId="3" borderId="24" applyNumberFormat="0" applyProtection="0">
      <alignment horizontal="right" vertical="center"/>
    </xf>
    <xf numFmtId="4" fontId="106" fillId="17" borderId="24" applyNumberFormat="0" applyProtection="0">
      <alignment horizontal="right" vertical="center"/>
    </xf>
    <xf numFmtId="4" fontId="106" fillId="15" borderId="24" applyNumberFormat="0" applyProtection="0">
      <alignment horizontal="right" vertical="center"/>
    </xf>
    <xf numFmtId="4" fontId="7" fillId="14" borderId="24" applyNumberFormat="0" applyProtection="0">
      <alignment horizontal="right" vertical="center"/>
    </xf>
    <xf numFmtId="4" fontId="7" fillId="14" borderId="24" applyNumberFormat="0" applyProtection="0">
      <alignment horizontal="right" vertical="center"/>
    </xf>
    <xf numFmtId="4" fontId="9" fillId="53" borderId="0" applyNumberFormat="0" applyProtection="0">
      <alignment horizontal="left" vertical="center" indent="1"/>
    </xf>
    <xf numFmtId="4" fontId="9" fillId="53" borderId="0" applyNumberFormat="0" applyProtection="0">
      <alignment horizontal="left" vertical="center" indent="1"/>
    </xf>
    <xf numFmtId="4" fontId="7" fillId="19" borderId="0" applyNumberFormat="0" applyProtection="0">
      <alignment horizontal="left" vertical="center" indent="1"/>
    </xf>
    <xf numFmtId="4" fontId="7" fillId="19" borderId="0" applyNumberFormat="0" applyProtection="0">
      <alignment horizontal="left" vertical="center" indent="1"/>
    </xf>
    <xf numFmtId="4" fontId="102" fillId="54" borderId="0" applyNumberFormat="0" applyProtection="0">
      <alignment horizontal="left" vertical="center" indent="1"/>
    </xf>
    <xf numFmtId="4" fontId="102" fillId="54" borderId="0" applyNumberFormat="0" applyProtection="0">
      <alignment horizontal="left" vertical="center" indent="1"/>
    </xf>
    <xf numFmtId="4" fontId="7" fillId="19" borderId="23" applyNumberFormat="0" applyProtection="0">
      <alignment horizontal="right" vertical="center"/>
    </xf>
    <xf numFmtId="4" fontId="7" fillId="19" borderId="23" applyNumberFormat="0" applyProtection="0">
      <alignment horizontal="right" vertical="center"/>
    </xf>
    <xf numFmtId="4" fontId="7" fillId="19" borderId="0" applyNumberFormat="0" applyProtection="0">
      <alignment horizontal="left" vertical="center" indent="1"/>
    </xf>
    <xf numFmtId="4" fontId="7" fillId="19" borderId="0" applyNumberFormat="0" applyProtection="0">
      <alignment horizontal="left" vertical="center" indent="1"/>
    </xf>
    <xf numFmtId="4" fontId="7" fillId="50" borderId="0" applyNumberFormat="0" applyProtection="0">
      <alignment horizontal="left" vertical="center" indent="1"/>
    </xf>
    <xf numFmtId="4" fontId="7" fillId="50" borderId="0" applyNumberFormat="0" applyProtection="0">
      <alignment horizontal="left" vertical="center" indent="1"/>
    </xf>
    <xf numFmtId="0" fontId="7" fillId="19" borderId="23" applyNumberFormat="0" applyProtection="0">
      <alignment horizontal="left" vertical="center" indent="1"/>
    </xf>
    <xf numFmtId="0" fontId="7" fillId="19" borderId="23" applyNumberFormat="0" applyProtection="0">
      <alignment horizontal="left" vertical="center" indent="1"/>
    </xf>
    <xf numFmtId="0" fontId="7" fillId="19" borderId="24" applyNumberFormat="0" applyProtection="0">
      <alignment horizontal="left" vertical="top" indent="1"/>
    </xf>
    <xf numFmtId="0" fontId="7" fillId="19" borderId="24" applyNumberFormat="0" applyProtection="0">
      <alignment horizontal="left" vertical="top" indent="1"/>
    </xf>
    <xf numFmtId="0" fontId="7" fillId="19" borderId="23" applyNumberFormat="0" applyProtection="0">
      <alignment horizontal="left" vertical="center" indent="1"/>
    </xf>
    <xf numFmtId="0" fontId="7" fillId="19" borderId="23" applyNumberFormat="0" applyProtection="0">
      <alignment horizontal="left" vertical="center" indent="1"/>
    </xf>
    <xf numFmtId="0" fontId="7" fillId="19" borderId="24" applyNumberFormat="0" applyProtection="0">
      <alignment horizontal="left" vertical="top" indent="1"/>
    </xf>
    <xf numFmtId="0" fontId="7" fillId="19" borderId="24" applyNumberFormat="0" applyProtection="0">
      <alignment horizontal="left" vertical="top" indent="1"/>
    </xf>
    <xf numFmtId="0" fontId="7" fillId="19" borderId="23" applyNumberFormat="0" applyProtection="0">
      <alignment horizontal="left" vertical="center" indent="1"/>
    </xf>
    <xf numFmtId="0" fontId="7" fillId="19" borderId="23" applyNumberFormat="0" applyProtection="0">
      <alignment horizontal="left" vertical="center" indent="1"/>
    </xf>
    <xf numFmtId="0" fontId="7" fillId="19" borderId="24" applyNumberFormat="0" applyProtection="0">
      <alignment horizontal="left" vertical="top" indent="1"/>
    </xf>
    <xf numFmtId="0" fontId="7" fillId="19" borderId="24" applyNumberFormat="0" applyProtection="0">
      <alignment horizontal="left" vertical="top" indent="1"/>
    </xf>
    <xf numFmtId="0" fontId="7" fillId="19" borderId="23" applyNumberFormat="0" applyProtection="0">
      <alignment horizontal="left" vertical="center" indent="1"/>
    </xf>
    <xf numFmtId="0" fontId="7" fillId="19" borderId="23" applyNumberFormat="0" applyProtection="0">
      <alignment horizontal="left" vertical="center" indent="1"/>
    </xf>
    <xf numFmtId="0" fontId="7" fillId="19" borderId="24" applyNumberFormat="0" applyProtection="0">
      <alignment horizontal="left" vertical="top" indent="1"/>
    </xf>
    <xf numFmtId="0" fontId="7" fillId="19" borderId="24" applyNumberFormat="0" applyProtection="0">
      <alignment horizontal="left" vertical="top" indent="1"/>
    </xf>
    <xf numFmtId="4" fontId="37" fillId="55" borderId="24" applyNumberFormat="0" applyProtection="0">
      <alignment vertical="center"/>
    </xf>
    <xf numFmtId="4" fontId="107" fillId="55" borderId="24" applyNumberFormat="0" applyProtection="0">
      <alignment vertical="center"/>
    </xf>
    <xf numFmtId="4" fontId="7" fillId="19" borderId="24" applyNumberFormat="0" applyProtection="0">
      <alignment horizontal="left" vertical="center" indent="1"/>
    </xf>
    <xf numFmtId="4" fontId="7" fillId="19" borderId="24" applyNumberFormat="0" applyProtection="0">
      <alignment horizontal="left" vertical="center" indent="1"/>
    </xf>
    <xf numFmtId="0" fontId="7" fillId="19" borderId="24" applyNumberFormat="0" applyProtection="0">
      <alignment horizontal="left" vertical="top" indent="1"/>
    </xf>
    <xf numFmtId="0" fontId="7" fillId="19" borderId="24" applyNumberFormat="0" applyProtection="0">
      <alignment horizontal="left" vertical="top" indent="1"/>
    </xf>
    <xf numFmtId="4" fontId="7" fillId="56" borderId="23" applyNumberFormat="0" applyProtection="0">
      <alignment horizontal="right" vertical="center"/>
    </xf>
    <xf numFmtId="4" fontId="7" fillId="56" borderId="23" applyNumberFormat="0" applyProtection="0">
      <alignment horizontal="right" vertical="center"/>
    </xf>
    <xf numFmtId="4" fontId="9" fillId="56" borderId="23" applyNumberFormat="0" applyProtection="0">
      <alignment horizontal="right" vertical="center"/>
    </xf>
    <xf numFmtId="4" fontId="9" fillId="56" borderId="23" applyNumberFormat="0" applyProtection="0">
      <alignment horizontal="right" vertical="center"/>
    </xf>
    <xf numFmtId="4" fontId="7" fillId="19" borderId="23" applyNumberFormat="0" applyProtection="0">
      <alignment horizontal="left" vertical="center" indent="1"/>
    </xf>
    <xf numFmtId="4" fontId="7" fillId="19" borderId="23" applyNumberFormat="0" applyProtection="0">
      <alignment horizontal="left" vertical="center" indent="1"/>
    </xf>
    <xf numFmtId="0" fontId="7" fillId="19" borderId="23" applyNumberFormat="0" applyProtection="0">
      <alignment horizontal="left" vertical="top" indent="1"/>
    </xf>
    <xf numFmtId="0" fontId="7" fillId="19" borderId="23" applyNumberFormat="0" applyProtection="0">
      <alignment horizontal="left" vertical="top" indent="1"/>
    </xf>
    <xf numFmtId="4" fontId="108" fillId="0" borderId="0" applyNumberFormat="0" applyProtection="0">
      <alignment horizontal="left" vertical="center" indent="1"/>
    </xf>
    <xf numFmtId="4" fontId="7" fillId="0" borderId="24" applyNumberFormat="0" applyProtection="0">
      <alignment horizontal="right" vertical="center"/>
    </xf>
    <xf numFmtId="4" fontId="7" fillId="0" borderId="24" applyNumberFormat="0" applyProtection="0">
      <alignment horizontal="right" vertical="center"/>
    </xf>
    <xf numFmtId="0" fontId="7" fillId="0" borderId="12" applyNumberFormat="0" applyFont="0" applyFill="0" applyBorder="0" applyAlignment="0" applyProtection="0"/>
    <xf numFmtId="0" fontId="7" fillId="0" borderId="12" applyNumberFormat="0" applyFont="0" applyFill="0" applyBorder="0" applyAlignment="0" applyProtection="0"/>
    <xf numFmtId="38" fontId="7" fillId="57" borderId="0" applyNumberFormat="0" applyFon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0" fillId="0" borderId="20"/>
    <xf numFmtId="0" fontId="109" fillId="43" borderId="0"/>
    <xf numFmtId="0" fontId="93" fillId="0" borderId="25"/>
    <xf numFmtId="0" fontId="93" fillId="0" borderId="20"/>
    <xf numFmtId="0" fontId="110" fillId="0" borderId="0"/>
    <xf numFmtId="0" fontId="111" fillId="44" borderId="0">
      <alignment horizontal="center"/>
    </xf>
    <xf numFmtId="178" fontId="35" fillId="0" borderId="0" applyFont="0" applyFill="0" applyBorder="0" applyAlignment="0" applyProtection="0"/>
    <xf numFmtId="44" fontId="114" fillId="0" borderId="0" applyFont="0" applyFill="0" applyBorder="0" applyAlignment="0" applyProtection="0"/>
    <xf numFmtId="0" fontId="7" fillId="0" borderId="0"/>
    <xf numFmtId="0" fontId="2" fillId="0" borderId="0"/>
    <xf numFmtId="43" fontId="2" fillId="0" borderId="0" applyFont="0" applyFill="0" applyBorder="0" applyAlignment="0" applyProtection="0"/>
  </cellStyleXfs>
  <cellXfs count="345">
    <xf numFmtId="0" fontId="0" fillId="0" borderId="0" xfId="0"/>
    <xf numFmtId="38" fontId="27" fillId="0" borderId="0" xfId="44" applyNumberFormat="1"/>
    <xf numFmtId="0" fontId="27" fillId="0" borderId="0" xfId="44"/>
    <xf numFmtId="0" fontId="28" fillId="0" borderId="0" xfId="44" applyFont="1" applyAlignment="1">
      <alignment horizontal="right"/>
    </xf>
    <xf numFmtId="0" fontId="28" fillId="0" borderId="0" xfId="44" applyFont="1"/>
    <xf numFmtId="6" fontId="27" fillId="0" borderId="0" xfId="44" applyNumberFormat="1"/>
    <xf numFmtId="166" fontId="27" fillId="0" borderId="0" xfId="44" applyNumberFormat="1"/>
    <xf numFmtId="0" fontId="27" fillId="0" borderId="0" xfId="44" applyAlignment="1">
      <alignment horizontal="center"/>
    </xf>
    <xf numFmtId="6" fontId="27" fillId="24" borderId="0" xfId="44" applyNumberFormat="1" applyFill="1"/>
    <xf numFmtId="0" fontId="30" fillId="0" borderId="0" xfId="0" applyFont="1"/>
    <xf numFmtId="165" fontId="30" fillId="0" borderId="0" xfId="28" applyNumberFormat="1" applyFont="1"/>
    <xf numFmtId="165" fontId="30" fillId="0" borderId="0" xfId="28" applyNumberFormat="1" applyFont="1" applyFill="1" applyBorder="1"/>
    <xf numFmtId="0" fontId="29" fillId="0" borderId="10" xfId="0" applyFont="1" applyBorder="1" applyAlignment="1">
      <alignment horizontal="center"/>
    </xf>
    <xf numFmtId="0" fontId="31" fillId="0" borderId="0" xfId="45"/>
    <xf numFmtId="0" fontId="32" fillId="0" borderId="0" xfId="45" applyFont="1"/>
    <xf numFmtId="37" fontId="31" fillId="0" borderId="0" xfId="45" applyNumberFormat="1"/>
    <xf numFmtId="0" fontId="33" fillId="0" borderId="0" xfId="45" applyFont="1" applyAlignment="1">
      <alignment horizontal="centerContinuous"/>
    </xf>
    <xf numFmtId="0" fontId="31" fillId="0" borderId="0" xfId="45" applyAlignment="1">
      <alignment horizontal="centerContinuous"/>
    </xf>
    <xf numFmtId="0" fontId="33" fillId="0" borderId="0" xfId="45" applyFont="1" applyAlignment="1">
      <alignment horizontal="center"/>
    </xf>
    <xf numFmtId="3" fontId="33" fillId="0" borderId="0" xfId="45" applyNumberFormat="1" applyFont="1" applyAlignment="1">
      <alignment horizontal="center"/>
    </xf>
    <xf numFmtId="37" fontId="33" fillId="0" borderId="0" xfId="45" applyNumberFormat="1" applyFont="1" applyAlignment="1">
      <alignment horizontal="center"/>
    </xf>
    <xf numFmtId="0" fontId="33" fillId="0" borderId="10" xfId="45" applyFont="1" applyBorder="1" applyAlignment="1">
      <alignment horizontal="center"/>
    </xf>
    <xf numFmtId="0" fontId="33" fillId="0" borderId="0" xfId="45" applyFont="1"/>
    <xf numFmtId="43" fontId="33" fillId="0" borderId="0" xfId="45" applyNumberFormat="1" applyFont="1"/>
    <xf numFmtId="167" fontId="31" fillId="0" borderId="0" xfId="45" applyNumberFormat="1"/>
    <xf numFmtId="0" fontId="33" fillId="0" borderId="12" xfId="45" applyFont="1" applyBorder="1" applyAlignment="1">
      <alignment horizontal="center"/>
    </xf>
    <xf numFmtId="43" fontId="31" fillId="0" borderId="0" xfId="45" applyNumberFormat="1"/>
    <xf numFmtId="37" fontId="32" fillId="0" borderId="0" xfId="46" applyNumberFormat="1" applyFont="1"/>
    <xf numFmtId="43" fontId="32" fillId="0" borderId="0" xfId="45" applyNumberFormat="1" applyFont="1"/>
    <xf numFmtId="37" fontId="32" fillId="0" borderId="10" xfId="46" applyNumberFormat="1" applyFont="1" applyBorder="1"/>
    <xf numFmtId="2" fontId="31" fillId="0" borderId="0" xfId="45" applyNumberFormat="1"/>
    <xf numFmtId="0" fontId="33" fillId="0" borderId="0" xfId="45" applyFont="1" applyAlignment="1">
      <alignment horizontal="left"/>
    </xf>
    <xf numFmtId="37" fontId="31" fillId="0" borderId="12" xfId="45" applyNumberFormat="1" applyBorder="1"/>
    <xf numFmtId="0" fontId="31" fillId="0" borderId="0" xfId="45" applyAlignment="1">
      <alignment horizontal="left" indent="1"/>
    </xf>
    <xf numFmtId="0" fontId="31" fillId="0" borderId="0" xfId="45" applyAlignment="1">
      <alignment horizontal="left"/>
    </xf>
    <xf numFmtId="37" fontId="33" fillId="0" borderId="0" xfId="45" applyNumberFormat="1" applyFont="1"/>
    <xf numFmtId="37" fontId="33" fillId="0" borderId="10" xfId="45" applyNumberFormat="1" applyFont="1" applyBorder="1"/>
    <xf numFmtId="0" fontId="33" fillId="0" borderId="0" xfId="45" applyFont="1" applyAlignment="1">
      <alignment horizontal="centerContinuous" wrapText="1"/>
    </xf>
    <xf numFmtId="168" fontId="31" fillId="0" borderId="0" xfId="45" applyNumberFormat="1" applyAlignment="1">
      <alignment horizontal="centerContinuous" wrapText="1"/>
    </xf>
    <xf numFmtId="37" fontId="31" fillId="0" borderId="0" xfId="45" applyNumberFormat="1" applyAlignment="1">
      <alignment horizontal="centerContinuous"/>
    </xf>
    <xf numFmtId="168" fontId="33" fillId="0" borderId="0" xfId="45" applyNumberFormat="1" applyFont="1" applyAlignment="1">
      <alignment horizontal="center"/>
    </xf>
    <xf numFmtId="168" fontId="33" fillId="0" borderId="0" xfId="45" applyNumberFormat="1" applyFont="1" applyAlignment="1">
      <alignment horizontal="center" wrapText="1"/>
    </xf>
    <xf numFmtId="37" fontId="33" fillId="0" borderId="0" xfId="45" applyNumberFormat="1" applyFont="1" applyAlignment="1">
      <alignment horizontal="centerContinuous"/>
    </xf>
    <xf numFmtId="168" fontId="33" fillId="0" borderId="10" xfId="45" applyNumberFormat="1" applyFont="1" applyBorder="1" applyAlignment="1">
      <alignment horizontal="center"/>
    </xf>
    <xf numFmtId="49" fontId="33" fillId="0" borderId="0" xfId="45" applyNumberFormat="1" applyFont="1" applyAlignment="1">
      <alignment horizontal="center"/>
    </xf>
    <xf numFmtId="37" fontId="33" fillId="0" borderId="12" xfId="45" applyNumberFormat="1" applyFont="1" applyBorder="1" applyAlignment="1">
      <alignment horizontal="center"/>
    </xf>
    <xf numFmtId="168" fontId="33" fillId="0" borderId="12" xfId="45" applyNumberFormat="1" applyFont="1" applyBorder="1" applyAlignment="1">
      <alignment horizontal="center" wrapText="1"/>
    </xf>
    <xf numFmtId="3" fontId="33" fillId="0" borderId="12" xfId="45" applyNumberFormat="1" applyFont="1" applyBorder="1" applyAlignment="1">
      <alignment horizontal="center"/>
    </xf>
    <xf numFmtId="168" fontId="31" fillId="0" borderId="0" xfId="45" applyNumberFormat="1" applyAlignment="1">
      <alignment wrapText="1"/>
    </xf>
    <xf numFmtId="169" fontId="31" fillId="0" borderId="0" xfId="45" applyNumberFormat="1"/>
    <xf numFmtId="169" fontId="33" fillId="0" borderId="0" xfId="45" applyNumberFormat="1" applyFont="1"/>
    <xf numFmtId="37" fontId="33" fillId="0" borderId="11" xfId="45" applyNumberFormat="1" applyFont="1" applyBorder="1"/>
    <xf numFmtId="164" fontId="32" fillId="0" borderId="0" xfId="28" applyNumberFormat="1" applyFont="1" applyBorder="1" applyAlignment="1"/>
    <xf numFmtId="0" fontId="33" fillId="25" borderId="0" xfId="45" applyFont="1" applyFill="1" applyAlignment="1">
      <alignment horizontal="center"/>
    </xf>
    <xf numFmtId="0" fontId="31" fillId="25" borderId="0" xfId="45" applyFill="1"/>
    <xf numFmtId="164" fontId="32" fillId="0" borderId="10" xfId="28" applyNumberFormat="1" applyFont="1" applyBorder="1" applyAlignment="1"/>
    <xf numFmtId="0" fontId="0" fillId="0" borderId="0" xfId="0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/>
    <xf numFmtId="6" fontId="0" fillId="0" borderId="0" xfId="0" applyNumberFormat="1"/>
    <xf numFmtId="10" fontId="0" fillId="0" borderId="10" xfId="0" applyNumberFormat="1" applyBorder="1"/>
    <xf numFmtId="164" fontId="0" fillId="0" borderId="0" xfId="28" applyNumberFormat="1" applyFont="1" applyFill="1" applyBorder="1"/>
    <xf numFmtId="2" fontId="0" fillId="0" borderId="10" xfId="0" applyNumberFormat="1" applyBorder="1"/>
    <xf numFmtId="164" fontId="0" fillId="0" borderId="11" xfId="28" applyNumberFormat="1" applyFont="1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1" xfId="0" applyNumberFormat="1" applyBorder="1"/>
    <xf numFmtId="0" fontId="7" fillId="0" borderId="0" xfId="0" applyFont="1" applyAlignment="1">
      <alignment horizontal="left"/>
    </xf>
    <xf numFmtId="6" fontId="27" fillId="25" borderId="0" xfId="44" applyNumberFormat="1" applyFill="1"/>
    <xf numFmtId="0" fontId="27" fillId="25" borderId="0" xfId="44" applyFill="1"/>
    <xf numFmtId="0" fontId="7" fillId="0" borderId="0" xfId="0" applyFont="1"/>
    <xf numFmtId="0" fontId="7" fillId="0" borderId="10" xfId="0" applyFont="1" applyBorder="1" applyAlignment="1">
      <alignment horizontal="center"/>
    </xf>
    <xf numFmtId="164" fontId="0" fillId="0" borderId="10" xfId="28" applyNumberFormat="1" applyFont="1" applyFill="1" applyBorder="1" applyAlignment="1">
      <alignment horizontal="center"/>
    </xf>
    <xf numFmtId="164" fontId="27" fillId="0" borderId="0" xfId="28" applyNumberFormat="1" applyFont="1"/>
    <xf numFmtId="0" fontId="7" fillId="0" borderId="0" xfId="0" applyFont="1" applyAlignment="1">
      <alignment horizontal="center"/>
    </xf>
    <xf numFmtId="164" fontId="0" fillId="0" borderId="0" xfId="28" applyNumberFormat="1" applyFont="1" applyBorder="1"/>
    <xf numFmtId="164" fontId="0" fillId="0" borderId="0" xfId="0" applyNumberFormat="1"/>
    <xf numFmtId="164" fontId="0" fillId="0" borderId="10" xfId="28" applyNumberFormat="1" applyFont="1" applyFill="1" applyBorder="1"/>
    <xf numFmtId="0" fontId="7" fillId="0" borderId="0" xfId="0" applyFont="1" applyAlignment="1">
      <alignment horizontal="left" vertical="center"/>
    </xf>
    <xf numFmtId="0" fontId="31" fillId="0" borderId="0" xfId="0" applyFont="1"/>
    <xf numFmtId="43" fontId="0" fillId="0" borderId="0" xfId="0" applyNumberFormat="1"/>
    <xf numFmtId="0" fontId="7" fillId="0" borderId="0" xfId="766"/>
    <xf numFmtId="0" fontId="4" fillId="0" borderId="0" xfId="766" applyFont="1"/>
    <xf numFmtId="164" fontId="0" fillId="0" borderId="0" xfId="28" applyNumberFormat="1" applyFont="1"/>
    <xf numFmtId="165" fontId="4" fillId="0" borderId="0" xfId="28" applyNumberFormat="1" applyFont="1" applyFill="1"/>
    <xf numFmtId="165" fontId="4" fillId="0" borderId="10" xfId="28" applyNumberFormat="1" applyFont="1" applyFill="1" applyBorder="1"/>
    <xf numFmtId="165" fontId="4" fillId="0" borderId="0" xfId="28" applyNumberFormat="1" applyFont="1" applyFill="1" applyBorder="1"/>
    <xf numFmtId="165" fontId="4" fillId="0" borderId="11" xfId="28" applyNumberFormat="1" applyFont="1" applyFill="1" applyBorder="1"/>
    <xf numFmtId="0" fontId="7" fillId="0" borderId="0" xfId="766" quotePrefix="1"/>
    <xf numFmtId="165" fontId="4" fillId="0" borderId="0" xfId="28" applyNumberFormat="1" applyFont="1" applyFill="1" applyAlignment="1">
      <alignment horizontal="center"/>
    </xf>
    <xf numFmtId="165" fontId="4" fillId="0" borderId="10" xfId="28" applyNumberFormat="1" applyFont="1" applyFill="1" applyBorder="1" applyAlignment="1">
      <alignment horizontal="center"/>
    </xf>
    <xf numFmtId="164" fontId="0" fillId="0" borderId="0" xfId="28" applyNumberFormat="1" applyFont="1" applyFill="1"/>
    <xf numFmtId="0" fontId="29" fillId="0" borderId="0" xfId="0" applyFont="1" applyAlignment="1">
      <alignment horizontal="center"/>
    </xf>
    <xf numFmtId="0" fontId="30" fillId="0" borderId="29" xfId="0" applyFont="1" applyBorder="1"/>
    <xf numFmtId="0" fontId="30" fillId="0" borderId="30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29" xfId="0" applyFont="1" applyBorder="1"/>
    <xf numFmtId="165" fontId="30" fillId="0" borderId="30" xfId="28" applyNumberFormat="1" applyFont="1" applyBorder="1"/>
    <xf numFmtId="0" fontId="30" fillId="0" borderId="0" xfId="0" quotePrefix="1" applyFont="1"/>
    <xf numFmtId="0" fontId="29" fillId="0" borderId="0" xfId="0" applyFont="1"/>
    <xf numFmtId="164" fontId="30" fillId="0" borderId="30" xfId="28" applyNumberFormat="1" applyFont="1" applyBorder="1"/>
    <xf numFmtId="0" fontId="0" fillId="0" borderId="29" xfId="0" applyBorder="1"/>
    <xf numFmtId="165" fontId="30" fillId="0" borderId="30" xfId="28" applyNumberFormat="1" applyFont="1" applyFill="1" applyBorder="1"/>
    <xf numFmtId="165" fontId="30" fillId="0" borderId="32" xfId="28" applyNumberFormat="1" applyFont="1" applyFill="1" applyBorder="1"/>
    <xf numFmtId="0" fontId="30" fillId="0" borderId="30" xfId="0" applyFont="1" applyBorder="1"/>
    <xf numFmtId="165" fontId="30" fillId="0" borderId="32" xfId="0" applyNumberFormat="1" applyFont="1" applyBorder="1"/>
    <xf numFmtId="0" fontId="30" fillId="0" borderId="33" xfId="0" applyFont="1" applyBorder="1"/>
    <xf numFmtId="0" fontId="30" fillId="0" borderId="14" xfId="0" applyFont="1" applyBorder="1"/>
    <xf numFmtId="0" fontId="30" fillId="0" borderId="34" xfId="0" applyFont="1" applyBorder="1"/>
    <xf numFmtId="8" fontId="27" fillId="0" borderId="0" xfId="44" applyNumberFormat="1"/>
    <xf numFmtId="165" fontId="0" fillId="0" borderId="0" xfId="28" applyNumberFormat="1" applyFont="1"/>
    <xf numFmtId="0" fontId="28" fillId="0" borderId="0" xfId="44" applyFont="1" applyAlignment="1">
      <alignment horizontal="center"/>
    </xf>
    <xf numFmtId="0" fontId="112" fillId="0" borderId="0" xfId="463" applyFont="1"/>
    <xf numFmtId="0" fontId="112" fillId="0" borderId="0" xfId="463" quotePrefix="1" applyFont="1"/>
    <xf numFmtId="0" fontId="113" fillId="0" borderId="0" xfId="463" applyFont="1"/>
    <xf numFmtId="0" fontId="113" fillId="0" borderId="0" xfId="463" quotePrefix="1" applyFont="1"/>
    <xf numFmtId="40" fontId="0" fillId="0" borderId="0" xfId="0" applyNumberFormat="1"/>
    <xf numFmtId="166" fontId="0" fillId="0" borderId="0" xfId="0" applyNumberFormat="1"/>
    <xf numFmtId="165" fontId="0" fillId="0" borderId="0" xfId="0" applyNumberFormat="1"/>
    <xf numFmtId="40" fontId="27" fillId="0" borderId="0" xfId="44" applyNumberFormat="1"/>
    <xf numFmtId="0" fontId="27" fillId="0" borderId="10" xfId="44" applyBorder="1" applyAlignment="1">
      <alignment horizontal="center"/>
    </xf>
    <xf numFmtId="9" fontId="0" fillId="0" borderId="0" xfId="40" applyFont="1"/>
    <xf numFmtId="179" fontId="0" fillId="0" borderId="0" xfId="0" applyNumberFormat="1"/>
    <xf numFmtId="16" fontId="0" fillId="0" borderId="0" xfId="0" quotePrefix="1" applyNumberFormat="1" applyAlignment="1">
      <alignment horizontal="right"/>
    </xf>
    <xf numFmtId="179" fontId="0" fillId="0" borderId="0" xfId="1117" applyNumberFormat="1" applyFont="1"/>
    <xf numFmtId="179" fontId="0" fillId="0" borderId="10" xfId="1117" applyNumberFormat="1" applyFont="1" applyBorder="1"/>
    <xf numFmtId="179" fontId="0" fillId="0" borderId="11" xfId="1117" applyNumberFormat="1" applyFont="1" applyBorder="1"/>
    <xf numFmtId="179" fontId="0" fillId="0" borderId="0" xfId="1117" applyNumberFormat="1" applyFont="1" applyFill="1"/>
    <xf numFmtId="9" fontId="0" fillId="0" borderId="0" xfId="40" applyFont="1" applyFill="1"/>
    <xf numFmtId="179" fontId="0" fillId="0" borderId="10" xfId="1117" applyNumberFormat="1" applyFont="1" applyFill="1" applyBorder="1"/>
    <xf numFmtId="0" fontId="0" fillId="0" borderId="0" xfId="0" applyAlignment="1">
      <alignment horizontal="left"/>
    </xf>
    <xf numFmtId="164" fontId="0" fillId="0" borderId="0" xfId="28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28" applyNumberFormat="1" applyFont="1" applyBorder="1"/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33" fillId="58" borderId="0" xfId="45" applyNumberFormat="1" applyFont="1" applyFill="1" applyAlignment="1">
      <alignment horizontal="center"/>
    </xf>
    <xf numFmtId="41" fontId="33" fillId="58" borderId="0" xfId="45" applyNumberFormat="1" applyFont="1" applyFill="1" applyAlignment="1">
      <alignment horizontal="center"/>
    </xf>
    <xf numFmtId="41" fontId="33" fillId="0" borderId="0" xfId="45" applyNumberFormat="1" applyFont="1" applyAlignment="1">
      <alignment horizontal="center"/>
    </xf>
    <xf numFmtId="41" fontId="33" fillId="58" borderId="10" xfId="45" applyNumberFormat="1" applyFont="1" applyFill="1" applyBorder="1" applyAlignment="1">
      <alignment horizontal="center"/>
    </xf>
    <xf numFmtId="41" fontId="33" fillId="0" borderId="10" xfId="45" applyNumberFormat="1" applyFont="1" applyBorder="1" applyAlignment="1">
      <alignment horizontal="center"/>
    </xf>
    <xf numFmtId="41" fontId="31" fillId="58" borderId="0" xfId="45" applyNumberFormat="1" applyFill="1"/>
    <xf numFmtId="41" fontId="31" fillId="0" borderId="0" xfId="45" applyNumberFormat="1"/>
    <xf numFmtId="39" fontId="31" fillId="0" borderId="10" xfId="1118" applyNumberFormat="1" applyFont="1" applyBorder="1"/>
    <xf numFmtId="0" fontId="31" fillId="0" borderId="0" xfId="1118" applyFont="1"/>
    <xf numFmtId="43" fontId="31" fillId="58" borderId="10" xfId="1118" applyNumberFormat="1" applyFont="1" applyFill="1" applyBorder="1"/>
    <xf numFmtId="37" fontId="31" fillId="0" borderId="0" xfId="1118" applyNumberFormat="1" applyFont="1"/>
    <xf numFmtId="37" fontId="31" fillId="0" borderId="10" xfId="1118" applyNumberFormat="1" applyFont="1" applyBorder="1"/>
    <xf numFmtId="41" fontId="31" fillId="58" borderId="10" xfId="45" applyNumberFormat="1" applyFill="1" applyBorder="1"/>
    <xf numFmtId="41" fontId="31" fillId="0" borderId="10" xfId="45" applyNumberFormat="1" applyBorder="1"/>
    <xf numFmtId="39" fontId="33" fillId="0" borderId="0" xfId="1118" applyNumberFormat="1" applyFont="1"/>
    <xf numFmtId="0" fontId="33" fillId="0" borderId="0" xfId="1118" applyFont="1"/>
    <xf numFmtId="39" fontId="33" fillId="58" borderId="0" xfId="1118" applyNumberFormat="1" applyFont="1" applyFill="1"/>
    <xf numFmtId="37" fontId="33" fillId="0" borderId="0" xfId="1118" applyNumberFormat="1" applyFont="1"/>
    <xf numFmtId="41" fontId="33" fillId="58" borderId="0" xfId="1118" applyNumberFormat="1" applyFont="1" applyFill="1"/>
    <xf numFmtId="43" fontId="31" fillId="58" borderId="0" xfId="45" applyNumberFormat="1" applyFill="1"/>
    <xf numFmtId="39" fontId="31" fillId="0" borderId="0" xfId="1118" applyNumberFormat="1" applyFont="1"/>
    <xf numFmtId="43" fontId="31" fillId="58" borderId="0" xfId="1118" applyNumberFormat="1" applyFont="1" applyFill="1"/>
    <xf numFmtId="39" fontId="31" fillId="58" borderId="0" xfId="1118" applyNumberFormat="1" applyFont="1" applyFill="1"/>
    <xf numFmtId="41" fontId="31" fillId="58" borderId="0" xfId="1118" applyNumberFormat="1" applyFont="1" applyFill="1"/>
    <xf numFmtId="39" fontId="31" fillId="58" borderId="10" xfId="1118" applyNumberFormat="1" applyFont="1" applyFill="1" applyBorder="1"/>
    <xf numFmtId="41" fontId="31" fillId="58" borderId="10" xfId="1118" applyNumberFormat="1" applyFont="1" applyFill="1" applyBorder="1"/>
    <xf numFmtId="41" fontId="33" fillId="58" borderId="0" xfId="45" applyNumberFormat="1" applyFont="1" applyFill="1"/>
    <xf numFmtId="43" fontId="33" fillId="58" borderId="0" xfId="1118" applyNumberFormat="1" applyFont="1" applyFill="1"/>
    <xf numFmtId="39" fontId="31" fillId="0" borderId="13" xfId="1118" applyNumberFormat="1" applyFont="1" applyBorder="1"/>
    <xf numFmtId="37" fontId="31" fillId="0" borderId="13" xfId="45" applyNumberFormat="1" applyBorder="1"/>
    <xf numFmtId="43" fontId="33" fillId="58" borderId="0" xfId="45" applyNumberFormat="1" applyFont="1" applyFill="1"/>
    <xf numFmtId="43" fontId="33" fillId="58" borderId="10" xfId="45" applyNumberFormat="1" applyFont="1" applyFill="1" applyBorder="1"/>
    <xf numFmtId="37" fontId="33" fillId="0" borderId="13" xfId="45" applyNumberFormat="1" applyFont="1" applyBorder="1"/>
    <xf numFmtId="41" fontId="33" fillId="58" borderId="10" xfId="45" applyNumberFormat="1" applyFont="1" applyFill="1" applyBorder="1"/>
    <xf numFmtId="39" fontId="33" fillId="0" borderId="11" xfId="1118" applyNumberFormat="1" applyFont="1" applyBorder="1"/>
    <xf numFmtId="39" fontId="33" fillId="58" borderId="11" xfId="1118" applyNumberFormat="1" applyFont="1" applyFill="1" applyBorder="1"/>
    <xf numFmtId="43" fontId="31" fillId="58" borderId="10" xfId="45" applyNumberFormat="1" applyFill="1" applyBorder="1"/>
    <xf numFmtId="39" fontId="33" fillId="0" borderId="13" xfId="1118" applyNumberFormat="1" applyFont="1" applyBorder="1"/>
    <xf numFmtId="39" fontId="33" fillId="0" borderId="10" xfId="1118" applyNumberFormat="1" applyFont="1" applyBorder="1"/>
    <xf numFmtId="0" fontId="31" fillId="0" borderId="0" xfId="45" applyAlignment="1">
      <alignment horizontal="right"/>
    </xf>
    <xf numFmtId="37" fontId="31" fillId="59" borderId="10" xfId="1118" applyNumberFormat="1" applyFont="1" applyFill="1" applyBorder="1"/>
    <xf numFmtId="37" fontId="31" fillId="58" borderId="10" xfId="1118" applyNumberFormat="1" applyFont="1" applyFill="1" applyBorder="1"/>
    <xf numFmtId="37" fontId="33" fillId="59" borderId="0" xfId="45" applyNumberFormat="1" applyFont="1" applyFill="1" applyAlignment="1">
      <alignment horizontal="center"/>
    </xf>
    <xf numFmtId="37" fontId="33" fillId="59" borderId="0" xfId="45" applyNumberFormat="1" applyFont="1" applyFill="1"/>
    <xf numFmtId="0" fontId="33" fillId="59" borderId="0" xfId="45" applyFont="1" applyFill="1" applyAlignment="1">
      <alignment horizontal="center"/>
    </xf>
    <xf numFmtId="41" fontId="33" fillId="59" borderId="0" xfId="45" applyNumberFormat="1" applyFont="1" applyFill="1" applyAlignment="1">
      <alignment horizontal="center"/>
    </xf>
    <xf numFmtId="0" fontId="31" fillId="59" borderId="0" xfId="45" applyFill="1"/>
    <xf numFmtId="41" fontId="33" fillId="59" borderId="10" xfId="45" applyNumberFormat="1" applyFont="1" applyFill="1" applyBorder="1" applyAlignment="1">
      <alignment horizontal="center"/>
    </xf>
    <xf numFmtId="37" fontId="33" fillId="59" borderId="12" xfId="45" applyNumberFormat="1" applyFont="1" applyFill="1" applyBorder="1" applyAlignment="1">
      <alignment horizontal="center"/>
    </xf>
    <xf numFmtId="3" fontId="33" fillId="59" borderId="0" xfId="45" applyNumberFormat="1" applyFont="1" applyFill="1" applyAlignment="1">
      <alignment horizontal="center"/>
    </xf>
    <xf numFmtId="41" fontId="31" fillId="59" borderId="0" xfId="45" applyNumberFormat="1" applyFill="1"/>
    <xf numFmtId="41" fontId="31" fillId="59" borderId="10" xfId="45" applyNumberFormat="1" applyFill="1" applyBorder="1"/>
    <xf numFmtId="37" fontId="33" fillId="59" borderId="0" xfId="1118" applyNumberFormat="1" applyFont="1" applyFill="1"/>
    <xf numFmtId="0" fontId="33" fillId="59" borderId="0" xfId="45" applyFont="1" applyFill="1"/>
    <xf numFmtId="37" fontId="31" fillId="59" borderId="0" xfId="45" applyNumberFormat="1" applyFill="1"/>
    <xf numFmtId="37" fontId="31" fillId="59" borderId="0" xfId="1118" applyNumberFormat="1" applyFont="1" applyFill="1"/>
    <xf numFmtId="3" fontId="33" fillId="59" borderId="12" xfId="45" applyNumberFormat="1" applyFont="1" applyFill="1" applyBorder="1" applyAlignment="1">
      <alignment horizontal="center"/>
    </xf>
    <xf numFmtId="43" fontId="31" fillId="59" borderId="0" xfId="45" applyNumberFormat="1" applyFill="1"/>
    <xf numFmtId="43" fontId="33" fillId="59" borderId="0" xfId="45" applyNumberFormat="1" applyFont="1" applyFill="1"/>
    <xf numFmtId="167" fontId="31" fillId="59" borderId="0" xfId="45" applyNumberFormat="1" applyFill="1"/>
    <xf numFmtId="164" fontId="33" fillId="0" borderId="11" xfId="28" applyNumberFormat="1" applyFont="1" applyBorder="1"/>
    <xf numFmtId="164" fontId="33" fillId="0" borderId="0" xfId="28" applyNumberFormat="1" applyFont="1"/>
    <xf numFmtId="164" fontId="33" fillId="58" borderId="11" xfId="28" applyNumberFormat="1" applyFont="1" applyFill="1" applyBorder="1"/>
    <xf numFmtId="164" fontId="33" fillId="0" borderId="0" xfId="28" applyNumberFormat="1" applyFont="1" applyBorder="1"/>
    <xf numFmtId="164" fontId="31" fillId="0" borderId="0" xfId="28" applyNumberFormat="1" applyFont="1"/>
    <xf numFmtId="164" fontId="31" fillId="0" borderId="0" xfId="45" applyNumberFormat="1"/>
    <xf numFmtId="43" fontId="33" fillId="0" borderId="0" xfId="28" applyFont="1"/>
    <xf numFmtId="164" fontId="31" fillId="0" borderId="11" xfId="45" applyNumberFormat="1" applyBorder="1"/>
    <xf numFmtId="0" fontId="31" fillId="0" borderId="0" xfId="45" applyAlignment="1">
      <alignment horizontal="center"/>
    </xf>
    <xf numFmtId="168" fontId="31" fillId="0" borderId="0" xfId="45" applyNumberFormat="1" applyAlignment="1">
      <alignment horizontal="center" wrapText="1"/>
    </xf>
    <xf numFmtId="180" fontId="31" fillId="0" borderId="0" xfId="45" applyNumberFormat="1" applyAlignment="1">
      <alignment horizontal="center"/>
    </xf>
    <xf numFmtId="0" fontId="0" fillId="0" borderId="0" xfId="0" applyAlignment="1">
      <alignment horizontal="center"/>
    </xf>
    <xf numFmtId="37" fontId="33" fillId="0" borderId="0" xfId="45" applyNumberFormat="1" applyFont="1" applyAlignment="1">
      <alignment horizontal="center"/>
    </xf>
    <xf numFmtId="37" fontId="33" fillId="59" borderId="0" xfId="45" applyNumberFormat="1" applyFont="1" applyFill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28" applyFont="1" applyBorder="1"/>
    <xf numFmtId="17" fontId="0" fillId="0" borderId="0" xfId="0" applyNumberFormat="1" applyBorder="1"/>
    <xf numFmtId="43" fontId="0" fillId="0" borderId="0" xfId="28" applyFont="1"/>
    <xf numFmtId="43" fontId="0" fillId="0" borderId="10" xfId="28" applyFont="1" applyBorder="1"/>
    <xf numFmtId="43" fontId="0" fillId="0" borderId="11" xfId="28" applyFont="1" applyBorder="1"/>
    <xf numFmtId="43" fontId="0" fillId="0" borderId="11" xfId="0" applyNumberFormat="1" applyBorder="1"/>
    <xf numFmtId="0" fontId="0" fillId="0" borderId="0" xfId="0" applyAlignment="1">
      <alignment horizontal="center"/>
    </xf>
    <xf numFmtId="43" fontId="31" fillId="0" borderId="0" xfId="45" applyNumberFormat="1" applyFill="1"/>
    <xf numFmtId="43" fontId="33" fillId="0" borderId="0" xfId="45" applyNumberFormat="1" applyFont="1" applyFill="1"/>
    <xf numFmtId="43" fontId="33" fillId="0" borderId="0" xfId="28" applyFont="1" applyFill="1"/>
    <xf numFmtId="37" fontId="31" fillId="59" borderId="0" xfId="1118" applyNumberFormat="1" applyFont="1" applyFill="1" applyBorder="1"/>
    <xf numFmtId="0" fontId="31" fillId="59" borderId="0" xfId="45" applyFill="1" applyBorder="1"/>
    <xf numFmtId="41" fontId="31" fillId="58" borderId="0" xfId="45" applyNumberFormat="1" applyFill="1" applyBorder="1"/>
    <xf numFmtId="43" fontId="31" fillId="59" borderId="10" xfId="45" applyNumberFormat="1" applyFill="1" applyBorder="1"/>
    <xf numFmtId="0" fontId="31" fillId="25" borderId="0" xfId="45" applyFill="1" applyAlignment="1">
      <alignment horizontal="center"/>
    </xf>
    <xf numFmtId="168" fontId="31" fillId="25" borderId="0" xfId="45" applyNumberFormat="1" applyFill="1" applyAlignment="1">
      <alignment horizontal="center" wrapText="1"/>
    </xf>
    <xf numFmtId="181" fontId="31" fillId="0" borderId="0" xfId="45" applyNumberFormat="1"/>
    <xf numFmtId="182" fontId="31" fillId="0" borderId="0" xfId="45" applyNumberFormat="1"/>
    <xf numFmtId="169" fontId="31" fillId="25" borderId="0" xfId="45" applyNumberFormat="1" applyFill="1"/>
    <xf numFmtId="37" fontId="32" fillId="0" borderId="0" xfId="46" applyNumberFormat="1" applyFont="1" applyBorder="1"/>
    <xf numFmtId="0" fontId="31" fillId="0" borderId="10" xfId="45" applyBorder="1"/>
    <xf numFmtId="0" fontId="31" fillId="0" borderId="10" xfId="45" applyBorder="1" applyAlignment="1">
      <alignment horizontal="center"/>
    </xf>
    <xf numFmtId="37" fontId="31" fillId="0" borderId="10" xfId="1118" applyNumberFormat="1" applyFont="1" applyFill="1" applyBorder="1"/>
    <xf numFmtId="41" fontId="31" fillId="0" borderId="10" xfId="45" applyNumberFormat="1" applyFill="1" applyBorder="1"/>
    <xf numFmtId="43" fontId="31" fillId="59" borderId="0" xfId="45" applyNumberFormat="1" applyFill="1" applyBorder="1"/>
    <xf numFmtId="181" fontId="31" fillId="25" borderId="0" xfId="45" applyNumberFormat="1" applyFill="1"/>
    <xf numFmtId="180" fontId="31" fillId="25" borderId="0" xfId="45" applyNumberFormat="1" applyFill="1" applyAlignment="1">
      <alignment horizontal="center"/>
    </xf>
    <xf numFmtId="37" fontId="31" fillId="0" borderId="0" xfId="45" applyNumberFormat="1" applyFill="1"/>
    <xf numFmtId="0" fontId="31" fillId="0" borderId="0" xfId="45" applyFill="1"/>
    <xf numFmtId="41" fontId="31" fillId="0" borderId="0" xfId="45" applyNumberFormat="1" applyFill="1"/>
    <xf numFmtId="37" fontId="31" fillId="0" borderId="0" xfId="1118" applyNumberFormat="1" applyFont="1" applyFill="1"/>
    <xf numFmtId="37" fontId="31" fillId="0" borderId="12" xfId="45" applyNumberFormat="1" applyFill="1" applyBorder="1"/>
    <xf numFmtId="37" fontId="33" fillId="0" borderId="0" xfId="45" applyNumberFormat="1" applyFont="1" applyFill="1"/>
    <xf numFmtId="0" fontId="33" fillId="0" borderId="0" xfId="45" applyFont="1" applyFill="1"/>
    <xf numFmtId="37" fontId="31" fillId="0" borderId="13" xfId="45" applyNumberFormat="1" applyFill="1" applyBorder="1"/>
    <xf numFmtId="37" fontId="33" fillId="0" borderId="13" xfId="45" applyNumberFormat="1" applyFont="1" applyFill="1" applyBorder="1"/>
    <xf numFmtId="37" fontId="33" fillId="0" borderId="10" xfId="45" applyNumberFormat="1" applyFont="1" applyFill="1" applyBorder="1"/>
    <xf numFmtId="164" fontId="33" fillId="0" borderId="11" xfId="28" applyNumberFormat="1" applyFont="1" applyFill="1" applyBorder="1"/>
    <xf numFmtId="164" fontId="33" fillId="0" borderId="0" xfId="28" applyNumberFormat="1" applyFont="1" applyFill="1"/>
    <xf numFmtId="164" fontId="31" fillId="0" borderId="0" xfId="28" applyNumberFormat="1" applyFont="1" applyFill="1"/>
    <xf numFmtId="37" fontId="31" fillId="25" borderId="0" xfId="45" applyNumberFormat="1" applyFill="1"/>
    <xf numFmtId="43" fontId="31" fillId="25" borderId="0" xfId="45" applyNumberFormat="1" applyFill="1"/>
    <xf numFmtId="181" fontId="31" fillId="0" borderId="0" xfId="45" applyNumberFormat="1" applyFill="1"/>
    <xf numFmtId="183" fontId="0" fillId="0" borderId="10" xfId="4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0" fontId="0" fillId="0" borderId="10" xfId="40" applyNumberFormat="1" applyFont="1" applyBorder="1" applyAlignment="1">
      <alignment horizontal="right"/>
    </xf>
    <xf numFmtId="164" fontId="0" fillId="0" borderId="11" xfId="0" applyNumberFormat="1" applyBorder="1" applyAlignment="1">
      <alignment horizontal="center"/>
    </xf>
    <xf numFmtId="0" fontId="30" fillId="0" borderId="0" xfId="0" applyFont="1" applyFill="1"/>
    <xf numFmtId="0" fontId="30" fillId="0" borderId="35" xfId="0" applyFont="1" applyBorder="1"/>
    <xf numFmtId="0" fontId="30" fillId="0" borderId="13" xfId="0" applyFont="1" applyBorder="1"/>
    <xf numFmtId="0" fontId="30" fillId="0" borderId="36" xfId="0" applyFont="1" applyBorder="1"/>
    <xf numFmtId="0" fontId="30" fillId="0" borderId="37" xfId="0" applyFont="1" applyBorder="1"/>
    <xf numFmtId="0" fontId="30" fillId="0" borderId="19" xfId="0" applyFont="1" applyBorder="1"/>
    <xf numFmtId="0" fontId="29" fillId="0" borderId="0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0" xfId="0" applyFont="1" applyBorder="1"/>
    <xf numFmtId="14" fontId="29" fillId="0" borderId="1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14" fontId="29" fillId="0" borderId="0" xfId="0" applyNumberFormat="1" applyFont="1" applyBorder="1" applyAlignment="1">
      <alignment horizontal="center"/>
    </xf>
    <xf numFmtId="14" fontId="29" fillId="0" borderId="0" xfId="0" applyNumberFormat="1" applyFont="1" applyBorder="1"/>
    <xf numFmtId="165" fontId="30" fillId="0" borderId="0" xfId="28" applyNumberFormat="1" applyFont="1" applyBorder="1"/>
    <xf numFmtId="183" fontId="30" fillId="0" borderId="10" xfId="40" applyNumberFormat="1" applyFont="1" applyBorder="1"/>
    <xf numFmtId="10" fontId="30" fillId="0" borderId="10" xfId="40" applyNumberFormat="1" applyFont="1" applyBorder="1"/>
    <xf numFmtId="165" fontId="30" fillId="0" borderId="11" xfId="28" applyNumberFormat="1" applyFont="1" applyBorder="1"/>
    <xf numFmtId="0" fontId="30" fillId="0" borderId="38" xfId="0" applyFont="1" applyBorder="1"/>
    <xf numFmtId="0" fontId="30" fillId="0" borderId="10" xfId="0" applyFont="1" applyBorder="1"/>
    <xf numFmtId="0" fontId="30" fillId="0" borderId="39" xfId="0" applyFont="1" applyBorder="1"/>
    <xf numFmtId="0" fontId="3" fillId="0" borderId="0" xfId="766" applyFont="1"/>
    <xf numFmtId="165" fontId="4" fillId="0" borderId="0" xfId="28" applyNumberFormat="1" applyFont="1" applyFill="1" applyBorder="1" applyAlignment="1">
      <alignment horizontal="center"/>
    </xf>
    <xf numFmtId="165" fontId="3" fillId="0" borderId="0" xfId="28" applyNumberFormat="1" applyFont="1" applyFill="1" applyAlignment="1">
      <alignment horizontal="center"/>
    </xf>
    <xf numFmtId="165" fontId="3" fillId="0" borderId="10" xfId="28" applyNumberFormat="1" applyFont="1" applyFill="1" applyBorder="1" applyAlignment="1">
      <alignment horizontal="center"/>
    </xf>
    <xf numFmtId="0" fontId="115" fillId="0" borderId="0" xfId="1119" applyFont="1"/>
    <xf numFmtId="0" fontId="2" fillId="0" borderId="0" xfId="1119"/>
    <xf numFmtId="0" fontId="2" fillId="0" borderId="0" xfId="1119" applyAlignment="1">
      <alignment horizontal="center"/>
    </xf>
    <xf numFmtId="164" fontId="0" fillId="0" borderId="0" xfId="1120" applyNumberFormat="1" applyFont="1"/>
    <xf numFmtId="164" fontId="0" fillId="0" borderId="0" xfId="1120" applyNumberFormat="1" applyFont="1" applyBorder="1"/>
    <xf numFmtId="164" fontId="0" fillId="0" borderId="10" xfId="1120" applyNumberFormat="1" applyFont="1" applyBorder="1"/>
    <xf numFmtId="164" fontId="2" fillId="0" borderId="0" xfId="1119" applyNumberFormat="1"/>
    <xf numFmtId="0" fontId="2" fillId="0" borderId="0" xfId="1119" quotePrefix="1"/>
    <xf numFmtId="164" fontId="0" fillId="0" borderId="11" xfId="1120" applyNumberFormat="1" applyFont="1" applyBorder="1"/>
    <xf numFmtId="164" fontId="2" fillId="0" borderId="11" xfId="1119" applyNumberFormat="1" applyBorder="1"/>
    <xf numFmtId="43" fontId="2" fillId="0" borderId="0" xfId="1119" applyNumberFormat="1"/>
    <xf numFmtId="0" fontId="2" fillId="0" borderId="0" xfId="766" applyFont="1"/>
    <xf numFmtId="165" fontId="0" fillId="0" borderId="10" xfId="28" applyNumberFormat="1" applyFont="1" applyBorder="1"/>
    <xf numFmtId="0" fontId="29" fillId="0" borderId="3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165" fontId="1" fillId="0" borderId="0" xfId="28" applyNumberFormat="1" applyFont="1" applyFill="1" applyAlignment="1">
      <alignment horizontal="center"/>
    </xf>
    <xf numFmtId="0" fontId="1" fillId="0" borderId="0" xfId="766" applyFont="1"/>
    <xf numFmtId="0" fontId="113" fillId="0" borderId="0" xfId="766" applyFont="1" applyBorder="1"/>
    <xf numFmtId="165" fontId="113" fillId="0" borderId="0" xfId="28" applyNumberFormat="1" applyFont="1" applyFill="1" applyBorder="1" applyAlignment="1">
      <alignment horizontal="center"/>
    </xf>
    <xf numFmtId="165" fontId="113" fillId="0" borderId="0" xfId="28" applyNumberFormat="1" applyFont="1" applyFill="1" applyBorder="1"/>
    <xf numFmtId="165" fontId="113" fillId="0" borderId="10" xfId="28" applyNumberFormat="1" applyFont="1" applyFill="1" applyBorder="1" applyAlignment="1">
      <alignment horizontal="center"/>
    </xf>
    <xf numFmtId="165" fontId="113" fillId="0" borderId="10" xfId="28" applyNumberFormat="1" applyFont="1" applyFill="1" applyBorder="1"/>
    <xf numFmtId="165" fontId="113" fillId="0" borderId="11" xfId="28" applyNumberFormat="1" applyFont="1" applyFill="1" applyBorder="1"/>
    <xf numFmtId="0" fontId="29" fillId="0" borderId="3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4" fontId="30" fillId="0" borderId="0" xfId="28" applyNumberFormat="1" applyFont="1" applyBorder="1"/>
    <xf numFmtId="165" fontId="30" fillId="0" borderId="11" xfId="28" applyNumberFormat="1" applyFont="1" applyFill="1" applyBorder="1"/>
    <xf numFmtId="165" fontId="30" fillId="0" borderId="11" xfId="0" applyNumberFormat="1" applyFont="1" applyBorder="1"/>
    <xf numFmtId="0" fontId="30" fillId="0" borderId="0" xfId="0" applyFont="1" applyFill="1" applyBorder="1"/>
    <xf numFmtId="165" fontId="30" fillId="0" borderId="0" xfId="0" applyNumberFormat="1" applyFont="1" applyBorder="1"/>
    <xf numFmtId="165" fontId="30" fillId="0" borderId="0" xfId="28" applyNumberFormat="1" applyFont="1" applyFill="1" applyBorder="1" applyAlignment="1">
      <alignment horizontal="center"/>
    </xf>
    <xf numFmtId="0" fontId="29" fillId="0" borderId="0" xfId="0" applyFont="1" applyBorder="1"/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30" fillId="0" borderId="0" xfId="0" quotePrefix="1" applyFont="1" applyBorder="1"/>
    <xf numFmtId="165" fontId="30" fillId="0" borderId="30" xfId="0" applyNumberFormat="1" applyFont="1" applyBorder="1"/>
    <xf numFmtId="0" fontId="0" fillId="0" borderId="33" xfId="0" applyBorder="1"/>
    <xf numFmtId="165" fontId="30" fillId="0" borderId="31" xfId="28" applyNumberFormat="1" applyFont="1" applyFill="1" applyBorder="1"/>
    <xf numFmtId="0" fontId="29" fillId="0" borderId="0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30" xfId="0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9" fillId="0" borderId="0" xfId="766" applyFont="1" applyAlignment="1">
      <alignment horizontal="center"/>
    </xf>
    <xf numFmtId="0" fontId="29" fillId="0" borderId="0" xfId="766" applyFont="1" applyBorder="1" applyAlignment="1">
      <alignment horizontal="center"/>
    </xf>
    <xf numFmtId="37" fontId="33" fillId="0" borderId="10" xfId="45" applyNumberFormat="1" applyFont="1" applyBorder="1" applyAlignment="1">
      <alignment horizontal="center"/>
    </xf>
    <xf numFmtId="0" fontId="33" fillId="59" borderId="0" xfId="45" applyFont="1" applyFill="1" applyAlignment="1">
      <alignment horizontal="center"/>
    </xf>
    <xf numFmtId="37" fontId="33" fillId="59" borderId="0" xfId="45" applyNumberFormat="1" applyFont="1" applyFill="1" applyAlignment="1">
      <alignment horizontal="center"/>
    </xf>
    <xf numFmtId="37" fontId="33" fillId="0" borderId="0" xfId="45" applyNumberFormat="1" applyFont="1" applyAlignment="1">
      <alignment horizontal="center"/>
    </xf>
    <xf numFmtId="0" fontId="31" fillId="0" borderId="0" xfId="45" applyAlignment="1">
      <alignment horizontal="center"/>
    </xf>
    <xf numFmtId="0" fontId="31" fillId="0" borderId="10" xfId="45" applyBorder="1" applyAlignment="1">
      <alignment horizontal="center"/>
    </xf>
  </cellXfs>
  <cellStyles count="1121">
    <cellStyle name="_Row1" xfId="767"/>
    <cellStyle name="_Row1 2" xfId="768"/>
    <cellStyle name="20% - Accent1" xfId="1" builtinId="30" customBuiltin="1"/>
    <cellStyle name="20% - Accent1 2" xfId="56"/>
    <cellStyle name="20% - Accent1 2 2" xfId="57"/>
    <cellStyle name="20% - Accent1 3" xfId="58"/>
    <cellStyle name="20% - Accent1 3 2" xfId="769"/>
    <cellStyle name="20% - Accent1 3 2 2" xfId="770"/>
    <cellStyle name="20% - Accent1 3 3" xfId="771"/>
    <cellStyle name="20% - Accent1 4" xfId="59"/>
    <cellStyle name="20% - Accent1 5" xfId="60"/>
    <cellStyle name="20% - Accent1 6" xfId="61"/>
    <cellStyle name="20% - Accent1 7" xfId="62"/>
    <cellStyle name="20% - Accent1 8" xfId="63"/>
    <cellStyle name="20% - Accent2" xfId="2" builtinId="34" customBuiltin="1"/>
    <cellStyle name="20% - Accent2 2" xfId="64"/>
    <cellStyle name="20% - Accent2 2 2" xfId="65"/>
    <cellStyle name="20% - Accent2 3" xfId="66"/>
    <cellStyle name="20% - Accent2 3 2" xfId="772"/>
    <cellStyle name="20% - Accent2 3 2 2" xfId="773"/>
    <cellStyle name="20% - Accent2 3 3" xfId="774"/>
    <cellStyle name="20% - Accent2 4" xfId="67"/>
    <cellStyle name="20% - Accent2 5" xfId="68"/>
    <cellStyle name="20% - Accent2 6" xfId="69"/>
    <cellStyle name="20% - Accent3" xfId="3" builtinId="38" customBuiltin="1"/>
    <cellStyle name="20% - Accent3 2" xfId="70"/>
    <cellStyle name="20% - Accent3 2 2" xfId="71"/>
    <cellStyle name="20% - Accent3 3" xfId="72"/>
    <cellStyle name="20% - Accent3 3 2" xfId="775"/>
    <cellStyle name="20% - Accent3 3 2 2" xfId="776"/>
    <cellStyle name="20% - Accent3 3 3" xfId="777"/>
    <cellStyle name="20% - Accent3 4" xfId="73"/>
    <cellStyle name="20% - Accent3 5" xfId="74"/>
    <cellStyle name="20% - Accent3 6" xfId="75"/>
    <cellStyle name="20% - Accent3 7" xfId="76"/>
    <cellStyle name="20% - Accent3 8" xfId="77"/>
    <cellStyle name="20% - Accent4" xfId="4" builtinId="42" customBuiltin="1"/>
    <cellStyle name="20% - Accent4 2" xfId="78"/>
    <cellStyle name="20% - Accent4 2 2" xfId="79"/>
    <cellStyle name="20% - Accent4 2 2 2" xfId="778"/>
    <cellStyle name="20% - Accent4 2 2 2 2" xfId="779"/>
    <cellStyle name="20% - Accent4 2 2 3" xfId="780"/>
    <cellStyle name="20% - Accent4 2 3" xfId="781"/>
    <cellStyle name="20% - Accent4 2 3 2" xfId="782"/>
    <cellStyle name="20% - Accent4 2 3 2 2" xfId="783"/>
    <cellStyle name="20% - Accent4 2 3 3" xfId="784"/>
    <cellStyle name="20% - Accent4 2 4" xfId="785"/>
    <cellStyle name="20% - Accent4 2 4 2" xfId="786"/>
    <cellStyle name="20% - Accent4 2 4 2 2" xfId="787"/>
    <cellStyle name="20% - Accent4 2 4 3" xfId="788"/>
    <cellStyle name="20% - Accent4 2 5" xfId="789"/>
    <cellStyle name="20% - Accent4 2 5 2" xfId="790"/>
    <cellStyle name="20% - Accent4 2 6" xfId="791"/>
    <cellStyle name="20% - Accent4 3" xfId="80"/>
    <cellStyle name="20% - Accent4 3 2" xfId="792"/>
    <cellStyle name="20% - Accent4 3 2 2" xfId="793"/>
    <cellStyle name="20% - Accent4 3 2 2 2" xfId="794"/>
    <cellStyle name="20% - Accent4 3 2 3" xfId="795"/>
    <cellStyle name="20% - Accent4 3 3" xfId="796"/>
    <cellStyle name="20% - Accent4 3 3 2" xfId="797"/>
    <cellStyle name="20% - Accent4 3 3 2 2" xfId="798"/>
    <cellStyle name="20% - Accent4 3 3 3" xfId="799"/>
    <cellStyle name="20% - Accent4 3 4" xfId="800"/>
    <cellStyle name="20% - Accent4 3 4 2" xfId="801"/>
    <cellStyle name="20% - Accent4 3 4 2 2" xfId="802"/>
    <cellStyle name="20% - Accent4 3 4 3" xfId="803"/>
    <cellStyle name="20% - Accent4 3 5" xfId="804"/>
    <cellStyle name="20% - Accent4 3 5 2" xfId="805"/>
    <cellStyle name="20% - Accent4 3 6" xfId="806"/>
    <cellStyle name="20% - Accent4 4" xfId="81"/>
    <cellStyle name="20% - Accent4 4 2" xfId="807"/>
    <cellStyle name="20% - Accent4 4 2 2" xfId="808"/>
    <cellStyle name="20% - Accent4 4 2 2 2" xfId="809"/>
    <cellStyle name="20% - Accent4 4 2 3" xfId="810"/>
    <cellStyle name="20% - Accent4 4 3" xfId="811"/>
    <cellStyle name="20% - Accent4 4 3 2" xfId="812"/>
    <cellStyle name="20% - Accent4 4 3 2 2" xfId="813"/>
    <cellStyle name="20% - Accent4 4 3 3" xfId="814"/>
    <cellStyle name="20% - Accent4 4 4" xfId="815"/>
    <cellStyle name="20% - Accent4 4 4 2" xfId="816"/>
    <cellStyle name="20% - Accent4 4 4 2 2" xfId="817"/>
    <cellStyle name="20% - Accent4 4 4 3" xfId="818"/>
    <cellStyle name="20% - Accent4 4 5" xfId="819"/>
    <cellStyle name="20% - Accent4 4 5 2" xfId="820"/>
    <cellStyle name="20% - Accent4 4 6" xfId="821"/>
    <cellStyle name="20% - Accent4 5" xfId="82"/>
    <cellStyle name="20% - Accent4 6" xfId="83"/>
    <cellStyle name="20% - Accent4 6 2" xfId="822"/>
    <cellStyle name="20% - Accent4 6 2 2" xfId="823"/>
    <cellStyle name="20% - Accent4 6 3" xfId="824"/>
    <cellStyle name="20% - Accent4 7" xfId="84"/>
    <cellStyle name="20% - Accent4 8" xfId="85"/>
    <cellStyle name="20% - Accent5" xfId="5" builtinId="46" customBuiltin="1"/>
    <cellStyle name="20% - Accent5 2" xfId="86"/>
    <cellStyle name="20% - Accent5 2 2" xfId="87"/>
    <cellStyle name="20% - Accent5 3" xfId="88"/>
    <cellStyle name="20% - Accent5 3 2" xfId="825"/>
    <cellStyle name="20% - Accent5 3 2 2" xfId="826"/>
    <cellStyle name="20% - Accent5 3 3" xfId="827"/>
    <cellStyle name="20% - Accent5 4" xfId="89"/>
    <cellStyle name="20% - Accent5 5" xfId="90"/>
    <cellStyle name="20% - Accent5 6" xfId="91"/>
    <cellStyle name="20% - Accent6" xfId="6" builtinId="50" customBuiltin="1"/>
    <cellStyle name="20% - Accent6 2" xfId="92"/>
    <cellStyle name="20% - Accent6 2 2" xfId="93"/>
    <cellStyle name="20% - Accent6 3" xfId="94"/>
    <cellStyle name="20% - Accent6 3 2" xfId="828"/>
    <cellStyle name="20% - Accent6 3 2 2" xfId="829"/>
    <cellStyle name="20% - Accent6 3 3" xfId="830"/>
    <cellStyle name="20% - Accent6 4" xfId="95"/>
    <cellStyle name="20% - Accent6 5" xfId="96"/>
    <cellStyle name="20% - Accent6 6" xfId="97"/>
    <cellStyle name="40% - Accent1" xfId="7" builtinId="31" customBuiltin="1"/>
    <cellStyle name="40% - Accent1 2" xfId="98"/>
    <cellStyle name="40% - Accent1 2 2" xfId="99"/>
    <cellStyle name="40% - Accent1 3" xfId="100"/>
    <cellStyle name="40% - Accent1 3 2" xfId="831"/>
    <cellStyle name="40% - Accent1 3 2 2" xfId="832"/>
    <cellStyle name="40% - Accent1 3 3" xfId="833"/>
    <cellStyle name="40% - Accent1 4" xfId="101"/>
    <cellStyle name="40% - Accent1 5" xfId="102"/>
    <cellStyle name="40% - Accent1 6" xfId="103"/>
    <cellStyle name="40% - Accent1 7" xfId="104"/>
    <cellStyle name="40% - Accent1 8" xfId="105"/>
    <cellStyle name="40% - Accent2" xfId="8" builtinId="35" customBuiltin="1"/>
    <cellStyle name="40% - Accent2 2" xfId="106"/>
    <cellStyle name="40% - Accent2 2 2" xfId="107"/>
    <cellStyle name="40% - Accent2 3" xfId="108"/>
    <cellStyle name="40% - Accent2 3 2" xfId="834"/>
    <cellStyle name="40% - Accent2 3 2 2" xfId="835"/>
    <cellStyle name="40% - Accent2 3 3" xfId="836"/>
    <cellStyle name="40% - Accent2 4" xfId="109"/>
    <cellStyle name="40% - Accent2 5" xfId="110"/>
    <cellStyle name="40% - Accent2 6" xfId="111"/>
    <cellStyle name="40% - Accent3" xfId="9" builtinId="39" customBuiltin="1"/>
    <cellStyle name="40% - Accent3 2" xfId="112"/>
    <cellStyle name="40% - Accent3 2 2" xfId="113"/>
    <cellStyle name="40% - Accent3 3" xfId="114"/>
    <cellStyle name="40% - Accent3 3 2" xfId="837"/>
    <cellStyle name="40% - Accent3 3 2 2" xfId="838"/>
    <cellStyle name="40% - Accent3 3 3" xfId="839"/>
    <cellStyle name="40% - Accent3 4" xfId="115"/>
    <cellStyle name="40% - Accent3 5" xfId="116"/>
    <cellStyle name="40% - Accent3 6" xfId="117"/>
    <cellStyle name="40% - Accent3 7" xfId="118"/>
    <cellStyle name="40% - Accent3 8" xfId="119"/>
    <cellStyle name="40% - Accent4" xfId="10" builtinId="43" customBuiltin="1"/>
    <cellStyle name="40% - Accent4 2" xfId="120"/>
    <cellStyle name="40% - Accent4 2 2" xfId="121"/>
    <cellStyle name="40% - Accent4 3" xfId="122"/>
    <cellStyle name="40% - Accent4 3 2" xfId="840"/>
    <cellStyle name="40% - Accent4 3 2 2" xfId="841"/>
    <cellStyle name="40% - Accent4 3 3" xfId="842"/>
    <cellStyle name="40% - Accent4 4" xfId="123"/>
    <cellStyle name="40% - Accent4 5" xfId="124"/>
    <cellStyle name="40% - Accent4 6" xfId="125"/>
    <cellStyle name="40% - Accent4 7" xfId="126"/>
    <cellStyle name="40% - Accent4 8" xfId="127"/>
    <cellStyle name="40% - Accent5" xfId="11" builtinId="47" customBuiltin="1"/>
    <cellStyle name="40% - Accent5 2" xfId="128"/>
    <cellStyle name="40% - Accent5 2 2" xfId="129"/>
    <cellStyle name="40% - Accent5 3" xfId="130"/>
    <cellStyle name="40% - Accent5 3 2" xfId="843"/>
    <cellStyle name="40% - Accent5 3 2 2" xfId="844"/>
    <cellStyle name="40% - Accent5 3 3" xfId="845"/>
    <cellStyle name="40% - Accent5 4" xfId="131"/>
    <cellStyle name="40% - Accent5 5" xfId="132"/>
    <cellStyle name="40% - Accent5 6" xfId="133"/>
    <cellStyle name="40% - Accent6" xfId="12" builtinId="51" customBuiltin="1"/>
    <cellStyle name="40% - Accent6 2" xfId="134"/>
    <cellStyle name="40% - Accent6 2 2" xfId="135"/>
    <cellStyle name="40% - Accent6 3" xfId="136"/>
    <cellStyle name="40% - Accent6 3 2" xfId="846"/>
    <cellStyle name="40% - Accent6 3 2 2" xfId="847"/>
    <cellStyle name="40% - Accent6 3 3" xfId="848"/>
    <cellStyle name="40% - Accent6 4" xfId="137"/>
    <cellStyle name="40% - Accent6 5" xfId="138"/>
    <cellStyle name="40% - Accent6 6" xfId="139"/>
    <cellStyle name="40% - Accent6 7" xfId="140"/>
    <cellStyle name="40% - Accent6 8" xfId="141"/>
    <cellStyle name="60% - Accent1" xfId="13" builtinId="32" customBuiltin="1"/>
    <cellStyle name="60% - Accent1 2" xfId="142"/>
    <cellStyle name="60% - Accent1 3" xfId="143"/>
    <cellStyle name="60% - Accent1 4" xfId="144"/>
    <cellStyle name="60% - Accent1 5" xfId="145"/>
    <cellStyle name="60% - Accent1 6" xfId="146"/>
    <cellStyle name="60% - Accent1 7" xfId="147"/>
    <cellStyle name="60% - Accent1 8" xfId="148"/>
    <cellStyle name="60% - Accent2" xfId="14" builtinId="36" customBuiltin="1"/>
    <cellStyle name="60% - Accent2 2" xfId="149"/>
    <cellStyle name="60% - Accent2 3" xfId="150"/>
    <cellStyle name="60% - Accent2 4" xfId="151"/>
    <cellStyle name="60% - Accent2 5" xfId="152"/>
    <cellStyle name="60% - Accent2 6" xfId="153"/>
    <cellStyle name="60% - Accent3" xfId="15" builtinId="40" customBuiltin="1"/>
    <cellStyle name="60% - Accent3 2" xfId="154"/>
    <cellStyle name="60% - Accent3 3" xfId="155"/>
    <cellStyle name="60% - Accent3 4" xfId="156"/>
    <cellStyle name="60% - Accent3 5" xfId="157"/>
    <cellStyle name="60% - Accent3 6" xfId="158"/>
    <cellStyle name="60% - Accent3 7" xfId="159"/>
    <cellStyle name="60% - Accent3 8" xfId="160"/>
    <cellStyle name="60% - Accent4" xfId="16" builtinId="44" customBuiltin="1"/>
    <cellStyle name="60% - Accent4 2" xfId="161"/>
    <cellStyle name="60% - Accent4 3" xfId="162"/>
    <cellStyle name="60% - Accent4 4" xfId="163"/>
    <cellStyle name="60% - Accent4 5" xfId="164"/>
    <cellStyle name="60% - Accent4 6" xfId="165"/>
    <cellStyle name="60% - Accent4 7" xfId="166"/>
    <cellStyle name="60% - Accent4 8" xfId="167"/>
    <cellStyle name="60% - Accent5" xfId="17" builtinId="48" customBuiltin="1"/>
    <cellStyle name="60% - Accent5 2" xfId="168"/>
    <cellStyle name="60% - Accent5 3" xfId="169"/>
    <cellStyle name="60% - Accent5 4" xfId="170"/>
    <cellStyle name="60% - Accent5 5" xfId="171"/>
    <cellStyle name="60% - Accent5 6" xfId="172"/>
    <cellStyle name="60% - Accent6" xfId="18" builtinId="52" customBuiltin="1"/>
    <cellStyle name="60% - Accent6 2" xfId="173"/>
    <cellStyle name="60% - Accent6 3" xfId="174"/>
    <cellStyle name="60% - Accent6 4" xfId="175"/>
    <cellStyle name="60% - Accent6 5" xfId="176"/>
    <cellStyle name="60% - Accent6 6" xfId="177"/>
    <cellStyle name="60% - Accent6 7" xfId="178"/>
    <cellStyle name="60% - Accent6 8" xfId="179"/>
    <cellStyle name="Accent1" xfId="19" builtinId="29" customBuiltin="1"/>
    <cellStyle name="Accent1 2" xfId="180"/>
    <cellStyle name="Accent1 3" xfId="181"/>
    <cellStyle name="Accent1 4" xfId="182"/>
    <cellStyle name="Accent1 5" xfId="183"/>
    <cellStyle name="Accent1 6" xfId="184"/>
    <cellStyle name="Accent1 7" xfId="185"/>
    <cellStyle name="Accent1 8" xfId="186"/>
    <cellStyle name="Accent2" xfId="20" builtinId="33" customBuiltin="1"/>
    <cellStyle name="Accent2 2" xfId="187"/>
    <cellStyle name="Accent2 3" xfId="188"/>
    <cellStyle name="Accent2 4" xfId="189"/>
    <cellStyle name="Accent2 5" xfId="190"/>
    <cellStyle name="Accent2 6" xfId="191"/>
    <cellStyle name="Accent3" xfId="21" builtinId="37" customBuiltin="1"/>
    <cellStyle name="Accent3 2" xfId="192"/>
    <cellStyle name="Accent3 3" xfId="193"/>
    <cellStyle name="Accent3 4" xfId="194"/>
    <cellStyle name="Accent3 5" xfId="195"/>
    <cellStyle name="Accent3 6" xfId="196"/>
    <cellStyle name="Accent4" xfId="22" builtinId="41" customBuiltin="1"/>
    <cellStyle name="Accent4 2" xfId="197"/>
    <cellStyle name="Accent4 3" xfId="198"/>
    <cellStyle name="Accent4 4" xfId="199"/>
    <cellStyle name="Accent4 5" xfId="200"/>
    <cellStyle name="Accent4 6" xfId="201"/>
    <cellStyle name="Accent4 7" xfId="202"/>
    <cellStyle name="Accent4 8" xfId="203"/>
    <cellStyle name="Accent5" xfId="23" builtinId="45" customBuiltin="1"/>
    <cellStyle name="Accent5 2" xfId="204"/>
    <cellStyle name="Accent5 3" xfId="205"/>
    <cellStyle name="Accent5 4" xfId="206"/>
    <cellStyle name="Accent5 5" xfId="207"/>
    <cellStyle name="Accent5 6" xfId="208"/>
    <cellStyle name="Accent6" xfId="24" builtinId="49" customBuiltin="1"/>
    <cellStyle name="Accent6 2" xfId="209"/>
    <cellStyle name="Accent6 3" xfId="210"/>
    <cellStyle name="Accent6 4" xfId="211"/>
    <cellStyle name="Accent6 5" xfId="212"/>
    <cellStyle name="Accent6 6" xfId="213"/>
    <cellStyle name="Bad" xfId="25" builtinId="27" customBuiltin="1"/>
    <cellStyle name="Bad 2" xfId="214"/>
    <cellStyle name="Bad 3" xfId="215"/>
    <cellStyle name="Bad 4" xfId="216"/>
    <cellStyle name="Bad 5" xfId="217"/>
    <cellStyle name="Bad 6" xfId="218"/>
    <cellStyle name="Bad 7" xfId="219"/>
    <cellStyle name="Bad 8" xfId="220"/>
    <cellStyle name="Calculation" xfId="26" builtinId="22" customBuiltin="1"/>
    <cellStyle name="Calculation 2" xfId="221"/>
    <cellStyle name="Calculation 3" xfId="222"/>
    <cellStyle name="Calculation 4" xfId="223"/>
    <cellStyle name="Calculation 5" xfId="224"/>
    <cellStyle name="Calculation 6" xfId="225"/>
    <cellStyle name="Check Cell" xfId="27" builtinId="23" customBuiltin="1"/>
    <cellStyle name="Check Cell 2" xfId="226"/>
    <cellStyle name="Check Cell 3" xfId="227"/>
    <cellStyle name="Check Cell 4" xfId="228"/>
    <cellStyle name="Check Cell 5" xfId="229"/>
    <cellStyle name="Check Cell 6" xfId="230"/>
    <cellStyle name="Check Cell 7" xfId="231"/>
    <cellStyle name="Check Cell 8" xfId="232"/>
    <cellStyle name="CodeEingabe" xfId="849"/>
    <cellStyle name="ColumnAttributeAbovePrompt" xfId="850"/>
    <cellStyle name="ColumnAttributePrompt" xfId="851"/>
    <cellStyle name="ColumnAttributeValue" xfId="852"/>
    <cellStyle name="ColumnHeadingPrompt" xfId="853"/>
    <cellStyle name="ColumnHeadingValue" xfId="854"/>
    <cellStyle name="Comma" xfId="28" builtinId="3"/>
    <cellStyle name="Comma [0] 2" xfId="855"/>
    <cellStyle name="Comma 10" xfId="233"/>
    <cellStyle name="Comma 10 9" xfId="856"/>
    <cellStyle name="Comma 11" xfId="234"/>
    <cellStyle name="Comma 11 2" xfId="857"/>
    <cellStyle name="Comma 11 2 2" xfId="858"/>
    <cellStyle name="Comma 11 3" xfId="859"/>
    <cellStyle name="Comma 12" xfId="235"/>
    <cellStyle name="Comma 12 2" xfId="860"/>
    <cellStyle name="Comma 13" xfId="236"/>
    <cellStyle name="Comma 14" xfId="237"/>
    <cellStyle name="Comma 15" xfId="238"/>
    <cellStyle name="Comma 16" xfId="239"/>
    <cellStyle name="Comma 17" xfId="55"/>
    <cellStyle name="Comma 17 2" xfId="240"/>
    <cellStyle name="Comma 17 2 2" xfId="241"/>
    <cellStyle name="Comma 17 2 2 2" xfId="242"/>
    <cellStyle name="Comma 17 2 3" xfId="243"/>
    <cellStyle name="Comma 17 3" xfId="244"/>
    <cellStyle name="Comma 17 3 2" xfId="245"/>
    <cellStyle name="Comma 17 3 2 2" xfId="246"/>
    <cellStyle name="Comma 17 3 3" xfId="247"/>
    <cellStyle name="Comma 17 4" xfId="248"/>
    <cellStyle name="Comma 17 4 2" xfId="249"/>
    <cellStyle name="Comma 17 5" xfId="250"/>
    <cellStyle name="Comma 18" xfId="251"/>
    <cellStyle name="Comma 19" xfId="252"/>
    <cellStyle name="Comma 2" xfId="54"/>
    <cellStyle name="Comma 2 2" xfId="253"/>
    <cellStyle name="Comma 2 2 2" xfId="254"/>
    <cellStyle name="Comma 2 2 3" xfId="255"/>
    <cellStyle name="Comma 2 3" xfId="256"/>
    <cellStyle name="Comma 2 4" xfId="257"/>
    <cellStyle name="Comma 2 5" xfId="258"/>
    <cellStyle name="Comma 2_Allocators" xfId="259"/>
    <cellStyle name="Comma 20" xfId="260"/>
    <cellStyle name="Comma 20 2" xfId="261"/>
    <cellStyle name="Comma 20 2 2" xfId="262"/>
    <cellStyle name="Comma 20 2 2 2" xfId="263"/>
    <cellStyle name="Comma 20 2 3" xfId="264"/>
    <cellStyle name="Comma 20 3" xfId="265"/>
    <cellStyle name="Comma 20 3 2" xfId="266"/>
    <cellStyle name="Comma 20 3 2 2" xfId="267"/>
    <cellStyle name="Comma 20 3 3" xfId="268"/>
    <cellStyle name="Comma 20 4" xfId="269"/>
    <cellStyle name="Comma 20 4 2" xfId="270"/>
    <cellStyle name="Comma 20 5" xfId="271"/>
    <cellStyle name="Comma 21" xfId="272"/>
    <cellStyle name="Comma 22" xfId="1120"/>
    <cellStyle name="Comma 27" xfId="861"/>
    <cellStyle name="Comma 3" xfId="273"/>
    <cellStyle name="Comma 3 10" xfId="51"/>
    <cellStyle name="Comma 3 10 2" xfId="274"/>
    <cellStyle name="Comma 3 10 2 2" xfId="275"/>
    <cellStyle name="Comma 3 10 2 2 2" xfId="276"/>
    <cellStyle name="Comma 3 10 2 3" xfId="277"/>
    <cellStyle name="Comma 3 10 3" xfId="278"/>
    <cellStyle name="Comma 3 10 3 2" xfId="279"/>
    <cellStyle name="Comma 3 10 3 2 2" xfId="280"/>
    <cellStyle name="Comma 3 10 3 3" xfId="281"/>
    <cellStyle name="Comma 3 10 4" xfId="282"/>
    <cellStyle name="Comma 3 10 4 2" xfId="283"/>
    <cellStyle name="Comma 3 10 5" xfId="284"/>
    <cellStyle name="Comma 3 11" xfId="285"/>
    <cellStyle name="Comma 3 12" xfId="286"/>
    <cellStyle name="Comma 3 12 2" xfId="287"/>
    <cellStyle name="Comma 3 12 2 2" xfId="288"/>
    <cellStyle name="Comma 3 12 3" xfId="289"/>
    <cellStyle name="Comma 3 13" xfId="290"/>
    <cellStyle name="Comma 3 2" xfId="291"/>
    <cellStyle name="Comma 3 2 2" xfId="862"/>
    <cellStyle name="Comma 3 2 2 2" xfId="863"/>
    <cellStyle name="Comma 3 2 3" xfId="864"/>
    <cellStyle name="Comma 3 3" xfId="292"/>
    <cellStyle name="Comma 3 3 2" xfId="865"/>
    <cellStyle name="Comma 3 3 2 2" xfId="866"/>
    <cellStyle name="Comma 3 3 3" xfId="867"/>
    <cellStyle name="Comma 3 4" xfId="293"/>
    <cellStyle name="Comma 3 4 2" xfId="294"/>
    <cellStyle name="Comma 3 4 2 2" xfId="295"/>
    <cellStyle name="Comma 3 4 2 2 2" xfId="296"/>
    <cellStyle name="Comma 3 4 2 3" xfId="297"/>
    <cellStyle name="Comma 3 4 3" xfId="298"/>
    <cellStyle name="Comma 3 4 3 2" xfId="299"/>
    <cellStyle name="Comma 3 4 3 2 2" xfId="300"/>
    <cellStyle name="Comma 3 4 3 3" xfId="301"/>
    <cellStyle name="Comma 3 4 4" xfId="302"/>
    <cellStyle name="Comma 3 4 4 2" xfId="303"/>
    <cellStyle name="Comma 3 4 5" xfId="304"/>
    <cellStyle name="Comma 3 5" xfId="305"/>
    <cellStyle name="Comma 3 5 2" xfId="306"/>
    <cellStyle name="Comma 3 5 2 2" xfId="307"/>
    <cellStyle name="Comma 3 5 2 2 2" xfId="308"/>
    <cellStyle name="Comma 3 5 2 3" xfId="309"/>
    <cellStyle name="Comma 3 5 3" xfId="310"/>
    <cellStyle name="Comma 3 5 3 2" xfId="311"/>
    <cellStyle name="Comma 3 5 3 2 2" xfId="312"/>
    <cellStyle name="Comma 3 5 3 3" xfId="313"/>
    <cellStyle name="Comma 3 5 4" xfId="314"/>
    <cellStyle name="Comma 3 5 4 2" xfId="315"/>
    <cellStyle name="Comma 3 5 5" xfId="316"/>
    <cellStyle name="Comma 3 6" xfId="317"/>
    <cellStyle name="Comma 3 6 2" xfId="318"/>
    <cellStyle name="Comma 3 6 2 2" xfId="319"/>
    <cellStyle name="Comma 3 6 2 2 2" xfId="320"/>
    <cellStyle name="Comma 3 6 2 3" xfId="321"/>
    <cellStyle name="Comma 3 6 3" xfId="322"/>
    <cellStyle name="Comma 3 6 3 2" xfId="323"/>
    <cellStyle name="Comma 3 6 3 2 2" xfId="324"/>
    <cellStyle name="Comma 3 6 3 3" xfId="325"/>
    <cellStyle name="Comma 3 6 4" xfId="326"/>
    <cellStyle name="Comma 3 6 4 2" xfId="327"/>
    <cellStyle name="Comma 3 6 5" xfId="328"/>
    <cellStyle name="Comma 3 7" xfId="329"/>
    <cellStyle name="Comma 3 7 2" xfId="330"/>
    <cellStyle name="Comma 3 7 2 2" xfId="331"/>
    <cellStyle name="Comma 3 7 2 2 2" xfId="332"/>
    <cellStyle name="Comma 3 7 2 3" xfId="333"/>
    <cellStyle name="Comma 3 7 3" xfId="334"/>
    <cellStyle name="Comma 3 7 3 2" xfId="335"/>
    <cellStyle name="Comma 3 7 3 2 2" xfId="336"/>
    <cellStyle name="Comma 3 7 3 3" xfId="337"/>
    <cellStyle name="Comma 3 7 4" xfId="338"/>
    <cellStyle name="Comma 3 7 4 2" xfId="339"/>
    <cellStyle name="Comma 3 7 5" xfId="340"/>
    <cellStyle name="Comma 3 8" xfId="341"/>
    <cellStyle name="Comma 3 8 2" xfId="342"/>
    <cellStyle name="Comma 3 8 2 2" xfId="343"/>
    <cellStyle name="Comma 3 8 2 2 2" xfId="344"/>
    <cellStyle name="Comma 3 8 2 3" xfId="345"/>
    <cellStyle name="Comma 3 8 3" xfId="346"/>
    <cellStyle name="Comma 3 8 3 2" xfId="347"/>
    <cellStyle name="Comma 3 8 3 2 2" xfId="348"/>
    <cellStyle name="Comma 3 8 3 3" xfId="349"/>
    <cellStyle name="Comma 3 8 4" xfId="350"/>
    <cellStyle name="Comma 3 8 4 2" xfId="351"/>
    <cellStyle name="Comma 3 8 5" xfId="352"/>
    <cellStyle name="Comma 3 9" xfId="353"/>
    <cellStyle name="Comma 3 9 2" xfId="354"/>
    <cellStyle name="Comma 3 9 2 2" xfId="355"/>
    <cellStyle name="Comma 3 9 2 2 2" xfId="356"/>
    <cellStyle name="Comma 3 9 2 3" xfId="357"/>
    <cellStyle name="Comma 3 9 3" xfId="358"/>
    <cellStyle name="Comma 3 9 3 2" xfId="359"/>
    <cellStyle name="Comma 3 9 3 2 2" xfId="360"/>
    <cellStyle name="Comma 3 9 3 3" xfId="361"/>
    <cellStyle name="Comma 3 9 4" xfId="362"/>
    <cellStyle name="Comma 3 9 4 2" xfId="363"/>
    <cellStyle name="Comma 3 9 5" xfId="364"/>
    <cellStyle name="Comma 4" xfId="365"/>
    <cellStyle name="Comma 4 2" xfId="366"/>
    <cellStyle name="Comma 4 2 2" xfId="868"/>
    <cellStyle name="Comma 4 2 2 2" xfId="869"/>
    <cellStyle name="Comma 4 2 3" xfId="870"/>
    <cellStyle name="Comma 4 3" xfId="367"/>
    <cellStyle name="Comma 4 4" xfId="368"/>
    <cellStyle name="Comma 4 4 2" xfId="871"/>
    <cellStyle name="Comma 4 5" xfId="872"/>
    <cellStyle name="Comma 46" xfId="873"/>
    <cellStyle name="Comma 47" xfId="874"/>
    <cellStyle name="Comma 5" xfId="369"/>
    <cellStyle name="Comma 6" xfId="370"/>
    <cellStyle name="Comma 6 2" xfId="371"/>
    <cellStyle name="Comma 7" xfId="372"/>
    <cellStyle name="Comma 7 2" xfId="373"/>
    <cellStyle name="Comma 7 2 2" xfId="875"/>
    <cellStyle name="Comma 7 2 2 2" xfId="876"/>
    <cellStyle name="Comma 7 2 3" xfId="877"/>
    <cellStyle name="Comma 7 3" xfId="878"/>
    <cellStyle name="Comma 7 3 2" xfId="879"/>
    <cellStyle name="Comma 7 3 2 2" xfId="880"/>
    <cellStyle name="Comma 7 3 3" xfId="881"/>
    <cellStyle name="Comma 7 4" xfId="882"/>
    <cellStyle name="Comma 7 4 2" xfId="883"/>
    <cellStyle name="Comma 7 4 2 2" xfId="884"/>
    <cellStyle name="Comma 7 4 3" xfId="885"/>
    <cellStyle name="Comma 7 5" xfId="886"/>
    <cellStyle name="Comma 7 5 2" xfId="887"/>
    <cellStyle name="Comma 7 5 2 2" xfId="888"/>
    <cellStyle name="Comma 7 5 3" xfId="889"/>
    <cellStyle name="Comma 7 6" xfId="890"/>
    <cellStyle name="Comma 7 6 2" xfId="891"/>
    <cellStyle name="Comma 7 6 2 2" xfId="892"/>
    <cellStyle name="Comma 7 6 3" xfId="893"/>
    <cellStyle name="Comma 7 7" xfId="894"/>
    <cellStyle name="Comma 7 7 2" xfId="895"/>
    <cellStyle name="Comma 7 8" xfId="896"/>
    <cellStyle name="Comma 8" xfId="374"/>
    <cellStyle name="Comma 8 2" xfId="375"/>
    <cellStyle name="Comma 8 2 2" xfId="897"/>
    <cellStyle name="Comma 8 3" xfId="898"/>
    <cellStyle name="Comma 86" xfId="899"/>
    <cellStyle name="Comma 9" xfId="376"/>
    <cellStyle name="Comma0" xfId="900"/>
    <cellStyle name="CommaBlank" xfId="377"/>
    <cellStyle name="CommaBlank 2" xfId="378"/>
    <cellStyle name="Currency" xfId="1117" builtinId="4"/>
    <cellStyle name="Currency 10" xfId="379"/>
    <cellStyle name="Currency 10 2" xfId="380"/>
    <cellStyle name="Currency 10 2 2" xfId="381"/>
    <cellStyle name="Currency 10 2 2 2" xfId="382"/>
    <cellStyle name="Currency 10 2 3" xfId="383"/>
    <cellStyle name="Currency 10 3" xfId="384"/>
    <cellStyle name="Currency 10 3 2" xfId="385"/>
    <cellStyle name="Currency 10 3 2 2" xfId="386"/>
    <cellStyle name="Currency 10 3 3" xfId="387"/>
    <cellStyle name="Currency 10 4" xfId="388"/>
    <cellStyle name="Currency 10 4 2" xfId="389"/>
    <cellStyle name="Currency 10 5" xfId="390"/>
    <cellStyle name="Currency 11" xfId="391"/>
    <cellStyle name="Currency 2" xfId="392"/>
    <cellStyle name="Currency 2 2" xfId="393"/>
    <cellStyle name="Currency 2 3" xfId="394"/>
    <cellStyle name="Currency 2 4" xfId="395"/>
    <cellStyle name="Currency 3" xfId="52"/>
    <cellStyle name="Currency 3 2" xfId="396"/>
    <cellStyle name="Currency 3 2 2" xfId="901"/>
    <cellStyle name="Currency 3 3" xfId="397"/>
    <cellStyle name="Currency 3 4" xfId="398"/>
    <cellStyle name="Currency 3 5" xfId="399"/>
    <cellStyle name="Currency 4" xfId="400"/>
    <cellStyle name="Currency 4 2" xfId="401"/>
    <cellStyle name="Currency 4 2 2" xfId="902"/>
    <cellStyle name="Currency 4 3" xfId="402"/>
    <cellStyle name="Currency 4 4" xfId="403"/>
    <cellStyle name="Currency 5" xfId="404"/>
    <cellStyle name="Currency 5 2" xfId="903"/>
    <cellStyle name="Currency 5 2 2" xfId="904"/>
    <cellStyle name="Currency 5 3" xfId="905"/>
    <cellStyle name="Currency 6" xfId="405"/>
    <cellStyle name="Currency 6 2" xfId="906"/>
    <cellStyle name="Currency 6 2 2" xfId="907"/>
    <cellStyle name="Currency 6 3" xfId="908"/>
    <cellStyle name="Currency 7" xfId="406"/>
    <cellStyle name="Currency 7 2" xfId="909"/>
    <cellStyle name="Currency 7 2 2" xfId="910"/>
    <cellStyle name="Currency 7 3" xfId="911"/>
    <cellStyle name="Currency 8" xfId="407"/>
    <cellStyle name="Currency 8 2" xfId="912"/>
    <cellStyle name="Currency 8 2 2" xfId="913"/>
    <cellStyle name="Currency 8 3" xfId="914"/>
    <cellStyle name="Currency 9" xfId="408"/>
    <cellStyle name="Currency 9 2" xfId="915"/>
    <cellStyle name="Currency0" xfId="916"/>
    <cellStyle name="Custom - Style1" xfId="917"/>
    <cellStyle name="Data   - Style2" xfId="918"/>
    <cellStyle name="Date" xfId="919"/>
    <cellStyle name="Eingabe" xfId="920"/>
    <cellStyle name="Eingabe 2" xfId="921"/>
    <cellStyle name="Euro" xfId="922"/>
    <cellStyle name="Euro 2" xfId="923"/>
    <cellStyle name="Explanatory Text" xfId="29" builtinId="53" customBuiltin="1"/>
    <cellStyle name="Explanatory Text 2" xfId="409"/>
    <cellStyle name="Explanatory Text 3" xfId="410"/>
    <cellStyle name="Explanatory Text 4" xfId="411"/>
    <cellStyle name="Explanatory Text 5" xfId="412"/>
    <cellStyle name="Explanatory Text 6" xfId="413"/>
    <cellStyle name="F2" xfId="924"/>
    <cellStyle name="F3" xfId="925"/>
    <cellStyle name="F4" xfId="926"/>
    <cellStyle name="F5" xfId="927"/>
    <cellStyle name="F6" xfId="928"/>
    <cellStyle name="F6 2" xfId="929"/>
    <cellStyle name="F7" xfId="930"/>
    <cellStyle name="F8" xfId="931"/>
    <cellStyle name="Fixed" xfId="932"/>
    <cellStyle name="Good" xfId="30" builtinId="26" customBuiltin="1"/>
    <cellStyle name="Good 2" xfId="414"/>
    <cellStyle name="Good 3" xfId="415"/>
    <cellStyle name="Good 4" xfId="416"/>
    <cellStyle name="Good 5" xfId="417"/>
    <cellStyle name="Good 6" xfId="418"/>
    <cellStyle name="Heading 1" xfId="31" builtinId="16" customBuiltin="1"/>
    <cellStyle name="Heading 1 2" xfId="419"/>
    <cellStyle name="Heading 1 3" xfId="420"/>
    <cellStyle name="Heading 1 4" xfId="421"/>
    <cellStyle name="Heading 1 5" xfId="422"/>
    <cellStyle name="Heading 1 6" xfId="423"/>
    <cellStyle name="Heading 1 7" xfId="424"/>
    <cellStyle name="Heading 1 8" xfId="425"/>
    <cellStyle name="Heading 2" xfId="32" builtinId="17" customBuiltin="1"/>
    <cellStyle name="Heading 2 2" xfId="426"/>
    <cellStyle name="Heading 2 3" xfId="427"/>
    <cellStyle name="Heading 2 4" xfId="428"/>
    <cellStyle name="Heading 2 5" xfId="429"/>
    <cellStyle name="Heading 2 6" xfId="430"/>
    <cellStyle name="Heading 2 7" xfId="431"/>
    <cellStyle name="Heading 2 8" xfId="432"/>
    <cellStyle name="Heading 3" xfId="33" builtinId="18" customBuiltin="1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4" xfId="34" builtinId="19" customBuiltin="1"/>
    <cellStyle name="Heading 4 2" xfId="440"/>
    <cellStyle name="Heading 4 3" xfId="441"/>
    <cellStyle name="Heading 4 4" xfId="442"/>
    <cellStyle name="Heading 4 5" xfId="443"/>
    <cellStyle name="Heading 4 6" xfId="444"/>
    <cellStyle name="Heading 4 7" xfId="445"/>
    <cellStyle name="Heading 4 8" xfId="446"/>
    <cellStyle name="Input" xfId="35" builtinId="20" customBuiltin="1"/>
    <cellStyle name="Input 2" xfId="447"/>
    <cellStyle name="Input 3" xfId="448"/>
    <cellStyle name="Input 4" xfId="449"/>
    <cellStyle name="Input 5" xfId="450"/>
    <cellStyle name="Input 6" xfId="451"/>
    <cellStyle name="kirkdollars" xfId="452"/>
    <cellStyle name="Labels - Style3" xfId="933"/>
    <cellStyle name="LineItemPrompt" xfId="934"/>
    <cellStyle name="LineItemValue" xfId="935"/>
    <cellStyle name="LineItemValue 2" xfId="936"/>
    <cellStyle name="Linked Cell" xfId="36" builtinId="24" customBuiltin="1"/>
    <cellStyle name="Linked Cell 2" xfId="453"/>
    <cellStyle name="Linked Cell 3" xfId="454"/>
    <cellStyle name="Linked Cell 4" xfId="455"/>
    <cellStyle name="Linked Cell 5" xfId="456"/>
    <cellStyle name="Linked Cell 6" xfId="457"/>
    <cellStyle name="Neutral" xfId="37" builtinId="28" customBuiltin="1"/>
    <cellStyle name="Neutral 2" xfId="458"/>
    <cellStyle name="Neutral 3" xfId="459"/>
    <cellStyle name="Neutral 4" xfId="460"/>
    <cellStyle name="Neutral 5" xfId="461"/>
    <cellStyle name="Neutral 6" xfId="462"/>
    <cellStyle name="Normal" xfId="0" builtinId="0"/>
    <cellStyle name="Normal - Style1" xfId="937"/>
    <cellStyle name="Normal - Style2" xfId="938"/>
    <cellStyle name="Normal - Style3" xfId="939"/>
    <cellStyle name="Normal - Style4" xfId="940"/>
    <cellStyle name="Normal - Style5" xfId="941"/>
    <cellStyle name="Normal - Style6" xfId="942"/>
    <cellStyle name="Normal - Style7" xfId="943"/>
    <cellStyle name="Normal - Style8" xfId="944"/>
    <cellStyle name="Normal 10" xfId="463"/>
    <cellStyle name="Normal 11" xfId="464"/>
    <cellStyle name="Normal 12" xfId="465"/>
    <cellStyle name="Normal 12 2" xfId="945"/>
    <cellStyle name="Normal 13" xfId="466"/>
    <cellStyle name="Normal 13 2" xfId="946"/>
    <cellStyle name="Normal 13 2 2" xfId="947"/>
    <cellStyle name="Normal 13 3" xfId="948"/>
    <cellStyle name="Normal 14" xfId="467"/>
    <cellStyle name="Normal 14 2" xfId="949"/>
    <cellStyle name="Normal 14 2 2" xfId="950"/>
    <cellStyle name="Normal 14 3" xfId="951"/>
    <cellStyle name="Normal 15" xfId="468"/>
    <cellStyle name="Normal 15 2" xfId="469"/>
    <cellStyle name="Normal 15 2 2" xfId="470"/>
    <cellStyle name="Normal 15 2 2 2" xfId="471"/>
    <cellStyle name="Normal 15 2 3" xfId="472"/>
    <cellStyle name="Normal 15 3" xfId="473"/>
    <cellStyle name="Normal 15 3 2" xfId="474"/>
    <cellStyle name="Normal 15 3 2 2" xfId="475"/>
    <cellStyle name="Normal 15 3 3" xfId="476"/>
    <cellStyle name="Normal 15 4" xfId="477"/>
    <cellStyle name="Normal 15 4 2" xfId="478"/>
    <cellStyle name="Normal 15 5" xfId="479"/>
    <cellStyle name="Normal 16" xfId="480"/>
    <cellStyle name="Normal 16 2" xfId="952"/>
    <cellStyle name="Normal 16 2 2" xfId="953"/>
    <cellStyle name="Normal 16 3" xfId="954"/>
    <cellStyle name="Normal 17" xfId="481"/>
    <cellStyle name="Normal 17 2" xfId="955"/>
    <cellStyle name="Normal 17 2 2" xfId="956"/>
    <cellStyle name="Normal 17 3" xfId="957"/>
    <cellStyle name="Normal 18" xfId="482"/>
    <cellStyle name="Normal 19" xfId="483"/>
    <cellStyle name="Normal 19 2" xfId="958"/>
    <cellStyle name="Normal 19 2 2" xfId="959"/>
    <cellStyle name="Normal 19 3" xfId="960"/>
    <cellStyle name="Normal 2" xfId="44"/>
    <cellStyle name="Normal 2 2" xfId="49"/>
    <cellStyle name="Normal 2 2 2" xfId="484"/>
    <cellStyle name="Normal 2 2 3" xfId="961"/>
    <cellStyle name="Normal 2 3" xfId="485"/>
    <cellStyle name="Normal 2 4" xfId="486"/>
    <cellStyle name="Normal 2 5" xfId="487"/>
    <cellStyle name="Normal 2 6" xfId="962"/>
    <cellStyle name="Normal 2 6 2" xfId="963"/>
    <cellStyle name="Normal 2 7" xfId="964"/>
    <cellStyle name="Normal 2 8" xfId="965"/>
    <cellStyle name="Normal 2_Adjustment WP" xfId="488"/>
    <cellStyle name="Normal 20" xfId="489"/>
    <cellStyle name="Normal 21" xfId="490"/>
    <cellStyle name="Normal 21 2" xfId="966"/>
    <cellStyle name="Normal 22" xfId="491"/>
    <cellStyle name="Normal 23" xfId="492"/>
    <cellStyle name="Normal 23 2" xfId="967"/>
    <cellStyle name="Normal 23 2 2" xfId="968"/>
    <cellStyle name="Normal 23 3" xfId="969"/>
    <cellStyle name="Normal 24" xfId="493"/>
    <cellStyle name="Normal 25" xfId="494"/>
    <cellStyle name="Normal 26" xfId="495"/>
    <cellStyle name="Normal 27" xfId="496"/>
    <cellStyle name="Normal 28" xfId="497"/>
    <cellStyle name="Normal 29" xfId="498"/>
    <cellStyle name="Normal 3" xfId="45"/>
    <cellStyle name="Normal 3 2" xfId="499"/>
    <cellStyle name="Normal 3 3" xfId="500"/>
    <cellStyle name="Normal 3 3 2" xfId="970"/>
    <cellStyle name="Normal 3 3 2 2" xfId="971"/>
    <cellStyle name="Normal 3 3 3" xfId="972"/>
    <cellStyle name="Normal 3 4" xfId="501"/>
    <cellStyle name="Normal 3 5" xfId="502"/>
    <cellStyle name="Normal 3 6" xfId="503"/>
    <cellStyle name="Normal 3 7" xfId="504"/>
    <cellStyle name="Normal 3 8" xfId="505"/>
    <cellStyle name="Normal 3_108 Summary" xfId="506"/>
    <cellStyle name="Normal 30" xfId="507"/>
    <cellStyle name="Normal 31" xfId="508"/>
    <cellStyle name="Normal 32" xfId="509"/>
    <cellStyle name="Normal 33" xfId="510"/>
    <cellStyle name="Normal 34" xfId="511"/>
    <cellStyle name="Normal 35" xfId="512"/>
    <cellStyle name="Normal 35 2" xfId="513"/>
    <cellStyle name="Normal 35 2 2" xfId="514"/>
    <cellStyle name="Normal 35 2 2 2" xfId="515"/>
    <cellStyle name="Normal 35 2 3" xfId="516"/>
    <cellStyle name="Normal 35 3" xfId="517"/>
    <cellStyle name="Normal 35 3 2" xfId="518"/>
    <cellStyle name="Normal 35 3 2 2" xfId="519"/>
    <cellStyle name="Normal 35 3 3" xfId="520"/>
    <cellStyle name="Normal 35 4" xfId="521"/>
    <cellStyle name="Normal 35 4 2" xfId="522"/>
    <cellStyle name="Normal 35 5" xfId="523"/>
    <cellStyle name="Normal 36" xfId="524"/>
    <cellStyle name="Normal 36 2" xfId="525"/>
    <cellStyle name="Normal 37" xfId="766"/>
    <cellStyle name="Normal 38" xfId="1119"/>
    <cellStyle name="Normal 4" xfId="526"/>
    <cellStyle name="Normal 4 2" xfId="527"/>
    <cellStyle name="Normal 4 3" xfId="528"/>
    <cellStyle name="Normal 4 4" xfId="529"/>
    <cellStyle name="Normal 4 5" xfId="530"/>
    <cellStyle name="Normal 46" xfId="973"/>
    <cellStyle name="Normal 47" xfId="974"/>
    <cellStyle name="Normal 5" xfId="531"/>
    <cellStyle name="Normal 5 2" xfId="532"/>
    <cellStyle name="Normal 5 3" xfId="533"/>
    <cellStyle name="Normal 5 4" xfId="975"/>
    <cellStyle name="Normal 6" xfId="534"/>
    <cellStyle name="Normal 6 10" xfId="535"/>
    <cellStyle name="Normal 6 10 2" xfId="536"/>
    <cellStyle name="Normal 6 10 2 2" xfId="537"/>
    <cellStyle name="Normal 6 10 3" xfId="538"/>
    <cellStyle name="Normal 6 2" xfId="539"/>
    <cellStyle name="Normal 6 2 2" xfId="540"/>
    <cellStyle name="Normal 6 2 2 2" xfId="541"/>
    <cellStyle name="Normal 6 2 2 2 2" xfId="542"/>
    <cellStyle name="Normal 6 2 2 3" xfId="543"/>
    <cellStyle name="Normal 6 2 3" xfId="544"/>
    <cellStyle name="Normal 6 2 3 2" xfId="545"/>
    <cellStyle name="Normal 6 2 3 2 2" xfId="546"/>
    <cellStyle name="Normal 6 2 3 3" xfId="547"/>
    <cellStyle name="Normal 6 2 4" xfId="548"/>
    <cellStyle name="Normal 6 2 4 2" xfId="549"/>
    <cellStyle name="Normal 6 2 5" xfId="550"/>
    <cellStyle name="Normal 6 3" xfId="551"/>
    <cellStyle name="Normal 6 3 2" xfId="552"/>
    <cellStyle name="Normal 6 3 2 2" xfId="553"/>
    <cellStyle name="Normal 6 3 2 2 2" xfId="554"/>
    <cellStyle name="Normal 6 3 2 3" xfId="555"/>
    <cellStyle name="Normal 6 3 3" xfId="556"/>
    <cellStyle name="Normal 6 3 3 2" xfId="557"/>
    <cellStyle name="Normal 6 3 3 2 2" xfId="558"/>
    <cellStyle name="Normal 6 3 3 3" xfId="559"/>
    <cellStyle name="Normal 6 3 4" xfId="560"/>
    <cellStyle name="Normal 6 3 4 2" xfId="561"/>
    <cellStyle name="Normal 6 3 5" xfId="562"/>
    <cellStyle name="Normal 6 4" xfId="563"/>
    <cellStyle name="Normal 6 4 2" xfId="564"/>
    <cellStyle name="Normal 6 4 2 2" xfId="565"/>
    <cellStyle name="Normal 6 4 2 2 2" xfId="566"/>
    <cellStyle name="Normal 6 4 2 3" xfId="567"/>
    <cellStyle name="Normal 6 4 3" xfId="568"/>
    <cellStyle name="Normal 6 4 3 2" xfId="569"/>
    <cellStyle name="Normal 6 4 3 2 2" xfId="570"/>
    <cellStyle name="Normal 6 4 3 3" xfId="571"/>
    <cellStyle name="Normal 6 4 4" xfId="572"/>
    <cellStyle name="Normal 6 4 4 2" xfId="573"/>
    <cellStyle name="Normal 6 4 5" xfId="574"/>
    <cellStyle name="Normal 6 5" xfId="575"/>
    <cellStyle name="Normal 6 5 2" xfId="576"/>
    <cellStyle name="Normal 6 5 2 2" xfId="577"/>
    <cellStyle name="Normal 6 5 2 2 2" xfId="578"/>
    <cellStyle name="Normal 6 5 2 3" xfId="579"/>
    <cellStyle name="Normal 6 5 3" xfId="580"/>
    <cellStyle name="Normal 6 5 3 2" xfId="581"/>
    <cellStyle name="Normal 6 5 3 2 2" xfId="582"/>
    <cellStyle name="Normal 6 5 3 3" xfId="583"/>
    <cellStyle name="Normal 6 5 4" xfId="584"/>
    <cellStyle name="Normal 6 5 4 2" xfId="585"/>
    <cellStyle name="Normal 6 5 5" xfId="586"/>
    <cellStyle name="Normal 6 6" xfId="587"/>
    <cellStyle name="Normal 6 6 2" xfId="588"/>
    <cellStyle name="Normal 6 6 2 2" xfId="589"/>
    <cellStyle name="Normal 6 6 2 2 2" xfId="590"/>
    <cellStyle name="Normal 6 6 2 3" xfId="591"/>
    <cellStyle name="Normal 6 6 3" xfId="592"/>
    <cellStyle name="Normal 6 6 3 2" xfId="593"/>
    <cellStyle name="Normal 6 6 3 2 2" xfId="594"/>
    <cellStyle name="Normal 6 6 3 3" xfId="595"/>
    <cellStyle name="Normal 6 6 4" xfId="596"/>
    <cellStyle name="Normal 6 6 4 2" xfId="597"/>
    <cellStyle name="Normal 6 6 5" xfId="598"/>
    <cellStyle name="Normal 6 7" xfId="599"/>
    <cellStyle name="Normal 6 7 2" xfId="600"/>
    <cellStyle name="Normal 6 7 2 2" xfId="601"/>
    <cellStyle name="Normal 6 7 2 2 2" xfId="602"/>
    <cellStyle name="Normal 6 7 2 3" xfId="603"/>
    <cellStyle name="Normal 6 7 3" xfId="604"/>
    <cellStyle name="Normal 6 7 3 2" xfId="605"/>
    <cellStyle name="Normal 6 7 3 2 2" xfId="606"/>
    <cellStyle name="Normal 6 7 3 3" xfId="607"/>
    <cellStyle name="Normal 6 7 4" xfId="608"/>
    <cellStyle name="Normal 6 7 4 2" xfId="609"/>
    <cellStyle name="Normal 6 7 5" xfId="610"/>
    <cellStyle name="Normal 6 8" xfId="611"/>
    <cellStyle name="Normal 6 8 2" xfId="612"/>
    <cellStyle name="Normal 6 8 2 2" xfId="613"/>
    <cellStyle name="Normal 6 8 2 2 2" xfId="614"/>
    <cellStyle name="Normal 6 8 2 3" xfId="615"/>
    <cellStyle name="Normal 6 8 3" xfId="616"/>
    <cellStyle name="Normal 6 8 3 2" xfId="617"/>
    <cellStyle name="Normal 6 8 3 2 2" xfId="618"/>
    <cellStyle name="Normal 6 8 3 3" xfId="619"/>
    <cellStyle name="Normal 6 8 4" xfId="620"/>
    <cellStyle name="Normal 6 8 4 2" xfId="621"/>
    <cellStyle name="Normal 6 8 5" xfId="622"/>
    <cellStyle name="Normal 6 9" xfId="623"/>
    <cellStyle name="Normal 7" xfId="624"/>
    <cellStyle name="Normal 8" xfId="625"/>
    <cellStyle name="Normal 8 2" xfId="976"/>
    <cellStyle name="Normal 9" xfId="626"/>
    <cellStyle name="Normal 9 2" xfId="977"/>
    <cellStyle name="Normal 9 2 2" xfId="978"/>
    <cellStyle name="Normal 9 2 2 2" xfId="979"/>
    <cellStyle name="Normal 9 2 3" xfId="980"/>
    <cellStyle name="Normal 9 3" xfId="981"/>
    <cellStyle name="Normal 9 3 2" xfId="982"/>
    <cellStyle name="Normal 9 4" xfId="983"/>
    <cellStyle name="Normal_Iowa ASL GPAMORT" xfId="46"/>
    <cellStyle name="Normal_Iowa ASL GPAMORT 2" xfId="1118"/>
    <cellStyle name="Note" xfId="38" builtinId="10" customBuiltin="1"/>
    <cellStyle name="Note 10" xfId="627"/>
    <cellStyle name="Note 11" xfId="628"/>
    <cellStyle name="Note 2" xfId="629"/>
    <cellStyle name="Note 2 2" xfId="630"/>
    <cellStyle name="Note 2 2 2" xfId="984"/>
    <cellStyle name="Note 2 2 2 2" xfId="985"/>
    <cellStyle name="Note 2 2 3" xfId="986"/>
    <cellStyle name="Note 2_Allocators" xfId="631"/>
    <cellStyle name="Note 3" xfId="632"/>
    <cellStyle name="Note 3 2" xfId="633"/>
    <cellStyle name="Note 3 3" xfId="634"/>
    <cellStyle name="Note 3_Allocators" xfId="635"/>
    <cellStyle name="Note 4" xfId="636"/>
    <cellStyle name="Note 4 2" xfId="637"/>
    <cellStyle name="Note 4 2 2" xfId="987"/>
    <cellStyle name="Note 4 3" xfId="988"/>
    <cellStyle name="Note 4_Allocators" xfId="638"/>
    <cellStyle name="Note 5" xfId="639"/>
    <cellStyle name="Note 5 2" xfId="989"/>
    <cellStyle name="Note 5 2 2" xfId="990"/>
    <cellStyle name="Note 5 3" xfId="991"/>
    <cellStyle name="Note 6" xfId="640"/>
    <cellStyle name="Note 6 2" xfId="641"/>
    <cellStyle name="Note 6_Allocators" xfId="642"/>
    <cellStyle name="Note 7" xfId="643"/>
    <cellStyle name="Note 7 2" xfId="644"/>
    <cellStyle name="Note 8" xfId="645"/>
    <cellStyle name="Note 9" xfId="646"/>
    <cellStyle name="nPlosion" xfId="647"/>
    <cellStyle name="nvision" xfId="648"/>
    <cellStyle name="Output" xfId="39" builtinId="21" customBuiltin="1"/>
    <cellStyle name="Output 2" xfId="649"/>
    <cellStyle name="Output 3" xfId="650"/>
    <cellStyle name="Output 4" xfId="651"/>
    <cellStyle name="Output 5" xfId="652"/>
    <cellStyle name="Output 6" xfId="653"/>
    <cellStyle name="Output Amounts" xfId="992"/>
    <cellStyle name="Output Amounts 2" xfId="993"/>
    <cellStyle name="OUTPUT AMOUNTS 3" xfId="994"/>
    <cellStyle name="Output Amounts_d1" xfId="995"/>
    <cellStyle name="Output Column Headings" xfId="996"/>
    <cellStyle name="Output Column Headings 2" xfId="997"/>
    <cellStyle name="OUTPUT COLUMN HEADINGS 3" xfId="998"/>
    <cellStyle name="Output Column Headings_d1" xfId="999"/>
    <cellStyle name="Output Line Items" xfId="1000"/>
    <cellStyle name="Output Line Items 2" xfId="1001"/>
    <cellStyle name="OUTPUT LINE ITEMS 3" xfId="1002"/>
    <cellStyle name="Output Line Items_d1" xfId="1003"/>
    <cellStyle name="Output Report Heading" xfId="1004"/>
    <cellStyle name="Output Report Heading 2" xfId="1005"/>
    <cellStyle name="OUTPUT REPORT HEADING 3" xfId="1006"/>
    <cellStyle name="Output Report Heading_d1" xfId="1007"/>
    <cellStyle name="Output Report Title" xfId="1008"/>
    <cellStyle name="Output Report Title 2" xfId="1009"/>
    <cellStyle name="OUTPUT REPORT TITLE 3" xfId="1010"/>
    <cellStyle name="Output Report Title_d1" xfId="1011"/>
    <cellStyle name="Percent" xfId="40" builtinId="5"/>
    <cellStyle name="Percent 10" xfId="654"/>
    <cellStyle name="Percent 11" xfId="655"/>
    <cellStyle name="Percent 12" xfId="656"/>
    <cellStyle name="Percent 13" xfId="657"/>
    <cellStyle name="Percent 13 2" xfId="658"/>
    <cellStyle name="Percent 13 2 2" xfId="659"/>
    <cellStyle name="Percent 13 2 2 2" xfId="660"/>
    <cellStyle name="Percent 13 2 3" xfId="661"/>
    <cellStyle name="Percent 13 3" xfId="662"/>
    <cellStyle name="Percent 13 3 2" xfId="663"/>
    <cellStyle name="Percent 13 3 2 2" xfId="664"/>
    <cellStyle name="Percent 13 3 3" xfId="665"/>
    <cellStyle name="Percent 13 4" xfId="666"/>
    <cellStyle name="Percent 13 4 2" xfId="667"/>
    <cellStyle name="Percent 13 5" xfId="668"/>
    <cellStyle name="Percent 14" xfId="669"/>
    <cellStyle name="Percent 15" xfId="765"/>
    <cellStyle name="Percent 2" xfId="53"/>
    <cellStyle name="Percent 2 2" xfId="670"/>
    <cellStyle name="Percent 2 2 2" xfId="1012"/>
    <cellStyle name="Percent 2 3" xfId="671"/>
    <cellStyle name="Percent 2 4" xfId="50"/>
    <cellStyle name="Percent 3" xfId="672"/>
    <cellStyle name="Percent 3 2" xfId="673"/>
    <cellStyle name="Percent 3 3" xfId="674"/>
    <cellStyle name="Percent 3 4" xfId="675"/>
    <cellStyle name="Percent 3 5" xfId="676"/>
    <cellStyle name="Percent 3 6" xfId="677"/>
    <cellStyle name="Percent 4" xfId="678"/>
    <cellStyle name="Percent 4 2" xfId="679"/>
    <cellStyle name="Percent 4 3" xfId="680"/>
    <cellStyle name="Percent 4 4" xfId="681"/>
    <cellStyle name="Percent 44" xfId="1013"/>
    <cellStyle name="Percent 45" xfId="1014"/>
    <cellStyle name="Percent 5" xfId="682"/>
    <cellStyle name="Percent 5 2" xfId="683"/>
    <cellStyle name="Percent 6" xfId="684"/>
    <cellStyle name="Percent 6 2" xfId="685"/>
    <cellStyle name="Percent 7" xfId="686"/>
    <cellStyle name="Percent 8" xfId="687"/>
    <cellStyle name="Percent 9" xfId="688"/>
    <cellStyle name="PSChar" xfId="47"/>
    <cellStyle name="PSChar 2" xfId="689"/>
    <cellStyle name="PSChar 2 2" xfId="690"/>
    <cellStyle name="PSChar 2 3" xfId="691"/>
    <cellStyle name="PSChar 3" xfId="692"/>
    <cellStyle name="PSChar 3 2" xfId="693"/>
    <cellStyle name="PSChar 4" xfId="694"/>
    <cellStyle name="PSChar 5" xfId="695"/>
    <cellStyle name="PSChar 6" xfId="696"/>
    <cellStyle name="PSDate" xfId="697"/>
    <cellStyle name="PSDate 2" xfId="698"/>
    <cellStyle name="PSDate 2 2" xfId="699"/>
    <cellStyle name="PSDate 2 3" xfId="700"/>
    <cellStyle name="PSDate 3" xfId="701"/>
    <cellStyle name="PSDate 3 2" xfId="702"/>
    <cellStyle name="PSDate 4" xfId="703"/>
    <cellStyle name="PSDate 5" xfId="704"/>
    <cellStyle name="PSDate 6" xfId="705"/>
    <cellStyle name="PSDec" xfId="48"/>
    <cellStyle name="PSDec 2" xfId="706"/>
    <cellStyle name="PSDec 2 2" xfId="707"/>
    <cellStyle name="PSDec 2 3" xfId="708"/>
    <cellStyle name="PSDec 3" xfId="709"/>
    <cellStyle name="PSDec 3 2" xfId="710"/>
    <cellStyle name="PSDec 4" xfId="711"/>
    <cellStyle name="PSDec 5" xfId="712"/>
    <cellStyle name="PSDec 6" xfId="713"/>
    <cellStyle name="PSHeading" xfId="714"/>
    <cellStyle name="PSHeading 10" xfId="715"/>
    <cellStyle name="PSHeading 11" xfId="716"/>
    <cellStyle name="PSHeading 2" xfId="717"/>
    <cellStyle name="PSHeading 2 2" xfId="718"/>
    <cellStyle name="PSHeading 2 3" xfId="719"/>
    <cellStyle name="PSHeading 2_108 Summary" xfId="720"/>
    <cellStyle name="PSHeading 3" xfId="721"/>
    <cellStyle name="PSHeading 3 2" xfId="722"/>
    <cellStyle name="PSHeading 3_108 Summary" xfId="723"/>
    <cellStyle name="PSHeading 4" xfId="724"/>
    <cellStyle name="PSHeading 5" xfId="725"/>
    <cellStyle name="PSHeading 6" xfId="726"/>
    <cellStyle name="PSHeading 7" xfId="727"/>
    <cellStyle name="PSHeading 8" xfId="728"/>
    <cellStyle name="PSHeading 9" xfId="729"/>
    <cellStyle name="PSHeading_101 check" xfId="730"/>
    <cellStyle name="PSInt" xfId="731"/>
    <cellStyle name="PSInt 2" xfId="732"/>
    <cellStyle name="PSInt 2 2" xfId="733"/>
    <cellStyle name="PSInt 2 3" xfId="734"/>
    <cellStyle name="PSInt 3" xfId="735"/>
    <cellStyle name="PSInt 3 2" xfId="736"/>
    <cellStyle name="PSInt 4" xfId="737"/>
    <cellStyle name="PSInt 5" xfId="738"/>
    <cellStyle name="PSInt 6" xfId="739"/>
    <cellStyle name="PSSpacer" xfId="740"/>
    <cellStyle name="PSSpacer 2" xfId="741"/>
    <cellStyle name="PSSpacer 2 2" xfId="742"/>
    <cellStyle name="PSSpacer 2 3" xfId="743"/>
    <cellStyle name="PSSpacer 3" xfId="744"/>
    <cellStyle name="PSSpacer 3 2" xfId="745"/>
    <cellStyle name="PSSpacer 4" xfId="746"/>
    <cellStyle name="PSSpacer 5" xfId="747"/>
    <cellStyle name="PSSpacer 6" xfId="748"/>
    <cellStyle name="ReportTitlePrompt" xfId="1015"/>
    <cellStyle name="ReportTitlePrompt 2" xfId="1016"/>
    <cellStyle name="ReportTitleValue" xfId="1017"/>
    <cellStyle name="Reset  - Style4" xfId="1018"/>
    <cellStyle name="RowAcctAbovePrompt" xfId="1019"/>
    <cellStyle name="RowAcctSOBAbovePrompt" xfId="1020"/>
    <cellStyle name="RowAcctSOBValue" xfId="1021"/>
    <cellStyle name="RowAcctValue" xfId="1022"/>
    <cellStyle name="RowAttrAbovePrompt" xfId="1023"/>
    <cellStyle name="RowAttrValue" xfId="1024"/>
    <cellStyle name="RowColSetAbovePrompt" xfId="1025"/>
    <cellStyle name="RowColSetLeftPrompt" xfId="1026"/>
    <cellStyle name="RowColSetValue" xfId="1027"/>
    <cellStyle name="RowColSetValue 2" xfId="1028"/>
    <cellStyle name="RowLeftPrompt" xfId="1029"/>
    <cellStyle name="SampleUsingFormatMask" xfId="1030"/>
    <cellStyle name="SampleWithNoFormatMask" xfId="1031"/>
    <cellStyle name="SAPBEXaggData" xfId="1032"/>
    <cellStyle name="SAPBEXaggData 2" xfId="1033"/>
    <cellStyle name="SAPBEXaggDataEmph" xfId="1034"/>
    <cellStyle name="SAPBEXaggItem" xfId="1035"/>
    <cellStyle name="SAPBEXaggItem 2" xfId="1036"/>
    <cellStyle name="SAPBEXaggItemX" xfId="1037"/>
    <cellStyle name="SAPBEXaggItemX 2" xfId="1038"/>
    <cellStyle name="SAPBEXchaText" xfId="1039"/>
    <cellStyle name="SAPBEXchaText 2" xfId="1040"/>
    <cellStyle name="SAPBEXexcBad7" xfId="1041"/>
    <cellStyle name="SAPBEXexcBad7 2" xfId="1042"/>
    <cellStyle name="SAPBEXexcBad8" xfId="1043"/>
    <cellStyle name="SAPBEXexcBad9" xfId="1044"/>
    <cellStyle name="SAPBEXexcCritical4" xfId="1045"/>
    <cellStyle name="SAPBEXexcCritical4 2" xfId="1046"/>
    <cellStyle name="SAPBEXexcCritical5" xfId="1047"/>
    <cellStyle name="SAPBEXexcCritical5 2" xfId="1048"/>
    <cellStyle name="SAPBEXexcCritical6" xfId="1049"/>
    <cellStyle name="SAPBEXexcCritical6 2" xfId="1050"/>
    <cellStyle name="SAPBEXexcGood1" xfId="1051"/>
    <cellStyle name="SAPBEXexcGood2" xfId="1052"/>
    <cellStyle name="SAPBEXexcGood3" xfId="1053"/>
    <cellStyle name="SAPBEXexcGood3 2" xfId="1054"/>
    <cellStyle name="SAPBEXfilterDrill" xfId="1055"/>
    <cellStyle name="SAPBEXfilterDrill 2" xfId="1056"/>
    <cellStyle name="SAPBEXfilterItem" xfId="1057"/>
    <cellStyle name="SAPBEXfilterItem 2" xfId="1058"/>
    <cellStyle name="SAPBEXfilterText" xfId="1059"/>
    <cellStyle name="SAPBEXfilterText 2" xfId="1060"/>
    <cellStyle name="SAPBEXformats" xfId="1061"/>
    <cellStyle name="SAPBEXformats 2" xfId="1062"/>
    <cellStyle name="SAPBEXheaderItem" xfId="1063"/>
    <cellStyle name="SAPBEXheaderItem 2" xfId="1064"/>
    <cellStyle name="SAPBEXheaderText" xfId="1065"/>
    <cellStyle name="SAPBEXheaderText 2" xfId="1066"/>
    <cellStyle name="SAPBEXHLevel0" xfId="1067"/>
    <cellStyle name="SAPBEXHLevel0 2" xfId="1068"/>
    <cellStyle name="SAPBEXHLevel0X" xfId="1069"/>
    <cellStyle name="SAPBEXHLevel0X 2" xfId="1070"/>
    <cellStyle name="SAPBEXHLevel1" xfId="1071"/>
    <cellStyle name="SAPBEXHLevel1 2" xfId="1072"/>
    <cellStyle name="SAPBEXHLevel1X" xfId="1073"/>
    <cellStyle name="SAPBEXHLevel1X 2" xfId="1074"/>
    <cellStyle name="SAPBEXHLevel2" xfId="1075"/>
    <cellStyle name="SAPBEXHLevel2 2" xfId="1076"/>
    <cellStyle name="SAPBEXHLevel2X" xfId="1077"/>
    <cellStyle name="SAPBEXHLevel2X 2" xfId="1078"/>
    <cellStyle name="SAPBEXHLevel3" xfId="1079"/>
    <cellStyle name="SAPBEXHLevel3 2" xfId="1080"/>
    <cellStyle name="SAPBEXHLevel3X" xfId="1081"/>
    <cellStyle name="SAPBEXHLevel3X 2" xfId="1082"/>
    <cellStyle name="SAPBEXresData" xfId="1083"/>
    <cellStyle name="SAPBEXresDataEmph" xfId="1084"/>
    <cellStyle name="SAPBEXresItem" xfId="1085"/>
    <cellStyle name="SAPBEXresItem 2" xfId="1086"/>
    <cellStyle name="SAPBEXresItemX" xfId="1087"/>
    <cellStyle name="SAPBEXresItemX 2" xfId="1088"/>
    <cellStyle name="SAPBEXstdData" xfId="1089"/>
    <cellStyle name="SAPBEXstdData 2" xfId="1090"/>
    <cellStyle name="SAPBEXstdDataEmph" xfId="1091"/>
    <cellStyle name="SAPBEXstdDataEmph 2" xfId="1092"/>
    <cellStyle name="SAPBEXstdItem" xfId="1093"/>
    <cellStyle name="SAPBEXstdItem 2" xfId="1094"/>
    <cellStyle name="SAPBEXstdItemX" xfId="1095"/>
    <cellStyle name="SAPBEXstdItemX 2" xfId="1096"/>
    <cellStyle name="SAPBEXtitle" xfId="1097"/>
    <cellStyle name="SAPBEXundefined" xfId="1098"/>
    <cellStyle name="SAPBEXundefined 2" xfId="1099"/>
    <cellStyle name="SAPLocked" xfId="1100"/>
    <cellStyle name="SAPLocked 2" xfId="1101"/>
    <cellStyle name="Shade" xfId="1102"/>
    <cellStyle name="Standard_CORE_20040805_Movement types_Sets_V0.1_e" xfId="1103"/>
    <cellStyle name="STYL5 - Style5" xfId="1104"/>
    <cellStyle name="STYL6 - Style6" xfId="1105"/>
    <cellStyle name="STYLE1 - Style1" xfId="1106"/>
    <cellStyle name="STYLE2 - Style2" xfId="1107"/>
    <cellStyle name="STYLE3 - Style3" xfId="1108"/>
    <cellStyle name="STYLE4 - Style4" xfId="1109"/>
    <cellStyle name="Table  - Style5" xfId="1110"/>
    <cellStyle name="Title" xfId="41" builtinId="15" customBuiltin="1"/>
    <cellStyle name="Title  - Style6" xfId="1111"/>
    <cellStyle name="Title 2" xfId="749"/>
    <cellStyle name="Title 3" xfId="750"/>
    <cellStyle name="Title 4" xfId="751"/>
    <cellStyle name="Title 5" xfId="752"/>
    <cellStyle name="Total" xfId="42" builtinId="25" customBuiltin="1"/>
    <cellStyle name="Total 2" xfId="753"/>
    <cellStyle name="Total 3" xfId="754"/>
    <cellStyle name="Total 4" xfId="755"/>
    <cellStyle name="Total 5" xfId="756"/>
    <cellStyle name="Total 6" xfId="757"/>
    <cellStyle name="Total 7" xfId="758"/>
    <cellStyle name="Total 8" xfId="759"/>
    <cellStyle name="TotCol - Style7" xfId="1112"/>
    <cellStyle name="TotRow - Style8" xfId="1113"/>
    <cellStyle name="Undefiniert" xfId="1114"/>
    <cellStyle name="UploadThisRowValue" xfId="1115"/>
    <cellStyle name="Währung_KURSE3Q" xfId="1116"/>
    <cellStyle name="Warning Text" xfId="43" builtinId="11" customBuiltin="1"/>
    <cellStyle name="Warning Text 2" xfId="760"/>
    <cellStyle name="Warning Text 3" xfId="761"/>
    <cellStyle name="Warning Text 4" xfId="762"/>
    <cellStyle name="Warning Text 5" xfId="763"/>
    <cellStyle name="Warning Text 6" xfId="76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showGridLines="0" tabSelected="1" workbookViewId="0">
      <selection activeCell="G35" sqref="G35"/>
    </sheetView>
  </sheetViews>
  <sheetFormatPr defaultRowHeight="12.75"/>
  <cols>
    <col min="1" max="1" width="1.28515625" customWidth="1"/>
    <col min="2" max="2" width="2.85546875" customWidth="1"/>
    <col min="3" max="3" width="82.140625" customWidth="1"/>
    <col min="4" max="4" width="5" customWidth="1"/>
    <col min="5" max="5" width="15.42578125" customWidth="1"/>
    <col min="6" max="6" width="2.42578125" customWidth="1"/>
    <col min="7" max="7" width="15.42578125" customWidth="1"/>
    <col min="8" max="8" width="1.140625" customWidth="1"/>
    <col min="15" max="15" width="9.42578125" bestFit="1" customWidth="1"/>
  </cols>
  <sheetData>
    <row r="1" spans="1:16" ht="6.75" customHeight="1">
      <c r="A1" s="318"/>
      <c r="B1" s="319"/>
      <c r="C1" s="319"/>
      <c r="D1" s="319"/>
      <c r="E1" s="319"/>
      <c r="F1" s="319"/>
      <c r="G1" s="319"/>
      <c r="H1" s="320"/>
    </row>
    <row r="2" spans="1:16" ht="15.75">
      <c r="A2" s="102"/>
      <c r="B2" s="325" t="s">
        <v>0</v>
      </c>
      <c r="C2" s="325"/>
      <c r="D2" s="325"/>
      <c r="E2" s="325"/>
      <c r="F2" s="325"/>
      <c r="G2" s="325"/>
      <c r="H2" s="298"/>
      <c r="I2" s="269"/>
      <c r="J2" s="9"/>
      <c r="K2" s="9"/>
      <c r="L2" s="9"/>
      <c r="M2" s="9"/>
      <c r="N2" s="9"/>
      <c r="O2" s="9"/>
      <c r="P2" s="9"/>
    </row>
    <row r="3" spans="1:16" ht="15.75">
      <c r="A3" s="102"/>
      <c r="B3" s="325" t="s">
        <v>189</v>
      </c>
      <c r="C3" s="325"/>
      <c r="D3" s="325"/>
      <c r="E3" s="325"/>
      <c r="F3" s="325"/>
      <c r="G3" s="325"/>
      <c r="H3" s="298"/>
      <c r="I3" s="269"/>
      <c r="J3" s="9"/>
      <c r="K3" s="9"/>
      <c r="L3" s="9"/>
      <c r="M3" s="9"/>
      <c r="N3" s="9"/>
      <c r="O3" s="9"/>
      <c r="P3" s="9"/>
    </row>
    <row r="4" spans="1:16" ht="15.75">
      <c r="A4" s="102"/>
      <c r="B4" s="325" t="s">
        <v>158</v>
      </c>
      <c r="C4" s="325"/>
      <c r="D4" s="325"/>
      <c r="E4" s="325"/>
      <c r="F4" s="325"/>
      <c r="G4" s="325"/>
      <c r="H4" s="298"/>
      <c r="I4" s="269"/>
      <c r="J4" s="9"/>
      <c r="K4" s="9"/>
      <c r="L4" s="9"/>
      <c r="M4" s="9"/>
      <c r="N4" s="9"/>
      <c r="O4" s="9"/>
      <c r="P4" s="9"/>
    </row>
    <row r="5" spans="1:16" ht="15.75">
      <c r="A5" s="102"/>
      <c r="B5" s="325" t="s">
        <v>2</v>
      </c>
      <c r="C5" s="325"/>
      <c r="D5" s="325"/>
      <c r="E5" s="325"/>
      <c r="F5" s="325"/>
      <c r="G5" s="325"/>
      <c r="H5" s="298"/>
      <c r="I5" s="269"/>
      <c r="J5" s="9"/>
      <c r="K5" s="9"/>
      <c r="L5" s="9"/>
      <c r="M5" s="9"/>
      <c r="N5" s="9"/>
      <c r="O5" s="9"/>
      <c r="P5" s="9"/>
    </row>
    <row r="6" spans="1:16" ht="15.75">
      <c r="A6" s="102"/>
      <c r="B6" s="299"/>
      <c r="C6" s="299"/>
      <c r="D6" s="299"/>
      <c r="E6" s="299"/>
      <c r="F6" s="299"/>
      <c r="G6" s="299"/>
      <c r="H6" s="298"/>
      <c r="I6" s="269"/>
      <c r="J6" s="9"/>
      <c r="K6" s="9"/>
      <c r="L6" s="9"/>
      <c r="M6" s="9"/>
      <c r="N6" s="9"/>
      <c r="O6" s="9"/>
      <c r="P6" s="9"/>
    </row>
    <row r="7" spans="1:16" ht="15.75">
      <c r="A7" s="102"/>
      <c r="B7" s="269"/>
      <c r="C7" s="269"/>
      <c r="D7" s="269"/>
      <c r="E7" s="299" t="s">
        <v>19</v>
      </c>
      <c r="F7" s="299"/>
      <c r="G7" s="299"/>
      <c r="H7" s="298"/>
      <c r="I7" s="269"/>
      <c r="J7" s="9"/>
      <c r="K7" s="9"/>
      <c r="L7" s="9"/>
      <c r="M7" s="9"/>
      <c r="N7" s="9"/>
      <c r="O7" s="9"/>
      <c r="P7" s="9"/>
    </row>
    <row r="8" spans="1:16" ht="15.75">
      <c r="A8" s="102"/>
      <c r="B8" s="269"/>
      <c r="C8" s="269"/>
      <c r="D8" s="269"/>
      <c r="E8" s="299" t="s">
        <v>1</v>
      </c>
      <c r="F8" s="299"/>
      <c r="G8" s="299"/>
      <c r="H8" s="298"/>
      <c r="I8" s="269"/>
      <c r="J8" s="9"/>
      <c r="K8" s="9"/>
      <c r="L8" s="9"/>
      <c r="M8" s="9"/>
      <c r="N8" s="9"/>
      <c r="O8" s="9"/>
      <c r="P8" s="9"/>
    </row>
    <row r="9" spans="1:16" ht="15.75">
      <c r="A9" s="102"/>
      <c r="B9" s="269"/>
      <c r="C9" s="269"/>
      <c r="D9" s="269"/>
      <c r="E9" s="299" t="s">
        <v>22</v>
      </c>
      <c r="F9" s="299"/>
      <c r="G9" s="299"/>
      <c r="H9" s="298"/>
      <c r="I9" s="269"/>
      <c r="J9" s="9"/>
      <c r="K9" s="9"/>
      <c r="L9" s="9"/>
      <c r="M9" s="9"/>
      <c r="N9" s="9"/>
      <c r="O9" s="9"/>
      <c r="P9" s="9"/>
    </row>
    <row r="10" spans="1:16" ht="15.75">
      <c r="A10" s="102"/>
      <c r="B10" s="269"/>
      <c r="C10" s="269"/>
      <c r="D10" s="269"/>
      <c r="E10" s="309" t="s">
        <v>412</v>
      </c>
      <c r="F10" s="309"/>
      <c r="G10" s="309" t="s">
        <v>168</v>
      </c>
      <c r="H10" s="308"/>
      <c r="I10" s="269"/>
      <c r="J10" s="9"/>
      <c r="K10" s="9"/>
      <c r="L10" s="9"/>
      <c r="M10" s="9"/>
      <c r="N10" s="9"/>
      <c r="O10" s="9"/>
      <c r="P10" s="9"/>
    </row>
    <row r="11" spans="1:16" ht="15.75">
      <c r="A11" s="102"/>
      <c r="B11" s="269"/>
      <c r="C11" s="269"/>
      <c r="D11" s="269"/>
      <c r="E11" s="12" t="s">
        <v>20</v>
      </c>
      <c r="F11" s="299"/>
      <c r="G11" s="12" t="s">
        <v>413</v>
      </c>
      <c r="H11" s="298"/>
      <c r="I11" s="269"/>
      <c r="J11" s="9"/>
      <c r="K11" s="9"/>
      <c r="L11" s="9"/>
      <c r="M11" s="9"/>
      <c r="N11" s="9"/>
      <c r="O11" s="9"/>
      <c r="P11" s="9"/>
    </row>
    <row r="12" spans="1:16" ht="9" customHeight="1">
      <c r="A12" s="102"/>
      <c r="B12" s="316"/>
      <c r="C12" s="321"/>
      <c r="D12" s="269"/>
      <c r="E12" s="274"/>
      <c r="F12" s="274"/>
      <c r="G12" s="274"/>
      <c r="H12" s="98"/>
      <c r="I12" s="269"/>
      <c r="J12" s="9"/>
      <c r="K12" s="9"/>
      <c r="L12" s="9"/>
      <c r="M12" s="9"/>
      <c r="N12" s="9"/>
      <c r="O12" s="9"/>
      <c r="P12" s="9"/>
    </row>
    <row r="13" spans="1:16" ht="15.75">
      <c r="A13" s="102"/>
      <c r="B13" s="316" t="s">
        <v>284</v>
      </c>
      <c r="C13" s="316"/>
      <c r="D13" s="316"/>
      <c r="E13" s="274">
        <v>79.757474000000002</v>
      </c>
      <c r="F13" s="274"/>
      <c r="G13" s="274"/>
      <c r="H13" s="98"/>
      <c r="I13" s="269"/>
      <c r="J13" s="9"/>
      <c r="K13" s="9"/>
      <c r="L13" s="9"/>
      <c r="M13" s="9"/>
      <c r="N13" s="9"/>
      <c r="O13" s="9"/>
      <c r="P13" s="9"/>
    </row>
    <row r="14" spans="1:16" ht="15.75">
      <c r="A14" s="102"/>
      <c r="B14" s="316"/>
      <c r="C14" s="269"/>
      <c r="D14" s="269"/>
      <c r="E14" s="274"/>
      <c r="F14" s="274"/>
      <c r="G14" s="274"/>
      <c r="H14" s="98"/>
      <c r="I14" s="269"/>
      <c r="J14" s="9"/>
      <c r="K14" s="9"/>
      <c r="L14" s="9"/>
      <c r="M14" s="9"/>
      <c r="N14" s="9"/>
      <c r="O14" s="9"/>
      <c r="P14" s="9"/>
    </row>
    <row r="15" spans="1:16" ht="15.75">
      <c r="A15" s="102"/>
      <c r="B15" s="316" t="s">
        <v>159</v>
      </c>
      <c r="C15" s="269"/>
      <c r="D15" s="269"/>
      <c r="E15" s="310"/>
      <c r="F15" s="310"/>
      <c r="G15" s="310"/>
      <c r="H15" s="101"/>
      <c r="I15" s="269"/>
      <c r="J15" s="9"/>
      <c r="K15" s="9"/>
      <c r="L15" s="9"/>
      <c r="M15" s="9"/>
      <c r="O15" s="9"/>
      <c r="P15" s="9"/>
    </row>
    <row r="16" spans="1:16" ht="15.75">
      <c r="A16" s="102"/>
      <c r="B16" s="316"/>
      <c r="C16" s="269" t="str">
        <f>'Revenue Requirement'!B14</f>
        <v>Increase Non-FAC Base Revenues to Account for Weather Normalization</v>
      </c>
      <c r="D16" s="269"/>
      <c r="E16" s="11">
        <f>'Revenue Requirement'!H14</f>
        <v>-34.330683104464008</v>
      </c>
      <c r="F16" s="11"/>
      <c r="G16" s="315" t="s">
        <v>414</v>
      </c>
      <c r="H16" s="103"/>
      <c r="I16" s="269"/>
      <c r="J16" s="9" t="s">
        <v>303</v>
      </c>
      <c r="K16" s="9"/>
      <c r="L16" s="9"/>
      <c r="M16" s="9"/>
      <c r="O16" s="9"/>
      <c r="P16" s="9"/>
    </row>
    <row r="17" spans="1:28" ht="15.75">
      <c r="A17" s="102"/>
      <c r="B17" s="212"/>
      <c r="C17" s="269" t="str">
        <f>'Revenue Requirement'!B15</f>
        <v>Correct Normalization of Generation Maintenance Expense and Base on 5-Yr Average</v>
      </c>
      <c r="D17" s="269"/>
      <c r="E17" s="11">
        <f>'Revenue Requirement'!H15</f>
        <v>7.5166179003807843</v>
      </c>
      <c r="F17" s="11"/>
      <c r="G17" s="315" t="s">
        <v>415</v>
      </c>
      <c r="H17" s="103"/>
      <c r="I17" s="313"/>
      <c r="J17" s="261"/>
      <c r="K17" s="261"/>
      <c r="L17" s="261"/>
      <c r="M17" s="261"/>
      <c r="N17" s="317"/>
      <c r="O17" s="261"/>
      <c r="P17" s="261"/>
    </row>
    <row r="18" spans="1:28" ht="15.75">
      <c r="A18" s="102"/>
      <c r="B18" s="212"/>
      <c r="C18" s="269" t="str">
        <f>'Revenue Requirement'!B16</f>
        <v>Correct Error in Outage Insurance Revenue Proforma Adjustment</v>
      </c>
      <c r="D18" s="269"/>
      <c r="E18" s="11">
        <f>'Revenue Requirement'!H16</f>
        <v>-2.4815503458000002E-2</v>
      </c>
      <c r="F18" s="11"/>
      <c r="G18" s="315" t="s">
        <v>415</v>
      </c>
      <c r="H18" s="103"/>
      <c r="I18" s="313"/>
      <c r="J18" s="261" t="s">
        <v>286</v>
      </c>
      <c r="K18" s="261"/>
      <c r="L18" s="261"/>
      <c r="M18" s="261"/>
      <c r="N18" s="317"/>
      <c r="O18" s="261"/>
      <c r="P18" s="261"/>
    </row>
    <row r="19" spans="1:28" ht="15.75">
      <c r="A19" s="102"/>
      <c r="B19" s="212"/>
      <c r="C19" s="269" t="str">
        <f>'Revenue Requirement'!B17</f>
        <v>Reduce Depreciation Expense to Remove Terminal Net Salvage - Thermal Generating Units</v>
      </c>
      <c r="D19" s="269"/>
      <c r="E19" s="11">
        <f>'Revenue Requirement'!H17</f>
        <v>-2.5371974026719872</v>
      </c>
      <c r="F19" s="11"/>
      <c r="G19" s="315" t="s">
        <v>416</v>
      </c>
      <c r="H19" s="103"/>
      <c r="I19" s="313"/>
      <c r="J19" s="261"/>
      <c r="K19" s="261"/>
      <c r="L19" s="261"/>
      <c r="M19" s="261"/>
      <c r="N19" s="317"/>
      <c r="O19" s="261"/>
      <c r="P19" s="261"/>
    </row>
    <row r="20" spans="1:28" ht="15.75">
      <c r="A20" s="102"/>
      <c r="B20" s="212"/>
      <c r="C20" s="269" t="str">
        <f>'Revenue Requirement'!B18</f>
        <v>Reduce Depreciation Expense to Remove Interim Retirements and Interim Net Salvage</v>
      </c>
      <c r="D20" s="269"/>
      <c r="E20" s="11">
        <f>'Revenue Requirement'!H18</f>
        <v>-6.2558824650701652</v>
      </c>
      <c r="F20" s="11"/>
      <c r="G20" s="315" t="s">
        <v>416</v>
      </c>
      <c r="H20" s="103"/>
      <c r="I20" s="313"/>
      <c r="J20" s="261"/>
      <c r="K20" s="261"/>
      <c r="L20" s="261"/>
      <c r="M20" s="261"/>
      <c r="N20" s="317"/>
      <c r="O20" s="261"/>
      <c r="P20" s="261"/>
    </row>
    <row r="21" spans="1:28" ht="15.75">
      <c r="A21" s="102"/>
      <c r="B21" s="212"/>
      <c r="C21" s="269" t="str">
        <f>'Revenue Requirement'!B19</f>
        <v>Reduce Depreciation Expense to Reflect Extended Lifespans</v>
      </c>
      <c r="D21" s="269"/>
      <c r="E21" s="11">
        <f>'Revenue Requirement'!H19</f>
        <v>-14.200063574390306</v>
      </c>
      <c r="F21" s="11"/>
      <c r="G21" s="315" t="s">
        <v>416</v>
      </c>
      <c r="H21" s="103"/>
      <c r="I21" s="313"/>
      <c r="J21" s="261"/>
      <c r="K21" s="261"/>
      <c r="L21" s="261"/>
      <c r="M21" s="261"/>
      <c r="N21" s="317"/>
      <c r="O21" s="261"/>
      <c r="P21" s="261"/>
    </row>
    <row r="22" spans="1:28" ht="15.75">
      <c r="A22" s="102"/>
      <c r="B22" s="212"/>
      <c r="C22" s="269" t="str">
        <f>'Revenue Requirement'!B20</f>
        <v>Remove Amortization Expense Associated With Prior Rate Case Deferred Costs</v>
      </c>
      <c r="D22" s="269"/>
      <c r="E22" s="11">
        <f>'Revenue Requirement'!H20</f>
        <v>-0.24788257182984003</v>
      </c>
      <c r="F22" s="11"/>
      <c r="G22" s="315" t="s">
        <v>415</v>
      </c>
      <c r="H22" s="103"/>
      <c r="I22" s="313"/>
      <c r="J22" s="261" t="s">
        <v>287</v>
      </c>
      <c r="K22" s="261"/>
      <c r="L22" s="261"/>
      <c r="M22" s="261"/>
      <c r="N22" s="317"/>
      <c r="O22" s="261"/>
      <c r="P22" s="261"/>
    </row>
    <row r="23" spans="1:28" ht="15.75">
      <c r="A23" s="102"/>
      <c r="B23" s="212"/>
      <c r="C23" s="269" t="str">
        <f>'Revenue Requirement'!B21</f>
        <v>Reduce Amortization Expense for Deferred Smith 1 Cancellation Costs Becoming Fully Amortized</v>
      </c>
      <c r="D23" s="269"/>
      <c r="E23" s="11">
        <f>'Revenue Requirement'!H21</f>
        <v>-8.5874108975020658</v>
      </c>
      <c r="F23" s="11"/>
      <c r="G23" s="315" t="s">
        <v>415</v>
      </c>
      <c r="H23" s="103"/>
      <c r="I23" s="313"/>
      <c r="J23" s="261"/>
      <c r="K23" s="261"/>
      <c r="L23" s="261"/>
      <c r="M23" s="261"/>
      <c r="N23" s="317"/>
      <c r="O23" s="261"/>
      <c r="P23" s="261"/>
    </row>
    <row r="24" spans="1:28" ht="15.75">
      <c r="A24" s="102"/>
      <c r="B24" s="212"/>
      <c r="C24" s="269" t="str">
        <f>'Revenue Requirement'!B22</f>
        <v>Reduce Amortization Expense for Deferred 2019 Spurlock Costs Becoming Fully Amortized</v>
      </c>
      <c r="D24" s="269"/>
      <c r="E24" s="11">
        <f>'Revenue Requirement'!H22</f>
        <v>-0.42827258629483334</v>
      </c>
      <c r="F24" s="11"/>
      <c r="G24" s="315" t="s">
        <v>415</v>
      </c>
      <c r="H24" s="103"/>
      <c r="I24" s="269"/>
      <c r="J24" s="9"/>
      <c r="K24" s="9"/>
      <c r="L24" s="9"/>
      <c r="M24" s="9"/>
      <c r="O24" s="9"/>
      <c r="P24" s="9"/>
    </row>
    <row r="25" spans="1:28" ht="15.75">
      <c r="A25" s="102"/>
      <c r="B25" s="212"/>
      <c r="C25" s="269" t="str">
        <f>'Revenue Requirement'!B23</f>
        <v xml:space="preserve">Remove EEI, America's Power, NRECA, and Related Dues </v>
      </c>
      <c r="D25" s="269"/>
      <c r="E25" s="11">
        <f>'Revenue Requirement'!H23</f>
        <v>-0.66066219608447996</v>
      </c>
      <c r="F25" s="11"/>
      <c r="G25" s="315" t="s">
        <v>415</v>
      </c>
      <c r="H25" s="103"/>
      <c r="I25" s="269"/>
      <c r="J25" s="9"/>
      <c r="K25" s="9"/>
      <c r="L25" s="9"/>
      <c r="M25" s="9"/>
      <c r="O25" s="9"/>
      <c r="P25" s="9"/>
    </row>
    <row r="26" spans="1:28" ht="15.75">
      <c r="A26" s="102"/>
      <c r="B26" s="212"/>
      <c r="C26" s="269" t="str">
        <f>'Revenue Requirement'!B24</f>
        <v xml:space="preserve">Reduce Interest Expense Related to Higher Assignment to ES </v>
      </c>
      <c r="D26" s="269"/>
      <c r="E26" s="11">
        <f>'Revenue Requirement'!H24</f>
        <v>-6.7062381196362626</v>
      </c>
      <c r="F26" s="11"/>
      <c r="G26" s="315" t="s">
        <v>415</v>
      </c>
      <c r="H26" s="103"/>
      <c r="I26" s="313"/>
      <c r="J26" s="261"/>
      <c r="K26" s="261"/>
      <c r="L26" s="261"/>
      <c r="M26" s="9"/>
      <c r="N26" s="9"/>
      <c r="O26" s="9"/>
      <c r="P26" s="9"/>
    </row>
    <row r="27" spans="1:28" ht="9" customHeight="1">
      <c r="A27" s="102"/>
      <c r="B27" s="269"/>
      <c r="C27" s="269"/>
      <c r="D27" s="269"/>
      <c r="E27" s="11"/>
      <c r="F27" s="11"/>
      <c r="G27" s="11"/>
      <c r="H27" s="103"/>
      <c r="I27" s="269"/>
      <c r="J27" s="9"/>
      <c r="K27" s="9"/>
      <c r="L27" s="9"/>
      <c r="M27" s="9"/>
      <c r="N27" s="9"/>
      <c r="O27" s="9"/>
      <c r="P27" s="9"/>
      <c r="Q27" s="79"/>
      <c r="R27" s="79"/>
      <c r="S27" s="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6.5" thickBot="1">
      <c r="A28" s="102"/>
      <c r="B28" s="316" t="s">
        <v>174</v>
      </c>
      <c r="C28" s="269"/>
      <c r="D28" s="269"/>
      <c r="E28" s="311">
        <f>SUM(E16:E26)</f>
        <v>-66.462490521021167</v>
      </c>
      <c r="F28" s="11"/>
      <c r="G28" s="11"/>
      <c r="H28" s="103"/>
      <c r="I28" s="269"/>
      <c r="J28" s="9"/>
      <c r="K28" s="9"/>
      <c r="L28" s="9"/>
      <c r="M28" s="9"/>
      <c r="N28" s="9"/>
      <c r="O28" s="9"/>
      <c r="P28" s="9"/>
      <c r="Q28" s="79"/>
      <c r="R28" s="79"/>
      <c r="S28" s="10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9" customHeight="1" thickTop="1">
      <c r="A29" s="102"/>
      <c r="B29" s="269"/>
      <c r="C29" s="269"/>
      <c r="D29" s="269"/>
      <c r="E29" s="269"/>
      <c r="F29" s="269"/>
      <c r="G29" s="269"/>
      <c r="H29" s="105"/>
      <c r="I29" s="269"/>
      <c r="J29" s="9"/>
      <c r="K29" s="9"/>
      <c r="L29" s="9"/>
      <c r="M29" s="9"/>
      <c r="N29" s="9"/>
      <c r="O29" s="9"/>
      <c r="P29" s="9"/>
      <c r="Q29" s="79"/>
      <c r="R29" s="79"/>
      <c r="S29" s="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6.5" thickBot="1">
      <c r="A30" s="102"/>
      <c r="B30" s="316" t="s">
        <v>282</v>
      </c>
      <c r="C30" s="269"/>
      <c r="D30" s="269"/>
      <c r="E30" s="312">
        <f>E13+E28</f>
        <v>13.294983478978835</v>
      </c>
      <c r="F30" s="314"/>
      <c r="G30" s="314"/>
      <c r="H30" s="322"/>
      <c r="I30" s="269"/>
      <c r="J30" s="9"/>
      <c r="K30" s="9"/>
      <c r="L30" s="9"/>
      <c r="M30" s="9"/>
      <c r="N30" s="9"/>
      <c r="O30" s="9"/>
      <c r="P30" s="9"/>
    </row>
    <row r="31" spans="1:28" ht="4.5" customHeight="1" thickTop="1" thickBot="1">
      <c r="A31" s="323"/>
      <c r="B31" s="108"/>
      <c r="C31" s="108"/>
      <c r="D31" s="108"/>
      <c r="E31" s="108"/>
      <c r="F31" s="108"/>
      <c r="G31" s="108"/>
      <c r="H31" s="109"/>
      <c r="I31" s="269"/>
      <c r="J31" s="9"/>
      <c r="K31" s="9"/>
      <c r="L31" s="9"/>
      <c r="M31" s="9"/>
      <c r="N31" s="9"/>
      <c r="O31" s="9"/>
      <c r="P31" s="9"/>
    </row>
    <row r="32" spans="1:28" ht="15.75">
      <c r="B32" s="9"/>
      <c r="C32" s="9"/>
      <c r="D32" s="9"/>
      <c r="E32" s="9"/>
      <c r="F32" s="9"/>
      <c r="G32" s="9"/>
      <c r="H32" s="9"/>
      <c r="I32" s="269"/>
      <c r="J32" s="9"/>
      <c r="K32" s="9"/>
      <c r="L32" s="9"/>
      <c r="M32" s="9"/>
      <c r="N32" s="9"/>
      <c r="O32" s="9"/>
      <c r="P32" s="9"/>
    </row>
    <row r="33" spans="2:16" ht="15.7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5" spans="2:16">
      <c r="C35" s="113"/>
    </row>
    <row r="36" spans="2:16">
      <c r="C36" s="114"/>
      <c r="E36" s="119">
        <f>E28</f>
        <v>-66.462490521021167</v>
      </c>
      <c r="F36" s="119"/>
      <c r="G36" s="119"/>
      <c r="H36" s="119"/>
    </row>
  </sheetData>
  <mergeCells count="4">
    <mergeCell ref="B2:G2"/>
    <mergeCell ref="B3:G3"/>
    <mergeCell ref="B4:G4"/>
    <mergeCell ref="B5:G5"/>
  </mergeCells>
  <pageMargins left="0.38" right="0.25" top="1" bottom="1" header="0.5" footer="0.5"/>
  <pageSetup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I21"/>
    </sheetView>
  </sheetViews>
  <sheetFormatPr defaultRowHeight="12.75"/>
  <cols>
    <col min="9" max="9" width="12.7109375" customWidth="1"/>
    <col min="12" max="12" width="15" bestFit="1" customWidth="1"/>
  </cols>
  <sheetData>
    <row r="1" spans="1:12">
      <c r="A1" s="334" t="s">
        <v>0</v>
      </c>
      <c r="B1" s="334"/>
      <c r="C1" s="334"/>
      <c r="D1" s="334"/>
      <c r="E1" s="334"/>
      <c r="F1" s="334"/>
      <c r="G1" s="334"/>
      <c r="H1" s="334"/>
      <c r="I1" s="334"/>
    </row>
    <row r="2" spans="1:12">
      <c r="A2" s="335" t="s">
        <v>178</v>
      </c>
      <c r="B2" s="336"/>
      <c r="C2" s="336"/>
      <c r="D2" s="336"/>
      <c r="E2" s="336"/>
      <c r="F2" s="336"/>
      <c r="G2" s="336"/>
      <c r="H2" s="336"/>
      <c r="I2" s="336"/>
    </row>
    <row r="3" spans="1:12">
      <c r="A3" s="336" t="s">
        <v>17</v>
      </c>
      <c r="B3" s="334"/>
      <c r="C3" s="334"/>
      <c r="D3" s="334"/>
      <c r="E3" s="334"/>
      <c r="F3" s="334"/>
      <c r="G3" s="334"/>
      <c r="H3" s="334"/>
      <c r="I3" s="334"/>
    </row>
    <row r="4" spans="1:12">
      <c r="A4" s="336" t="s">
        <v>162</v>
      </c>
      <c r="B4" s="334"/>
      <c r="C4" s="334"/>
      <c r="D4" s="334"/>
      <c r="E4" s="334"/>
      <c r="F4" s="334"/>
      <c r="G4" s="334"/>
      <c r="H4" s="334"/>
      <c r="I4" s="334"/>
    </row>
    <row r="5" spans="1:12">
      <c r="A5" s="56"/>
      <c r="B5" s="56"/>
      <c r="C5" s="56"/>
      <c r="D5" s="56"/>
      <c r="E5" s="56"/>
      <c r="F5" s="56"/>
      <c r="G5" s="56"/>
      <c r="H5" s="56"/>
      <c r="I5" s="56"/>
    </row>
    <row r="6" spans="1:12">
      <c r="A6" s="56"/>
      <c r="B6" s="56"/>
      <c r="C6" s="56"/>
      <c r="D6" s="56"/>
      <c r="E6" s="56"/>
      <c r="F6" s="56"/>
      <c r="G6" s="56"/>
      <c r="H6" s="56"/>
      <c r="I6" s="56"/>
    </row>
    <row r="7" spans="1:12">
      <c r="A7" s="57"/>
      <c r="B7" s="56"/>
      <c r="C7" s="56"/>
      <c r="D7" s="56"/>
      <c r="E7" s="56"/>
      <c r="F7" s="56"/>
      <c r="G7" s="56"/>
      <c r="H7" s="56"/>
      <c r="I7" s="56"/>
    </row>
    <row r="8" spans="1:12">
      <c r="A8" s="67" t="s">
        <v>180</v>
      </c>
      <c r="I8" s="59">
        <v>111000000</v>
      </c>
      <c r="J8" s="58"/>
      <c r="L8" s="91">
        <v>95000000</v>
      </c>
    </row>
    <row r="9" spans="1:12">
      <c r="A9" s="58"/>
      <c r="I9" s="59"/>
    </row>
    <row r="10" spans="1:12">
      <c r="A10" s="58" t="s">
        <v>164</v>
      </c>
      <c r="I10" s="60" t="e">
        <f>#REF!</f>
        <v>#REF!</v>
      </c>
      <c r="L10" s="60" t="e">
        <f>I10</f>
        <v>#REF!</v>
      </c>
    </row>
    <row r="11" spans="1:12">
      <c r="A11" s="58"/>
      <c r="I11" s="59"/>
      <c r="L11" s="59"/>
    </row>
    <row r="13" spans="1:12">
      <c r="A13" s="67" t="s">
        <v>179</v>
      </c>
      <c r="I13" s="61" t="e">
        <f>-I8*I10</f>
        <v>#REF!</v>
      </c>
      <c r="L13" s="61" t="e">
        <f>-L8*L10</f>
        <v>#REF!</v>
      </c>
    </row>
    <row r="14" spans="1:12">
      <c r="A14" s="57"/>
      <c r="I14" s="61"/>
    </row>
    <row r="15" spans="1:12">
      <c r="A15" s="58" t="s">
        <v>163</v>
      </c>
      <c r="I15" s="62">
        <v>1.5</v>
      </c>
    </row>
    <row r="17" spans="1:9">
      <c r="A17" s="58" t="s">
        <v>165</v>
      </c>
      <c r="I17" s="61" t="e">
        <f>I13*I15</f>
        <v>#REF!</v>
      </c>
    </row>
    <row r="19" spans="1:9">
      <c r="A19" s="58" t="s">
        <v>167</v>
      </c>
      <c r="I19" s="64">
        <f>'Revenue Requirement'!F24</f>
        <v>1.0015540000000001</v>
      </c>
    </row>
    <row r="21" spans="1:9" ht="13.5" thickBot="1">
      <c r="A21" s="58" t="s">
        <v>166</v>
      </c>
      <c r="I21" s="63" t="e">
        <f>I17*I19</f>
        <v>#REF!</v>
      </c>
    </row>
    <row r="22" spans="1:9" ht="13.5" thickTop="1"/>
  </sheetData>
  <mergeCells count="4">
    <mergeCell ref="A1:I1"/>
    <mergeCell ref="A2:I2"/>
    <mergeCell ref="A3:I3"/>
    <mergeCell ref="A4:I4"/>
  </mergeCells>
  <pageMargins left="1.03" right="0.33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5"/>
  <sheetViews>
    <sheetView workbookViewId="0">
      <selection sqref="A1:F4"/>
    </sheetView>
  </sheetViews>
  <sheetFormatPr defaultRowHeight="12.75"/>
  <cols>
    <col min="1" max="1" width="59.28515625" style="81" customWidth="1"/>
    <col min="2" max="2" width="2.42578125" style="81" customWidth="1"/>
    <col min="3" max="3" width="11" style="81" customWidth="1"/>
    <col min="4" max="4" width="16.5703125" style="81" customWidth="1"/>
    <col min="5" max="5" width="13" style="81" customWidth="1"/>
    <col min="6" max="6" width="15" style="81" bestFit="1" customWidth="1"/>
    <col min="7" max="16384" width="9.140625" style="81"/>
  </cols>
  <sheetData>
    <row r="1" spans="1:10">
      <c r="A1" s="337" t="s">
        <v>0</v>
      </c>
      <c r="B1" s="337"/>
      <c r="C1" s="337"/>
      <c r="D1" s="337"/>
      <c r="E1" s="337"/>
      <c r="F1" s="337"/>
    </row>
    <row r="2" spans="1:10">
      <c r="A2" s="337" t="s">
        <v>182</v>
      </c>
      <c r="B2" s="337"/>
      <c r="C2" s="337"/>
      <c r="D2" s="337"/>
      <c r="E2" s="337"/>
      <c r="F2" s="337"/>
    </row>
    <row r="3" spans="1:10">
      <c r="A3" s="337" t="s">
        <v>194</v>
      </c>
      <c r="B3" s="337"/>
      <c r="C3" s="337"/>
      <c r="D3" s="337"/>
      <c r="E3" s="337"/>
      <c r="F3" s="337"/>
    </row>
    <row r="4" spans="1:10">
      <c r="A4" s="337" t="s">
        <v>181</v>
      </c>
      <c r="B4" s="337"/>
      <c r="C4" s="337"/>
      <c r="D4" s="337"/>
      <c r="E4" s="337"/>
      <c r="F4" s="337"/>
    </row>
    <row r="7" spans="1:10">
      <c r="A7" s="281" t="s">
        <v>364</v>
      </c>
      <c r="B7" s="82"/>
      <c r="C7" s="82"/>
      <c r="D7" s="82"/>
      <c r="E7" s="82"/>
      <c r="F7" s="82"/>
    </row>
    <row r="8" spans="1:10">
      <c r="A8" s="82"/>
      <c r="B8" s="82"/>
      <c r="C8" s="82"/>
      <c r="D8" s="82"/>
      <c r="E8" s="82"/>
      <c r="F8" s="82"/>
      <c r="J8" s="83"/>
    </row>
    <row r="9" spans="1:10">
      <c r="J9" s="83"/>
    </row>
    <row r="10" spans="1:10">
      <c r="A10" s="82"/>
      <c r="B10" s="82"/>
      <c r="C10" s="84"/>
      <c r="D10" s="84"/>
      <c r="E10" s="84"/>
      <c r="F10" s="84"/>
      <c r="J10" s="83"/>
    </row>
    <row r="11" spans="1:10">
      <c r="A11" s="82"/>
      <c r="B11" s="82"/>
      <c r="C11" s="300" t="s">
        <v>161</v>
      </c>
      <c r="D11" s="84"/>
      <c r="E11" s="84"/>
      <c r="F11" s="84"/>
      <c r="J11" s="83"/>
    </row>
    <row r="12" spans="1:10">
      <c r="A12" s="82"/>
      <c r="B12" s="82"/>
      <c r="C12" s="300" t="s">
        <v>404</v>
      </c>
      <c r="D12" s="89" t="s">
        <v>185</v>
      </c>
      <c r="E12" s="89" t="s">
        <v>185</v>
      </c>
      <c r="F12" s="89" t="s">
        <v>161</v>
      </c>
      <c r="J12" s="83"/>
    </row>
    <row r="13" spans="1:10">
      <c r="A13" s="82"/>
      <c r="B13" s="82"/>
      <c r="C13" s="89" t="s">
        <v>186</v>
      </c>
      <c r="D13" s="283" t="s">
        <v>358</v>
      </c>
      <c r="E13" s="283" t="s">
        <v>345</v>
      </c>
      <c r="F13" s="89" t="s">
        <v>188</v>
      </c>
      <c r="J13" s="83"/>
    </row>
    <row r="14" spans="1:10">
      <c r="A14" s="82"/>
      <c r="B14" s="82"/>
      <c r="C14" s="90" t="s">
        <v>187</v>
      </c>
      <c r="D14" s="284" t="s">
        <v>359</v>
      </c>
      <c r="E14" s="284" t="s">
        <v>360</v>
      </c>
      <c r="F14" s="90" t="s">
        <v>187</v>
      </c>
      <c r="J14" s="83"/>
    </row>
    <row r="15" spans="1:10">
      <c r="A15" s="82"/>
      <c r="B15" s="82"/>
      <c r="C15" s="282"/>
      <c r="D15" s="282"/>
      <c r="E15" s="282"/>
      <c r="F15" s="282"/>
      <c r="J15" s="83"/>
    </row>
    <row r="16" spans="1:10">
      <c r="A16" s="281" t="s">
        <v>184</v>
      </c>
      <c r="B16" s="82"/>
      <c r="C16" s="84">
        <v>76.334481999999994</v>
      </c>
      <c r="D16" s="84">
        <v>-0.90552299999999997</v>
      </c>
      <c r="E16" s="84">
        <v>-16.381302000000002</v>
      </c>
      <c r="F16" s="84">
        <f>SUM(C16:E16)</f>
        <v>59.047656999999987</v>
      </c>
      <c r="J16" s="83"/>
    </row>
    <row r="17" spans="1:10">
      <c r="A17" s="281" t="s">
        <v>354</v>
      </c>
      <c r="B17" s="82"/>
      <c r="C17" s="84">
        <v>104.359426</v>
      </c>
      <c r="D17" s="84">
        <v>-0.90552299999999997</v>
      </c>
      <c r="E17" s="84">
        <v>-18.825621000000002</v>
      </c>
      <c r="F17" s="84">
        <f>SUM(C17:E17)</f>
        <v>84.628281999999999</v>
      </c>
      <c r="J17" s="83"/>
    </row>
    <row r="18" spans="1:10">
      <c r="A18" s="281" t="s">
        <v>355</v>
      </c>
      <c r="B18" s="82"/>
      <c r="C18" s="84">
        <v>99.846108999999998</v>
      </c>
      <c r="D18" s="84">
        <v>-0.90552299999999997</v>
      </c>
      <c r="E18" s="84">
        <v>-22.786421000000001</v>
      </c>
      <c r="F18" s="84">
        <f>SUM(C18:E18)</f>
        <v>76.154164999999992</v>
      </c>
      <c r="J18" s="83"/>
    </row>
    <row r="19" spans="1:10">
      <c r="A19" s="281" t="s">
        <v>356</v>
      </c>
      <c r="B19" s="82"/>
      <c r="C19" s="84">
        <v>111.368397</v>
      </c>
      <c r="D19" s="84">
        <v>-0.90552299999999997</v>
      </c>
      <c r="E19" s="84">
        <v>-22.267416999999998</v>
      </c>
      <c r="F19" s="84">
        <f>SUM(C19:E19)</f>
        <v>88.195457000000005</v>
      </c>
      <c r="J19" s="83"/>
    </row>
    <row r="20" spans="1:10">
      <c r="A20" s="281" t="s">
        <v>357</v>
      </c>
      <c r="B20" s="82"/>
      <c r="C20" s="85">
        <v>90.189217999999997</v>
      </c>
      <c r="D20" s="84">
        <v>-0.90552299999999997</v>
      </c>
      <c r="E20" s="86">
        <v>-24.116575000000001</v>
      </c>
      <c r="F20" s="85">
        <f>SUM(C20:E20)</f>
        <v>65.167119999999997</v>
      </c>
      <c r="J20" s="83"/>
    </row>
    <row r="21" spans="1:10">
      <c r="A21" s="82"/>
      <c r="B21" s="82"/>
      <c r="C21" s="86"/>
      <c r="D21" s="86"/>
      <c r="E21" s="86"/>
      <c r="F21" s="86"/>
      <c r="J21" s="83"/>
    </row>
    <row r="22" spans="1:10">
      <c r="A22" s="281" t="s">
        <v>361</v>
      </c>
      <c r="B22" s="82"/>
      <c r="C22" s="84"/>
      <c r="D22" s="84"/>
      <c r="E22" s="84"/>
      <c r="F22" s="86">
        <f>AVERAGE(F16:F19)</f>
        <v>77.006390249999981</v>
      </c>
      <c r="J22" s="83"/>
    </row>
    <row r="23" spans="1:10">
      <c r="A23" s="82"/>
      <c r="B23" s="82"/>
      <c r="C23" s="84"/>
      <c r="D23" s="84"/>
      <c r="E23" s="84"/>
      <c r="F23" s="86"/>
      <c r="J23" s="83"/>
    </row>
    <row r="24" spans="1:10">
      <c r="A24" s="281" t="s">
        <v>362</v>
      </c>
      <c r="B24" s="82"/>
      <c r="C24" s="84"/>
      <c r="D24" s="84"/>
      <c r="E24" s="84"/>
      <c r="F24" s="85">
        <f>AVERAGE(F16:F20)</f>
        <v>74.63853619999999</v>
      </c>
      <c r="J24" s="83"/>
    </row>
    <row r="25" spans="1:10">
      <c r="A25" s="82"/>
      <c r="B25" s="82"/>
      <c r="C25" s="84"/>
      <c r="D25" s="84"/>
      <c r="E25" s="84"/>
      <c r="F25" s="86"/>
      <c r="J25" s="83"/>
    </row>
    <row r="26" spans="1:10" ht="13.5" thickBot="1">
      <c r="A26" s="301" t="s">
        <v>405</v>
      </c>
      <c r="B26" s="82"/>
      <c r="C26" s="84"/>
      <c r="D26" s="84"/>
      <c r="E26" s="84"/>
      <c r="F26" s="87">
        <f>F24-F22</f>
        <v>-2.3678540499999912</v>
      </c>
      <c r="J26" s="83"/>
    </row>
    <row r="27" spans="1:10" ht="13.5" thickTop="1">
      <c r="A27" s="281"/>
      <c r="B27" s="82"/>
      <c r="C27" s="84"/>
      <c r="D27" s="84"/>
      <c r="E27" s="84"/>
      <c r="F27" s="86"/>
      <c r="J27" s="83"/>
    </row>
    <row r="28" spans="1:10">
      <c r="A28" s="281"/>
      <c r="B28" s="82"/>
      <c r="C28" s="84"/>
      <c r="D28" s="84"/>
      <c r="E28" s="84"/>
      <c r="F28" s="86"/>
      <c r="J28" s="83"/>
    </row>
    <row r="29" spans="1:10">
      <c r="A29" s="281" t="s">
        <v>361</v>
      </c>
      <c r="B29" s="82"/>
      <c r="C29" s="84"/>
      <c r="D29" s="84"/>
      <c r="E29" s="84"/>
      <c r="F29" s="86">
        <f>F22</f>
        <v>77.006390249999981</v>
      </c>
      <c r="J29" s="83"/>
    </row>
    <row r="30" spans="1:10">
      <c r="A30" s="286" t="s">
        <v>378</v>
      </c>
      <c r="C30" s="287" t="s">
        <v>379</v>
      </c>
      <c r="D30" s="286"/>
      <c r="F30" s="297">
        <v>9.1660830000000004</v>
      </c>
      <c r="J30" s="83"/>
    </row>
    <row r="31" spans="1:10">
      <c r="A31" s="296" t="s">
        <v>399</v>
      </c>
      <c r="B31" s="82"/>
      <c r="C31" s="84"/>
      <c r="D31" s="84"/>
      <c r="E31" s="84"/>
      <c r="F31" s="86">
        <f>SUM(F29:F30)</f>
        <v>86.172473249999982</v>
      </c>
      <c r="J31" s="83"/>
    </row>
    <row r="32" spans="1:10">
      <c r="A32" s="281"/>
      <c r="B32" s="82"/>
      <c r="C32" s="84"/>
      <c r="D32" s="84"/>
      <c r="E32" s="84"/>
      <c r="F32" s="86"/>
      <c r="J32" s="83"/>
    </row>
    <row r="33" spans="1:10" ht="13.5" thickBot="1">
      <c r="A33" s="82" t="s">
        <v>183</v>
      </c>
      <c r="B33" s="82"/>
      <c r="C33" s="84"/>
      <c r="D33" s="84"/>
      <c r="E33" s="84"/>
      <c r="F33" s="87">
        <f>'Generation Maintenance Summary'!D25/1000000</f>
        <v>76.299664000000007</v>
      </c>
      <c r="J33" s="83"/>
    </row>
    <row r="34" spans="1:10" ht="13.5" thickTop="1">
      <c r="A34" s="281"/>
      <c r="B34" s="82"/>
      <c r="C34" s="84"/>
      <c r="D34" s="84"/>
      <c r="E34" s="84"/>
      <c r="F34" s="86"/>
      <c r="J34" s="83"/>
    </row>
    <row r="35" spans="1:10" ht="13.5" thickBot="1">
      <c r="A35" s="296" t="s">
        <v>400</v>
      </c>
      <c r="B35" s="82"/>
      <c r="C35" s="84"/>
      <c r="D35" s="84"/>
      <c r="E35" s="84"/>
      <c r="F35" s="87">
        <f>F31-F33</f>
        <v>9.8728092499999747</v>
      </c>
      <c r="J35" s="83"/>
    </row>
    <row r="36" spans="1:10" ht="13.5" thickTop="1">
      <c r="A36" s="281"/>
      <c r="B36" s="82"/>
      <c r="C36" s="84"/>
      <c r="D36" s="84"/>
      <c r="E36" s="84"/>
      <c r="F36" s="86"/>
      <c r="J36" s="83"/>
    </row>
    <row r="37" spans="1:10" ht="13.5" thickBot="1">
      <c r="A37" s="281" t="s">
        <v>363</v>
      </c>
      <c r="B37" s="82"/>
      <c r="C37" s="84"/>
      <c r="D37" s="84"/>
      <c r="E37" s="84"/>
      <c r="F37" s="87">
        <f>F26</f>
        <v>-2.3678540499999912</v>
      </c>
      <c r="J37" s="83"/>
    </row>
    <row r="38" spans="1:10" ht="13.5" thickTop="1">
      <c r="A38" s="281"/>
      <c r="B38" s="82"/>
      <c r="C38" s="84"/>
      <c r="D38" s="84"/>
      <c r="E38" s="84"/>
      <c r="F38" s="86"/>
      <c r="J38" s="83"/>
    </row>
    <row r="39" spans="1:10">
      <c r="A39" s="82"/>
      <c r="B39" s="82"/>
      <c r="C39" s="84"/>
      <c r="D39" s="84"/>
      <c r="E39" s="84"/>
      <c r="F39" s="86"/>
      <c r="J39" s="83"/>
    </row>
    <row r="40" spans="1:10" ht="13.5" thickBot="1">
      <c r="A40" s="296" t="s">
        <v>402</v>
      </c>
      <c r="B40" s="82"/>
      <c r="C40" s="84"/>
      <c r="D40" s="84"/>
      <c r="E40" s="84"/>
      <c r="F40" s="87">
        <f>SUM(F35:F37)</f>
        <v>7.5049551999999835</v>
      </c>
      <c r="J40" s="83"/>
    </row>
    <row r="41" spans="1:10" ht="13.5" thickTop="1">
      <c r="J41" s="83"/>
    </row>
    <row r="42" spans="1:10">
      <c r="A42" s="88"/>
      <c r="J42" s="83"/>
    </row>
    <row r="43" spans="1:10">
      <c r="A43" s="88"/>
      <c r="J43" s="83"/>
    </row>
    <row r="44" spans="1:10">
      <c r="A44" s="88"/>
      <c r="J44" s="83"/>
    </row>
    <row r="45" spans="1:10">
      <c r="A45" s="88"/>
      <c r="J45" s="83"/>
    </row>
    <row r="46" spans="1:10">
      <c r="A46" s="88"/>
      <c r="J46" s="83"/>
    </row>
    <row r="47" spans="1:10">
      <c r="A47" s="88"/>
      <c r="J47" s="83"/>
    </row>
    <row r="48" spans="1:10">
      <c r="A48" s="88"/>
      <c r="J48" s="83"/>
    </row>
    <row r="49" spans="1:10">
      <c r="A49" s="88"/>
      <c r="J49" s="83"/>
    </row>
    <row r="50" spans="1:10">
      <c r="A50" s="88"/>
      <c r="J50" s="83"/>
    </row>
    <row r="51" spans="1:10">
      <c r="A51" s="88"/>
      <c r="J51" s="83"/>
    </row>
    <row r="52" spans="1:10">
      <c r="J52" s="83"/>
    </row>
    <row r="53" spans="1:10">
      <c r="J53" s="83"/>
    </row>
    <row r="54" spans="1:10">
      <c r="J54" s="83"/>
    </row>
    <row r="55" spans="1:10">
      <c r="J55" s="83"/>
    </row>
    <row r="56" spans="1:10">
      <c r="J56" s="83"/>
    </row>
    <row r="57" spans="1:10">
      <c r="J57" s="83"/>
    </row>
    <row r="58" spans="1:10">
      <c r="J58" s="83"/>
    </row>
    <row r="59" spans="1:10">
      <c r="J59" s="83"/>
    </row>
    <row r="60" spans="1:10">
      <c r="A60" s="88"/>
      <c r="J60" s="83"/>
    </row>
    <row r="61" spans="1:10">
      <c r="A61" s="88"/>
      <c r="J61" s="83"/>
    </row>
    <row r="62" spans="1:10">
      <c r="J62" s="83"/>
    </row>
    <row r="63" spans="1:10">
      <c r="J63" s="83"/>
    </row>
    <row r="64" spans="1:10">
      <c r="J64" s="83"/>
    </row>
    <row r="65" spans="10:10">
      <c r="J65" s="83"/>
    </row>
    <row r="66" spans="10:10">
      <c r="J66" s="83"/>
    </row>
    <row r="67" spans="10:10">
      <c r="J67" s="83"/>
    </row>
    <row r="68" spans="10:10">
      <c r="J68" s="83"/>
    </row>
    <row r="69" spans="10:10">
      <c r="J69" s="83"/>
    </row>
    <row r="70" spans="10:10">
      <c r="J70" s="83"/>
    </row>
    <row r="71" spans="10:10">
      <c r="J71" s="83"/>
    </row>
    <row r="72" spans="10:10">
      <c r="J72" s="83"/>
    </row>
    <row r="73" spans="10:10">
      <c r="J73" s="83"/>
    </row>
    <row r="74" spans="10:10">
      <c r="J74" s="83"/>
    </row>
    <row r="75" spans="10:10">
      <c r="J75" s="83"/>
    </row>
    <row r="76" spans="10:10">
      <c r="J76" s="83"/>
    </row>
    <row r="77" spans="10:10">
      <c r="J77" s="83"/>
    </row>
    <row r="78" spans="10:10">
      <c r="J78" s="83"/>
    </row>
    <row r="79" spans="10:10">
      <c r="J79" s="83"/>
    </row>
    <row r="80" spans="10:10">
      <c r="J80" s="83"/>
    </row>
    <row r="81" spans="10:10">
      <c r="J81" s="83"/>
    </row>
    <row r="82" spans="10:10">
      <c r="J82" s="83"/>
    </row>
    <row r="83" spans="10:10">
      <c r="J83" s="83"/>
    </row>
    <row r="84" spans="10:10">
      <c r="J84" s="83"/>
    </row>
    <row r="85" spans="10:10">
      <c r="J85" s="83"/>
    </row>
    <row r="86" spans="10:10">
      <c r="J86" s="83"/>
    </row>
    <row r="87" spans="10:10">
      <c r="J87" s="83"/>
    </row>
    <row r="88" spans="10:10">
      <c r="J88" s="83"/>
    </row>
    <row r="89" spans="10:10">
      <c r="J89" s="83"/>
    </row>
    <row r="90" spans="10:10">
      <c r="J90" s="83"/>
    </row>
    <row r="91" spans="10:10">
      <c r="J91" s="83"/>
    </row>
    <row r="92" spans="10:10">
      <c r="J92" s="83"/>
    </row>
    <row r="93" spans="10:10">
      <c r="J93" s="83"/>
    </row>
    <row r="94" spans="10:10">
      <c r="J94" s="83"/>
    </row>
    <row r="95" spans="10:10">
      <c r="J95" s="83"/>
    </row>
    <row r="96" spans="10:10">
      <c r="J96" s="83"/>
    </row>
    <row r="97" spans="10:10">
      <c r="J97" s="83"/>
    </row>
    <row r="98" spans="10:10">
      <c r="J98" s="83"/>
    </row>
    <row r="99" spans="10:10">
      <c r="J99" s="83"/>
    </row>
    <row r="100" spans="10:10">
      <c r="J100" s="83"/>
    </row>
    <row r="101" spans="10:10">
      <c r="J101" s="83"/>
    </row>
    <row r="102" spans="10:10">
      <c r="J102" s="83"/>
    </row>
    <row r="103" spans="10:10">
      <c r="J103" s="83"/>
    </row>
    <row r="104" spans="10:10">
      <c r="J104" s="83"/>
    </row>
    <row r="105" spans="10:10">
      <c r="J105" s="83"/>
    </row>
    <row r="106" spans="10:10">
      <c r="J106" s="83"/>
    </row>
    <row r="107" spans="10:10">
      <c r="J107" s="83"/>
    </row>
    <row r="108" spans="10:10">
      <c r="J108" s="83"/>
    </row>
    <row r="109" spans="10:10">
      <c r="J109" s="83"/>
    </row>
    <row r="110" spans="10:10">
      <c r="J110" s="83"/>
    </row>
    <row r="111" spans="10:10">
      <c r="J111" s="83"/>
    </row>
    <row r="112" spans="10:10">
      <c r="J112" s="83"/>
    </row>
    <row r="113" spans="10:10">
      <c r="J113" s="83"/>
    </row>
    <row r="114" spans="10:10">
      <c r="J114" s="83"/>
    </row>
    <row r="115" spans="10:10">
      <c r="J115" s="83"/>
    </row>
    <row r="116" spans="10:10">
      <c r="J116" s="83"/>
    </row>
    <row r="117" spans="10:10">
      <c r="J117" s="83"/>
    </row>
    <row r="118" spans="10:10">
      <c r="J118" s="83"/>
    </row>
    <row r="119" spans="10:10">
      <c r="J119" s="83"/>
    </row>
    <row r="120" spans="10:10">
      <c r="J120" s="83"/>
    </row>
    <row r="121" spans="10:10">
      <c r="J121" s="83"/>
    </row>
    <row r="122" spans="10:10">
      <c r="J122" s="83"/>
    </row>
    <row r="123" spans="10:10">
      <c r="J123" s="83"/>
    </row>
    <row r="124" spans="10:10">
      <c r="J124" s="83"/>
    </row>
    <row r="125" spans="10:10">
      <c r="J125" s="83"/>
    </row>
    <row r="126" spans="10:10">
      <c r="J126" s="83"/>
    </row>
    <row r="127" spans="10:10">
      <c r="J127" s="83"/>
    </row>
    <row r="128" spans="10:10">
      <c r="J128" s="83"/>
    </row>
    <row r="129" spans="10:10">
      <c r="J129" s="83"/>
    </row>
    <row r="130" spans="10:10">
      <c r="J130" s="83"/>
    </row>
    <row r="131" spans="10:10">
      <c r="J131" s="83"/>
    </row>
    <row r="132" spans="10:10">
      <c r="J132" s="83"/>
    </row>
    <row r="133" spans="10:10">
      <c r="J133" s="83"/>
    </row>
    <row r="134" spans="10:10">
      <c r="J134" s="83"/>
    </row>
    <row r="135" spans="10:10">
      <c r="J135" s="83"/>
    </row>
    <row r="136" spans="10:10">
      <c r="J136" s="83"/>
    </row>
    <row r="137" spans="10:10">
      <c r="J137" s="83"/>
    </row>
    <row r="138" spans="10:10">
      <c r="J138" s="83"/>
    </row>
    <row r="139" spans="10:10">
      <c r="J139" s="83"/>
    </row>
    <row r="140" spans="10:10">
      <c r="J140" s="83"/>
    </row>
    <row r="141" spans="10:10">
      <c r="J141" s="83"/>
    </row>
    <row r="142" spans="10:10">
      <c r="J142" s="83"/>
    </row>
    <row r="143" spans="10:10">
      <c r="J143" s="83"/>
    </row>
    <row r="144" spans="10:10">
      <c r="J144" s="83"/>
    </row>
    <row r="145" spans="10:10">
      <c r="J145" s="83"/>
    </row>
    <row r="146" spans="10:10">
      <c r="J146" s="83"/>
    </row>
    <row r="147" spans="10:10">
      <c r="J147" s="83"/>
    </row>
    <row r="148" spans="10:10">
      <c r="J148" s="83"/>
    </row>
    <row r="149" spans="10:10">
      <c r="J149" s="83"/>
    </row>
    <row r="150" spans="10:10">
      <c r="J150" s="83"/>
    </row>
    <row r="151" spans="10:10">
      <c r="J151" s="83"/>
    </row>
    <row r="152" spans="10:10">
      <c r="J152" s="83"/>
    </row>
    <row r="153" spans="10:10">
      <c r="J153" s="83"/>
    </row>
    <row r="154" spans="10:10">
      <c r="J154" s="83"/>
    </row>
    <row r="155" spans="10:10">
      <c r="J155" s="83"/>
    </row>
    <row r="156" spans="10:10">
      <c r="J156" s="83"/>
    </row>
    <row r="157" spans="10:10">
      <c r="J157" s="83"/>
    </row>
    <row r="158" spans="10:10">
      <c r="J158" s="83"/>
    </row>
    <row r="159" spans="10:10">
      <c r="J159" s="83"/>
    </row>
    <row r="160" spans="10:10">
      <c r="J160" s="83"/>
    </row>
    <row r="161" spans="10:10">
      <c r="J161" s="83"/>
    </row>
    <row r="162" spans="10:10">
      <c r="J162" s="83"/>
    </row>
    <row r="163" spans="10:10">
      <c r="J163" s="83"/>
    </row>
    <row r="164" spans="10:10">
      <c r="J164" s="83"/>
    </row>
    <row r="165" spans="10:10">
      <c r="J165" s="83"/>
    </row>
    <row r="166" spans="10:10">
      <c r="J166" s="83"/>
    </row>
    <row r="167" spans="10:10">
      <c r="J167" s="83"/>
    </row>
    <row r="168" spans="10:10">
      <c r="J168" s="83"/>
    </row>
    <row r="169" spans="10:10">
      <c r="J169" s="83"/>
    </row>
    <row r="170" spans="10:10">
      <c r="J170" s="83"/>
    </row>
    <row r="171" spans="10:10">
      <c r="J171" s="83"/>
    </row>
    <row r="172" spans="10:10">
      <c r="J172" s="83"/>
    </row>
    <row r="173" spans="10:10">
      <c r="J173" s="83"/>
    </row>
    <row r="174" spans="10:10">
      <c r="J174" s="83"/>
    </row>
    <row r="175" spans="10:10">
      <c r="J175" s="83"/>
    </row>
    <row r="176" spans="10:10">
      <c r="J176" s="83"/>
    </row>
    <row r="177" spans="10:10">
      <c r="J177" s="83"/>
    </row>
    <row r="178" spans="10:10">
      <c r="J178" s="83"/>
    </row>
    <row r="179" spans="10:10">
      <c r="J179" s="83"/>
    </row>
    <row r="180" spans="10:10">
      <c r="J180" s="83"/>
    </row>
    <row r="181" spans="10:10">
      <c r="J181" s="83"/>
    </row>
    <row r="182" spans="10:10">
      <c r="J182" s="83"/>
    </row>
    <row r="183" spans="10:10">
      <c r="J183" s="83"/>
    </row>
    <row r="184" spans="10:10">
      <c r="J184" s="83"/>
    </row>
    <row r="185" spans="10:10">
      <c r="J185" s="83"/>
    </row>
    <row r="186" spans="10:10">
      <c r="J186" s="83"/>
    </row>
    <row r="187" spans="10:10">
      <c r="J187" s="83"/>
    </row>
    <row r="188" spans="10:10">
      <c r="J188" s="83"/>
    </row>
    <row r="189" spans="10:10">
      <c r="J189" s="83"/>
    </row>
    <row r="190" spans="10:10">
      <c r="J190" s="83"/>
    </row>
    <row r="191" spans="10:10">
      <c r="J191" s="83"/>
    </row>
    <row r="192" spans="10:10">
      <c r="J192" s="83"/>
    </row>
    <row r="193" spans="10:10">
      <c r="J193" s="83"/>
    </row>
    <row r="194" spans="10:10">
      <c r="J194" s="83"/>
    </row>
    <row r="195" spans="10:10">
      <c r="J195" s="83"/>
    </row>
    <row r="196" spans="10:10">
      <c r="J196" s="83"/>
    </row>
    <row r="197" spans="10:10">
      <c r="J197" s="83"/>
    </row>
    <row r="198" spans="10:10">
      <c r="J198" s="83"/>
    </row>
    <row r="199" spans="10:10">
      <c r="J199" s="83"/>
    </row>
    <row r="200" spans="10:10">
      <c r="J200" s="83"/>
    </row>
    <row r="201" spans="10:10">
      <c r="J201" s="83"/>
    </row>
    <row r="202" spans="10:10">
      <c r="J202" s="83"/>
    </row>
    <row r="203" spans="10:10">
      <c r="J203" s="83"/>
    </row>
    <row r="204" spans="10:10">
      <c r="J204" s="83"/>
    </row>
    <row r="205" spans="10:10">
      <c r="J205" s="83"/>
    </row>
    <row r="206" spans="10:10">
      <c r="J206" s="83"/>
    </row>
    <row r="207" spans="10:10">
      <c r="J207" s="83"/>
    </row>
    <row r="208" spans="10:10">
      <c r="J208" s="83"/>
    </row>
    <row r="209" spans="10:10">
      <c r="J209" s="83"/>
    </row>
    <row r="210" spans="10:10">
      <c r="J210" s="83"/>
    </row>
    <row r="211" spans="10:10">
      <c r="J211" s="83"/>
    </row>
    <row r="212" spans="10:10">
      <c r="J212" s="83"/>
    </row>
    <row r="213" spans="10:10">
      <c r="J213" s="83"/>
    </row>
    <row r="214" spans="10:10">
      <c r="J214" s="83"/>
    </row>
    <row r="215" spans="10:10">
      <c r="J215" s="83"/>
    </row>
    <row r="216" spans="10:10">
      <c r="J216" s="83"/>
    </row>
    <row r="217" spans="10:10">
      <c r="J217" s="83"/>
    </row>
    <row r="218" spans="10:10">
      <c r="J218" s="83"/>
    </row>
    <row r="219" spans="10:10">
      <c r="J219" s="83"/>
    </row>
    <row r="220" spans="10:10">
      <c r="J220" s="83"/>
    </row>
    <row r="221" spans="10:10">
      <c r="J221" s="83"/>
    </row>
    <row r="222" spans="10:10">
      <c r="J222" s="83"/>
    </row>
    <row r="223" spans="10:10">
      <c r="J223" s="83"/>
    </row>
    <row r="224" spans="10:10">
      <c r="J224" s="83"/>
    </row>
    <row r="225" spans="10:10">
      <c r="J225" s="83"/>
    </row>
    <row r="226" spans="10:10">
      <c r="J226" s="83"/>
    </row>
    <row r="227" spans="10:10">
      <c r="J227" s="83"/>
    </row>
    <row r="228" spans="10:10">
      <c r="J228" s="83"/>
    </row>
    <row r="229" spans="10:10">
      <c r="J229" s="83"/>
    </row>
    <row r="230" spans="10:10">
      <c r="J230" s="83"/>
    </row>
    <row r="231" spans="10:10">
      <c r="J231" s="83"/>
    </row>
    <row r="232" spans="10:10">
      <c r="J232" s="83"/>
    </row>
    <row r="233" spans="10:10">
      <c r="J233" s="83"/>
    </row>
    <row r="234" spans="10:10">
      <c r="J234" s="83"/>
    </row>
    <row r="235" spans="10:10">
      <c r="J235" s="83"/>
    </row>
    <row r="236" spans="10:10">
      <c r="J236" s="83"/>
    </row>
    <row r="237" spans="10:10">
      <c r="J237" s="83"/>
    </row>
    <row r="238" spans="10:10">
      <c r="J238" s="83"/>
    </row>
    <row r="239" spans="10:10">
      <c r="J239" s="83"/>
    </row>
    <row r="240" spans="10:10">
      <c r="J240" s="83"/>
    </row>
    <row r="241" spans="10:10">
      <c r="J241" s="83"/>
    </row>
    <row r="242" spans="10:10">
      <c r="J242" s="83"/>
    </row>
    <row r="243" spans="10:10">
      <c r="J243" s="83"/>
    </row>
    <row r="244" spans="10:10">
      <c r="J244" s="83"/>
    </row>
    <row r="245" spans="10:10">
      <c r="J245" s="83"/>
    </row>
    <row r="246" spans="10:10">
      <c r="J246" s="83"/>
    </row>
    <row r="247" spans="10:10">
      <c r="J247" s="83"/>
    </row>
    <row r="248" spans="10:10">
      <c r="J248" s="83"/>
    </row>
    <row r="249" spans="10:10">
      <c r="J249" s="83"/>
    </row>
    <row r="250" spans="10:10">
      <c r="J250" s="83"/>
    </row>
    <row r="251" spans="10:10">
      <c r="J251" s="83"/>
    </row>
    <row r="252" spans="10:10">
      <c r="J252" s="83"/>
    </row>
    <row r="253" spans="10:10">
      <c r="J253" s="83"/>
    </row>
    <row r="254" spans="10:10">
      <c r="J254" s="83"/>
    </row>
    <row r="255" spans="10:10">
      <c r="J255" s="83"/>
    </row>
    <row r="256" spans="10:10">
      <c r="J256" s="83"/>
    </row>
    <row r="257" spans="10:10">
      <c r="J257" s="83"/>
    </row>
    <row r="258" spans="10:10">
      <c r="J258" s="83"/>
    </row>
    <row r="259" spans="10:10">
      <c r="J259" s="83"/>
    </row>
    <row r="260" spans="10:10">
      <c r="J260" s="83"/>
    </row>
    <row r="261" spans="10:10">
      <c r="J261" s="83"/>
    </row>
    <row r="262" spans="10:10">
      <c r="J262" s="83"/>
    </row>
    <row r="263" spans="10:10">
      <c r="J263" s="83"/>
    </row>
    <row r="264" spans="10:10">
      <c r="J264" s="83"/>
    </row>
    <row r="265" spans="10:10">
      <c r="J265" s="83"/>
    </row>
    <row r="266" spans="10:10">
      <c r="J266" s="83"/>
    </row>
    <row r="267" spans="10:10">
      <c r="J267" s="83"/>
    </row>
    <row r="268" spans="10:10">
      <c r="J268" s="83"/>
    </row>
    <row r="269" spans="10:10">
      <c r="J269" s="83"/>
    </row>
    <row r="270" spans="10:10">
      <c r="J270" s="83"/>
    </row>
    <row r="271" spans="10:10">
      <c r="J271" s="83"/>
    </row>
    <row r="272" spans="10:10">
      <c r="J272" s="83"/>
    </row>
    <row r="273" spans="10:10">
      <c r="J273" s="83"/>
    </row>
    <row r="274" spans="10:10">
      <c r="J274" s="83"/>
    </row>
    <row r="275" spans="10:10">
      <c r="J275" s="83"/>
    </row>
    <row r="276" spans="10:10">
      <c r="J276" s="83"/>
    </row>
    <row r="277" spans="10:10">
      <c r="J277" s="83"/>
    </row>
    <row r="278" spans="10:10">
      <c r="J278" s="83"/>
    </row>
    <row r="279" spans="10:10">
      <c r="J279" s="83"/>
    </row>
    <row r="280" spans="10:10">
      <c r="J280" s="83"/>
    </row>
    <row r="281" spans="10:10">
      <c r="J281" s="83"/>
    </row>
    <row r="282" spans="10:10">
      <c r="J282" s="83"/>
    </row>
    <row r="283" spans="10:10">
      <c r="J283" s="83"/>
    </row>
    <row r="284" spans="10:10">
      <c r="J284" s="83"/>
    </row>
    <row r="285" spans="10:10">
      <c r="J285" s="83"/>
    </row>
    <row r="286" spans="10:10">
      <c r="J286" s="83"/>
    </row>
    <row r="287" spans="10:10">
      <c r="J287" s="83"/>
    </row>
    <row r="288" spans="10:10">
      <c r="J288" s="83"/>
    </row>
    <row r="289" spans="10:10">
      <c r="J289" s="83"/>
    </row>
    <row r="290" spans="10:10">
      <c r="J290" s="83"/>
    </row>
    <row r="291" spans="10:10">
      <c r="J291" s="83"/>
    </row>
    <row r="292" spans="10:10">
      <c r="J292" s="83"/>
    </row>
    <row r="293" spans="10:10">
      <c r="J293" s="83"/>
    </row>
    <row r="294" spans="10:10">
      <c r="J294" s="83"/>
    </row>
    <row r="295" spans="10:10">
      <c r="J295" s="83"/>
    </row>
    <row r="296" spans="10:10">
      <c r="J296" s="83"/>
    </row>
    <row r="297" spans="10:10">
      <c r="J297" s="83"/>
    </row>
    <row r="298" spans="10:10">
      <c r="J298" s="83"/>
    </row>
    <row r="299" spans="10:10">
      <c r="J299" s="83"/>
    </row>
    <row r="300" spans="10:10">
      <c r="J300" s="83"/>
    </row>
    <row r="301" spans="10:10">
      <c r="J301" s="83"/>
    </row>
    <row r="302" spans="10:10">
      <c r="J302" s="83"/>
    </row>
    <row r="303" spans="10:10">
      <c r="J303" s="83"/>
    </row>
    <row r="304" spans="10:10">
      <c r="J304" s="83"/>
    </row>
    <row r="305" spans="10:10">
      <c r="J305" s="83"/>
    </row>
  </sheetData>
  <mergeCells count="4">
    <mergeCell ref="A1:F1"/>
    <mergeCell ref="A2:F2"/>
    <mergeCell ref="A3:F3"/>
    <mergeCell ref="A4:F4"/>
  </mergeCells>
  <pageMargins left="0.56999999999999995" right="0.23" top="1" bottom="1" header="0.5" footer="0.5"/>
  <pageSetup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B26" sqref="B26"/>
    </sheetView>
  </sheetViews>
  <sheetFormatPr defaultRowHeight="12.75"/>
  <cols>
    <col min="1" max="1" width="1.28515625" customWidth="1"/>
    <col min="2" max="2" width="37.140625" customWidth="1"/>
    <col min="4" max="4" width="11" customWidth="1"/>
    <col min="5" max="5" width="13.42578125" customWidth="1"/>
    <col min="6" max="6" width="10.28515625" customWidth="1"/>
    <col min="7" max="7" width="10.7109375" customWidth="1"/>
    <col min="8" max="8" width="1.28515625" customWidth="1"/>
  </cols>
  <sheetData>
    <row r="1" spans="1:8" ht="6" customHeight="1">
      <c r="A1" s="262"/>
      <c r="B1" s="263"/>
      <c r="C1" s="263"/>
      <c r="D1" s="263"/>
      <c r="E1" s="263"/>
      <c r="F1" s="263"/>
      <c r="G1" s="263"/>
      <c r="H1" s="264"/>
    </row>
    <row r="2" spans="1:8" ht="12.75" customHeight="1">
      <c r="A2" s="265"/>
      <c r="B2" s="325" t="s">
        <v>344</v>
      </c>
      <c r="C2" s="325"/>
      <c r="D2" s="325"/>
      <c r="E2" s="325"/>
      <c r="F2" s="325"/>
      <c r="G2" s="325"/>
      <c r="H2" s="266"/>
    </row>
    <row r="3" spans="1:8" ht="15.75">
      <c r="A3" s="265"/>
      <c r="B3" s="338" t="s">
        <v>0</v>
      </c>
      <c r="C3" s="338"/>
      <c r="D3" s="338"/>
      <c r="E3" s="338"/>
      <c r="F3" s="338"/>
      <c r="G3" s="338"/>
      <c r="H3" s="266"/>
    </row>
    <row r="4" spans="1:8" ht="15.75">
      <c r="A4" s="265"/>
      <c r="B4" s="338" t="s">
        <v>406</v>
      </c>
      <c r="C4" s="338"/>
      <c r="D4" s="338"/>
      <c r="E4" s="338"/>
      <c r="F4" s="338"/>
      <c r="G4" s="338"/>
      <c r="H4" s="266"/>
    </row>
    <row r="5" spans="1:8" ht="15.75">
      <c r="A5" s="265"/>
      <c r="B5" s="338" t="s">
        <v>194</v>
      </c>
      <c r="C5" s="338"/>
      <c r="D5" s="338"/>
      <c r="E5" s="338"/>
      <c r="F5" s="338"/>
      <c r="G5" s="338"/>
      <c r="H5" s="266"/>
    </row>
    <row r="6" spans="1:8" ht="15.75">
      <c r="A6" s="265"/>
      <c r="B6" s="338" t="s">
        <v>181</v>
      </c>
      <c r="C6" s="338"/>
      <c r="D6" s="338"/>
      <c r="E6" s="338"/>
      <c r="F6" s="338"/>
      <c r="G6" s="338"/>
      <c r="H6" s="266"/>
    </row>
    <row r="7" spans="1:8" ht="15.75">
      <c r="A7" s="265"/>
      <c r="B7" s="269"/>
      <c r="C7" s="269"/>
      <c r="D7" s="269"/>
      <c r="E7" s="269"/>
      <c r="F7" s="269"/>
      <c r="G7" s="269"/>
      <c r="H7" s="266"/>
    </row>
    <row r="8" spans="1:8" ht="15.75">
      <c r="A8" s="265"/>
      <c r="B8" s="269"/>
      <c r="C8" s="269"/>
      <c r="D8" s="269"/>
      <c r="E8" s="269"/>
      <c r="F8" s="269"/>
      <c r="G8" s="269"/>
      <c r="H8" s="266"/>
    </row>
    <row r="9" spans="1:8" ht="15.75">
      <c r="A9" s="265"/>
      <c r="B9" s="302"/>
      <c r="C9" s="302"/>
      <c r="D9" s="303" t="s">
        <v>161</v>
      </c>
      <c r="E9" s="303" t="s">
        <v>185</v>
      </c>
      <c r="F9" s="304"/>
      <c r="G9" s="303" t="s">
        <v>161</v>
      </c>
      <c r="H9" s="266"/>
    </row>
    <row r="10" spans="1:8" ht="15.75">
      <c r="A10" s="265"/>
      <c r="B10" s="302"/>
      <c r="C10" s="302"/>
      <c r="D10" s="303" t="s">
        <v>404</v>
      </c>
      <c r="E10" s="303" t="s">
        <v>358</v>
      </c>
      <c r="F10" s="303" t="s">
        <v>185</v>
      </c>
      <c r="G10" s="303" t="s">
        <v>188</v>
      </c>
      <c r="H10" s="266"/>
    </row>
    <row r="11" spans="1:8" ht="15.75">
      <c r="A11" s="265"/>
      <c r="B11" s="302"/>
      <c r="C11" s="302"/>
      <c r="D11" s="303" t="s">
        <v>186</v>
      </c>
      <c r="E11" s="303" t="s">
        <v>407</v>
      </c>
      <c r="F11" s="303" t="s">
        <v>345</v>
      </c>
      <c r="G11" s="303" t="s">
        <v>409</v>
      </c>
      <c r="H11" s="266"/>
    </row>
    <row r="12" spans="1:8" ht="15.75">
      <c r="A12" s="265"/>
      <c r="B12" s="302"/>
      <c r="C12" s="302"/>
      <c r="D12" s="305" t="s">
        <v>187</v>
      </c>
      <c r="E12" s="305" t="s">
        <v>408</v>
      </c>
      <c r="F12" s="305" t="s">
        <v>360</v>
      </c>
      <c r="G12" s="305" t="s">
        <v>187</v>
      </c>
      <c r="H12" s="266"/>
    </row>
    <row r="13" spans="1:8" ht="15.75">
      <c r="A13" s="265"/>
      <c r="B13" s="302"/>
      <c r="C13" s="302"/>
      <c r="D13" s="303"/>
      <c r="E13" s="303"/>
      <c r="F13" s="303"/>
      <c r="G13" s="303"/>
      <c r="H13" s="266"/>
    </row>
    <row r="14" spans="1:8" ht="15.75">
      <c r="A14" s="265"/>
      <c r="B14" s="302" t="s">
        <v>184</v>
      </c>
      <c r="C14" s="302"/>
      <c r="D14" s="304">
        <v>76.334481999999994</v>
      </c>
      <c r="E14" s="304">
        <v>-0.90552299999999997</v>
      </c>
      <c r="F14" s="304">
        <v>-16.381302000000002</v>
      </c>
      <c r="G14" s="304">
        <f>SUM(D14:F14)</f>
        <v>59.047656999999987</v>
      </c>
      <c r="H14" s="266"/>
    </row>
    <row r="15" spans="1:8" ht="15.75">
      <c r="A15" s="265"/>
      <c r="B15" s="302" t="s">
        <v>354</v>
      </c>
      <c r="C15" s="302"/>
      <c r="D15" s="304">
        <v>104.359426</v>
      </c>
      <c r="E15" s="304">
        <v>-0.90552299999999997</v>
      </c>
      <c r="F15" s="304">
        <v>-18.825621000000002</v>
      </c>
      <c r="G15" s="304">
        <f>SUM(D15:F15)</f>
        <v>84.628281999999999</v>
      </c>
      <c r="H15" s="266"/>
    </row>
    <row r="16" spans="1:8" ht="15.75">
      <c r="A16" s="265"/>
      <c r="B16" s="302" t="s">
        <v>355</v>
      </c>
      <c r="C16" s="302"/>
      <c r="D16" s="304">
        <v>99.846108999999998</v>
      </c>
      <c r="E16" s="304">
        <v>-0.90552299999999997</v>
      </c>
      <c r="F16" s="304">
        <v>-22.786421000000001</v>
      </c>
      <c r="G16" s="304">
        <f>SUM(D16:F16)</f>
        <v>76.154164999999992</v>
      </c>
      <c r="H16" s="266"/>
    </row>
    <row r="17" spans="1:8" ht="15.75">
      <c r="A17" s="265"/>
      <c r="B17" s="302" t="s">
        <v>356</v>
      </c>
      <c r="C17" s="302"/>
      <c r="D17" s="304">
        <v>111.368397</v>
      </c>
      <c r="E17" s="304">
        <v>-0.90552299999999997</v>
      </c>
      <c r="F17" s="304">
        <v>-22.267416999999998</v>
      </c>
      <c r="G17" s="304">
        <f>SUM(D17:F17)</f>
        <v>88.195457000000005</v>
      </c>
      <c r="H17" s="266"/>
    </row>
    <row r="18" spans="1:8" ht="15.75">
      <c r="A18" s="265"/>
      <c r="B18" s="302" t="s">
        <v>357</v>
      </c>
      <c r="C18" s="302"/>
      <c r="D18" s="306">
        <v>90.189217999999997</v>
      </c>
      <c r="E18" s="304">
        <v>-0.90552299999999997</v>
      </c>
      <c r="F18" s="304">
        <v>-24.116575000000001</v>
      </c>
      <c r="G18" s="306">
        <f>SUM(D18:F18)</f>
        <v>65.167119999999997</v>
      </c>
      <c r="H18" s="266"/>
    </row>
    <row r="19" spans="1:8" ht="15.75">
      <c r="A19" s="265"/>
      <c r="B19" s="302"/>
      <c r="C19" s="302"/>
      <c r="D19" s="304"/>
      <c r="E19" s="304"/>
      <c r="F19" s="304"/>
      <c r="G19" s="304"/>
      <c r="H19" s="266"/>
    </row>
    <row r="20" spans="1:8" ht="15.75">
      <c r="A20" s="265"/>
      <c r="B20" s="302" t="s">
        <v>361</v>
      </c>
      <c r="C20" s="302"/>
      <c r="D20" s="304"/>
      <c r="E20" s="304"/>
      <c r="F20" s="304"/>
      <c r="G20" s="304">
        <f>AVERAGE(G14:G17)</f>
        <v>77.006390249999981</v>
      </c>
      <c r="H20" s="266"/>
    </row>
    <row r="21" spans="1:8" ht="15.75">
      <c r="A21" s="265"/>
      <c r="B21" s="302"/>
      <c r="C21" s="302"/>
      <c r="D21" s="304"/>
      <c r="E21" s="304"/>
      <c r="F21" s="304"/>
      <c r="G21" s="304"/>
      <c r="H21" s="266"/>
    </row>
    <row r="22" spans="1:8" ht="15.75">
      <c r="A22" s="265"/>
      <c r="B22" s="302" t="s">
        <v>362</v>
      </c>
      <c r="C22" s="302"/>
      <c r="D22" s="304"/>
      <c r="E22" s="304"/>
      <c r="F22" s="304"/>
      <c r="G22" s="306">
        <f>AVERAGE(G14:G18)</f>
        <v>74.63853619999999</v>
      </c>
      <c r="H22" s="266"/>
    </row>
    <row r="23" spans="1:8" ht="15.75">
      <c r="A23" s="265"/>
      <c r="B23" s="302"/>
      <c r="C23" s="302"/>
      <c r="D23" s="304"/>
      <c r="E23" s="304"/>
      <c r="F23" s="304"/>
      <c r="G23" s="304"/>
      <c r="H23" s="266"/>
    </row>
    <row r="24" spans="1:8" ht="16.5" thickBot="1">
      <c r="A24" s="265"/>
      <c r="B24" s="302" t="s">
        <v>411</v>
      </c>
      <c r="C24" s="302"/>
      <c r="D24" s="304"/>
      <c r="E24" s="304"/>
      <c r="F24" s="304"/>
      <c r="G24" s="307">
        <f>G22-G20</f>
        <v>-2.3678540499999912</v>
      </c>
      <c r="H24" s="266"/>
    </row>
    <row r="25" spans="1:8" ht="6.75" customHeight="1" thickTop="1">
      <c r="A25" s="278"/>
      <c r="B25" s="279"/>
      <c r="C25" s="279"/>
      <c r="D25" s="279"/>
      <c r="E25" s="279"/>
      <c r="F25" s="279"/>
      <c r="G25" s="279"/>
      <c r="H25" s="280"/>
    </row>
  </sheetData>
  <mergeCells count="5">
    <mergeCell ref="B3:G3"/>
    <mergeCell ref="B4:G4"/>
    <mergeCell ref="B5:G5"/>
    <mergeCell ref="B6:G6"/>
    <mergeCell ref="B2:G2"/>
  </mergeCells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sqref="A1:D66"/>
    </sheetView>
  </sheetViews>
  <sheetFormatPr defaultRowHeight="12.75"/>
  <cols>
    <col min="1" max="1" width="70.42578125" style="286" customWidth="1"/>
    <col min="2" max="2" width="19.42578125" style="286" customWidth="1"/>
    <col min="3" max="3" width="3.140625" style="286" customWidth="1"/>
    <col min="4" max="4" width="15.85546875" style="286" customWidth="1"/>
    <col min="5" max="16384" width="9.140625" style="286"/>
  </cols>
  <sheetData>
    <row r="1" spans="1:4">
      <c r="A1" s="285" t="s">
        <v>365</v>
      </c>
    </row>
    <row r="2" spans="1:4">
      <c r="A2" s="285" t="s">
        <v>366</v>
      </c>
    </row>
    <row r="4" spans="1:4">
      <c r="B4" s="287" t="s">
        <v>237</v>
      </c>
      <c r="D4" s="287"/>
    </row>
    <row r="5" spans="1:4">
      <c r="A5" s="286" t="s">
        <v>367</v>
      </c>
      <c r="B5" s="287" t="s">
        <v>368</v>
      </c>
      <c r="D5" s="288">
        <v>111368397</v>
      </c>
    </row>
    <row r="6" spans="1:4">
      <c r="B6" s="287"/>
      <c r="D6" s="288"/>
    </row>
    <row r="7" spans="1:4">
      <c r="A7" s="286" t="s">
        <v>369</v>
      </c>
      <c r="B7" s="287" t="s">
        <v>370</v>
      </c>
    </row>
    <row r="8" spans="1:4">
      <c r="B8" s="287"/>
    </row>
    <row r="9" spans="1:4">
      <c r="A9" s="286" t="s">
        <v>371</v>
      </c>
      <c r="B9" s="287" t="s">
        <v>372</v>
      </c>
      <c r="D9" s="289">
        <v>-905523</v>
      </c>
    </row>
    <row r="10" spans="1:4">
      <c r="A10" s="286" t="s">
        <v>373</v>
      </c>
      <c r="B10" s="287" t="s">
        <v>372</v>
      </c>
      <c r="D10" s="290">
        <v>-22267417</v>
      </c>
    </row>
    <row r="11" spans="1:4">
      <c r="B11" s="287"/>
    </row>
    <row r="12" spans="1:4">
      <c r="A12" s="286" t="s">
        <v>374</v>
      </c>
      <c r="B12" s="287"/>
      <c r="D12" s="291">
        <f>SUM(D5:D10)</f>
        <v>88195457</v>
      </c>
    </row>
    <row r="13" spans="1:4">
      <c r="B13" s="287"/>
    </row>
    <row r="14" spans="1:4">
      <c r="B14" s="287"/>
    </row>
    <row r="15" spans="1:4">
      <c r="A15" s="286" t="s">
        <v>375</v>
      </c>
      <c r="B15" s="287" t="s">
        <v>372</v>
      </c>
      <c r="D15" s="288">
        <v>-18264609</v>
      </c>
    </row>
    <row r="16" spans="1:4">
      <c r="A16" s="292" t="s">
        <v>376</v>
      </c>
      <c r="B16" s="287"/>
    </row>
    <row r="18" spans="1:5">
      <c r="A18" s="286" t="s">
        <v>377</v>
      </c>
      <c r="D18" s="290">
        <v>-6088203</v>
      </c>
    </row>
    <row r="20" spans="1:5">
      <c r="A20" s="286" t="s">
        <v>401</v>
      </c>
      <c r="D20" s="291">
        <f>SUM(D12:D18)</f>
        <v>63842645</v>
      </c>
    </row>
    <row r="22" spans="1:5">
      <c r="A22" s="286" t="s">
        <v>378</v>
      </c>
      <c r="B22" s="287" t="s">
        <v>379</v>
      </c>
      <c r="D22" s="288">
        <v>9166083</v>
      </c>
    </row>
    <row r="23" spans="1:5">
      <c r="A23" s="286" t="s">
        <v>380</v>
      </c>
      <c r="B23" s="287" t="s">
        <v>372</v>
      </c>
      <c r="D23" s="290">
        <v>3290936</v>
      </c>
      <c r="E23" s="286" t="s">
        <v>381</v>
      </c>
    </row>
    <row r="24" spans="1:5">
      <c r="D24" s="288"/>
      <c r="E24" s="286" t="s">
        <v>382</v>
      </c>
    </row>
    <row r="25" spans="1:5" ht="13.5" thickBot="1">
      <c r="A25" s="286" t="s">
        <v>383</v>
      </c>
      <c r="D25" s="293">
        <f>SUM(D20:D23)</f>
        <v>76299664</v>
      </c>
    </row>
    <row r="26" spans="1:5" ht="13.5" thickTop="1">
      <c r="D26" s="288"/>
    </row>
    <row r="27" spans="1:5">
      <c r="A27" s="286" t="s">
        <v>384</v>
      </c>
    </row>
    <row r="28" spans="1:5">
      <c r="A28" s="286" t="s">
        <v>385</v>
      </c>
    </row>
    <row r="31" spans="1:5">
      <c r="B31" s="287" t="s">
        <v>237</v>
      </c>
      <c r="D31" s="287"/>
    </row>
    <row r="32" spans="1:5">
      <c r="A32" s="286" t="s">
        <v>386</v>
      </c>
      <c r="B32" s="287" t="s">
        <v>368</v>
      </c>
      <c r="D32" s="288">
        <v>117695764</v>
      </c>
    </row>
    <row r="33" spans="1:4">
      <c r="A33" s="286" t="s">
        <v>387</v>
      </c>
      <c r="B33" s="287"/>
      <c r="D33" s="288">
        <v>41449</v>
      </c>
    </row>
    <row r="34" spans="1:4">
      <c r="A34" s="286" t="s">
        <v>371</v>
      </c>
      <c r="B34" s="287" t="s">
        <v>372</v>
      </c>
      <c r="D34" s="289">
        <v>-905523</v>
      </c>
    </row>
    <row r="35" spans="1:4">
      <c r="A35" s="286" t="s">
        <v>373</v>
      </c>
      <c r="B35" s="287" t="s">
        <v>372</v>
      </c>
      <c r="D35" s="290">
        <v>-22267417</v>
      </c>
    </row>
    <row r="36" spans="1:4">
      <c r="B36" s="287"/>
    </row>
    <row r="37" spans="1:4">
      <c r="A37" s="286" t="s">
        <v>374</v>
      </c>
      <c r="B37" s="287"/>
      <c r="D37" s="291">
        <f>SUM(D32:D35)</f>
        <v>94564273</v>
      </c>
    </row>
    <row r="38" spans="1:4">
      <c r="B38" s="287"/>
    </row>
    <row r="39" spans="1:4">
      <c r="B39" s="287"/>
    </row>
    <row r="40" spans="1:4">
      <c r="A40" s="286" t="s">
        <v>375</v>
      </c>
      <c r="B40" s="287" t="s">
        <v>372</v>
      </c>
      <c r="D40" s="290">
        <v>-18264609</v>
      </c>
    </row>
    <row r="41" spans="1:4">
      <c r="A41" s="292" t="s">
        <v>376</v>
      </c>
      <c r="B41" s="287"/>
    </row>
    <row r="43" spans="1:4" ht="13.5" thickBot="1">
      <c r="A43" s="286" t="s">
        <v>401</v>
      </c>
      <c r="D43" s="294">
        <f>SUM(D37:D41)</f>
        <v>76299664</v>
      </c>
    </row>
    <row r="44" spans="1:4" ht="13.5" thickTop="1"/>
    <row r="47" spans="1:4">
      <c r="A47" s="286" t="s">
        <v>388</v>
      </c>
    </row>
    <row r="48" spans="1:4">
      <c r="A48" s="286" t="s">
        <v>389</v>
      </c>
    </row>
    <row r="49" spans="1:4">
      <c r="A49" s="286" t="s">
        <v>390</v>
      </c>
      <c r="B49" s="287" t="s">
        <v>372</v>
      </c>
      <c r="D49" s="288">
        <f>77006390</f>
        <v>77006390</v>
      </c>
    </row>
    <row r="50" spans="1:4" ht="13.5" thickBot="1">
      <c r="A50" s="286" t="s">
        <v>378</v>
      </c>
      <c r="B50" s="287" t="s">
        <v>379</v>
      </c>
      <c r="D50" s="293">
        <v>9166083</v>
      </c>
    </row>
    <row r="51" spans="1:4" ht="13.5" thickTop="1"/>
    <row r="52" spans="1:4">
      <c r="A52" s="286" t="s">
        <v>391</v>
      </c>
      <c r="D52" s="291">
        <f>SUM(D49:D51)</f>
        <v>86172473</v>
      </c>
    </row>
    <row r="54" spans="1:4" ht="13.5" thickBot="1">
      <c r="A54" s="286" t="s">
        <v>392</v>
      </c>
      <c r="D54" s="294">
        <f>D43-D52</f>
        <v>-9872809</v>
      </c>
    </row>
    <row r="55" spans="1:4" ht="13.5" thickTop="1"/>
    <row r="57" spans="1:4">
      <c r="A57" s="286" t="s">
        <v>393</v>
      </c>
    </row>
    <row r="58" spans="1:4">
      <c r="A58" s="286" t="s">
        <v>394</v>
      </c>
      <c r="B58" s="287" t="s">
        <v>372</v>
      </c>
      <c r="D58" s="288">
        <v>63842645</v>
      </c>
    </row>
    <row r="59" spans="1:4">
      <c r="A59" s="286" t="s">
        <v>395</v>
      </c>
      <c r="B59" s="287" t="s">
        <v>372</v>
      </c>
      <c r="D59" s="291">
        <f>D49</f>
        <v>77006390</v>
      </c>
    </row>
    <row r="61" spans="1:4">
      <c r="A61" s="286" t="s">
        <v>396</v>
      </c>
      <c r="D61" s="291">
        <f>D59-D58</f>
        <v>13163745</v>
      </c>
    </row>
    <row r="62" spans="1:4">
      <c r="D62" s="295"/>
    </row>
    <row r="63" spans="1:4">
      <c r="A63" s="286" t="s">
        <v>397</v>
      </c>
      <c r="D63" s="291">
        <f>-D23</f>
        <v>-3290936</v>
      </c>
    </row>
    <row r="65" spans="1:4">
      <c r="A65" s="286" t="s">
        <v>398</v>
      </c>
      <c r="D65" s="291">
        <f>SUM(D61:D63)</f>
        <v>9872809</v>
      </c>
    </row>
    <row r="66" spans="1:4">
      <c r="A66" s="286" t="s">
        <v>392</v>
      </c>
      <c r="D66" s="291">
        <f>D54</f>
        <v>-9872809</v>
      </c>
    </row>
    <row r="67" spans="1:4">
      <c r="D67" s="291"/>
    </row>
  </sheetData>
  <pageMargins left="0.7" right="0.7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0"/>
  <sheetViews>
    <sheetView zoomScale="75" zoomScaleNormal="75" workbookViewId="0">
      <selection activeCell="K22" sqref="K22"/>
    </sheetView>
  </sheetViews>
  <sheetFormatPr defaultColWidth="12.5703125" defaultRowHeight="15"/>
  <cols>
    <col min="1" max="1" width="10" style="13" customWidth="1"/>
    <col min="2" max="2" width="3.7109375" style="13" customWidth="1"/>
    <col min="3" max="3" width="74" style="13" customWidth="1"/>
    <col min="4" max="4" width="3.5703125" style="13" customWidth="1"/>
    <col min="5" max="5" width="31.140625" style="13" customWidth="1"/>
    <col min="6" max="6" width="3.5703125" style="13" customWidth="1"/>
    <col min="7" max="7" width="22.140625" style="15" customWidth="1"/>
    <col min="8" max="8" width="3.5703125" style="15" customWidth="1"/>
    <col min="9" max="9" width="16.28515625" style="13" customWidth="1"/>
    <col min="10" max="10" width="3.5703125" style="13" customWidth="1"/>
    <col min="11" max="11" width="22.140625" style="15" customWidth="1"/>
    <col min="12" max="12" width="3.5703125" style="13" customWidth="1"/>
    <col min="13" max="13" width="19.28515625" style="13" customWidth="1"/>
    <col min="14" max="14" width="3" style="13" customWidth="1"/>
    <col min="15" max="15" width="30.5703125" style="13" customWidth="1"/>
    <col min="16" max="16384" width="12.5703125" style="13"/>
  </cols>
  <sheetData>
    <row r="1" spans="1:15" ht="15.7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O1" s="16"/>
    </row>
    <row r="2" spans="1:15" ht="15.7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O2" s="16"/>
    </row>
    <row r="3" spans="1:15" ht="15.75">
      <c r="A3" s="31" t="s">
        <v>243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16"/>
    </row>
    <row r="4" spans="1:15" ht="15.75">
      <c r="A4" s="31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O4" s="16"/>
    </row>
    <row r="5" spans="1:15" ht="15.75">
      <c r="A5" s="16"/>
      <c r="B5" s="17"/>
      <c r="C5" s="17"/>
      <c r="D5" s="17"/>
      <c r="E5" s="17"/>
      <c r="F5" s="17"/>
      <c r="G5" s="39"/>
      <c r="H5" s="39"/>
    </row>
    <row r="6" spans="1:15" ht="15.75">
      <c r="B6" s="22"/>
      <c r="C6" s="18"/>
      <c r="D6" s="18"/>
      <c r="E6" s="18" t="s">
        <v>119</v>
      </c>
      <c r="F6" s="18"/>
      <c r="G6" s="137" t="s">
        <v>244</v>
      </c>
      <c r="H6" s="20"/>
      <c r="I6" s="17"/>
      <c r="J6" s="17"/>
      <c r="K6" s="339" t="s">
        <v>245</v>
      </c>
      <c r="L6" s="339"/>
      <c r="M6" s="339"/>
      <c r="N6" s="339"/>
      <c r="O6" s="339"/>
    </row>
    <row r="7" spans="1:15" ht="15.75">
      <c r="B7" s="22"/>
      <c r="C7" s="18"/>
      <c r="D7" s="18"/>
      <c r="E7" s="18" t="s">
        <v>125</v>
      </c>
      <c r="F7" s="18"/>
      <c r="G7" s="137" t="s">
        <v>125</v>
      </c>
      <c r="H7" s="20"/>
      <c r="I7" s="25" t="s">
        <v>246</v>
      </c>
      <c r="J7" s="18"/>
      <c r="K7" s="20" t="s">
        <v>247</v>
      </c>
      <c r="L7" s="18"/>
      <c r="M7" s="138" t="s">
        <v>248</v>
      </c>
      <c r="O7" s="139" t="s">
        <v>249</v>
      </c>
    </row>
    <row r="8" spans="1:15" ht="15.75">
      <c r="B8" s="22"/>
      <c r="C8" s="18" t="s">
        <v>23</v>
      </c>
      <c r="D8" s="18"/>
      <c r="E8" s="44" t="s">
        <v>250</v>
      </c>
      <c r="F8" s="18"/>
      <c r="G8" s="137" t="s">
        <v>250</v>
      </c>
      <c r="H8" s="20"/>
      <c r="I8" s="18" t="s">
        <v>135</v>
      </c>
      <c r="J8" s="18"/>
      <c r="K8" s="20" t="s">
        <v>134</v>
      </c>
      <c r="L8" s="18"/>
      <c r="M8" s="140" t="s">
        <v>134</v>
      </c>
      <c r="O8" s="141" t="s">
        <v>134</v>
      </c>
    </row>
    <row r="9" spans="1:15" ht="15.75">
      <c r="B9" s="22"/>
      <c r="C9" s="45"/>
      <c r="D9" s="19"/>
      <c r="E9" s="45"/>
      <c r="F9" s="20"/>
      <c r="G9" s="137"/>
      <c r="H9" s="20"/>
      <c r="I9" s="47"/>
      <c r="J9" s="19"/>
      <c r="K9" s="45"/>
      <c r="L9" s="19"/>
      <c r="M9" s="142"/>
      <c r="O9" s="143"/>
    </row>
    <row r="10" spans="1:15" ht="15.75">
      <c r="B10" s="22"/>
      <c r="C10" s="19"/>
      <c r="D10" s="19"/>
      <c r="E10" s="19"/>
      <c r="F10" s="19"/>
      <c r="G10" s="137"/>
      <c r="H10" s="20"/>
      <c r="I10" s="19"/>
      <c r="J10" s="19"/>
      <c r="K10" s="20"/>
      <c r="L10" s="19"/>
      <c r="M10" s="142"/>
      <c r="O10" s="143"/>
    </row>
    <row r="11" spans="1:15" ht="15.75">
      <c r="B11" s="22"/>
      <c r="C11" s="21" t="s">
        <v>24</v>
      </c>
      <c r="D11" s="19"/>
      <c r="E11" s="19"/>
      <c r="F11" s="19"/>
      <c r="G11" s="137"/>
      <c r="H11" s="20"/>
      <c r="I11" s="19"/>
      <c r="J11" s="19"/>
      <c r="K11" s="20"/>
      <c r="L11" s="19"/>
      <c r="M11" s="142"/>
      <c r="O11" s="143"/>
    </row>
    <row r="12" spans="1:15" ht="15.75">
      <c r="B12" s="22"/>
      <c r="C12" s="19"/>
      <c r="D12" s="19"/>
      <c r="E12" s="19"/>
      <c r="F12" s="19"/>
      <c r="G12" s="137"/>
      <c r="H12" s="20"/>
      <c r="I12" s="19"/>
      <c r="J12" s="19"/>
      <c r="K12" s="20"/>
      <c r="L12" s="19"/>
      <c r="M12" s="142"/>
      <c r="O12" s="143"/>
    </row>
    <row r="13" spans="1:15" ht="15.75">
      <c r="A13" s="30">
        <v>303</v>
      </c>
      <c r="C13" s="13" t="s">
        <v>25</v>
      </c>
      <c r="D13" s="19"/>
      <c r="E13" s="144">
        <v>20095177.920000002</v>
      </c>
      <c r="F13" s="145"/>
      <c r="G13" s="146">
        <v>0</v>
      </c>
      <c r="H13" s="147"/>
      <c r="I13" s="26">
        <v>3.66</v>
      </c>
      <c r="J13" s="26"/>
      <c r="K13" s="148">
        <v>735656</v>
      </c>
      <c r="M13" s="149">
        <f>ROUND(G13*(I13/100),0)</f>
        <v>0</v>
      </c>
      <c r="O13" s="150">
        <f>K13-M13</f>
        <v>735656</v>
      </c>
    </row>
    <row r="14" spans="1:15" ht="15.75">
      <c r="B14" s="22"/>
      <c r="C14" s="19"/>
      <c r="D14" s="19"/>
      <c r="E14" s="19"/>
      <c r="F14" s="19"/>
      <c r="G14" s="137"/>
      <c r="H14" s="20"/>
      <c r="I14" s="19"/>
      <c r="J14" s="19"/>
      <c r="K14" s="20"/>
      <c r="L14" s="19"/>
      <c r="M14" s="142"/>
      <c r="O14" s="143"/>
    </row>
    <row r="15" spans="1:15" ht="15.75">
      <c r="B15" s="22"/>
      <c r="C15" s="31" t="s">
        <v>139</v>
      </c>
      <c r="D15" s="19"/>
      <c r="E15" s="151">
        <f>SUBTOTAL(9,E13:E14)</f>
        <v>20095177.920000002</v>
      </c>
      <c r="F15" s="152"/>
      <c r="G15" s="153">
        <f t="shared" ref="G15" si="0">SUBTOTAL(9,G13:G14)</f>
        <v>0</v>
      </c>
      <c r="H15" s="154"/>
      <c r="I15" s="23">
        <f>+ROUND(K15/E15*100,2)</f>
        <v>3.66</v>
      </c>
      <c r="J15" s="23"/>
      <c r="K15" s="154">
        <f>SUBTOTAL(9,K13:K14)</f>
        <v>735656</v>
      </c>
      <c r="L15" s="22"/>
      <c r="M15" s="155">
        <f t="shared" ref="M15" si="1">SUBTOTAL(9,M13:M14)</f>
        <v>0</v>
      </c>
      <c r="O15" s="154">
        <f t="shared" ref="O15" si="2">SUBTOTAL(9,O13:O14)</f>
        <v>735656</v>
      </c>
    </row>
    <row r="16" spans="1:15" ht="15.75">
      <c r="B16" s="22"/>
      <c r="C16" s="19"/>
      <c r="D16" s="19"/>
      <c r="E16" s="19"/>
      <c r="F16" s="19"/>
      <c r="G16" s="137"/>
      <c r="H16" s="20"/>
      <c r="I16" s="19"/>
      <c r="J16" s="19"/>
      <c r="K16" s="20"/>
      <c r="L16" s="19"/>
      <c r="M16" s="142"/>
      <c r="O16" s="143"/>
    </row>
    <row r="17" spans="1:15" ht="15.75">
      <c r="C17" s="18" t="s">
        <v>26</v>
      </c>
      <c r="G17" s="156"/>
      <c r="I17" s="24"/>
      <c r="J17" s="24"/>
      <c r="M17" s="142"/>
      <c r="O17" s="143"/>
    </row>
    <row r="18" spans="1:15" ht="15.75">
      <c r="C18" s="25"/>
      <c r="G18" s="156"/>
      <c r="I18" s="26"/>
      <c r="J18" s="26"/>
      <c r="M18" s="142"/>
      <c r="O18" s="143"/>
    </row>
    <row r="19" spans="1:15">
      <c r="A19" s="30">
        <v>310.10000000000002</v>
      </c>
      <c r="C19" s="13" t="s">
        <v>27</v>
      </c>
      <c r="G19" s="156"/>
      <c r="I19" s="26"/>
      <c r="J19" s="26"/>
      <c r="M19" s="142"/>
      <c r="O19" s="143"/>
    </row>
    <row r="20" spans="1:15">
      <c r="C20" s="33" t="s">
        <v>28</v>
      </c>
      <c r="E20" s="157">
        <v>5325571.5599999996</v>
      </c>
      <c r="F20" s="145"/>
      <c r="G20" s="158">
        <v>5325571.5599999996</v>
      </c>
      <c r="H20" s="147"/>
      <c r="I20" s="26">
        <v>3.37</v>
      </c>
      <c r="J20" s="26"/>
      <c r="K20" s="147">
        <v>179435</v>
      </c>
      <c r="M20" s="142">
        <f>ROUND(G20*(I20/100),0)-37</f>
        <v>179435</v>
      </c>
      <c r="O20" s="143">
        <f t="shared" ref="O20:O83" si="3">K20-M20</f>
        <v>0</v>
      </c>
    </row>
    <row r="21" spans="1:15">
      <c r="C21" s="33" t="s">
        <v>29</v>
      </c>
      <c r="E21" s="157">
        <v>480134.08</v>
      </c>
      <c r="F21" s="145"/>
      <c r="G21" s="158">
        <v>0</v>
      </c>
      <c r="H21" s="147"/>
      <c r="I21" s="26">
        <v>2.19</v>
      </c>
      <c r="J21" s="26"/>
      <c r="K21" s="147">
        <v>10494</v>
      </c>
      <c r="M21" s="142">
        <f t="shared" ref="M21:M83" si="4">ROUND(G21*(I21/100),0)</f>
        <v>0</v>
      </c>
      <c r="O21" s="143">
        <f t="shared" si="3"/>
        <v>10494</v>
      </c>
    </row>
    <row r="22" spans="1:15">
      <c r="C22" s="33" t="s">
        <v>30</v>
      </c>
      <c r="E22" s="157">
        <v>54040615.270000003</v>
      </c>
      <c r="F22" s="145"/>
      <c r="G22" s="158">
        <f>24117699.5-1050779.86</f>
        <v>23066919.640000001</v>
      </c>
      <c r="H22" s="147"/>
      <c r="I22" s="26">
        <v>3.41</v>
      </c>
      <c r="J22" s="26"/>
      <c r="K22" s="147">
        <v>1840731</v>
      </c>
      <c r="M22" s="142">
        <f t="shared" si="4"/>
        <v>786582</v>
      </c>
      <c r="O22" s="143">
        <f t="shared" si="3"/>
        <v>1054149</v>
      </c>
    </row>
    <row r="23" spans="1:15">
      <c r="C23" s="33" t="s">
        <v>31</v>
      </c>
      <c r="E23" s="157">
        <v>1050779.8600000001</v>
      </c>
      <c r="F23" s="145"/>
      <c r="G23" s="158">
        <v>1050779.8600000001</v>
      </c>
      <c r="H23" s="147"/>
      <c r="I23" s="26">
        <v>3.26</v>
      </c>
      <c r="J23" s="26"/>
      <c r="K23" s="147">
        <v>34284</v>
      </c>
      <c r="M23" s="142">
        <f>ROUND(G23*(I23/100),0)-38</f>
        <v>34217</v>
      </c>
      <c r="O23" s="143">
        <f t="shared" si="3"/>
        <v>67</v>
      </c>
    </row>
    <row r="24" spans="1:15">
      <c r="C24" s="33" t="s">
        <v>32</v>
      </c>
      <c r="E24" s="144">
        <v>6050424.8700000001</v>
      </c>
      <c r="F24" s="145"/>
      <c r="G24" s="146">
        <v>6050424.8700000001</v>
      </c>
      <c r="H24" s="147"/>
      <c r="I24" s="26">
        <v>13.44</v>
      </c>
      <c r="J24" s="26"/>
      <c r="K24" s="148">
        <v>812946</v>
      </c>
      <c r="M24" s="149">
        <f>ROUND(G24*(I24/100),0)-231</f>
        <v>812946</v>
      </c>
      <c r="O24" s="150">
        <f t="shared" si="3"/>
        <v>0</v>
      </c>
    </row>
    <row r="25" spans="1:15">
      <c r="E25" s="157"/>
      <c r="F25" s="145"/>
      <c r="G25" s="158"/>
      <c r="H25" s="147"/>
      <c r="I25" s="26"/>
      <c r="J25" s="26"/>
      <c r="K25" s="147"/>
      <c r="M25" s="142"/>
      <c r="O25" s="143"/>
    </row>
    <row r="26" spans="1:15">
      <c r="C26" s="13" t="s">
        <v>33</v>
      </c>
      <c r="E26" s="157">
        <f>SUBTOTAL(9,E20:E25)</f>
        <v>66947525.640000001</v>
      </c>
      <c r="F26" s="145"/>
      <c r="G26" s="159">
        <f t="shared" ref="G26" si="5">SUBTOTAL(9,G20:G25)</f>
        <v>35493695.93</v>
      </c>
      <c r="H26" s="147"/>
      <c r="I26" s="26">
        <f>+ROUND(K26/E26*100,2)</f>
        <v>4.3</v>
      </c>
      <c r="J26" s="26"/>
      <c r="K26" s="147">
        <f>SUBTOTAL(9,K20:K25)</f>
        <v>2877890</v>
      </c>
      <c r="M26" s="160">
        <f t="shared" ref="M26" si="6">SUBTOTAL(9,M20:M25)</f>
        <v>1813180</v>
      </c>
      <c r="O26" s="147">
        <f t="shared" ref="O26" si="7">SUBTOTAL(9,O20:O25)</f>
        <v>1064710</v>
      </c>
    </row>
    <row r="27" spans="1:15" ht="15.75">
      <c r="C27" s="18"/>
      <c r="G27" s="156"/>
      <c r="I27" s="26"/>
      <c r="J27" s="26"/>
      <c r="M27" s="142"/>
      <c r="O27" s="143"/>
    </row>
    <row r="28" spans="1:15">
      <c r="A28" s="30">
        <v>311</v>
      </c>
      <c r="C28" s="13" t="s">
        <v>34</v>
      </c>
      <c r="G28" s="156"/>
      <c r="I28" s="26"/>
      <c r="J28" s="26"/>
      <c r="M28" s="142"/>
      <c r="O28" s="143"/>
    </row>
    <row r="29" spans="1:15">
      <c r="A29" s="30"/>
      <c r="C29" s="33" t="s">
        <v>35</v>
      </c>
      <c r="E29" s="157">
        <v>619445.56000000006</v>
      </c>
      <c r="F29" s="145"/>
      <c r="G29" s="158">
        <v>0</v>
      </c>
      <c r="H29" s="147"/>
      <c r="I29" s="26">
        <v>1.7</v>
      </c>
      <c r="J29" s="26"/>
      <c r="K29" s="147">
        <v>10555</v>
      </c>
      <c r="M29" s="142">
        <f t="shared" si="4"/>
        <v>0</v>
      </c>
      <c r="O29" s="143">
        <f t="shared" si="3"/>
        <v>10555</v>
      </c>
    </row>
    <row r="30" spans="1:15">
      <c r="A30" s="30"/>
      <c r="C30" s="33" t="s">
        <v>36</v>
      </c>
      <c r="E30" s="157">
        <v>11594469.07</v>
      </c>
      <c r="F30" s="145"/>
      <c r="G30" s="158">
        <v>1242055.47</v>
      </c>
      <c r="H30" s="147"/>
      <c r="I30" s="26">
        <v>0.75</v>
      </c>
      <c r="J30" s="26"/>
      <c r="K30" s="147">
        <v>86379</v>
      </c>
      <c r="M30" s="142">
        <f t="shared" si="4"/>
        <v>9315</v>
      </c>
      <c r="O30" s="143">
        <f t="shared" si="3"/>
        <v>77064</v>
      </c>
    </row>
    <row r="31" spans="1:15">
      <c r="A31" s="30"/>
      <c r="C31" s="33" t="s">
        <v>37</v>
      </c>
      <c r="E31" s="157">
        <v>16839214.859999999</v>
      </c>
      <c r="F31" s="145"/>
      <c r="G31" s="158">
        <v>16839214.859999999</v>
      </c>
      <c r="H31" s="147"/>
      <c r="I31" s="26">
        <v>2.83</v>
      </c>
      <c r="J31" s="26"/>
      <c r="K31" s="147">
        <v>476319</v>
      </c>
      <c r="M31" s="142">
        <f>ROUND(G31*(I31/100),0)-231</f>
        <v>476319</v>
      </c>
      <c r="O31" s="143">
        <f t="shared" si="3"/>
        <v>0</v>
      </c>
    </row>
    <row r="32" spans="1:15">
      <c r="A32" s="30"/>
      <c r="C32" s="33" t="s">
        <v>38</v>
      </c>
      <c r="E32" s="157">
        <v>71702335.620000005</v>
      </c>
      <c r="F32" s="145"/>
      <c r="G32" s="158">
        <f>30007411.31+11436007.12</f>
        <v>41443418.43</v>
      </c>
      <c r="H32" s="147"/>
      <c r="I32" s="26">
        <v>3.46</v>
      </c>
      <c r="J32" s="26"/>
      <c r="K32" s="147">
        <v>2480647</v>
      </c>
      <c r="M32" s="142">
        <f t="shared" si="4"/>
        <v>1433942</v>
      </c>
      <c r="O32" s="143">
        <f t="shared" si="3"/>
        <v>1046705</v>
      </c>
    </row>
    <row r="33" spans="1:15">
      <c r="A33" s="30"/>
      <c r="C33" s="33" t="s">
        <v>39</v>
      </c>
      <c r="E33" s="157">
        <v>27725671.460000001</v>
      </c>
      <c r="F33" s="145"/>
      <c r="G33" s="158">
        <v>728752.53</v>
      </c>
      <c r="H33" s="147"/>
      <c r="I33" s="26">
        <v>1.75</v>
      </c>
      <c r="J33" s="26"/>
      <c r="K33" s="147">
        <v>486535</v>
      </c>
      <c r="M33" s="142">
        <f t="shared" si="4"/>
        <v>12753</v>
      </c>
      <c r="O33" s="143">
        <f t="shared" si="3"/>
        <v>473782</v>
      </c>
    </row>
    <row r="34" spans="1:15">
      <c r="A34" s="30"/>
      <c r="C34" s="33" t="s">
        <v>40</v>
      </c>
      <c r="E34" s="157">
        <v>33813856.219999999</v>
      </c>
      <c r="F34" s="145"/>
      <c r="G34" s="158">
        <v>145128.04</v>
      </c>
      <c r="H34" s="147"/>
      <c r="I34" s="26">
        <v>1.7</v>
      </c>
      <c r="J34" s="26"/>
      <c r="K34" s="147">
        <v>576217</v>
      </c>
      <c r="M34" s="142">
        <f t="shared" si="4"/>
        <v>2467</v>
      </c>
      <c r="O34" s="143">
        <f t="shared" si="3"/>
        <v>573750</v>
      </c>
    </row>
    <row r="35" spans="1:15">
      <c r="A35" s="30"/>
      <c r="C35" s="33" t="s">
        <v>41</v>
      </c>
      <c r="E35" s="157">
        <v>135449284.44</v>
      </c>
      <c r="F35" s="145"/>
      <c r="G35" s="158">
        <v>35755613</v>
      </c>
      <c r="H35" s="147"/>
      <c r="I35" s="26">
        <v>2.76</v>
      </c>
      <c r="J35" s="26"/>
      <c r="K35" s="147">
        <v>3734493</v>
      </c>
      <c r="M35" s="142">
        <f t="shared" si="4"/>
        <v>986855</v>
      </c>
      <c r="O35" s="143">
        <f t="shared" si="3"/>
        <v>2747638</v>
      </c>
    </row>
    <row r="36" spans="1:15">
      <c r="A36" s="30"/>
      <c r="C36" s="33" t="s">
        <v>42</v>
      </c>
      <c r="E36" s="157">
        <v>91570829.790000007</v>
      </c>
      <c r="F36" s="145"/>
      <c r="G36" s="158">
        <v>14367458.42</v>
      </c>
      <c r="H36" s="147"/>
      <c r="I36" s="26">
        <v>3</v>
      </c>
      <c r="J36" s="26"/>
      <c r="K36" s="147">
        <v>2745653</v>
      </c>
      <c r="M36" s="142">
        <f t="shared" si="4"/>
        <v>431024</v>
      </c>
      <c r="O36" s="143">
        <f t="shared" si="3"/>
        <v>2314629</v>
      </c>
    </row>
    <row r="37" spans="1:15">
      <c r="A37" s="30"/>
      <c r="C37" s="33" t="s">
        <v>43</v>
      </c>
      <c r="E37" s="157">
        <v>25327525.350000001</v>
      </c>
      <c r="F37" s="145"/>
      <c r="G37" s="158">
        <v>25327525.350000001</v>
      </c>
      <c r="H37" s="147"/>
      <c r="I37" s="26">
        <v>2.98</v>
      </c>
      <c r="J37" s="26"/>
      <c r="K37" s="147">
        <v>755743</v>
      </c>
      <c r="M37" s="142">
        <f>ROUND(G37*(I37/100),0)+983</f>
        <v>755743</v>
      </c>
      <c r="O37" s="143">
        <f t="shared" si="3"/>
        <v>0</v>
      </c>
    </row>
    <row r="38" spans="1:15">
      <c r="A38" s="30"/>
      <c r="C38" s="33" t="s">
        <v>44</v>
      </c>
      <c r="E38" s="144">
        <v>22295947.370000001</v>
      </c>
      <c r="F38" s="145"/>
      <c r="G38" s="146">
        <v>22295947.370000001</v>
      </c>
      <c r="H38" s="147"/>
      <c r="I38" s="26">
        <v>3.03</v>
      </c>
      <c r="J38" s="26"/>
      <c r="K38" s="148">
        <v>674665</v>
      </c>
      <c r="M38" s="149">
        <f>ROUND(G38*(I38/100),0)-902</f>
        <v>674665</v>
      </c>
      <c r="O38" s="150">
        <f t="shared" si="3"/>
        <v>0</v>
      </c>
    </row>
    <row r="39" spans="1:15">
      <c r="A39" s="30"/>
      <c r="E39" s="157"/>
      <c r="F39" s="145"/>
      <c r="G39" s="158"/>
      <c r="H39" s="147"/>
      <c r="I39" s="26"/>
      <c r="J39" s="26"/>
      <c r="K39" s="147"/>
      <c r="M39" s="142"/>
      <c r="O39" s="143"/>
    </row>
    <row r="40" spans="1:15">
      <c r="A40" s="30"/>
      <c r="C40" s="13" t="s">
        <v>45</v>
      </c>
      <c r="E40" s="157">
        <f>SUBTOTAL(9,E29:E39)</f>
        <v>436938579.74000007</v>
      </c>
      <c r="F40" s="145"/>
      <c r="G40" s="159">
        <f t="shared" ref="G40" si="8">SUBTOTAL(9,G29:G39)</f>
        <v>158145113.47</v>
      </c>
      <c r="H40" s="147"/>
      <c r="I40" s="26">
        <f>+ROUND(K40/E40*100,2)</f>
        <v>2.75</v>
      </c>
      <c r="J40" s="26"/>
      <c r="K40" s="147">
        <f>SUBTOTAL(9,K29:K39)</f>
        <v>12027206</v>
      </c>
      <c r="M40" s="160">
        <f t="shared" ref="M40" si="9">SUBTOTAL(9,M29:M39)</f>
        <v>4783083</v>
      </c>
      <c r="O40" s="147">
        <f t="shared" ref="O40" si="10">SUBTOTAL(9,O29:O39)</f>
        <v>7244123</v>
      </c>
    </row>
    <row r="41" spans="1:15">
      <c r="A41" s="30"/>
      <c r="E41" s="157"/>
      <c r="F41" s="145"/>
      <c r="G41" s="158"/>
      <c r="H41" s="147"/>
      <c r="I41" s="26"/>
      <c r="J41" s="26"/>
      <c r="K41" s="147"/>
      <c r="M41" s="142"/>
      <c r="O41" s="143"/>
    </row>
    <row r="42" spans="1:15">
      <c r="A42" s="30">
        <v>312</v>
      </c>
      <c r="C42" s="13" t="s">
        <v>46</v>
      </c>
      <c r="E42" s="157"/>
      <c r="F42" s="145"/>
      <c r="G42" s="158"/>
      <c r="H42" s="147"/>
      <c r="I42" s="26"/>
      <c r="J42" s="26"/>
      <c r="K42" s="147"/>
      <c r="M42" s="142"/>
      <c r="O42" s="143"/>
    </row>
    <row r="43" spans="1:15">
      <c r="A43" s="30"/>
      <c r="C43" s="33" t="s">
        <v>36</v>
      </c>
      <c r="E43" s="157">
        <v>101123705.05</v>
      </c>
      <c r="F43" s="145"/>
      <c r="G43" s="158">
        <v>17023483.719999999</v>
      </c>
      <c r="H43" s="147"/>
      <c r="I43" s="26">
        <v>1.81</v>
      </c>
      <c r="J43" s="26"/>
      <c r="K43" s="147">
        <v>1834258</v>
      </c>
      <c r="M43" s="142">
        <f t="shared" si="4"/>
        <v>308125</v>
      </c>
      <c r="O43" s="143">
        <f t="shared" si="3"/>
        <v>1526133</v>
      </c>
    </row>
    <row r="44" spans="1:15">
      <c r="A44" s="30"/>
      <c r="C44" s="33" t="s">
        <v>47</v>
      </c>
      <c r="E44" s="157">
        <v>7772878.4500000002</v>
      </c>
      <c r="F44" s="145"/>
      <c r="G44" s="158">
        <v>657445.13</v>
      </c>
      <c r="H44" s="147"/>
      <c r="I44" s="26">
        <v>0.22</v>
      </c>
      <c r="J44" s="26"/>
      <c r="K44" s="147">
        <v>17189</v>
      </c>
      <c r="M44" s="142">
        <f t="shared" si="4"/>
        <v>1446</v>
      </c>
      <c r="O44" s="143">
        <f t="shared" si="3"/>
        <v>15743</v>
      </c>
    </row>
    <row r="45" spans="1:15">
      <c r="A45" s="30"/>
      <c r="C45" s="33" t="s">
        <v>48</v>
      </c>
      <c r="E45" s="157">
        <v>10041434.960000001</v>
      </c>
      <c r="F45" s="145"/>
      <c r="G45" s="158">
        <v>0</v>
      </c>
      <c r="H45" s="147"/>
      <c r="I45" s="26">
        <v>1.77</v>
      </c>
      <c r="J45" s="26"/>
      <c r="K45" s="147">
        <v>178164</v>
      </c>
      <c r="M45" s="142">
        <f t="shared" si="4"/>
        <v>0</v>
      </c>
      <c r="O45" s="143">
        <f t="shared" si="3"/>
        <v>178164</v>
      </c>
    </row>
    <row r="46" spans="1:15">
      <c r="A46" s="30"/>
      <c r="C46" s="33" t="s">
        <v>37</v>
      </c>
      <c r="E46" s="157">
        <v>193947398</v>
      </c>
      <c r="F46" s="145"/>
      <c r="G46" s="158">
        <v>192819702.47999999</v>
      </c>
      <c r="H46" s="147"/>
      <c r="I46" s="26">
        <v>2.92</v>
      </c>
      <c r="J46" s="26"/>
      <c r="K46" s="147">
        <v>5656492</v>
      </c>
      <c r="M46" s="142">
        <f t="shared" si="4"/>
        <v>5630335</v>
      </c>
      <c r="O46" s="143">
        <f t="shared" si="3"/>
        <v>26157</v>
      </c>
    </row>
    <row r="47" spans="1:15">
      <c r="A47" s="30"/>
      <c r="C47" s="33" t="s">
        <v>38</v>
      </c>
      <c r="E47" s="157">
        <v>242346947.83000001</v>
      </c>
      <c r="F47" s="145"/>
      <c r="G47" s="158">
        <f>175143735.76+15413511.76</f>
        <v>190557247.51999998</v>
      </c>
      <c r="H47" s="147"/>
      <c r="I47" s="26">
        <v>3.71</v>
      </c>
      <c r="J47" s="26"/>
      <c r="K47" s="147">
        <v>8983272</v>
      </c>
      <c r="M47" s="142">
        <f t="shared" si="4"/>
        <v>7069674</v>
      </c>
      <c r="O47" s="143">
        <f t="shared" si="3"/>
        <v>1913598</v>
      </c>
    </row>
    <row r="48" spans="1:15">
      <c r="A48" s="30"/>
      <c r="C48" s="33" t="s">
        <v>39</v>
      </c>
      <c r="E48" s="157">
        <v>234286878.19</v>
      </c>
      <c r="F48" s="145"/>
      <c r="G48" s="158">
        <v>123665493.19</v>
      </c>
      <c r="H48" s="147"/>
      <c r="I48" s="26">
        <v>2.9</v>
      </c>
      <c r="J48" s="26"/>
      <c r="K48" s="147">
        <v>6801846</v>
      </c>
      <c r="M48" s="142">
        <f t="shared" si="4"/>
        <v>3586299</v>
      </c>
      <c r="O48" s="143">
        <f t="shared" si="3"/>
        <v>3215547</v>
      </c>
    </row>
    <row r="49" spans="1:15">
      <c r="A49" s="30"/>
      <c r="C49" s="33" t="s">
        <v>40</v>
      </c>
      <c r="E49" s="157">
        <v>298973833.27999997</v>
      </c>
      <c r="F49" s="145"/>
      <c r="G49" s="158">
        <v>71310904.580000028</v>
      </c>
      <c r="H49" s="147"/>
      <c r="I49" s="26">
        <v>2.77</v>
      </c>
      <c r="J49" s="26"/>
      <c r="K49" s="147">
        <v>8269671</v>
      </c>
      <c r="M49" s="142">
        <f t="shared" si="4"/>
        <v>1975312</v>
      </c>
      <c r="O49" s="143">
        <f t="shared" si="3"/>
        <v>6294359</v>
      </c>
    </row>
    <row r="50" spans="1:15">
      <c r="A50" s="30"/>
      <c r="C50" s="33" t="s">
        <v>41</v>
      </c>
      <c r="E50" s="157">
        <v>204062486.12</v>
      </c>
      <c r="F50" s="145"/>
      <c r="G50" s="158">
        <f>39753052.16+2098741.85</f>
        <v>41851794.009999998</v>
      </c>
      <c r="H50" s="147"/>
      <c r="I50" s="26">
        <v>3.11</v>
      </c>
      <c r="J50" s="26"/>
      <c r="K50" s="147">
        <v>6348373</v>
      </c>
      <c r="M50" s="142">
        <f t="shared" si="4"/>
        <v>1301591</v>
      </c>
      <c r="O50" s="143">
        <f t="shared" si="3"/>
        <v>5046782</v>
      </c>
    </row>
    <row r="51" spans="1:15">
      <c r="A51" s="30"/>
      <c r="C51" s="33" t="s">
        <v>42</v>
      </c>
      <c r="E51" s="157">
        <v>302101587.54000002</v>
      </c>
      <c r="F51" s="145"/>
      <c r="G51" s="158">
        <f>78611765.97+2098741.85</f>
        <v>80710507.819999993</v>
      </c>
      <c r="H51" s="147"/>
      <c r="I51" s="26">
        <v>3.26</v>
      </c>
      <c r="J51" s="26"/>
      <c r="K51" s="147">
        <v>9837787</v>
      </c>
      <c r="M51" s="142">
        <f t="shared" si="4"/>
        <v>2631163</v>
      </c>
      <c r="O51" s="143">
        <f t="shared" si="3"/>
        <v>7206624</v>
      </c>
    </row>
    <row r="52" spans="1:15">
      <c r="A52" s="30"/>
      <c r="C52" s="33" t="s">
        <v>43</v>
      </c>
      <c r="E52" s="157">
        <v>101115917.65000001</v>
      </c>
      <c r="F52" s="145"/>
      <c r="G52" s="158">
        <v>101115917.65000001</v>
      </c>
      <c r="H52" s="147"/>
      <c r="I52" s="26">
        <v>3.14</v>
      </c>
      <c r="J52" s="26"/>
      <c r="K52" s="147">
        <v>3178413</v>
      </c>
      <c r="M52" s="142">
        <f>ROUND(G52*(I52/100),0)+3406-33</f>
        <v>3178413</v>
      </c>
      <c r="O52" s="143">
        <f t="shared" si="3"/>
        <v>0</v>
      </c>
    </row>
    <row r="53" spans="1:15">
      <c r="A53" s="30"/>
      <c r="C53" s="33" t="s">
        <v>44</v>
      </c>
      <c r="E53" s="144">
        <v>156122871.75</v>
      </c>
      <c r="F53" s="145"/>
      <c r="G53" s="146">
        <v>156122871.75</v>
      </c>
      <c r="H53" s="147"/>
      <c r="I53" s="26">
        <v>3.19</v>
      </c>
      <c r="J53" s="26"/>
      <c r="K53" s="148">
        <v>4976241</v>
      </c>
      <c r="M53" s="149">
        <f>ROUND(G53*(I53/100),0)-4079</f>
        <v>4976241</v>
      </c>
      <c r="O53" s="150">
        <f t="shared" si="3"/>
        <v>0</v>
      </c>
    </row>
    <row r="54" spans="1:15">
      <c r="A54" s="30"/>
      <c r="E54" s="157"/>
      <c r="F54" s="145"/>
      <c r="G54" s="158"/>
      <c r="H54" s="147"/>
      <c r="I54" s="26"/>
      <c r="J54" s="26"/>
      <c r="K54" s="147"/>
      <c r="M54" s="142"/>
      <c r="O54" s="143"/>
    </row>
    <row r="55" spans="1:15">
      <c r="A55" s="30"/>
      <c r="C55" s="13" t="s">
        <v>49</v>
      </c>
      <c r="E55" s="157">
        <f>SUBTOTAL(9,E43:E54)</f>
        <v>1851895938.8200002</v>
      </c>
      <c r="F55" s="145"/>
      <c r="G55" s="159">
        <f t="shared" ref="G55" si="11">SUBTOTAL(9,G43:G54)</f>
        <v>975835367.85000002</v>
      </c>
      <c r="H55" s="147"/>
      <c r="I55" s="26">
        <f>+ROUND(K55/E55*100,2)</f>
        <v>3.03</v>
      </c>
      <c r="J55" s="26"/>
      <c r="K55" s="147">
        <f>SUBTOTAL(9,K43:K54)</f>
        <v>56081706</v>
      </c>
      <c r="M55" s="160">
        <f t="shared" ref="M55" si="12">SUBTOTAL(9,M43:M54)</f>
        <v>30658599</v>
      </c>
      <c r="O55" s="147">
        <f t="shared" ref="O55" si="13">SUBTOTAL(9,O43:O54)</f>
        <v>25423107</v>
      </c>
    </row>
    <row r="56" spans="1:15">
      <c r="A56" s="30"/>
      <c r="E56" s="157"/>
      <c r="F56" s="145"/>
      <c r="G56" s="158"/>
      <c r="H56" s="147"/>
      <c r="I56" s="26"/>
      <c r="J56" s="26"/>
      <c r="K56" s="147"/>
      <c r="M56" s="142"/>
      <c r="O56" s="143"/>
    </row>
    <row r="57" spans="1:15">
      <c r="A57" s="30">
        <v>314</v>
      </c>
      <c r="C57" s="13" t="s">
        <v>50</v>
      </c>
      <c r="E57" s="157"/>
      <c r="F57" s="145"/>
      <c r="G57" s="158"/>
      <c r="H57" s="147"/>
      <c r="I57" s="26"/>
      <c r="J57" s="26"/>
      <c r="K57" s="147"/>
      <c r="M57" s="142"/>
      <c r="O57" s="143"/>
    </row>
    <row r="58" spans="1:15">
      <c r="A58" s="30"/>
      <c r="C58" s="33" t="s">
        <v>36</v>
      </c>
      <c r="E58" s="157">
        <v>23714956.780000001</v>
      </c>
      <c r="F58" s="145"/>
      <c r="G58" s="158">
        <v>0</v>
      </c>
      <c r="H58" s="147"/>
      <c r="I58" s="26">
        <v>0.69</v>
      </c>
      <c r="J58" s="26"/>
      <c r="K58" s="147">
        <v>164115</v>
      </c>
      <c r="M58" s="142">
        <f t="shared" si="4"/>
        <v>0</v>
      </c>
      <c r="O58" s="143">
        <f t="shared" si="3"/>
        <v>164115</v>
      </c>
    </row>
    <row r="59" spans="1:15">
      <c r="A59" s="30"/>
      <c r="C59" s="33" t="s">
        <v>39</v>
      </c>
      <c r="E59" s="157">
        <v>42923558.049999997</v>
      </c>
      <c r="F59" s="145"/>
      <c r="G59" s="158">
        <v>0</v>
      </c>
      <c r="H59" s="147"/>
      <c r="I59" s="26">
        <v>2.68</v>
      </c>
      <c r="J59" s="26"/>
      <c r="K59" s="147">
        <v>1149095</v>
      </c>
      <c r="M59" s="142">
        <f t="shared" si="4"/>
        <v>0</v>
      </c>
      <c r="O59" s="143">
        <f t="shared" si="3"/>
        <v>1149095</v>
      </c>
    </row>
    <row r="60" spans="1:15">
      <c r="A60" s="30"/>
      <c r="C60" s="33" t="s">
        <v>40</v>
      </c>
      <c r="E60" s="157">
        <v>78018528.159999996</v>
      </c>
      <c r="F60" s="145"/>
      <c r="G60" s="158">
        <v>0</v>
      </c>
      <c r="H60" s="147"/>
      <c r="I60" s="26">
        <v>3.08</v>
      </c>
      <c r="J60" s="26"/>
      <c r="K60" s="147">
        <v>2404254</v>
      </c>
      <c r="M60" s="142">
        <f t="shared" si="4"/>
        <v>0</v>
      </c>
      <c r="O60" s="143">
        <f t="shared" si="3"/>
        <v>2404254</v>
      </c>
    </row>
    <row r="61" spans="1:15">
      <c r="A61" s="30"/>
      <c r="C61" s="33" t="s">
        <v>41</v>
      </c>
      <c r="E61" s="157">
        <v>81735044.379999995</v>
      </c>
      <c r="F61" s="145"/>
      <c r="G61" s="158">
        <v>0</v>
      </c>
      <c r="H61" s="147"/>
      <c r="I61" s="26">
        <v>3.07</v>
      </c>
      <c r="J61" s="26"/>
      <c r="K61" s="147">
        <v>2509979</v>
      </c>
      <c r="M61" s="142">
        <f t="shared" si="4"/>
        <v>0</v>
      </c>
      <c r="O61" s="143">
        <f t="shared" si="3"/>
        <v>2509979</v>
      </c>
    </row>
    <row r="62" spans="1:15">
      <c r="A62" s="30"/>
      <c r="C62" s="33" t="s">
        <v>42</v>
      </c>
      <c r="E62" s="144">
        <v>80326528.049999997</v>
      </c>
      <c r="F62" s="145"/>
      <c r="G62" s="146">
        <v>0</v>
      </c>
      <c r="H62" s="147"/>
      <c r="I62" s="26">
        <v>3.41</v>
      </c>
      <c r="J62" s="26"/>
      <c r="K62" s="148">
        <v>2739311</v>
      </c>
      <c r="M62" s="149">
        <f t="shared" si="4"/>
        <v>0</v>
      </c>
      <c r="O62" s="150">
        <f t="shared" si="3"/>
        <v>2739311</v>
      </c>
    </row>
    <row r="63" spans="1:15">
      <c r="A63" s="30"/>
      <c r="E63" s="157"/>
      <c r="F63" s="145"/>
      <c r="G63" s="158"/>
      <c r="H63" s="147"/>
      <c r="I63" s="26"/>
      <c r="J63" s="26"/>
      <c r="K63" s="147"/>
      <c r="M63" s="142"/>
      <c r="O63" s="143"/>
    </row>
    <row r="64" spans="1:15">
      <c r="A64" s="30"/>
      <c r="C64" s="13" t="s">
        <v>51</v>
      </c>
      <c r="E64" s="157">
        <f>SUBTOTAL(9,E58:E63)</f>
        <v>306718615.42000002</v>
      </c>
      <c r="F64" s="145"/>
      <c r="G64" s="158">
        <f t="shared" ref="G64" si="14">SUBTOTAL(9,G58:G63)</f>
        <v>0</v>
      </c>
      <c r="H64" s="147"/>
      <c r="I64" s="26">
        <f>+ROUND(K64/E64*100,2)</f>
        <v>2.92</v>
      </c>
      <c r="J64" s="26"/>
      <c r="K64" s="147">
        <f>SUBTOTAL(9,K58:K63)</f>
        <v>8966754</v>
      </c>
      <c r="M64" s="160">
        <f t="shared" ref="M64" si="15">SUBTOTAL(9,M58:M63)</f>
        <v>0</v>
      </c>
      <c r="O64" s="147">
        <f t="shared" ref="O64" si="16">SUBTOTAL(9,O58:O63)</f>
        <v>8966754</v>
      </c>
    </row>
    <row r="65" spans="1:15">
      <c r="A65" s="30"/>
      <c r="E65" s="157"/>
      <c r="F65" s="145"/>
      <c r="G65" s="158"/>
      <c r="H65" s="147"/>
      <c r="I65" s="26"/>
      <c r="J65" s="26"/>
      <c r="K65" s="147"/>
      <c r="M65" s="142"/>
      <c r="O65" s="143"/>
    </row>
    <row r="66" spans="1:15">
      <c r="A66" s="30">
        <v>315</v>
      </c>
      <c r="C66" s="13" t="s">
        <v>52</v>
      </c>
      <c r="E66" s="157"/>
      <c r="F66" s="145"/>
      <c r="G66" s="158"/>
      <c r="H66" s="147"/>
      <c r="I66" s="26"/>
      <c r="J66" s="26"/>
      <c r="K66" s="147"/>
      <c r="M66" s="142"/>
      <c r="O66" s="143"/>
    </row>
    <row r="67" spans="1:15">
      <c r="A67" s="30"/>
      <c r="C67" s="33" t="s">
        <v>36</v>
      </c>
      <c r="E67" s="157">
        <v>3473012</v>
      </c>
      <c r="F67" s="145"/>
      <c r="G67" s="158">
        <v>0</v>
      </c>
      <c r="H67" s="147"/>
      <c r="I67" s="26">
        <v>0.4</v>
      </c>
      <c r="J67" s="26"/>
      <c r="K67" s="147">
        <v>13878</v>
      </c>
      <c r="M67" s="142">
        <f t="shared" si="4"/>
        <v>0</v>
      </c>
      <c r="O67" s="143">
        <f t="shared" si="3"/>
        <v>13878</v>
      </c>
    </row>
    <row r="68" spans="1:15">
      <c r="A68" s="30"/>
      <c r="C68" s="33" t="s">
        <v>47</v>
      </c>
      <c r="E68" s="157">
        <v>108139.1</v>
      </c>
      <c r="F68" s="145"/>
      <c r="G68" s="158">
        <v>0</v>
      </c>
      <c r="H68" s="147"/>
      <c r="I68" s="26">
        <v>5.58</v>
      </c>
      <c r="J68" s="26"/>
      <c r="K68" s="147">
        <v>6032</v>
      </c>
      <c r="M68" s="142">
        <f t="shared" si="4"/>
        <v>0</v>
      </c>
      <c r="O68" s="143">
        <f t="shared" si="3"/>
        <v>6032</v>
      </c>
    </row>
    <row r="69" spans="1:15">
      <c r="A69" s="30"/>
      <c r="C69" s="33" t="s">
        <v>48</v>
      </c>
      <c r="E69" s="157">
        <v>108269.09</v>
      </c>
      <c r="F69" s="145"/>
      <c r="G69" s="158">
        <v>0</v>
      </c>
      <c r="H69" s="147"/>
      <c r="I69" s="26">
        <v>4.32</v>
      </c>
      <c r="J69" s="26"/>
      <c r="K69" s="147">
        <v>4679</v>
      </c>
      <c r="M69" s="142">
        <f t="shared" si="4"/>
        <v>0</v>
      </c>
      <c r="O69" s="143">
        <f t="shared" si="3"/>
        <v>4679</v>
      </c>
    </row>
    <row r="70" spans="1:15">
      <c r="A70" s="30"/>
      <c r="C70" s="33" t="s">
        <v>37</v>
      </c>
      <c r="E70" s="157">
        <v>12060627.85</v>
      </c>
      <c r="F70" s="145"/>
      <c r="G70" s="158">
        <v>12060627.850000001</v>
      </c>
      <c r="H70" s="147"/>
      <c r="I70" s="26">
        <v>2.84</v>
      </c>
      <c r="J70" s="26"/>
      <c r="K70" s="147">
        <v>342027</v>
      </c>
      <c r="M70" s="142">
        <f>ROUND(G70*(I70/100),0)-495</f>
        <v>342027</v>
      </c>
      <c r="O70" s="143">
        <f t="shared" si="3"/>
        <v>0</v>
      </c>
    </row>
    <row r="71" spans="1:15">
      <c r="A71" s="30"/>
      <c r="C71" s="33" t="s">
        <v>39</v>
      </c>
      <c r="E71" s="157">
        <v>10670855.65</v>
      </c>
      <c r="F71" s="145"/>
      <c r="G71" s="158">
        <v>3643762.64</v>
      </c>
      <c r="H71" s="147"/>
      <c r="I71" s="26">
        <v>1.94</v>
      </c>
      <c r="J71" s="26"/>
      <c r="K71" s="147">
        <v>207347</v>
      </c>
      <c r="M71" s="142">
        <f t="shared" si="4"/>
        <v>70689</v>
      </c>
      <c r="O71" s="143">
        <f t="shared" si="3"/>
        <v>136658</v>
      </c>
    </row>
    <row r="72" spans="1:15">
      <c r="A72" s="30"/>
      <c r="C72" s="33" t="s">
        <v>40</v>
      </c>
      <c r="E72" s="157">
        <v>23193967.98</v>
      </c>
      <c r="F72" s="145"/>
      <c r="G72" s="158">
        <v>0</v>
      </c>
      <c r="H72" s="147"/>
      <c r="I72" s="26">
        <v>2.0299999999999998</v>
      </c>
      <c r="J72" s="26"/>
      <c r="K72" s="147">
        <v>470160</v>
      </c>
      <c r="M72" s="142">
        <f t="shared" si="4"/>
        <v>0</v>
      </c>
      <c r="O72" s="143">
        <f t="shared" si="3"/>
        <v>470160</v>
      </c>
    </row>
    <row r="73" spans="1:15">
      <c r="A73" s="30"/>
      <c r="C73" s="33" t="s">
        <v>41</v>
      </c>
      <c r="E73" s="157">
        <v>25044774.100000001</v>
      </c>
      <c r="F73" s="145"/>
      <c r="G73" s="158">
        <v>0</v>
      </c>
      <c r="H73" s="147"/>
      <c r="I73" s="26">
        <v>2.88</v>
      </c>
      <c r="J73" s="26"/>
      <c r="K73" s="147">
        <v>720761</v>
      </c>
      <c r="M73" s="142">
        <f t="shared" si="4"/>
        <v>0</v>
      </c>
      <c r="O73" s="143">
        <f t="shared" si="3"/>
        <v>720761</v>
      </c>
    </row>
    <row r="74" spans="1:15">
      <c r="A74" s="30"/>
      <c r="C74" s="33" t="s">
        <v>42</v>
      </c>
      <c r="E74" s="157">
        <v>12751242.41</v>
      </c>
      <c r="F74" s="145"/>
      <c r="G74" s="158">
        <v>50263.03</v>
      </c>
      <c r="H74" s="147"/>
      <c r="I74" s="26">
        <v>3.01</v>
      </c>
      <c r="J74" s="26"/>
      <c r="K74" s="147">
        <v>384418</v>
      </c>
      <c r="M74" s="142">
        <f t="shared" si="4"/>
        <v>1513</v>
      </c>
      <c r="O74" s="143">
        <f t="shared" si="3"/>
        <v>382905</v>
      </c>
    </row>
    <row r="75" spans="1:15">
      <c r="A75" s="30"/>
      <c r="C75" s="33" t="s">
        <v>43</v>
      </c>
      <c r="E75" s="157">
        <v>12513473.779999999</v>
      </c>
      <c r="F75" s="145"/>
      <c r="G75" s="158">
        <v>12513473.779999999</v>
      </c>
      <c r="H75" s="147"/>
      <c r="I75" s="26">
        <v>3.01</v>
      </c>
      <c r="J75" s="26"/>
      <c r="K75" s="147">
        <v>376037</v>
      </c>
      <c r="M75" s="142">
        <f>ROUND(G75*(I75/100),0)-619</f>
        <v>376037</v>
      </c>
      <c r="O75" s="143">
        <f t="shared" si="3"/>
        <v>0</v>
      </c>
    </row>
    <row r="76" spans="1:15">
      <c r="A76" s="30"/>
      <c r="C76" s="33" t="s">
        <v>44</v>
      </c>
      <c r="E76" s="144">
        <v>17711668.739999998</v>
      </c>
      <c r="F76" s="145"/>
      <c r="G76" s="146">
        <v>17711668.740000002</v>
      </c>
      <c r="H76" s="147"/>
      <c r="I76" s="26">
        <v>3.05</v>
      </c>
      <c r="J76" s="26"/>
      <c r="K76" s="148">
        <v>539744</v>
      </c>
      <c r="M76" s="149">
        <f>ROUND(G76*(I76/100),0)-462</f>
        <v>539744</v>
      </c>
      <c r="O76" s="150">
        <f t="shared" si="3"/>
        <v>0</v>
      </c>
    </row>
    <row r="77" spans="1:15">
      <c r="A77" s="30"/>
      <c r="E77" s="157"/>
      <c r="F77" s="145"/>
      <c r="G77" s="158"/>
      <c r="H77" s="147"/>
      <c r="I77" s="26"/>
      <c r="J77" s="26"/>
      <c r="K77" s="147"/>
      <c r="M77" s="142"/>
      <c r="O77" s="143"/>
    </row>
    <row r="78" spans="1:15">
      <c r="A78" s="30"/>
      <c r="C78" s="13" t="s">
        <v>53</v>
      </c>
      <c r="E78" s="157">
        <f>SUBTOTAL(9,E67:E77)</f>
        <v>117636030.7</v>
      </c>
      <c r="F78" s="145"/>
      <c r="G78" s="159">
        <f t="shared" ref="G78" si="17">SUBTOTAL(9,G67:G77)</f>
        <v>45979796.040000007</v>
      </c>
      <c r="H78" s="147"/>
      <c r="I78" s="26">
        <f>+ROUND(K78/E78*100,2)</f>
        <v>2.61</v>
      </c>
      <c r="J78" s="26"/>
      <c r="K78" s="147">
        <f>SUBTOTAL(9,K67:K77)</f>
        <v>3065083</v>
      </c>
      <c r="M78" s="160">
        <f t="shared" ref="M78" si="18">SUBTOTAL(9,M67:M77)</f>
        <v>1330010</v>
      </c>
      <c r="O78" s="147">
        <f t="shared" ref="O78" si="19">SUBTOTAL(9,O67:O77)</f>
        <v>1735073</v>
      </c>
    </row>
    <row r="79" spans="1:15">
      <c r="A79" s="30"/>
      <c r="E79" s="157"/>
      <c r="F79" s="145"/>
      <c r="G79" s="158"/>
      <c r="H79" s="147"/>
      <c r="I79" s="26"/>
      <c r="J79" s="26"/>
      <c r="K79" s="147"/>
      <c r="M79" s="142"/>
      <c r="O79" s="143"/>
    </row>
    <row r="80" spans="1:15">
      <c r="A80" s="30">
        <v>316</v>
      </c>
      <c r="C80" s="13" t="s">
        <v>54</v>
      </c>
      <c r="E80" s="157"/>
      <c r="G80" s="156"/>
      <c r="I80" s="26"/>
      <c r="J80" s="26"/>
      <c r="M80" s="142"/>
      <c r="O80" s="143"/>
    </row>
    <row r="81" spans="1:15">
      <c r="A81" s="30"/>
      <c r="C81" s="33" t="s">
        <v>35</v>
      </c>
      <c r="E81" s="157">
        <v>1167329.42</v>
      </c>
      <c r="F81" s="145"/>
      <c r="G81" s="158">
        <v>0</v>
      </c>
      <c r="H81" s="147"/>
      <c r="I81" s="26">
        <v>4.3899999999999997</v>
      </c>
      <c r="J81" s="26"/>
      <c r="K81" s="147">
        <v>51254</v>
      </c>
      <c r="M81" s="142">
        <f t="shared" si="4"/>
        <v>0</v>
      </c>
      <c r="O81" s="143">
        <f t="shared" si="3"/>
        <v>51254</v>
      </c>
    </row>
    <row r="82" spans="1:15">
      <c r="A82" s="30"/>
      <c r="C82" s="33" t="s">
        <v>36</v>
      </c>
      <c r="E82" s="157">
        <v>2918709.21</v>
      </c>
      <c r="F82" s="145"/>
      <c r="G82" s="158">
        <v>0</v>
      </c>
      <c r="H82" s="147"/>
      <c r="I82" s="26">
        <v>3.11</v>
      </c>
      <c r="J82" s="26"/>
      <c r="K82" s="147">
        <v>90809</v>
      </c>
      <c r="M82" s="142">
        <f t="shared" si="4"/>
        <v>0</v>
      </c>
      <c r="O82" s="143">
        <f t="shared" si="3"/>
        <v>90809</v>
      </c>
    </row>
    <row r="83" spans="1:15">
      <c r="A83" s="30"/>
      <c r="C83" s="33" t="s">
        <v>47</v>
      </c>
      <c r="E83" s="157">
        <v>2010174.77</v>
      </c>
      <c r="F83" s="145"/>
      <c r="G83" s="158">
        <v>0</v>
      </c>
      <c r="H83" s="147"/>
      <c r="I83" s="26">
        <v>13.7</v>
      </c>
      <c r="J83" s="26"/>
      <c r="K83" s="147">
        <v>275439</v>
      </c>
      <c r="M83" s="142">
        <f t="shared" si="4"/>
        <v>0</v>
      </c>
      <c r="O83" s="143">
        <f t="shared" si="3"/>
        <v>275439</v>
      </c>
    </row>
    <row r="84" spans="1:15">
      <c r="A84" s="30"/>
      <c r="C84" s="33" t="s">
        <v>37</v>
      </c>
      <c r="E84" s="157">
        <v>2139985.1800000002</v>
      </c>
      <c r="F84" s="145"/>
      <c r="G84" s="158">
        <v>2139985.1800000002</v>
      </c>
      <c r="H84" s="147"/>
      <c r="I84" s="26">
        <v>3.27</v>
      </c>
      <c r="J84" s="26"/>
      <c r="K84" s="147">
        <v>69957</v>
      </c>
      <c r="M84" s="142">
        <f>ROUND(G84*(I84/100),0)-21</f>
        <v>69957</v>
      </c>
      <c r="O84" s="143">
        <f t="shared" ref="O84:O147" si="20">K84-M84</f>
        <v>0</v>
      </c>
    </row>
    <row r="85" spans="1:15">
      <c r="A85" s="30"/>
      <c r="C85" s="33" t="s">
        <v>38</v>
      </c>
      <c r="E85" s="157">
        <v>8375944.4500000002</v>
      </c>
      <c r="F85" s="145"/>
      <c r="G85" s="158">
        <v>837074.2</v>
      </c>
      <c r="H85" s="147"/>
      <c r="I85" s="26">
        <v>4.1900000000000004</v>
      </c>
      <c r="J85" s="26"/>
      <c r="K85" s="147">
        <v>350766</v>
      </c>
      <c r="M85" s="142">
        <f t="shared" ref="M85:M148" si="21">ROUND(G85*(I85/100),0)</f>
        <v>35073</v>
      </c>
      <c r="O85" s="143">
        <f t="shared" si="20"/>
        <v>315693</v>
      </c>
    </row>
    <row r="86" spans="1:15">
      <c r="A86" s="30"/>
      <c r="C86" s="33" t="s">
        <v>39</v>
      </c>
      <c r="E86" s="157">
        <v>182562.7</v>
      </c>
      <c r="F86" s="145"/>
      <c r="G86" s="158">
        <v>0</v>
      </c>
      <c r="H86" s="147"/>
      <c r="I86" s="26">
        <v>2.89</v>
      </c>
      <c r="J86" s="26"/>
      <c r="K86" s="147">
        <v>5273</v>
      </c>
      <c r="M86" s="142">
        <f t="shared" si="21"/>
        <v>0</v>
      </c>
      <c r="O86" s="143">
        <f t="shared" si="20"/>
        <v>5273</v>
      </c>
    </row>
    <row r="87" spans="1:15">
      <c r="A87" s="30"/>
      <c r="C87" s="33" t="s">
        <v>41</v>
      </c>
      <c r="E87" s="157">
        <v>2192469.65</v>
      </c>
      <c r="F87" s="145"/>
      <c r="G87" s="158">
        <v>0</v>
      </c>
      <c r="H87" s="147"/>
      <c r="I87" s="26">
        <v>4.33</v>
      </c>
      <c r="J87" s="26"/>
      <c r="K87" s="147">
        <v>94877</v>
      </c>
      <c r="M87" s="142">
        <f t="shared" si="21"/>
        <v>0</v>
      </c>
      <c r="O87" s="143">
        <f t="shared" si="20"/>
        <v>94877</v>
      </c>
    </row>
    <row r="88" spans="1:15">
      <c r="A88" s="30"/>
      <c r="C88" s="33" t="s">
        <v>42</v>
      </c>
      <c r="E88" s="144">
        <v>2721199.41</v>
      </c>
      <c r="F88" s="145"/>
      <c r="G88" s="146">
        <v>1536289.1800000002</v>
      </c>
      <c r="H88" s="147"/>
      <c r="I88" s="26">
        <v>4.3</v>
      </c>
      <c r="J88" s="26"/>
      <c r="K88" s="148">
        <v>117145</v>
      </c>
      <c r="M88" s="149">
        <f t="shared" si="21"/>
        <v>66060</v>
      </c>
      <c r="O88" s="150">
        <f t="shared" si="20"/>
        <v>51085</v>
      </c>
    </row>
    <row r="89" spans="1:15">
      <c r="A89" s="30"/>
      <c r="E89" s="157"/>
      <c r="F89" s="145"/>
      <c r="G89" s="158"/>
      <c r="H89" s="147"/>
      <c r="I89" s="26"/>
      <c r="J89" s="26"/>
      <c r="K89" s="147"/>
      <c r="M89" s="142"/>
      <c r="O89" s="143"/>
    </row>
    <row r="90" spans="1:15">
      <c r="A90" s="30"/>
      <c r="C90" s="13" t="s">
        <v>55</v>
      </c>
      <c r="E90" s="144">
        <f>SUBTOTAL(9,E81:E89)</f>
        <v>21708374.789999999</v>
      </c>
      <c r="F90" s="145"/>
      <c r="G90" s="161">
        <f t="shared" ref="G90" si="22">SUBTOTAL(9,G81:G89)</f>
        <v>4513348.5600000005</v>
      </c>
      <c r="H90" s="147"/>
      <c r="I90" s="26">
        <f>+ROUND(K90/E90*100,2)</f>
        <v>4.8600000000000003</v>
      </c>
      <c r="J90" s="26"/>
      <c r="K90" s="148">
        <f>SUBTOTAL(9,K81:K89)</f>
        <v>1055520</v>
      </c>
      <c r="M90" s="162">
        <f t="shared" ref="M90" si="23">SUBTOTAL(9,M81:M89)</f>
        <v>171090</v>
      </c>
      <c r="O90" s="148">
        <f t="shared" ref="O90" si="24">SUBTOTAL(9,O81:O89)</f>
        <v>884430</v>
      </c>
    </row>
    <row r="91" spans="1:15" ht="15.75">
      <c r="C91" s="18"/>
      <c r="E91" s="157"/>
      <c r="F91" s="145"/>
      <c r="G91" s="158"/>
      <c r="H91" s="147"/>
      <c r="I91" s="26"/>
      <c r="J91" s="26"/>
      <c r="K91" s="147"/>
      <c r="M91" s="142"/>
      <c r="O91" s="143"/>
    </row>
    <row r="92" spans="1:15" ht="15.75">
      <c r="A92" s="30"/>
      <c r="C92" s="31" t="s">
        <v>56</v>
      </c>
      <c r="E92" s="151">
        <f>SUBTOTAL(9,E20:E91)</f>
        <v>2801845065.1100001</v>
      </c>
      <c r="F92" s="22"/>
      <c r="G92" s="153">
        <f t="shared" ref="G92" si="25">SUBTOTAL(9,G20:G91)</f>
        <v>1219967321.8500001</v>
      </c>
      <c r="H92" s="35"/>
      <c r="I92" s="23">
        <f>+ROUND(K92/E92*100,2)</f>
        <v>3</v>
      </c>
      <c r="J92" s="23"/>
      <c r="K92" s="35">
        <f>SUBTOTAL(9,K20:K91)</f>
        <v>84074159</v>
      </c>
      <c r="M92" s="163">
        <f t="shared" ref="M92" si="26">SUBTOTAL(9,M20:M91)</f>
        <v>38755962</v>
      </c>
      <c r="O92" s="35">
        <f t="shared" ref="O92" si="27">SUBTOTAL(9,O20:O91)</f>
        <v>45318197</v>
      </c>
    </row>
    <row r="93" spans="1:15">
      <c r="A93" s="30"/>
      <c r="C93" s="34"/>
      <c r="E93" s="157"/>
      <c r="G93" s="156"/>
      <c r="I93" s="26"/>
      <c r="J93" s="26"/>
      <c r="M93" s="142"/>
      <c r="O93" s="143"/>
    </row>
    <row r="94" spans="1:15" ht="15.75">
      <c r="C94" s="18" t="s">
        <v>57</v>
      </c>
      <c r="G94" s="156"/>
      <c r="I94" s="26"/>
      <c r="J94" s="26"/>
      <c r="M94" s="142"/>
      <c r="O94" s="143"/>
    </row>
    <row r="95" spans="1:15" ht="15.75">
      <c r="C95" s="25"/>
      <c r="G95" s="156"/>
      <c r="I95" s="26"/>
      <c r="J95" s="26"/>
      <c r="M95" s="142"/>
      <c r="O95" s="143"/>
    </row>
    <row r="96" spans="1:15">
      <c r="A96" s="30">
        <v>341</v>
      </c>
      <c r="C96" s="13" t="s">
        <v>34</v>
      </c>
      <c r="G96" s="156"/>
      <c r="I96" s="26"/>
      <c r="J96" s="26"/>
      <c r="M96" s="142"/>
      <c r="O96" s="143"/>
    </row>
    <row r="97" spans="1:15">
      <c r="A97" s="30"/>
      <c r="C97" s="33" t="s">
        <v>58</v>
      </c>
      <c r="E97" s="157">
        <v>18449493.530000001</v>
      </c>
      <c r="F97" s="145"/>
      <c r="G97" s="158">
        <v>0</v>
      </c>
      <c r="H97" s="147"/>
      <c r="I97" s="26">
        <v>2.91</v>
      </c>
      <c r="J97" s="26"/>
      <c r="K97" s="147">
        <v>537108</v>
      </c>
      <c r="M97" s="142">
        <f t="shared" si="21"/>
        <v>0</v>
      </c>
      <c r="O97" s="143">
        <f t="shared" si="20"/>
        <v>537108</v>
      </c>
    </row>
    <row r="98" spans="1:15">
      <c r="A98" s="30"/>
      <c r="C98" s="33" t="s">
        <v>59</v>
      </c>
      <c r="E98" s="157">
        <v>2666719.81</v>
      </c>
      <c r="F98" s="145"/>
      <c r="G98" s="158">
        <v>0</v>
      </c>
      <c r="H98" s="147"/>
      <c r="I98" s="26">
        <v>3.81</v>
      </c>
      <c r="J98" s="26"/>
      <c r="K98" s="147">
        <v>101616</v>
      </c>
      <c r="M98" s="142">
        <f t="shared" si="21"/>
        <v>0</v>
      </c>
      <c r="O98" s="143">
        <f t="shared" si="20"/>
        <v>101616</v>
      </c>
    </row>
    <row r="99" spans="1:15">
      <c r="A99" s="30"/>
      <c r="C99" s="33" t="s">
        <v>60</v>
      </c>
      <c r="E99" s="157">
        <v>2666719.81</v>
      </c>
      <c r="F99" s="145"/>
      <c r="G99" s="158">
        <v>0</v>
      </c>
      <c r="H99" s="147"/>
      <c r="I99" s="26">
        <v>3.74</v>
      </c>
      <c r="J99" s="26"/>
      <c r="K99" s="147">
        <v>99819</v>
      </c>
      <c r="M99" s="142">
        <f t="shared" si="21"/>
        <v>0</v>
      </c>
      <c r="O99" s="143">
        <f t="shared" si="20"/>
        <v>99819</v>
      </c>
    </row>
    <row r="100" spans="1:15">
      <c r="A100" s="30"/>
      <c r="C100" s="33" t="s">
        <v>61</v>
      </c>
      <c r="E100" s="157">
        <v>2666719.81</v>
      </c>
      <c r="F100" s="145"/>
      <c r="G100" s="158">
        <v>0</v>
      </c>
      <c r="H100" s="147"/>
      <c r="I100" s="26">
        <v>3.91</v>
      </c>
      <c r="J100" s="26"/>
      <c r="K100" s="147">
        <v>104219</v>
      </c>
      <c r="M100" s="142">
        <f t="shared" si="21"/>
        <v>0</v>
      </c>
      <c r="O100" s="143">
        <f t="shared" si="20"/>
        <v>104219</v>
      </c>
    </row>
    <row r="101" spans="1:15">
      <c r="A101" s="30"/>
      <c r="C101" s="33" t="s">
        <v>62</v>
      </c>
      <c r="E101" s="157">
        <v>1937757.41</v>
      </c>
      <c r="F101" s="145"/>
      <c r="G101" s="158">
        <v>0</v>
      </c>
      <c r="H101" s="147"/>
      <c r="I101" s="26">
        <v>3.46</v>
      </c>
      <c r="J101" s="26"/>
      <c r="K101" s="147">
        <v>67013</v>
      </c>
      <c r="M101" s="142">
        <f t="shared" si="21"/>
        <v>0</v>
      </c>
      <c r="O101" s="143">
        <f t="shared" si="20"/>
        <v>67013</v>
      </c>
    </row>
    <row r="102" spans="1:15">
      <c r="A102" s="30"/>
      <c r="C102" s="33" t="s">
        <v>63</v>
      </c>
      <c r="E102" s="157">
        <v>1599135.43</v>
      </c>
      <c r="F102" s="145"/>
      <c r="G102" s="158">
        <v>0</v>
      </c>
      <c r="H102" s="147"/>
      <c r="I102" s="26">
        <v>3.47</v>
      </c>
      <c r="J102" s="26"/>
      <c r="K102" s="147">
        <v>55507</v>
      </c>
      <c r="M102" s="142">
        <f t="shared" si="21"/>
        <v>0</v>
      </c>
      <c r="O102" s="143">
        <f t="shared" si="20"/>
        <v>55507</v>
      </c>
    </row>
    <row r="103" spans="1:15">
      <c r="A103" s="30"/>
      <c r="C103" s="33" t="s">
        <v>64</v>
      </c>
      <c r="E103" s="157">
        <v>303524.78000000003</v>
      </c>
      <c r="F103" s="145"/>
      <c r="G103" s="158">
        <v>0</v>
      </c>
      <c r="H103" s="147"/>
      <c r="I103" s="26">
        <v>3.33</v>
      </c>
      <c r="J103" s="26"/>
      <c r="K103" s="147">
        <v>10096</v>
      </c>
      <c r="M103" s="142">
        <f t="shared" si="21"/>
        <v>0</v>
      </c>
      <c r="O103" s="143">
        <f t="shared" si="20"/>
        <v>10096</v>
      </c>
    </row>
    <row r="104" spans="1:15">
      <c r="A104" s="30"/>
      <c r="C104" s="33" t="s">
        <v>65</v>
      </c>
      <c r="E104" s="157">
        <v>303524.78000000003</v>
      </c>
      <c r="F104" s="145"/>
      <c r="G104" s="158">
        <v>0</v>
      </c>
      <c r="H104" s="147"/>
      <c r="I104" s="26">
        <v>3.32</v>
      </c>
      <c r="J104" s="26"/>
      <c r="K104" s="147">
        <v>10082</v>
      </c>
      <c r="M104" s="142">
        <f t="shared" si="21"/>
        <v>0</v>
      </c>
      <c r="O104" s="143">
        <f t="shared" si="20"/>
        <v>10082</v>
      </c>
    </row>
    <row r="105" spans="1:15">
      <c r="A105" s="30"/>
      <c r="C105" s="33" t="s">
        <v>66</v>
      </c>
      <c r="E105" s="157">
        <v>4625823.04</v>
      </c>
      <c r="F105" s="145"/>
      <c r="G105" s="158">
        <v>0</v>
      </c>
      <c r="H105" s="147"/>
      <c r="I105" s="26">
        <v>3.41</v>
      </c>
      <c r="J105" s="26"/>
      <c r="K105" s="147">
        <v>157809</v>
      </c>
      <c r="M105" s="142">
        <f t="shared" si="21"/>
        <v>0</v>
      </c>
      <c r="O105" s="143">
        <f t="shared" si="20"/>
        <v>157809</v>
      </c>
    </row>
    <row r="106" spans="1:15">
      <c r="A106" s="30"/>
      <c r="C106" s="33" t="s">
        <v>67</v>
      </c>
      <c r="E106" s="157">
        <v>224532.24</v>
      </c>
      <c r="F106" s="145"/>
      <c r="G106" s="158">
        <v>0</v>
      </c>
      <c r="H106" s="147"/>
      <c r="I106" s="26">
        <v>3.38</v>
      </c>
      <c r="J106" s="26"/>
      <c r="K106" s="147">
        <v>7587</v>
      </c>
      <c r="M106" s="142">
        <f t="shared" si="21"/>
        <v>0</v>
      </c>
      <c r="O106" s="143">
        <f t="shared" si="20"/>
        <v>7587</v>
      </c>
    </row>
    <row r="107" spans="1:15">
      <c r="A107" s="30"/>
      <c r="C107" s="33" t="s">
        <v>68</v>
      </c>
      <c r="E107" s="157">
        <v>1119860.8</v>
      </c>
      <c r="F107" s="145"/>
      <c r="G107" s="158">
        <v>0</v>
      </c>
      <c r="H107" s="147"/>
      <c r="I107" s="26">
        <v>4.83</v>
      </c>
      <c r="J107" s="26"/>
      <c r="K107" s="147">
        <v>54118</v>
      </c>
      <c r="M107" s="142">
        <f t="shared" si="21"/>
        <v>0</v>
      </c>
      <c r="O107" s="143">
        <f t="shared" si="20"/>
        <v>54118</v>
      </c>
    </row>
    <row r="108" spans="1:15">
      <c r="A108" s="30"/>
      <c r="C108" s="33" t="s">
        <v>70</v>
      </c>
      <c r="E108" s="157">
        <v>1135966.24</v>
      </c>
      <c r="F108" s="145"/>
      <c r="G108" s="158">
        <v>0</v>
      </c>
      <c r="H108" s="147"/>
      <c r="I108" s="26">
        <v>4.83</v>
      </c>
      <c r="J108" s="26"/>
      <c r="K108" s="147">
        <v>54896</v>
      </c>
      <c r="M108" s="142">
        <f t="shared" si="21"/>
        <v>0</v>
      </c>
      <c r="O108" s="143">
        <f t="shared" si="20"/>
        <v>54896</v>
      </c>
    </row>
    <row r="109" spans="1:15">
      <c r="A109" s="30"/>
      <c r="C109" s="33" t="s">
        <v>71</v>
      </c>
      <c r="E109" s="157">
        <v>1465228.09</v>
      </c>
      <c r="F109" s="145"/>
      <c r="G109" s="158">
        <v>0</v>
      </c>
      <c r="H109" s="147"/>
      <c r="I109" s="26">
        <v>4.37</v>
      </c>
      <c r="J109" s="26"/>
      <c r="K109" s="147">
        <v>63993</v>
      </c>
      <c r="M109" s="142">
        <f t="shared" si="21"/>
        <v>0</v>
      </c>
      <c r="O109" s="143">
        <f t="shared" si="20"/>
        <v>63993</v>
      </c>
    </row>
    <row r="110" spans="1:15">
      <c r="A110" s="30"/>
      <c r="C110" s="33" t="s">
        <v>72</v>
      </c>
      <c r="E110" s="157">
        <v>2033652.36</v>
      </c>
      <c r="F110" s="145"/>
      <c r="G110" s="158">
        <v>0</v>
      </c>
      <c r="H110" s="147"/>
      <c r="I110" s="26">
        <v>4.8899999999999997</v>
      </c>
      <c r="J110" s="26"/>
      <c r="K110" s="147">
        <v>99377</v>
      </c>
      <c r="M110" s="142">
        <f t="shared" si="21"/>
        <v>0</v>
      </c>
      <c r="O110" s="143">
        <f t="shared" si="20"/>
        <v>99377</v>
      </c>
    </row>
    <row r="111" spans="1:15">
      <c r="A111" s="30"/>
      <c r="C111" s="33" t="s">
        <v>73</v>
      </c>
      <c r="E111" s="157">
        <v>7836172.29</v>
      </c>
      <c r="F111" s="145"/>
      <c r="G111" s="158">
        <v>0</v>
      </c>
      <c r="H111" s="147"/>
      <c r="I111" s="26">
        <v>3.81</v>
      </c>
      <c r="J111" s="26"/>
      <c r="K111" s="147">
        <v>298583</v>
      </c>
      <c r="M111" s="142">
        <f t="shared" si="21"/>
        <v>0</v>
      </c>
      <c r="O111" s="143">
        <f t="shared" si="20"/>
        <v>298583</v>
      </c>
    </row>
    <row r="112" spans="1:15">
      <c r="A112" s="30"/>
      <c r="C112" s="33" t="s">
        <v>74</v>
      </c>
      <c r="E112" s="157">
        <v>933680.4</v>
      </c>
      <c r="F112" s="145"/>
      <c r="G112" s="158">
        <v>0</v>
      </c>
      <c r="H112" s="147"/>
      <c r="I112" s="26">
        <v>3.22</v>
      </c>
      <c r="J112" s="26"/>
      <c r="K112" s="147">
        <v>30021</v>
      </c>
      <c r="M112" s="142">
        <f t="shared" si="21"/>
        <v>0</v>
      </c>
      <c r="O112" s="143">
        <f t="shared" si="20"/>
        <v>30021</v>
      </c>
    </row>
    <row r="113" spans="1:15">
      <c r="A113" s="30"/>
      <c r="C113" s="33" t="s">
        <v>75</v>
      </c>
      <c r="E113" s="157">
        <v>933680.4</v>
      </c>
      <c r="F113" s="145"/>
      <c r="G113" s="158">
        <v>0</v>
      </c>
      <c r="H113" s="147"/>
      <c r="I113" s="26">
        <v>2.84</v>
      </c>
      <c r="J113" s="26"/>
      <c r="K113" s="147">
        <v>26472</v>
      </c>
      <c r="M113" s="142">
        <f t="shared" si="21"/>
        <v>0</v>
      </c>
      <c r="O113" s="143">
        <f t="shared" si="20"/>
        <v>26472</v>
      </c>
    </row>
    <row r="114" spans="1:15">
      <c r="A114" s="30"/>
      <c r="C114" s="33" t="s">
        <v>76</v>
      </c>
      <c r="E114" s="157">
        <v>933680.4</v>
      </c>
      <c r="F114" s="145"/>
      <c r="G114" s="158">
        <v>0</v>
      </c>
      <c r="H114" s="147"/>
      <c r="I114" s="26">
        <v>2.4700000000000002</v>
      </c>
      <c r="J114" s="26"/>
      <c r="K114" s="147">
        <v>23072</v>
      </c>
      <c r="M114" s="142">
        <f t="shared" si="21"/>
        <v>0</v>
      </c>
      <c r="O114" s="143">
        <f t="shared" si="20"/>
        <v>23072</v>
      </c>
    </row>
    <row r="115" spans="1:15">
      <c r="A115" s="30"/>
      <c r="C115" s="33" t="s">
        <v>77</v>
      </c>
      <c r="E115" s="144">
        <v>625882</v>
      </c>
      <c r="F115" s="145"/>
      <c r="G115" s="146">
        <v>0</v>
      </c>
      <c r="H115" s="147"/>
      <c r="I115" s="26">
        <v>3.48</v>
      </c>
      <c r="J115" s="26"/>
      <c r="K115" s="148">
        <v>21795</v>
      </c>
      <c r="M115" s="149">
        <f t="shared" si="21"/>
        <v>0</v>
      </c>
      <c r="O115" s="150">
        <f t="shared" si="20"/>
        <v>21795</v>
      </c>
    </row>
    <row r="116" spans="1:15">
      <c r="A116" s="30"/>
      <c r="E116" s="157"/>
      <c r="F116" s="145"/>
      <c r="G116" s="158"/>
      <c r="H116" s="147"/>
      <c r="I116" s="26"/>
      <c r="J116" s="26"/>
      <c r="K116" s="147"/>
      <c r="M116" s="142"/>
      <c r="O116" s="143"/>
    </row>
    <row r="117" spans="1:15">
      <c r="A117" s="30"/>
      <c r="C117" s="13" t="s">
        <v>45</v>
      </c>
      <c r="E117" s="157">
        <f>SUBTOTAL(9,E97:E116)</f>
        <v>52461753.619999997</v>
      </c>
      <c r="F117" s="145"/>
      <c r="G117" s="158">
        <f t="shared" ref="G117" si="28">SUBTOTAL(9,G97:G116)</f>
        <v>0</v>
      </c>
      <c r="H117" s="147"/>
      <c r="I117" s="26">
        <f>+ROUND(K117/E117*100,2)</f>
        <v>3.48</v>
      </c>
      <c r="J117" s="26"/>
      <c r="K117" s="147">
        <f>SUBTOTAL(9,K97:K116)</f>
        <v>1823183</v>
      </c>
      <c r="M117" s="160">
        <f t="shared" ref="M117" si="29">SUBTOTAL(9,M97:M116)</f>
        <v>0</v>
      </c>
      <c r="O117" s="147">
        <f t="shared" ref="O117" si="30">SUBTOTAL(9,O97:O116)</f>
        <v>1823183</v>
      </c>
    </row>
    <row r="118" spans="1:15">
      <c r="A118" s="30"/>
      <c r="E118" s="157"/>
      <c r="F118" s="145"/>
      <c r="G118" s="158"/>
      <c r="H118" s="147"/>
      <c r="I118" s="26"/>
      <c r="J118" s="26"/>
      <c r="K118" s="147"/>
      <c r="M118" s="142"/>
      <c r="O118" s="143"/>
    </row>
    <row r="119" spans="1:15">
      <c r="A119" s="30">
        <v>342</v>
      </c>
      <c r="C119" s="13" t="s">
        <v>78</v>
      </c>
      <c r="G119" s="156"/>
      <c r="I119" s="26"/>
      <c r="J119" s="26"/>
      <c r="M119" s="142"/>
      <c r="O119" s="143"/>
    </row>
    <row r="120" spans="1:15">
      <c r="A120" s="30"/>
      <c r="C120" s="33" t="s">
        <v>58</v>
      </c>
      <c r="E120" s="157">
        <v>13766120.51</v>
      </c>
      <c r="F120" s="145"/>
      <c r="G120" s="158">
        <v>0</v>
      </c>
      <c r="H120" s="147"/>
      <c r="I120" s="26">
        <v>2.71</v>
      </c>
      <c r="J120" s="26"/>
      <c r="K120" s="147">
        <v>373566</v>
      </c>
      <c r="M120" s="142">
        <f t="shared" si="21"/>
        <v>0</v>
      </c>
      <c r="O120" s="143">
        <f t="shared" si="20"/>
        <v>373566</v>
      </c>
    </row>
    <row r="121" spans="1:15">
      <c r="A121" s="30"/>
      <c r="C121" s="33" t="s">
        <v>64</v>
      </c>
      <c r="E121" s="157">
        <v>70051.649999999994</v>
      </c>
      <c r="F121" s="145"/>
      <c r="G121" s="158">
        <v>0</v>
      </c>
      <c r="H121" s="147"/>
      <c r="I121" s="26">
        <v>3.08</v>
      </c>
      <c r="J121" s="26"/>
      <c r="K121" s="147">
        <v>2158</v>
      </c>
      <c r="M121" s="142">
        <f t="shared" si="21"/>
        <v>0</v>
      </c>
      <c r="O121" s="143">
        <f t="shared" si="20"/>
        <v>2158</v>
      </c>
    </row>
    <row r="122" spans="1:15">
      <c r="A122" s="30"/>
      <c r="C122" s="33" t="s">
        <v>65</v>
      </c>
      <c r="E122" s="157">
        <v>70051.649999999994</v>
      </c>
      <c r="F122" s="145"/>
      <c r="G122" s="158">
        <v>0</v>
      </c>
      <c r="H122" s="147"/>
      <c r="I122" s="26">
        <v>3.08</v>
      </c>
      <c r="J122" s="26"/>
      <c r="K122" s="147">
        <v>2155</v>
      </c>
      <c r="M122" s="142">
        <f t="shared" si="21"/>
        <v>0</v>
      </c>
      <c r="O122" s="143">
        <f t="shared" si="20"/>
        <v>2155</v>
      </c>
    </row>
    <row r="123" spans="1:15">
      <c r="A123" s="30"/>
      <c r="C123" s="33" t="s">
        <v>66</v>
      </c>
      <c r="E123" s="157">
        <v>2384532.85</v>
      </c>
      <c r="F123" s="145"/>
      <c r="G123" s="158">
        <v>0</v>
      </c>
      <c r="H123" s="147"/>
      <c r="I123" s="26">
        <v>3.16</v>
      </c>
      <c r="J123" s="26"/>
      <c r="K123" s="147">
        <v>75281</v>
      </c>
      <c r="M123" s="142">
        <f t="shared" si="21"/>
        <v>0</v>
      </c>
      <c r="O123" s="143">
        <f t="shared" si="20"/>
        <v>75281</v>
      </c>
    </row>
    <row r="124" spans="1:15">
      <c r="A124" s="30"/>
      <c r="C124" s="33" t="s">
        <v>67</v>
      </c>
      <c r="E124" s="157">
        <v>2116650.59</v>
      </c>
      <c r="F124" s="145"/>
      <c r="G124" s="158">
        <v>0</v>
      </c>
      <c r="H124" s="147"/>
      <c r="I124" s="26">
        <v>2.82</v>
      </c>
      <c r="J124" s="26"/>
      <c r="K124" s="147">
        <v>59717</v>
      </c>
      <c r="M124" s="142">
        <f t="shared" si="21"/>
        <v>0</v>
      </c>
      <c r="O124" s="143">
        <f t="shared" si="20"/>
        <v>59717</v>
      </c>
    </row>
    <row r="125" spans="1:15">
      <c r="A125" s="30"/>
      <c r="C125" s="33" t="s">
        <v>70</v>
      </c>
      <c r="E125" s="157">
        <v>357670.24</v>
      </c>
      <c r="F125" s="145"/>
      <c r="G125" s="158">
        <v>0</v>
      </c>
      <c r="H125" s="147"/>
      <c r="I125" s="26">
        <v>4.58</v>
      </c>
      <c r="J125" s="26"/>
      <c r="K125" s="147">
        <v>16399</v>
      </c>
      <c r="M125" s="142">
        <f t="shared" si="21"/>
        <v>0</v>
      </c>
      <c r="O125" s="143">
        <f t="shared" si="20"/>
        <v>16399</v>
      </c>
    </row>
    <row r="126" spans="1:15">
      <c r="A126" s="30"/>
      <c r="C126" s="33" t="s">
        <v>73</v>
      </c>
      <c r="E126" s="144">
        <v>1162203.57</v>
      </c>
      <c r="F126" s="145"/>
      <c r="G126" s="146">
        <v>0</v>
      </c>
      <c r="H126" s="147"/>
      <c r="I126" s="26">
        <v>3.57</v>
      </c>
      <c r="J126" s="26"/>
      <c r="K126" s="148">
        <v>41477</v>
      </c>
      <c r="M126" s="149">
        <f t="shared" si="21"/>
        <v>0</v>
      </c>
      <c r="O126" s="150">
        <f t="shared" si="20"/>
        <v>41477</v>
      </c>
    </row>
    <row r="127" spans="1:15">
      <c r="A127" s="30"/>
      <c r="E127" s="157"/>
      <c r="F127" s="145"/>
      <c r="G127" s="158"/>
      <c r="H127" s="147"/>
      <c r="I127" s="26"/>
      <c r="J127" s="26"/>
      <c r="K127" s="147"/>
      <c r="M127" s="142"/>
      <c r="O127" s="143"/>
    </row>
    <row r="128" spans="1:15">
      <c r="A128" s="30"/>
      <c r="C128" s="13" t="s">
        <v>79</v>
      </c>
      <c r="E128" s="157">
        <f>SUBTOTAL(9,E120:E127)</f>
        <v>19927281.059999999</v>
      </c>
      <c r="F128" s="145"/>
      <c r="G128" s="158">
        <f t="shared" ref="G128" si="31">SUBTOTAL(9,G120:G127)</f>
        <v>0</v>
      </c>
      <c r="H128" s="147"/>
      <c r="I128" s="26">
        <f>+ROUND(K128/E128*100,2)</f>
        <v>2.86</v>
      </c>
      <c r="J128" s="26"/>
      <c r="K128" s="147">
        <f>SUBTOTAL(9,K120:K127)</f>
        <v>570753</v>
      </c>
      <c r="M128" s="160">
        <f t="shared" ref="M128" si="32">SUBTOTAL(9,M120:M127)</f>
        <v>0</v>
      </c>
      <c r="O128" s="147">
        <f t="shared" ref="O128" si="33">SUBTOTAL(9,O120:O127)</f>
        <v>570753</v>
      </c>
    </row>
    <row r="129" spans="1:15">
      <c r="A129" s="30"/>
      <c r="E129" s="157"/>
      <c r="F129" s="145"/>
      <c r="G129" s="158"/>
      <c r="H129" s="147"/>
      <c r="I129" s="26"/>
      <c r="J129" s="26"/>
      <c r="K129" s="147"/>
      <c r="M129" s="142"/>
      <c r="O129" s="143"/>
    </row>
    <row r="130" spans="1:15">
      <c r="A130" s="30">
        <v>343</v>
      </c>
      <c r="C130" s="13" t="s">
        <v>80</v>
      </c>
      <c r="G130" s="156"/>
      <c r="I130" s="26"/>
      <c r="J130" s="26"/>
      <c r="M130" s="142"/>
      <c r="O130" s="143"/>
    </row>
    <row r="131" spans="1:15">
      <c r="A131" s="30"/>
      <c r="C131" s="33" t="s">
        <v>58</v>
      </c>
      <c r="E131" s="157">
        <v>21780283.59</v>
      </c>
      <c r="F131" s="145"/>
      <c r="G131" s="158">
        <v>0</v>
      </c>
      <c r="H131" s="147"/>
      <c r="I131" s="26">
        <v>2.75</v>
      </c>
      <c r="J131" s="26"/>
      <c r="K131" s="147">
        <v>598492</v>
      </c>
      <c r="M131" s="142">
        <f t="shared" si="21"/>
        <v>0</v>
      </c>
      <c r="O131" s="143">
        <f t="shared" si="20"/>
        <v>598492</v>
      </c>
    </row>
    <row r="132" spans="1:15">
      <c r="A132" s="30"/>
      <c r="C132" s="33" t="s">
        <v>59</v>
      </c>
      <c r="E132" s="157">
        <v>24250302.120000001</v>
      </c>
      <c r="F132" s="145"/>
      <c r="G132" s="158">
        <v>0</v>
      </c>
      <c r="H132" s="147"/>
      <c r="I132" s="26">
        <v>4.5599999999999996</v>
      </c>
      <c r="J132" s="26"/>
      <c r="K132" s="147">
        <v>1105177</v>
      </c>
      <c r="M132" s="142">
        <f t="shared" si="21"/>
        <v>0</v>
      </c>
      <c r="O132" s="143">
        <f t="shared" si="20"/>
        <v>1105177</v>
      </c>
    </row>
    <row r="133" spans="1:15">
      <c r="A133" s="30"/>
      <c r="C133" s="33" t="s">
        <v>60</v>
      </c>
      <c r="E133" s="157">
        <v>16948244.77</v>
      </c>
      <c r="F133" s="145"/>
      <c r="G133" s="158">
        <v>0</v>
      </c>
      <c r="H133" s="147"/>
      <c r="I133" s="26">
        <v>3.52</v>
      </c>
      <c r="J133" s="26"/>
      <c r="K133" s="147">
        <v>596612</v>
      </c>
      <c r="M133" s="142">
        <f t="shared" si="21"/>
        <v>0</v>
      </c>
      <c r="O133" s="143">
        <f t="shared" si="20"/>
        <v>596612</v>
      </c>
    </row>
    <row r="134" spans="1:15">
      <c r="A134" s="30"/>
      <c r="C134" s="33" t="s">
        <v>61</v>
      </c>
      <c r="E134" s="157">
        <v>16247189.43</v>
      </c>
      <c r="F134" s="145"/>
      <c r="G134" s="158">
        <v>0</v>
      </c>
      <c r="H134" s="147"/>
      <c r="I134" s="26">
        <v>3.71</v>
      </c>
      <c r="J134" s="26"/>
      <c r="K134" s="147">
        <v>602129</v>
      </c>
      <c r="M134" s="142">
        <f t="shared" si="21"/>
        <v>0</v>
      </c>
      <c r="O134" s="143">
        <f t="shared" si="20"/>
        <v>602129</v>
      </c>
    </row>
    <row r="135" spans="1:15">
      <c r="A135" s="30"/>
      <c r="C135" s="33" t="s">
        <v>62</v>
      </c>
      <c r="E135" s="157">
        <v>25858484.41</v>
      </c>
      <c r="F135" s="145"/>
      <c r="G135" s="158">
        <v>0</v>
      </c>
      <c r="H135" s="147"/>
      <c r="I135" s="26">
        <v>3.3</v>
      </c>
      <c r="J135" s="26"/>
      <c r="K135" s="147">
        <v>852617</v>
      </c>
      <c r="M135" s="142">
        <f t="shared" si="21"/>
        <v>0</v>
      </c>
      <c r="O135" s="143">
        <f t="shared" si="20"/>
        <v>852617</v>
      </c>
    </row>
    <row r="136" spans="1:15">
      <c r="A136" s="30"/>
      <c r="C136" s="33" t="s">
        <v>63</v>
      </c>
      <c r="E136" s="157">
        <v>21295538.73</v>
      </c>
      <c r="F136" s="145"/>
      <c r="G136" s="158">
        <v>0</v>
      </c>
      <c r="H136" s="147"/>
      <c r="I136" s="26">
        <v>3.28</v>
      </c>
      <c r="J136" s="26"/>
      <c r="K136" s="147">
        <v>698328</v>
      </c>
      <c r="M136" s="142">
        <f t="shared" si="21"/>
        <v>0</v>
      </c>
      <c r="O136" s="143">
        <f t="shared" si="20"/>
        <v>698328</v>
      </c>
    </row>
    <row r="137" spans="1:15">
      <c r="A137" s="30"/>
      <c r="C137" s="33" t="s">
        <v>64</v>
      </c>
      <c r="E137" s="157">
        <v>18332746.16</v>
      </c>
      <c r="F137" s="145"/>
      <c r="G137" s="158">
        <v>0</v>
      </c>
      <c r="H137" s="147"/>
      <c r="I137" s="26">
        <v>3.28</v>
      </c>
      <c r="J137" s="26"/>
      <c r="K137" s="147">
        <v>600986</v>
      </c>
      <c r="M137" s="142">
        <f t="shared" si="21"/>
        <v>0</v>
      </c>
      <c r="O137" s="143">
        <f t="shared" si="20"/>
        <v>600986</v>
      </c>
    </row>
    <row r="138" spans="1:15">
      <c r="A138" s="30"/>
      <c r="C138" s="33" t="s">
        <v>65</v>
      </c>
      <c r="E138" s="157">
        <v>16754183.57</v>
      </c>
      <c r="F138" s="145"/>
      <c r="G138" s="158">
        <v>0</v>
      </c>
      <c r="H138" s="147"/>
      <c r="I138" s="26">
        <v>3.16</v>
      </c>
      <c r="J138" s="26"/>
      <c r="K138" s="147">
        <v>530174</v>
      </c>
      <c r="M138" s="142">
        <f t="shared" si="21"/>
        <v>0</v>
      </c>
      <c r="O138" s="143">
        <f t="shared" si="20"/>
        <v>530174</v>
      </c>
    </row>
    <row r="139" spans="1:15">
      <c r="A139" s="30"/>
      <c r="C139" s="33" t="s">
        <v>66</v>
      </c>
      <c r="E139" s="157">
        <v>41179391.759999998</v>
      </c>
      <c r="F139" s="145"/>
      <c r="G139" s="158">
        <v>0</v>
      </c>
      <c r="H139" s="147"/>
      <c r="I139" s="26">
        <v>3.32</v>
      </c>
      <c r="J139" s="26"/>
      <c r="K139" s="147">
        <v>1367228</v>
      </c>
      <c r="M139" s="142">
        <f t="shared" si="21"/>
        <v>0</v>
      </c>
      <c r="O139" s="143">
        <f t="shared" si="20"/>
        <v>1367228</v>
      </c>
    </row>
    <row r="140" spans="1:15">
      <c r="A140" s="30"/>
      <c r="C140" s="33" t="s">
        <v>67</v>
      </c>
      <c r="E140" s="157">
        <v>38525568.210000001</v>
      </c>
      <c r="F140" s="145"/>
      <c r="G140" s="158">
        <v>0</v>
      </c>
      <c r="H140" s="147"/>
      <c r="I140" s="26">
        <v>3.01</v>
      </c>
      <c r="J140" s="26"/>
      <c r="K140" s="147">
        <v>1157887</v>
      </c>
      <c r="M140" s="142">
        <f t="shared" si="21"/>
        <v>0</v>
      </c>
      <c r="O140" s="143">
        <f t="shared" si="20"/>
        <v>1157887</v>
      </c>
    </row>
    <row r="141" spans="1:15">
      <c r="A141" s="30"/>
      <c r="C141" s="33" t="s">
        <v>68</v>
      </c>
      <c r="E141" s="157">
        <v>354200.3</v>
      </c>
      <c r="F141" s="145"/>
      <c r="G141" s="158">
        <v>0</v>
      </c>
      <c r="H141" s="147"/>
      <c r="I141" s="26">
        <v>4.78</v>
      </c>
      <c r="J141" s="26"/>
      <c r="K141" s="147">
        <v>16918</v>
      </c>
      <c r="M141" s="142">
        <f t="shared" si="21"/>
        <v>0</v>
      </c>
      <c r="O141" s="143">
        <f t="shared" si="20"/>
        <v>16918</v>
      </c>
    </row>
    <row r="142" spans="1:15">
      <c r="A142" s="30"/>
      <c r="C142" s="33" t="s">
        <v>70</v>
      </c>
      <c r="E142" s="157">
        <v>387999.31</v>
      </c>
      <c r="F142" s="145"/>
      <c r="G142" s="158">
        <v>0</v>
      </c>
      <c r="H142" s="147"/>
      <c r="I142" s="26">
        <v>4.82</v>
      </c>
      <c r="J142" s="26"/>
      <c r="K142" s="147">
        <v>18696</v>
      </c>
      <c r="M142" s="142">
        <f t="shared" si="21"/>
        <v>0</v>
      </c>
      <c r="O142" s="143">
        <f t="shared" si="20"/>
        <v>18696</v>
      </c>
    </row>
    <row r="143" spans="1:15">
      <c r="A143" s="30"/>
      <c r="C143" s="33" t="s">
        <v>71</v>
      </c>
      <c r="E143" s="157">
        <v>201654.6</v>
      </c>
      <c r="F143" s="145"/>
      <c r="G143" s="158">
        <v>0</v>
      </c>
      <c r="H143" s="147"/>
      <c r="I143" s="26">
        <v>4.2</v>
      </c>
      <c r="J143" s="26"/>
      <c r="K143" s="147">
        <v>8461</v>
      </c>
      <c r="M143" s="142">
        <f t="shared" si="21"/>
        <v>0</v>
      </c>
      <c r="O143" s="143">
        <f t="shared" si="20"/>
        <v>8461</v>
      </c>
    </row>
    <row r="144" spans="1:15">
      <c r="A144" s="30"/>
      <c r="C144" s="33" t="s">
        <v>72</v>
      </c>
      <c r="E144" s="157">
        <v>275099.08</v>
      </c>
      <c r="F144" s="145"/>
      <c r="G144" s="158">
        <v>0</v>
      </c>
      <c r="H144" s="147"/>
      <c r="I144" s="26">
        <v>4.07</v>
      </c>
      <c r="J144" s="26"/>
      <c r="K144" s="147">
        <v>11209</v>
      </c>
      <c r="M144" s="142">
        <f t="shared" si="21"/>
        <v>0</v>
      </c>
      <c r="O144" s="143">
        <f t="shared" si="20"/>
        <v>11209</v>
      </c>
    </row>
    <row r="145" spans="1:15">
      <c r="A145" s="30"/>
      <c r="C145" s="33" t="s">
        <v>73</v>
      </c>
      <c r="E145" s="157">
        <v>57861908.030000001</v>
      </c>
      <c r="F145" s="145"/>
      <c r="G145" s="158">
        <v>0</v>
      </c>
      <c r="H145" s="147"/>
      <c r="I145" s="26">
        <v>4.3099999999999996</v>
      </c>
      <c r="J145" s="26"/>
      <c r="K145" s="147">
        <v>2493372</v>
      </c>
      <c r="M145" s="142">
        <f t="shared" si="21"/>
        <v>0</v>
      </c>
      <c r="O145" s="143">
        <f t="shared" si="20"/>
        <v>2493372</v>
      </c>
    </row>
    <row r="146" spans="1:15">
      <c r="A146" s="30"/>
      <c r="C146" s="33" t="s">
        <v>74</v>
      </c>
      <c r="E146" s="157">
        <v>44185201.950000003</v>
      </c>
      <c r="F146" s="145"/>
      <c r="G146" s="158">
        <v>0</v>
      </c>
      <c r="H146" s="147"/>
      <c r="I146" s="26">
        <v>3.26</v>
      </c>
      <c r="J146" s="26"/>
      <c r="K146" s="147">
        <v>1440118</v>
      </c>
      <c r="M146" s="142">
        <f t="shared" si="21"/>
        <v>0</v>
      </c>
      <c r="O146" s="143">
        <f t="shared" si="20"/>
        <v>1440118</v>
      </c>
    </row>
    <row r="147" spans="1:15">
      <c r="A147" s="30"/>
      <c r="C147" s="33" t="s">
        <v>75</v>
      </c>
      <c r="E147" s="157">
        <v>45507960.020000003</v>
      </c>
      <c r="F147" s="145"/>
      <c r="G147" s="158">
        <v>0</v>
      </c>
      <c r="H147" s="147"/>
      <c r="I147" s="26">
        <v>2.92</v>
      </c>
      <c r="J147" s="26"/>
      <c r="K147" s="147">
        <v>1326570</v>
      </c>
      <c r="M147" s="142">
        <f t="shared" si="21"/>
        <v>0</v>
      </c>
      <c r="O147" s="143">
        <f t="shared" si="20"/>
        <v>1326570</v>
      </c>
    </row>
    <row r="148" spans="1:15">
      <c r="A148" s="30"/>
      <c r="C148" s="33" t="s">
        <v>76</v>
      </c>
      <c r="E148" s="144">
        <v>39171021.640000001</v>
      </c>
      <c r="F148" s="145"/>
      <c r="G148" s="146">
        <v>0</v>
      </c>
      <c r="H148" s="147"/>
      <c r="I148" s="26">
        <v>2.64</v>
      </c>
      <c r="J148" s="26"/>
      <c r="K148" s="148">
        <v>1034641</v>
      </c>
      <c r="M148" s="149">
        <f t="shared" si="21"/>
        <v>0</v>
      </c>
      <c r="O148" s="150">
        <f t="shared" ref="O148:O207" si="34">K148-M148</f>
        <v>1034641</v>
      </c>
    </row>
    <row r="149" spans="1:15">
      <c r="A149" s="30"/>
      <c r="E149" s="157"/>
      <c r="F149" s="145"/>
      <c r="G149" s="158"/>
      <c r="H149" s="147"/>
      <c r="I149" s="26"/>
      <c r="J149" s="26"/>
      <c r="K149" s="147"/>
      <c r="M149" s="142"/>
      <c r="O149" s="143"/>
    </row>
    <row r="150" spans="1:15">
      <c r="A150" s="30"/>
      <c r="C150" s="13" t="s">
        <v>81</v>
      </c>
      <c r="E150" s="157">
        <f>SUBTOTAL(9,E131:E149)</f>
        <v>429116977.68000001</v>
      </c>
      <c r="F150" s="145"/>
      <c r="G150" s="158">
        <f t="shared" ref="G150" si="35">SUBTOTAL(9,G131:G149)</f>
        <v>0</v>
      </c>
      <c r="H150" s="147"/>
      <c r="I150" s="26">
        <f>+ROUND(K150/E150*100,2)</f>
        <v>3.37</v>
      </c>
      <c r="J150" s="26"/>
      <c r="K150" s="147">
        <f>SUBTOTAL(9,K131:K149)</f>
        <v>14459615</v>
      </c>
      <c r="M150" s="160">
        <f t="shared" ref="M150" si="36">SUBTOTAL(9,M131:M149)</f>
        <v>0</v>
      </c>
      <c r="O150" s="147">
        <f t="shared" ref="O150" si="37">SUBTOTAL(9,O131:O149)</f>
        <v>14459615</v>
      </c>
    </row>
    <row r="151" spans="1:15">
      <c r="A151" s="30"/>
      <c r="E151" s="157"/>
      <c r="F151" s="145"/>
      <c r="G151" s="158"/>
      <c r="H151" s="147"/>
      <c r="I151" s="26"/>
      <c r="J151" s="26"/>
      <c r="K151" s="147"/>
      <c r="M151" s="142"/>
      <c r="O151" s="143"/>
    </row>
    <row r="152" spans="1:15">
      <c r="A152" s="30">
        <v>344</v>
      </c>
      <c r="C152" s="13" t="s">
        <v>82</v>
      </c>
      <c r="G152" s="156"/>
      <c r="I152" s="26"/>
      <c r="J152" s="26"/>
      <c r="M152" s="142"/>
      <c r="O152" s="143"/>
    </row>
    <row r="153" spans="1:15">
      <c r="A153" s="30"/>
      <c r="C153" s="33" t="s">
        <v>58</v>
      </c>
      <c r="E153" s="157">
        <v>385287.95</v>
      </c>
      <c r="F153" s="145"/>
      <c r="G153" s="158">
        <v>0</v>
      </c>
      <c r="H153" s="147"/>
      <c r="I153" s="26">
        <v>3.08</v>
      </c>
      <c r="J153" s="26"/>
      <c r="K153" s="147">
        <v>11864</v>
      </c>
      <c r="M153" s="142">
        <f t="shared" ref="M153:M207" si="38">ROUND(G153*(I153/100),0)</f>
        <v>0</v>
      </c>
      <c r="O153" s="143">
        <f t="shared" si="34"/>
        <v>11864</v>
      </c>
    </row>
    <row r="154" spans="1:15">
      <c r="A154" s="30"/>
      <c r="C154" s="33" t="s">
        <v>59</v>
      </c>
      <c r="E154" s="157">
        <v>4960295.58</v>
      </c>
      <c r="F154" s="145"/>
      <c r="G154" s="158">
        <v>0</v>
      </c>
      <c r="H154" s="147"/>
      <c r="I154" s="26">
        <v>3.57</v>
      </c>
      <c r="J154" s="26"/>
      <c r="K154" s="147">
        <v>177234</v>
      </c>
      <c r="M154" s="142">
        <f t="shared" si="38"/>
        <v>0</v>
      </c>
      <c r="O154" s="143">
        <f t="shared" si="34"/>
        <v>177234</v>
      </c>
    </row>
    <row r="155" spans="1:15">
      <c r="A155" s="30"/>
      <c r="C155" s="33" t="s">
        <v>60</v>
      </c>
      <c r="E155" s="157">
        <v>5083402.2400000002</v>
      </c>
      <c r="F155" s="145"/>
      <c r="G155" s="158">
        <v>0</v>
      </c>
      <c r="H155" s="147"/>
      <c r="I155" s="26">
        <v>3.58</v>
      </c>
      <c r="J155" s="26"/>
      <c r="K155" s="147">
        <v>181954</v>
      </c>
      <c r="M155" s="142">
        <f t="shared" si="38"/>
        <v>0</v>
      </c>
      <c r="O155" s="143">
        <f t="shared" si="34"/>
        <v>181954</v>
      </c>
    </row>
    <row r="156" spans="1:15">
      <c r="A156" s="30"/>
      <c r="C156" s="33" t="s">
        <v>61</v>
      </c>
      <c r="E156" s="157">
        <v>2283154.23</v>
      </c>
      <c r="F156" s="145"/>
      <c r="G156" s="158">
        <v>0</v>
      </c>
      <c r="H156" s="147"/>
      <c r="I156" s="26">
        <v>4.43</v>
      </c>
      <c r="J156" s="26"/>
      <c r="K156" s="147">
        <v>101252</v>
      </c>
      <c r="M156" s="142">
        <f t="shared" si="38"/>
        <v>0</v>
      </c>
      <c r="O156" s="143">
        <f t="shared" si="34"/>
        <v>101252</v>
      </c>
    </row>
    <row r="157" spans="1:15">
      <c r="A157" s="30"/>
      <c r="C157" s="33" t="s">
        <v>62</v>
      </c>
      <c r="E157" s="157">
        <v>7839449.8600000003</v>
      </c>
      <c r="F157" s="145"/>
      <c r="G157" s="158">
        <v>0</v>
      </c>
      <c r="H157" s="147"/>
      <c r="I157" s="26">
        <v>3.29</v>
      </c>
      <c r="J157" s="26"/>
      <c r="K157" s="147">
        <v>257680</v>
      </c>
      <c r="M157" s="142">
        <f t="shared" si="38"/>
        <v>0</v>
      </c>
      <c r="O157" s="143">
        <f t="shared" si="34"/>
        <v>257680</v>
      </c>
    </row>
    <row r="158" spans="1:15">
      <c r="A158" s="30"/>
      <c r="C158" s="33" t="s">
        <v>63</v>
      </c>
      <c r="E158" s="157">
        <v>7775759.6900000004</v>
      </c>
      <c r="F158" s="145"/>
      <c r="G158" s="158">
        <v>0</v>
      </c>
      <c r="H158" s="147"/>
      <c r="I158" s="26">
        <v>3.29</v>
      </c>
      <c r="J158" s="26"/>
      <c r="K158" s="147">
        <v>255573</v>
      </c>
      <c r="M158" s="142">
        <f t="shared" si="38"/>
        <v>0</v>
      </c>
      <c r="O158" s="143">
        <f t="shared" si="34"/>
        <v>255573</v>
      </c>
    </row>
    <row r="159" spans="1:15">
      <c r="A159" s="30"/>
      <c r="C159" s="33" t="s">
        <v>64</v>
      </c>
      <c r="E159" s="157">
        <v>4831725.68</v>
      </c>
      <c r="F159" s="145"/>
      <c r="G159" s="158">
        <v>0</v>
      </c>
      <c r="H159" s="147"/>
      <c r="I159" s="26">
        <v>3.14</v>
      </c>
      <c r="J159" s="26"/>
      <c r="K159" s="147">
        <v>151529</v>
      </c>
      <c r="M159" s="142">
        <f t="shared" si="38"/>
        <v>0</v>
      </c>
      <c r="O159" s="143">
        <f t="shared" si="34"/>
        <v>151529</v>
      </c>
    </row>
    <row r="160" spans="1:15">
      <c r="A160" s="30"/>
      <c r="C160" s="33" t="s">
        <v>65</v>
      </c>
      <c r="E160" s="157">
        <v>4838938.32</v>
      </c>
      <c r="F160" s="145"/>
      <c r="G160" s="158">
        <v>0</v>
      </c>
      <c r="H160" s="147"/>
      <c r="I160" s="26">
        <v>3.13</v>
      </c>
      <c r="J160" s="26"/>
      <c r="K160" s="147">
        <v>151531</v>
      </c>
      <c r="M160" s="142">
        <f t="shared" si="38"/>
        <v>0</v>
      </c>
      <c r="O160" s="143">
        <f t="shared" si="34"/>
        <v>151531</v>
      </c>
    </row>
    <row r="161" spans="1:15">
      <c r="A161" s="30"/>
      <c r="C161" s="33" t="s">
        <v>66</v>
      </c>
      <c r="E161" s="157">
        <v>4442193.82</v>
      </c>
      <c r="F161" s="145"/>
      <c r="G161" s="158">
        <v>0</v>
      </c>
      <c r="H161" s="147"/>
      <c r="I161" s="26">
        <v>3.27</v>
      </c>
      <c r="J161" s="26"/>
      <c r="K161" s="147">
        <v>145333</v>
      </c>
      <c r="M161" s="142">
        <f t="shared" si="38"/>
        <v>0</v>
      </c>
      <c r="O161" s="143">
        <f t="shared" si="34"/>
        <v>145333</v>
      </c>
    </row>
    <row r="162" spans="1:15">
      <c r="A162" s="30"/>
      <c r="C162" s="33" t="s">
        <v>67</v>
      </c>
      <c r="E162" s="157">
        <v>4442193.82</v>
      </c>
      <c r="F162" s="145"/>
      <c r="G162" s="158">
        <v>0</v>
      </c>
      <c r="H162" s="147"/>
      <c r="I162" s="26">
        <v>2.91</v>
      </c>
      <c r="J162" s="26"/>
      <c r="K162" s="147">
        <v>129177</v>
      </c>
      <c r="M162" s="142">
        <f t="shared" si="38"/>
        <v>0</v>
      </c>
      <c r="O162" s="143">
        <f t="shared" si="34"/>
        <v>129177</v>
      </c>
    </row>
    <row r="163" spans="1:15">
      <c r="A163" s="30"/>
      <c r="C163" s="33" t="s">
        <v>68</v>
      </c>
      <c r="E163" s="157">
        <v>1098205.33</v>
      </c>
      <c r="F163" s="145"/>
      <c r="G163" s="158">
        <v>0</v>
      </c>
      <c r="H163" s="147"/>
      <c r="I163" s="26">
        <v>4.6100000000000003</v>
      </c>
      <c r="J163" s="26"/>
      <c r="K163" s="147">
        <v>50606</v>
      </c>
      <c r="M163" s="142">
        <f t="shared" si="38"/>
        <v>0</v>
      </c>
      <c r="O163" s="143">
        <f t="shared" si="34"/>
        <v>50606</v>
      </c>
    </row>
    <row r="164" spans="1:15">
      <c r="A164" s="30"/>
      <c r="C164" s="33" t="s">
        <v>70</v>
      </c>
      <c r="E164" s="157">
        <v>4525028.84</v>
      </c>
      <c r="F164" s="145"/>
      <c r="G164" s="158">
        <v>0</v>
      </c>
      <c r="H164" s="147"/>
      <c r="I164" s="26">
        <v>5.12</v>
      </c>
      <c r="J164" s="26"/>
      <c r="K164" s="147">
        <v>231537</v>
      </c>
      <c r="M164" s="142">
        <f t="shared" si="38"/>
        <v>0</v>
      </c>
      <c r="O164" s="143">
        <f t="shared" si="34"/>
        <v>231537</v>
      </c>
    </row>
    <row r="165" spans="1:15">
      <c r="A165" s="30"/>
      <c r="C165" s="33" t="s">
        <v>71</v>
      </c>
      <c r="E165" s="157">
        <v>3171144.21</v>
      </c>
      <c r="F165" s="145"/>
      <c r="G165" s="158">
        <v>0</v>
      </c>
      <c r="H165" s="147"/>
      <c r="I165" s="26">
        <v>4.1100000000000003</v>
      </c>
      <c r="J165" s="26"/>
      <c r="K165" s="147">
        <v>130246</v>
      </c>
      <c r="M165" s="142">
        <f t="shared" si="38"/>
        <v>0</v>
      </c>
      <c r="O165" s="143">
        <f t="shared" si="34"/>
        <v>130246</v>
      </c>
    </row>
    <row r="166" spans="1:15">
      <c r="A166" s="30"/>
      <c r="C166" s="33" t="s">
        <v>72</v>
      </c>
      <c r="E166" s="157">
        <v>1684823.61</v>
      </c>
      <c r="F166" s="145"/>
      <c r="G166" s="158">
        <v>0</v>
      </c>
      <c r="H166" s="147"/>
      <c r="I166" s="26">
        <v>4.0599999999999996</v>
      </c>
      <c r="J166" s="26"/>
      <c r="K166" s="147">
        <v>68466</v>
      </c>
      <c r="M166" s="142">
        <f t="shared" si="38"/>
        <v>0</v>
      </c>
      <c r="O166" s="143">
        <f t="shared" si="34"/>
        <v>68466</v>
      </c>
    </row>
    <row r="167" spans="1:15">
      <c r="A167" s="30"/>
      <c r="C167" s="33" t="s">
        <v>83</v>
      </c>
      <c r="E167" s="157">
        <v>2993753.87</v>
      </c>
      <c r="F167" s="145"/>
      <c r="G167" s="158">
        <v>0</v>
      </c>
      <c r="H167" s="147"/>
      <c r="I167" s="26">
        <v>3.87</v>
      </c>
      <c r="J167" s="26"/>
      <c r="K167" s="147">
        <v>115787</v>
      </c>
      <c r="M167" s="142">
        <f t="shared" si="38"/>
        <v>0</v>
      </c>
      <c r="O167" s="143">
        <f t="shared" si="34"/>
        <v>115787</v>
      </c>
    </row>
    <row r="168" spans="1:15">
      <c r="A168" s="30"/>
      <c r="C168" s="33" t="s">
        <v>73</v>
      </c>
      <c r="E168" s="157">
        <v>17086.14</v>
      </c>
      <c r="F168" s="145"/>
      <c r="G168" s="158">
        <v>0</v>
      </c>
      <c r="H168" s="147"/>
      <c r="I168" s="26">
        <v>3.75</v>
      </c>
      <c r="J168" s="26"/>
      <c r="K168" s="147">
        <v>640</v>
      </c>
      <c r="M168" s="142">
        <f t="shared" si="38"/>
        <v>0</v>
      </c>
      <c r="O168" s="143">
        <f t="shared" si="34"/>
        <v>640</v>
      </c>
    </row>
    <row r="169" spans="1:15">
      <c r="A169" s="30"/>
      <c r="C169" s="33" t="s">
        <v>74</v>
      </c>
      <c r="E169" s="157">
        <v>12907984.9</v>
      </c>
      <c r="F169" s="145"/>
      <c r="G169" s="158">
        <v>0</v>
      </c>
      <c r="H169" s="147"/>
      <c r="I169" s="26">
        <v>3.81</v>
      </c>
      <c r="J169" s="26"/>
      <c r="K169" s="147">
        <v>492333</v>
      </c>
      <c r="M169" s="142">
        <f t="shared" si="38"/>
        <v>0</v>
      </c>
      <c r="O169" s="143">
        <f t="shared" si="34"/>
        <v>492333</v>
      </c>
    </row>
    <row r="170" spans="1:15">
      <c r="A170" s="30"/>
      <c r="C170" s="33" t="s">
        <v>75</v>
      </c>
      <c r="E170" s="157">
        <v>7457690.5700000003</v>
      </c>
      <c r="F170" s="145"/>
      <c r="G170" s="158">
        <v>0</v>
      </c>
      <c r="H170" s="147"/>
      <c r="I170" s="26">
        <v>2.69</v>
      </c>
      <c r="J170" s="26"/>
      <c r="K170" s="147">
        <v>200400</v>
      </c>
      <c r="M170" s="142">
        <f t="shared" si="38"/>
        <v>0</v>
      </c>
      <c r="O170" s="143">
        <f t="shared" si="34"/>
        <v>200400</v>
      </c>
    </row>
    <row r="171" spans="1:15">
      <c r="A171" s="30"/>
      <c r="C171" s="33" t="s">
        <v>76</v>
      </c>
      <c r="E171" s="157">
        <v>7457690.5700000003</v>
      </c>
      <c r="F171" s="145"/>
      <c r="G171" s="158">
        <v>0</v>
      </c>
      <c r="H171" s="147"/>
      <c r="I171" s="26">
        <v>2.3199999999999998</v>
      </c>
      <c r="J171" s="26"/>
      <c r="K171" s="147">
        <v>173032</v>
      </c>
      <c r="M171" s="142">
        <f t="shared" si="38"/>
        <v>0</v>
      </c>
      <c r="O171" s="143">
        <f t="shared" si="34"/>
        <v>173032</v>
      </c>
    </row>
    <row r="172" spans="1:15">
      <c r="A172" s="30"/>
      <c r="C172" s="33" t="s">
        <v>77</v>
      </c>
      <c r="E172" s="144">
        <v>15810305.550000001</v>
      </c>
      <c r="F172" s="145"/>
      <c r="G172" s="146">
        <v>0</v>
      </c>
      <c r="H172" s="147"/>
      <c r="I172" s="26">
        <v>3.36</v>
      </c>
      <c r="J172" s="26"/>
      <c r="K172" s="148">
        <v>531990</v>
      </c>
      <c r="M172" s="149">
        <f t="shared" si="38"/>
        <v>0</v>
      </c>
      <c r="O172" s="150">
        <f t="shared" si="34"/>
        <v>531990</v>
      </c>
    </row>
    <row r="173" spans="1:15">
      <c r="A173" s="30"/>
      <c r="E173" s="157"/>
      <c r="F173" s="145"/>
      <c r="G173" s="158"/>
      <c r="H173" s="147"/>
      <c r="I173" s="26"/>
      <c r="J173" s="26"/>
      <c r="K173" s="147"/>
      <c r="M173" s="142"/>
      <c r="O173" s="143"/>
    </row>
    <row r="174" spans="1:15">
      <c r="A174" s="30"/>
      <c r="C174" s="13" t="s">
        <v>84</v>
      </c>
      <c r="E174" s="157">
        <f>SUBTOTAL(9,E153:E173)</f>
        <v>104006114.77999999</v>
      </c>
      <c r="F174" s="145"/>
      <c r="G174" s="158">
        <f t="shared" ref="G174" si="39">SUBTOTAL(9,G153:G173)</f>
        <v>0</v>
      </c>
      <c r="H174" s="147"/>
      <c r="I174" s="26">
        <f>+ROUND(K174/E174*100,2)</f>
        <v>3.42</v>
      </c>
      <c r="J174" s="26"/>
      <c r="K174" s="147">
        <f>SUBTOTAL(9,K153:K173)</f>
        <v>3558164</v>
      </c>
      <c r="M174" s="160">
        <f t="shared" ref="M174" si="40">SUBTOTAL(9,M153:M173)</f>
        <v>0</v>
      </c>
      <c r="O174" s="147">
        <f t="shared" ref="O174" si="41">SUBTOTAL(9,O153:O173)</f>
        <v>3558164</v>
      </c>
    </row>
    <row r="175" spans="1:15">
      <c r="A175" s="30"/>
      <c r="E175" s="157"/>
      <c r="F175" s="145"/>
      <c r="G175" s="158"/>
      <c r="H175" s="147"/>
      <c r="I175" s="26"/>
      <c r="J175" s="26"/>
      <c r="K175" s="147"/>
      <c r="M175" s="142"/>
      <c r="O175" s="143"/>
    </row>
    <row r="176" spans="1:15">
      <c r="A176" s="30">
        <v>345</v>
      </c>
      <c r="C176" s="13" t="s">
        <v>52</v>
      </c>
      <c r="G176" s="156"/>
      <c r="I176" s="26"/>
      <c r="J176" s="26"/>
      <c r="M176" s="142"/>
      <c r="O176" s="143"/>
    </row>
    <row r="177" spans="1:15">
      <c r="A177" s="30"/>
      <c r="C177" s="33" t="s">
        <v>58</v>
      </c>
      <c r="E177" s="157">
        <v>9906844.2300000004</v>
      </c>
      <c r="F177" s="145"/>
      <c r="G177" s="158">
        <v>0</v>
      </c>
      <c r="H177" s="147"/>
      <c r="I177" s="26">
        <v>2.95</v>
      </c>
      <c r="J177" s="26"/>
      <c r="K177" s="147">
        <v>291986</v>
      </c>
      <c r="M177" s="142">
        <f t="shared" si="38"/>
        <v>0</v>
      </c>
      <c r="O177" s="143">
        <f t="shared" si="34"/>
        <v>291986</v>
      </c>
    </row>
    <row r="178" spans="1:15">
      <c r="A178" s="30"/>
      <c r="C178" s="33" t="s">
        <v>59</v>
      </c>
      <c r="E178" s="157">
        <v>881261.16</v>
      </c>
      <c r="F178" s="145"/>
      <c r="G178" s="158">
        <v>0</v>
      </c>
      <c r="H178" s="147"/>
      <c r="I178" s="26">
        <v>3.72</v>
      </c>
      <c r="J178" s="26"/>
      <c r="K178" s="147">
        <v>32801</v>
      </c>
      <c r="M178" s="142">
        <f t="shared" si="38"/>
        <v>0</v>
      </c>
      <c r="O178" s="143">
        <f t="shared" si="34"/>
        <v>32801</v>
      </c>
    </row>
    <row r="179" spans="1:15">
      <c r="A179" s="30"/>
      <c r="C179" s="33" t="s">
        <v>60</v>
      </c>
      <c r="E179" s="157">
        <v>881262.26</v>
      </c>
      <c r="F179" s="145"/>
      <c r="G179" s="158">
        <v>0</v>
      </c>
      <c r="H179" s="147"/>
      <c r="I179" s="26">
        <v>3.65</v>
      </c>
      <c r="J179" s="26"/>
      <c r="K179" s="147">
        <v>32191</v>
      </c>
      <c r="M179" s="142">
        <f t="shared" si="38"/>
        <v>0</v>
      </c>
      <c r="O179" s="143">
        <f t="shared" si="34"/>
        <v>32191</v>
      </c>
    </row>
    <row r="180" spans="1:15">
      <c r="A180" s="30"/>
      <c r="C180" s="33" t="s">
        <v>61</v>
      </c>
      <c r="E180" s="157">
        <v>881262.26</v>
      </c>
      <c r="F180" s="145"/>
      <c r="G180" s="158">
        <v>0</v>
      </c>
      <c r="H180" s="147"/>
      <c r="I180" s="26">
        <v>3.82</v>
      </c>
      <c r="J180" s="26"/>
      <c r="K180" s="147">
        <v>33684</v>
      </c>
      <c r="M180" s="142">
        <f t="shared" si="38"/>
        <v>0</v>
      </c>
      <c r="O180" s="143">
        <f t="shared" si="34"/>
        <v>33684</v>
      </c>
    </row>
    <row r="181" spans="1:15">
      <c r="A181" s="30"/>
      <c r="C181" s="33" t="s">
        <v>62</v>
      </c>
      <c r="E181" s="157">
        <v>993996.86</v>
      </c>
      <c r="F181" s="145"/>
      <c r="G181" s="158">
        <v>0</v>
      </c>
      <c r="H181" s="147"/>
      <c r="I181" s="26">
        <v>3.42</v>
      </c>
      <c r="J181" s="26"/>
      <c r="K181" s="147">
        <v>34021</v>
      </c>
      <c r="M181" s="142">
        <f t="shared" si="38"/>
        <v>0</v>
      </c>
      <c r="O181" s="143">
        <f t="shared" si="34"/>
        <v>34021</v>
      </c>
    </row>
    <row r="182" spans="1:15">
      <c r="A182" s="30"/>
      <c r="C182" s="33" t="s">
        <v>63</v>
      </c>
      <c r="E182" s="157">
        <v>993996.86</v>
      </c>
      <c r="F182" s="145"/>
      <c r="G182" s="158">
        <v>0</v>
      </c>
      <c r="H182" s="147"/>
      <c r="I182" s="26">
        <v>3.43</v>
      </c>
      <c r="J182" s="26"/>
      <c r="K182" s="147">
        <v>34088</v>
      </c>
      <c r="M182" s="142">
        <f t="shared" si="38"/>
        <v>0</v>
      </c>
      <c r="O182" s="143">
        <f t="shared" si="34"/>
        <v>34088</v>
      </c>
    </row>
    <row r="183" spans="1:15">
      <c r="A183" s="30"/>
      <c r="C183" s="33" t="s">
        <v>64</v>
      </c>
      <c r="E183" s="157">
        <v>1251472.92</v>
      </c>
      <c r="F183" s="145"/>
      <c r="G183" s="158">
        <v>0</v>
      </c>
      <c r="H183" s="147"/>
      <c r="I183" s="26">
        <v>3.3</v>
      </c>
      <c r="J183" s="26"/>
      <c r="K183" s="147">
        <v>41265</v>
      </c>
      <c r="M183" s="142">
        <f t="shared" si="38"/>
        <v>0</v>
      </c>
      <c r="O183" s="143">
        <f t="shared" si="34"/>
        <v>41265</v>
      </c>
    </row>
    <row r="184" spans="1:15">
      <c r="A184" s="30"/>
      <c r="C184" s="33" t="s">
        <v>65</v>
      </c>
      <c r="E184" s="157">
        <v>1220275.5900000001</v>
      </c>
      <c r="F184" s="145"/>
      <c r="G184" s="158">
        <v>0</v>
      </c>
      <c r="H184" s="147"/>
      <c r="I184" s="26">
        <v>3.29</v>
      </c>
      <c r="J184" s="26"/>
      <c r="K184" s="147">
        <v>40182</v>
      </c>
      <c r="M184" s="142">
        <f t="shared" si="38"/>
        <v>0</v>
      </c>
      <c r="O184" s="143">
        <f t="shared" si="34"/>
        <v>40182</v>
      </c>
    </row>
    <row r="185" spans="1:15">
      <c r="A185" s="30"/>
      <c r="C185" s="33" t="s">
        <v>66</v>
      </c>
      <c r="E185" s="157">
        <v>11825999.57</v>
      </c>
      <c r="F185" s="145"/>
      <c r="G185" s="158">
        <v>0</v>
      </c>
      <c r="H185" s="147"/>
      <c r="I185" s="26">
        <v>3.4</v>
      </c>
      <c r="J185" s="26"/>
      <c r="K185" s="147">
        <v>402367</v>
      </c>
      <c r="M185" s="142">
        <f t="shared" si="38"/>
        <v>0</v>
      </c>
      <c r="O185" s="143">
        <f t="shared" si="34"/>
        <v>402367</v>
      </c>
    </row>
    <row r="186" spans="1:15">
      <c r="A186" s="30"/>
      <c r="C186" s="33" t="s">
        <v>67</v>
      </c>
      <c r="E186" s="157">
        <v>2021825.43</v>
      </c>
      <c r="F186" s="145"/>
      <c r="G186" s="158">
        <v>0</v>
      </c>
      <c r="H186" s="147"/>
      <c r="I186" s="26">
        <v>3.07</v>
      </c>
      <c r="J186" s="26"/>
      <c r="K186" s="147">
        <v>62122</v>
      </c>
      <c r="M186" s="142">
        <f t="shared" si="38"/>
        <v>0</v>
      </c>
      <c r="O186" s="143">
        <f t="shared" si="34"/>
        <v>62122</v>
      </c>
    </row>
    <row r="187" spans="1:15">
      <c r="A187" s="30"/>
      <c r="C187" s="33" t="s">
        <v>68</v>
      </c>
      <c r="E187" s="157">
        <v>344891.29</v>
      </c>
      <c r="F187" s="145"/>
      <c r="G187" s="158">
        <v>0</v>
      </c>
      <c r="H187" s="147"/>
      <c r="I187" s="26">
        <v>4.8099999999999996</v>
      </c>
      <c r="J187" s="26"/>
      <c r="K187" s="147">
        <v>16584</v>
      </c>
      <c r="M187" s="142">
        <f t="shared" si="38"/>
        <v>0</v>
      </c>
      <c r="O187" s="143">
        <f t="shared" si="34"/>
        <v>16584</v>
      </c>
    </row>
    <row r="188" spans="1:15">
      <c r="A188" s="30"/>
      <c r="C188" s="33" t="s">
        <v>70</v>
      </c>
      <c r="E188" s="157">
        <v>380225.22</v>
      </c>
      <c r="F188" s="145"/>
      <c r="G188" s="158">
        <v>0</v>
      </c>
      <c r="H188" s="147"/>
      <c r="I188" s="26">
        <v>4.9000000000000004</v>
      </c>
      <c r="J188" s="26"/>
      <c r="K188" s="147">
        <v>18622</v>
      </c>
      <c r="M188" s="142">
        <f t="shared" si="38"/>
        <v>0</v>
      </c>
      <c r="O188" s="143">
        <f t="shared" si="34"/>
        <v>18622</v>
      </c>
    </row>
    <row r="189" spans="1:15">
      <c r="A189" s="30"/>
      <c r="C189" s="33" t="s">
        <v>71</v>
      </c>
      <c r="E189" s="157">
        <v>452676.95</v>
      </c>
      <c r="F189" s="145"/>
      <c r="G189" s="158">
        <v>0</v>
      </c>
      <c r="H189" s="147"/>
      <c r="I189" s="26">
        <v>4.34</v>
      </c>
      <c r="J189" s="26"/>
      <c r="K189" s="147">
        <v>19654</v>
      </c>
      <c r="M189" s="142">
        <f t="shared" si="38"/>
        <v>0</v>
      </c>
      <c r="O189" s="143">
        <f t="shared" si="34"/>
        <v>19654</v>
      </c>
    </row>
    <row r="190" spans="1:15">
      <c r="A190" s="30"/>
      <c r="C190" s="33" t="s">
        <v>72</v>
      </c>
      <c r="E190" s="157">
        <v>406784.25</v>
      </c>
      <c r="F190" s="145"/>
      <c r="G190" s="158">
        <v>0</v>
      </c>
      <c r="H190" s="147"/>
      <c r="I190" s="26">
        <v>4.22</v>
      </c>
      <c r="J190" s="26"/>
      <c r="K190" s="147">
        <v>17158</v>
      </c>
      <c r="M190" s="142">
        <f t="shared" si="38"/>
        <v>0</v>
      </c>
      <c r="O190" s="143">
        <f t="shared" si="34"/>
        <v>17158</v>
      </c>
    </row>
    <row r="191" spans="1:15">
      <c r="A191" s="30"/>
      <c r="C191" s="33" t="s">
        <v>73</v>
      </c>
      <c r="E191" s="157">
        <v>3028262.11</v>
      </c>
      <c r="F191" s="145"/>
      <c r="G191" s="158">
        <v>0</v>
      </c>
      <c r="H191" s="147"/>
      <c r="I191" s="26">
        <v>3.77</v>
      </c>
      <c r="J191" s="26"/>
      <c r="K191" s="147">
        <v>114142</v>
      </c>
      <c r="M191" s="142">
        <f t="shared" si="38"/>
        <v>0</v>
      </c>
      <c r="O191" s="143">
        <f t="shared" si="34"/>
        <v>114142</v>
      </c>
    </row>
    <row r="192" spans="1:15">
      <c r="A192" s="30"/>
      <c r="C192" s="33" t="s">
        <v>74</v>
      </c>
      <c r="E192" s="157">
        <v>386034.41</v>
      </c>
      <c r="F192" s="145"/>
      <c r="G192" s="158">
        <v>0</v>
      </c>
      <c r="H192" s="147"/>
      <c r="I192" s="26">
        <v>3.23</v>
      </c>
      <c r="J192" s="26"/>
      <c r="K192" s="147">
        <v>12457</v>
      </c>
      <c r="M192" s="142">
        <f t="shared" si="38"/>
        <v>0</v>
      </c>
      <c r="O192" s="143">
        <f t="shared" si="34"/>
        <v>12457</v>
      </c>
    </row>
    <row r="193" spans="1:15">
      <c r="A193" s="30"/>
      <c r="C193" s="33" t="s">
        <v>75</v>
      </c>
      <c r="E193" s="157">
        <v>386034.41</v>
      </c>
      <c r="F193" s="145"/>
      <c r="G193" s="158">
        <v>0</v>
      </c>
      <c r="H193" s="147"/>
      <c r="I193" s="26">
        <v>2.86</v>
      </c>
      <c r="J193" s="26"/>
      <c r="K193" s="147">
        <v>11037</v>
      </c>
      <c r="M193" s="142">
        <f t="shared" si="38"/>
        <v>0</v>
      </c>
      <c r="O193" s="143">
        <f t="shared" si="34"/>
        <v>11037</v>
      </c>
    </row>
    <row r="194" spans="1:15">
      <c r="A194" s="30"/>
      <c r="C194" s="33" t="s">
        <v>76</v>
      </c>
      <c r="E194" s="157">
        <v>386034.41</v>
      </c>
      <c r="F194" s="145"/>
      <c r="G194" s="158">
        <v>0</v>
      </c>
      <c r="H194" s="147"/>
      <c r="I194" s="26">
        <v>2.5099999999999998</v>
      </c>
      <c r="J194" s="26"/>
      <c r="K194" s="147">
        <v>9676</v>
      </c>
      <c r="M194" s="142">
        <f t="shared" si="38"/>
        <v>0</v>
      </c>
      <c r="O194" s="143">
        <f t="shared" si="34"/>
        <v>9676</v>
      </c>
    </row>
    <row r="195" spans="1:15">
      <c r="A195" s="30"/>
      <c r="C195" s="33" t="s">
        <v>77</v>
      </c>
      <c r="E195" s="144">
        <v>779800</v>
      </c>
      <c r="F195" s="145"/>
      <c r="G195" s="146">
        <v>0</v>
      </c>
      <c r="H195" s="147"/>
      <c r="I195" s="26">
        <v>3.48</v>
      </c>
      <c r="J195" s="26"/>
      <c r="K195" s="148">
        <v>27155</v>
      </c>
      <c r="M195" s="149">
        <f t="shared" si="38"/>
        <v>0</v>
      </c>
      <c r="O195" s="150">
        <f t="shared" si="34"/>
        <v>27155</v>
      </c>
    </row>
    <row r="196" spans="1:15">
      <c r="A196" s="30"/>
      <c r="E196" s="157"/>
      <c r="F196" s="145"/>
      <c r="G196" s="158"/>
      <c r="H196" s="147"/>
      <c r="I196" s="26"/>
      <c r="J196" s="26"/>
      <c r="K196" s="147"/>
      <c r="M196" s="142"/>
      <c r="O196" s="143"/>
    </row>
    <row r="197" spans="1:15">
      <c r="A197" s="30"/>
      <c r="C197" s="13" t="s">
        <v>53</v>
      </c>
      <c r="E197" s="157">
        <f>SUBTOTAL(9,E177:E196)</f>
        <v>37408940.18999999</v>
      </c>
      <c r="F197" s="145"/>
      <c r="G197" s="158">
        <f t="shared" ref="G197" si="42">SUBTOTAL(9,G177:G196)</f>
        <v>0</v>
      </c>
      <c r="H197" s="147"/>
      <c r="I197" s="26">
        <f>+ROUND(K197/E197*100,2)</f>
        <v>3.34</v>
      </c>
      <c r="J197" s="26"/>
      <c r="K197" s="147">
        <f>SUBTOTAL(9,K177:K196)</f>
        <v>1251192</v>
      </c>
      <c r="M197" s="160">
        <f t="shared" ref="M197" si="43">SUBTOTAL(9,M177:M196)</f>
        <v>0</v>
      </c>
      <c r="O197" s="147">
        <f t="shared" ref="O197" si="44">SUBTOTAL(9,O177:O196)</f>
        <v>1251192</v>
      </c>
    </row>
    <row r="198" spans="1:15">
      <c r="A198" s="30"/>
      <c r="E198" s="157"/>
      <c r="F198" s="145"/>
      <c r="G198" s="158"/>
      <c r="H198" s="147"/>
      <c r="I198" s="26"/>
      <c r="J198" s="26"/>
      <c r="K198" s="147"/>
      <c r="M198" s="142"/>
      <c r="O198" s="143"/>
    </row>
    <row r="199" spans="1:15">
      <c r="A199" s="30">
        <v>346</v>
      </c>
      <c r="C199" s="13" t="s">
        <v>54</v>
      </c>
      <c r="G199" s="156"/>
      <c r="I199" s="26"/>
      <c r="J199" s="26"/>
      <c r="M199" s="142"/>
      <c r="O199" s="143"/>
    </row>
    <row r="200" spans="1:15">
      <c r="A200" s="30"/>
      <c r="C200" s="33" t="s">
        <v>58</v>
      </c>
      <c r="E200" s="157">
        <v>15806989.609999999</v>
      </c>
      <c r="F200" s="145"/>
      <c r="G200" s="158">
        <v>0</v>
      </c>
      <c r="H200" s="147"/>
      <c r="I200" s="26">
        <v>3.03</v>
      </c>
      <c r="J200" s="26"/>
      <c r="K200" s="147">
        <v>479639</v>
      </c>
      <c r="M200" s="142">
        <f t="shared" si="38"/>
        <v>0</v>
      </c>
      <c r="O200" s="143">
        <f t="shared" si="34"/>
        <v>479639</v>
      </c>
    </row>
    <row r="201" spans="1:15">
      <c r="A201" s="30"/>
      <c r="C201" s="33" t="s">
        <v>61</v>
      </c>
      <c r="E201" s="157">
        <v>35097.11</v>
      </c>
      <c r="F201" s="145"/>
      <c r="G201" s="158">
        <v>0</v>
      </c>
      <c r="H201" s="147"/>
      <c r="I201" s="26">
        <v>7.15</v>
      </c>
      <c r="J201" s="26"/>
      <c r="K201" s="147">
        <v>2511</v>
      </c>
      <c r="M201" s="142">
        <f t="shared" si="38"/>
        <v>0</v>
      </c>
      <c r="O201" s="143">
        <f t="shared" si="34"/>
        <v>2511</v>
      </c>
    </row>
    <row r="202" spans="1:15">
      <c r="A202" s="30"/>
      <c r="C202" s="33" t="s">
        <v>68</v>
      </c>
      <c r="E202" s="157">
        <v>104001.15</v>
      </c>
      <c r="F202" s="145"/>
      <c r="G202" s="158">
        <v>0</v>
      </c>
      <c r="H202" s="147"/>
      <c r="I202" s="26">
        <v>4.8600000000000003</v>
      </c>
      <c r="J202" s="26"/>
      <c r="K202" s="147">
        <v>5051</v>
      </c>
      <c r="M202" s="142">
        <f t="shared" si="38"/>
        <v>0</v>
      </c>
      <c r="O202" s="143">
        <f t="shared" si="34"/>
        <v>5051</v>
      </c>
    </row>
    <row r="203" spans="1:15">
      <c r="A203" s="30"/>
      <c r="C203" s="33" t="s">
        <v>69</v>
      </c>
      <c r="E203" s="157">
        <v>64992.35</v>
      </c>
      <c r="F203" s="145"/>
      <c r="G203" s="158">
        <v>0</v>
      </c>
      <c r="H203" s="147"/>
      <c r="I203" s="26">
        <v>43.62</v>
      </c>
      <c r="J203" s="26"/>
      <c r="K203" s="147">
        <v>28352</v>
      </c>
      <c r="M203" s="142">
        <f t="shared" si="38"/>
        <v>0</v>
      </c>
      <c r="O203" s="143">
        <f t="shared" si="34"/>
        <v>28352</v>
      </c>
    </row>
    <row r="204" spans="1:15">
      <c r="A204" s="30"/>
      <c r="C204" s="33" t="s">
        <v>70</v>
      </c>
      <c r="E204" s="157">
        <v>60998.54</v>
      </c>
      <c r="F204" s="145"/>
      <c r="G204" s="158">
        <v>0</v>
      </c>
      <c r="H204" s="147"/>
      <c r="I204" s="26">
        <v>4.6900000000000004</v>
      </c>
      <c r="J204" s="26"/>
      <c r="K204" s="147">
        <v>2863</v>
      </c>
      <c r="M204" s="142">
        <f t="shared" si="38"/>
        <v>0</v>
      </c>
      <c r="O204" s="143">
        <f t="shared" si="34"/>
        <v>2863</v>
      </c>
    </row>
    <row r="205" spans="1:15">
      <c r="A205" s="30"/>
      <c r="C205" s="33" t="s">
        <v>71</v>
      </c>
      <c r="E205" s="157">
        <v>494973.87</v>
      </c>
      <c r="F205" s="145"/>
      <c r="G205" s="158">
        <v>0</v>
      </c>
      <c r="H205" s="147"/>
      <c r="I205" s="26">
        <v>5.5</v>
      </c>
      <c r="J205" s="26"/>
      <c r="K205" s="147">
        <v>27202</v>
      </c>
      <c r="M205" s="142">
        <f t="shared" si="38"/>
        <v>0</v>
      </c>
      <c r="O205" s="143">
        <f t="shared" si="34"/>
        <v>27202</v>
      </c>
    </row>
    <row r="206" spans="1:15">
      <c r="A206" s="30"/>
      <c r="C206" s="33" t="s">
        <v>72</v>
      </c>
      <c r="E206" s="157">
        <v>50361.67</v>
      </c>
      <c r="F206" s="145"/>
      <c r="G206" s="158">
        <v>0</v>
      </c>
      <c r="H206" s="147"/>
      <c r="I206" s="26">
        <v>4.08</v>
      </c>
      <c r="J206" s="26"/>
      <c r="K206" s="147">
        <v>2055</v>
      </c>
      <c r="M206" s="142">
        <f t="shared" si="38"/>
        <v>0</v>
      </c>
      <c r="O206" s="143">
        <f t="shared" si="34"/>
        <v>2055</v>
      </c>
    </row>
    <row r="207" spans="1:15">
      <c r="A207" s="30"/>
      <c r="C207" s="33" t="s">
        <v>73</v>
      </c>
      <c r="E207" s="144">
        <v>245217.08</v>
      </c>
      <c r="F207" s="145"/>
      <c r="G207" s="146">
        <v>0</v>
      </c>
      <c r="H207" s="147"/>
      <c r="I207" s="26">
        <v>3.92</v>
      </c>
      <c r="J207" s="26"/>
      <c r="K207" s="148">
        <v>9603</v>
      </c>
      <c r="M207" s="149">
        <f t="shared" si="38"/>
        <v>0</v>
      </c>
      <c r="O207" s="150">
        <f t="shared" si="34"/>
        <v>9603</v>
      </c>
    </row>
    <row r="208" spans="1:15">
      <c r="A208" s="30"/>
      <c r="E208" s="157"/>
      <c r="F208" s="145"/>
      <c r="G208" s="158"/>
      <c r="H208" s="147"/>
      <c r="I208" s="26"/>
      <c r="J208" s="26"/>
      <c r="K208" s="147"/>
      <c r="M208" s="142"/>
      <c r="O208" s="143"/>
    </row>
    <row r="209" spans="1:15">
      <c r="A209" s="30"/>
      <c r="C209" s="13" t="s">
        <v>55</v>
      </c>
      <c r="E209" s="144">
        <f>SUBTOTAL(9,E200:E208)</f>
        <v>16862631.379999995</v>
      </c>
      <c r="F209" s="145"/>
      <c r="G209" s="146">
        <f t="shared" ref="G209" si="45">SUBTOTAL(9,G200:G208)</f>
        <v>0</v>
      </c>
      <c r="H209" s="147"/>
      <c r="I209" s="26">
        <f>+ROUND(K209/E209*100,2)</f>
        <v>3.3</v>
      </c>
      <c r="J209" s="26"/>
      <c r="K209" s="148">
        <f>SUBTOTAL(9,K200:K208)</f>
        <v>557276</v>
      </c>
      <c r="M209" s="162">
        <f t="shared" ref="M209" si="46">SUBTOTAL(9,M200:M208)</f>
        <v>0</v>
      </c>
      <c r="O209" s="148">
        <f t="shared" ref="O209" si="47">SUBTOTAL(9,O200:O208)</f>
        <v>557276</v>
      </c>
    </row>
    <row r="210" spans="1:15" ht="15.75">
      <c r="C210" s="18"/>
      <c r="E210" s="157"/>
      <c r="F210" s="145"/>
      <c r="G210" s="158"/>
      <c r="H210" s="147"/>
      <c r="I210" s="26"/>
      <c r="J210" s="26"/>
      <c r="K210" s="147"/>
      <c r="M210" s="142"/>
      <c r="O210" s="143"/>
    </row>
    <row r="211" spans="1:15" ht="15.75">
      <c r="A211" s="30"/>
      <c r="C211" s="31" t="s">
        <v>85</v>
      </c>
      <c r="E211" s="151">
        <f>SUBTOTAL(9,E97:E210)</f>
        <v>659783698.71000016</v>
      </c>
      <c r="F211" s="22"/>
      <c r="G211" s="164">
        <f t="shared" ref="G211" si="48">SUBTOTAL(9,G97:G210)</f>
        <v>0</v>
      </c>
      <c r="H211" s="35"/>
      <c r="I211" s="23">
        <f>+ROUND(K211/E211*100,2)</f>
        <v>3.37</v>
      </c>
      <c r="J211" s="23"/>
      <c r="K211" s="35">
        <f>SUBTOTAL(9,K97:K210)</f>
        <v>22220183</v>
      </c>
      <c r="M211" s="163">
        <f t="shared" ref="M211" si="49">SUBTOTAL(9,M97:M210)</f>
        <v>0</v>
      </c>
      <c r="O211" s="35">
        <f t="shared" ref="O211" si="50">SUBTOTAL(9,O97:O210)</f>
        <v>22220183</v>
      </c>
    </row>
    <row r="212" spans="1:15">
      <c r="A212" s="30"/>
      <c r="C212" s="34"/>
      <c r="E212" s="157"/>
      <c r="G212" s="156"/>
      <c r="I212" s="26"/>
      <c r="J212" s="26"/>
      <c r="M212" s="142"/>
      <c r="O212" s="143"/>
    </row>
    <row r="213" spans="1:15" ht="15.75">
      <c r="A213" s="30"/>
      <c r="C213" s="18" t="s">
        <v>86</v>
      </c>
      <c r="E213" s="157"/>
      <c r="G213" s="156"/>
      <c r="I213" s="26"/>
      <c r="J213" s="26"/>
      <c r="M213" s="142"/>
      <c r="O213" s="143"/>
    </row>
    <row r="214" spans="1:15" ht="15.75">
      <c r="A214" s="30"/>
      <c r="C214" s="25"/>
      <c r="E214" s="157"/>
      <c r="G214" s="156"/>
      <c r="I214" s="26"/>
      <c r="J214" s="26"/>
      <c r="M214" s="142"/>
      <c r="O214" s="143"/>
    </row>
    <row r="215" spans="1:15">
      <c r="A215" s="30">
        <v>353</v>
      </c>
      <c r="C215" s="13" t="s">
        <v>87</v>
      </c>
      <c r="E215" s="157">
        <v>309555391</v>
      </c>
      <c r="F215" s="145"/>
      <c r="G215" s="158">
        <f>18347740.69+9803586.81</f>
        <v>28151327.5</v>
      </c>
      <c r="H215" s="147"/>
      <c r="I215" s="26">
        <v>2.85</v>
      </c>
      <c r="J215" s="26"/>
      <c r="K215" s="147">
        <v>8829790</v>
      </c>
      <c r="M215" s="142">
        <f t="shared" ref="M215:M243" si="51">ROUND(G215*(I215/100),0)</f>
        <v>802313</v>
      </c>
      <c r="O215" s="143">
        <f t="shared" ref="O215:O243" si="52">K215-M215</f>
        <v>8027477</v>
      </c>
    </row>
    <row r="216" spans="1:15">
      <c r="A216" s="30">
        <v>353.1</v>
      </c>
      <c r="C216" s="13" t="s">
        <v>88</v>
      </c>
      <c r="E216" s="157">
        <v>9834245.3499999996</v>
      </c>
      <c r="F216" s="145"/>
      <c r="G216" s="158">
        <v>0</v>
      </c>
      <c r="H216" s="147"/>
      <c r="I216" s="26">
        <v>13.14</v>
      </c>
      <c r="J216" s="26"/>
      <c r="K216" s="147">
        <v>1292108</v>
      </c>
      <c r="M216" s="142">
        <f t="shared" si="51"/>
        <v>0</v>
      </c>
      <c r="O216" s="143">
        <f t="shared" si="52"/>
        <v>1292108</v>
      </c>
    </row>
    <row r="217" spans="1:15">
      <c r="A217" s="30">
        <v>354</v>
      </c>
      <c r="C217" s="13" t="s">
        <v>89</v>
      </c>
      <c r="E217" s="157">
        <v>3853520.91</v>
      </c>
      <c r="F217" s="145"/>
      <c r="G217" s="158">
        <v>0</v>
      </c>
      <c r="H217" s="147"/>
      <c r="I217" s="26">
        <v>1.87</v>
      </c>
      <c r="J217" s="26"/>
      <c r="K217" s="147">
        <v>72129</v>
      </c>
      <c r="M217" s="142">
        <f t="shared" si="51"/>
        <v>0</v>
      </c>
      <c r="O217" s="143">
        <f t="shared" si="52"/>
        <v>72129</v>
      </c>
    </row>
    <row r="218" spans="1:15">
      <c r="A218" s="30">
        <v>355</v>
      </c>
      <c r="C218" s="13" t="s">
        <v>90</v>
      </c>
      <c r="E218" s="157">
        <v>240192196.53</v>
      </c>
      <c r="F218" s="145"/>
      <c r="G218" s="158">
        <v>0</v>
      </c>
      <c r="H218" s="147"/>
      <c r="I218" s="26">
        <v>3.24</v>
      </c>
      <c r="J218" s="26"/>
      <c r="K218" s="147">
        <v>7790779</v>
      </c>
      <c r="M218" s="142">
        <f t="shared" si="51"/>
        <v>0</v>
      </c>
      <c r="O218" s="143">
        <f t="shared" si="52"/>
        <v>7790779</v>
      </c>
    </row>
    <row r="219" spans="1:15">
      <c r="A219" s="30">
        <v>356</v>
      </c>
      <c r="C219" s="13" t="s">
        <v>91</v>
      </c>
      <c r="E219" s="157">
        <v>141259051.86000001</v>
      </c>
      <c r="F219" s="145"/>
      <c r="G219" s="158">
        <v>0</v>
      </c>
      <c r="H219" s="147"/>
      <c r="I219" s="26">
        <v>3.62</v>
      </c>
      <c r="J219" s="26"/>
      <c r="K219" s="147">
        <v>5110882</v>
      </c>
      <c r="M219" s="142">
        <f t="shared" si="51"/>
        <v>0</v>
      </c>
      <c r="O219" s="143">
        <f t="shared" si="52"/>
        <v>5110882</v>
      </c>
    </row>
    <row r="220" spans="1:15">
      <c r="A220" s="30">
        <v>359</v>
      </c>
      <c r="C220" s="13" t="s">
        <v>92</v>
      </c>
      <c r="E220" s="157">
        <v>22927.11</v>
      </c>
      <c r="F220" s="145"/>
      <c r="G220" s="146">
        <v>0</v>
      </c>
      <c r="H220" s="147"/>
      <c r="I220" s="26">
        <v>2.4300000000000002</v>
      </c>
      <c r="J220" s="26"/>
      <c r="K220" s="147">
        <v>557</v>
      </c>
      <c r="M220" s="149">
        <f t="shared" si="51"/>
        <v>0</v>
      </c>
      <c r="O220" s="150">
        <f t="shared" si="52"/>
        <v>557</v>
      </c>
    </row>
    <row r="221" spans="1:15">
      <c r="A221" s="30"/>
      <c r="E221" s="165"/>
      <c r="G221" s="156"/>
      <c r="I221" s="26"/>
      <c r="J221" s="26"/>
      <c r="K221" s="32"/>
      <c r="M221" s="142"/>
      <c r="O221" s="143"/>
    </row>
    <row r="222" spans="1:15" ht="15.75">
      <c r="A222" s="30"/>
      <c r="C222" s="31" t="s">
        <v>93</v>
      </c>
      <c r="E222" s="151">
        <f>SUBTOTAL(9,E215:E221)</f>
        <v>704717332.76000011</v>
      </c>
      <c r="F222" s="22"/>
      <c r="G222" s="153">
        <f t="shared" ref="G222" si="53">SUBTOTAL(9,G215:G221)</f>
        <v>28151327.5</v>
      </c>
      <c r="H222" s="35"/>
      <c r="I222" s="23">
        <f>+ROUND(K222/E222*100,2)</f>
        <v>3.28</v>
      </c>
      <c r="J222" s="23"/>
      <c r="K222" s="35">
        <f>SUBTOTAL(9,K215:K221)</f>
        <v>23096245</v>
      </c>
      <c r="M222" s="163">
        <f t="shared" ref="M222" si="54">SUBTOTAL(9,M215:M221)</f>
        <v>802313</v>
      </c>
      <c r="O222" s="35">
        <f t="shared" ref="O222" si="55">SUBTOTAL(9,O215:O221)</f>
        <v>22293932</v>
      </c>
    </row>
    <row r="223" spans="1:15">
      <c r="A223" s="30"/>
      <c r="E223" s="157"/>
      <c r="G223" s="156"/>
      <c r="I223" s="26"/>
      <c r="J223" s="26"/>
      <c r="M223" s="142"/>
      <c r="O223" s="143"/>
    </row>
    <row r="224" spans="1:15" ht="15.75">
      <c r="A224" s="30"/>
      <c r="C224" s="18" t="s">
        <v>94</v>
      </c>
      <c r="E224" s="157"/>
      <c r="G224" s="156"/>
      <c r="I224" s="26"/>
      <c r="J224" s="26"/>
      <c r="M224" s="142"/>
      <c r="O224" s="143"/>
    </row>
    <row r="225" spans="1:15" ht="15.75">
      <c r="A225" s="30"/>
      <c r="C225" s="25"/>
      <c r="E225" s="157"/>
      <c r="G225" s="156"/>
      <c r="I225" s="26"/>
      <c r="J225" s="26"/>
      <c r="M225" s="142"/>
      <c r="O225" s="143"/>
    </row>
    <row r="226" spans="1:15">
      <c r="A226" s="30">
        <v>362</v>
      </c>
      <c r="C226" s="13" t="s">
        <v>87</v>
      </c>
      <c r="E226" s="157">
        <v>325863839.04000002</v>
      </c>
      <c r="F226" s="145"/>
      <c r="G226" s="158">
        <v>0</v>
      </c>
      <c r="H226" s="147"/>
      <c r="I226" s="26">
        <v>2.58</v>
      </c>
      <c r="J226" s="26"/>
      <c r="K226" s="147">
        <v>8410892</v>
      </c>
      <c r="M226" s="142">
        <f t="shared" si="51"/>
        <v>0</v>
      </c>
      <c r="O226" s="143">
        <f t="shared" si="52"/>
        <v>8410892</v>
      </c>
    </row>
    <row r="227" spans="1:15">
      <c r="A227" s="30">
        <v>362.1</v>
      </c>
      <c r="C227" s="13" t="s">
        <v>95</v>
      </c>
      <c r="E227" s="157">
        <v>7799614.71</v>
      </c>
      <c r="F227" s="145"/>
      <c r="G227" s="158">
        <v>0</v>
      </c>
      <c r="H227" s="147"/>
      <c r="I227" s="26">
        <v>1.92</v>
      </c>
      <c r="J227" s="26"/>
      <c r="K227" s="147">
        <v>149696</v>
      </c>
      <c r="M227" s="142">
        <f t="shared" si="51"/>
        <v>0</v>
      </c>
      <c r="O227" s="143">
        <f t="shared" si="52"/>
        <v>149696</v>
      </c>
    </row>
    <row r="228" spans="1:15">
      <c r="A228" s="30">
        <v>368</v>
      </c>
      <c r="C228" s="13" t="s">
        <v>96</v>
      </c>
      <c r="E228" s="157">
        <v>2409681</v>
      </c>
      <c r="F228" s="145"/>
      <c r="G228" s="146">
        <v>0</v>
      </c>
      <c r="H228" s="147"/>
      <c r="I228" s="26">
        <v>1.08</v>
      </c>
      <c r="J228" s="26"/>
      <c r="K228" s="147">
        <v>26019</v>
      </c>
      <c r="M228" s="149">
        <f t="shared" si="51"/>
        <v>0</v>
      </c>
      <c r="O228" s="150">
        <f t="shared" si="52"/>
        <v>26019</v>
      </c>
    </row>
    <row r="229" spans="1:15">
      <c r="A229" s="30"/>
      <c r="E229" s="165"/>
      <c r="G229" s="156"/>
      <c r="I229" s="26"/>
      <c r="J229" s="26"/>
      <c r="K229" s="32"/>
      <c r="M229" s="142">
        <f t="shared" si="51"/>
        <v>0</v>
      </c>
      <c r="O229" s="143">
        <f t="shared" si="52"/>
        <v>0</v>
      </c>
    </row>
    <row r="230" spans="1:15" ht="15.75">
      <c r="A230" s="30"/>
      <c r="C230" s="31" t="s">
        <v>97</v>
      </c>
      <c r="E230" s="151">
        <f>SUBTOTAL(9,E226:E229)</f>
        <v>336073134.75</v>
      </c>
      <c r="F230" s="22"/>
      <c r="G230" s="164">
        <f t="shared" ref="G230" si="56">SUBTOTAL(9,G226:G229)</f>
        <v>0</v>
      </c>
      <c r="H230" s="35"/>
      <c r="I230" s="23">
        <f>+ROUND(K230/E230*100,2)</f>
        <v>2.5499999999999998</v>
      </c>
      <c r="J230" s="23"/>
      <c r="K230" s="35">
        <f>SUBTOTAL(9,K226:K229)</f>
        <v>8586607</v>
      </c>
      <c r="L230" s="22"/>
      <c r="M230" s="163">
        <f t="shared" ref="M230" si="57">SUBTOTAL(9,M226:M229)</f>
        <v>0</v>
      </c>
      <c r="O230" s="35">
        <f t="shared" ref="O230" si="58">SUBTOTAL(9,O226:O229)</f>
        <v>8586607</v>
      </c>
    </row>
    <row r="231" spans="1:15">
      <c r="A231" s="30"/>
      <c r="E231" s="157"/>
      <c r="G231" s="156"/>
      <c r="I231" s="26"/>
      <c r="J231" s="26"/>
      <c r="M231" s="142"/>
      <c r="O231" s="143"/>
    </row>
    <row r="232" spans="1:15" ht="15.75">
      <c r="A232" s="30"/>
      <c r="C232" s="18" t="s">
        <v>98</v>
      </c>
      <c r="E232" s="157"/>
      <c r="G232" s="156"/>
      <c r="I232" s="26"/>
      <c r="J232" s="26"/>
      <c r="M232" s="142"/>
      <c r="O232" s="143"/>
    </row>
    <row r="233" spans="1:15" ht="15.75">
      <c r="A233" s="30"/>
      <c r="C233" s="25"/>
      <c r="E233" s="157"/>
      <c r="G233" s="156"/>
      <c r="I233" s="26"/>
      <c r="J233" s="26"/>
      <c r="M233" s="142"/>
      <c r="O233" s="143"/>
    </row>
    <row r="234" spans="1:15">
      <c r="A234" s="30">
        <v>390</v>
      </c>
      <c r="C234" s="34" t="s">
        <v>99</v>
      </c>
      <c r="E234" s="157">
        <v>19910932.050000001</v>
      </c>
      <c r="F234" s="145"/>
      <c r="G234" s="158">
        <v>0</v>
      </c>
      <c r="H234" s="147"/>
      <c r="I234" s="26">
        <v>1.63</v>
      </c>
      <c r="J234" s="26"/>
      <c r="K234" s="147">
        <v>325154</v>
      </c>
      <c r="M234" s="142">
        <f t="shared" si="51"/>
        <v>0</v>
      </c>
      <c r="O234" s="143">
        <f t="shared" si="52"/>
        <v>325154</v>
      </c>
    </row>
    <row r="235" spans="1:15">
      <c r="A235" s="30">
        <v>391</v>
      </c>
      <c r="C235" s="13" t="s">
        <v>100</v>
      </c>
      <c r="E235" s="157">
        <v>13849222.77</v>
      </c>
      <c r="F235" s="145"/>
      <c r="G235" s="158">
        <v>0</v>
      </c>
      <c r="H235" s="147"/>
      <c r="I235" s="26">
        <v>5</v>
      </c>
      <c r="J235" s="26"/>
      <c r="K235" s="147">
        <v>692290</v>
      </c>
      <c r="M235" s="142">
        <f t="shared" si="51"/>
        <v>0</v>
      </c>
      <c r="O235" s="143">
        <f t="shared" si="52"/>
        <v>692290</v>
      </c>
    </row>
    <row r="236" spans="1:15">
      <c r="A236" s="30">
        <v>391.1</v>
      </c>
      <c r="C236" s="13" t="s">
        <v>101</v>
      </c>
      <c r="E236" s="157">
        <v>21265400.890000001</v>
      </c>
      <c r="F236" s="145"/>
      <c r="G236" s="158">
        <v>0</v>
      </c>
      <c r="H236" s="147"/>
      <c r="I236" s="26">
        <v>6.67</v>
      </c>
      <c r="J236" s="26"/>
      <c r="K236" s="147">
        <v>1417691</v>
      </c>
      <c r="M236" s="142">
        <f t="shared" si="51"/>
        <v>0</v>
      </c>
      <c r="O236" s="143">
        <f t="shared" si="52"/>
        <v>1417691</v>
      </c>
    </row>
    <row r="237" spans="1:15">
      <c r="A237" s="30">
        <v>392</v>
      </c>
      <c r="C237" s="13" t="s">
        <v>102</v>
      </c>
      <c r="E237" s="157">
        <v>21791109.350000001</v>
      </c>
      <c r="F237" s="145"/>
      <c r="G237" s="158">
        <v>0</v>
      </c>
      <c r="H237" s="147"/>
      <c r="I237" s="26">
        <v>8.0500000000000007</v>
      </c>
      <c r="J237" s="26"/>
      <c r="K237" s="147">
        <v>1753581</v>
      </c>
      <c r="M237" s="142">
        <f t="shared" si="51"/>
        <v>0</v>
      </c>
      <c r="O237" s="143">
        <f t="shared" si="52"/>
        <v>1753581</v>
      </c>
    </row>
    <row r="238" spans="1:15">
      <c r="A238" s="30">
        <v>393</v>
      </c>
      <c r="C238" s="34" t="s">
        <v>103</v>
      </c>
      <c r="E238" s="157">
        <v>80885.399999999994</v>
      </c>
      <c r="F238" s="145"/>
      <c r="G238" s="158">
        <v>0</v>
      </c>
      <c r="H238" s="147"/>
      <c r="I238" s="26">
        <v>4</v>
      </c>
      <c r="J238" s="26"/>
      <c r="K238" s="147">
        <v>3236</v>
      </c>
      <c r="M238" s="142">
        <f t="shared" si="51"/>
        <v>0</v>
      </c>
      <c r="O238" s="143">
        <f t="shared" si="52"/>
        <v>3236</v>
      </c>
    </row>
    <row r="239" spans="1:15">
      <c r="A239" s="30">
        <v>394</v>
      </c>
      <c r="C239" s="34" t="s">
        <v>104</v>
      </c>
      <c r="E239" s="157">
        <v>2014232.77</v>
      </c>
      <c r="F239" s="145"/>
      <c r="G239" s="158">
        <v>0</v>
      </c>
      <c r="H239" s="147"/>
      <c r="I239" s="26">
        <v>5</v>
      </c>
      <c r="J239" s="26"/>
      <c r="K239" s="147">
        <v>100716</v>
      </c>
      <c r="M239" s="142">
        <f t="shared" si="51"/>
        <v>0</v>
      </c>
      <c r="O239" s="143">
        <f t="shared" si="52"/>
        <v>100716</v>
      </c>
    </row>
    <row r="240" spans="1:15">
      <c r="A240" s="30">
        <v>395</v>
      </c>
      <c r="C240" s="34" t="s">
        <v>105</v>
      </c>
      <c r="E240" s="157">
        <v>4366162.6500000004</v>
      </c>
      <c r="F240" s="145"/>
      <c r="G240" s="158">
        <v>0</v>
      </c>
      <c r="H240" s="147"/>
      <c r="I240" s="26">
        <v>5</v>
      </c>
      <c r="J240" s="26"/>
      <c r="K240" s="147">
        <v>218492</v>
      </c>
      <c r="M240" s="142">
        <f t="shared" si="51"/>
        <v>0</v>
      </c>
      <c r="O240" s="143">
        <f t="shared" si="52"/>
        <v>218492</v>
      </c>
    </row>
    <row r="241" spans="1:15">
      <c r="A241" s="30">
        <v>396</v>
      </c>
      <c r="C241" s="13" t="s">
        <v>106</v>
      </c>
      <c r="E241" s="157">
        <v>24030802.09</v>
      </c>
      <c r="F241" s="145"/>
      <c r="G241" s="158">
        <v>0</v>
      </c>
      <c r="H241" s="147"/>
      <c r="I241" s="26">
        <v>4.83</v>
      </c>
      <c r="J241" s="26"/>
      <c r="K241" s="147">
        <v>1159617</v>
      </c>
      <c r="M241" s="142">
        <f t="shared" si="51"/>
        <v>0</v>
      </c>
      <c r="O241" s="143">
        <f t="shared" si="52"/>
        <v>1159617</v>
      </c>
    </row>
    <row r="242" spans="1:15">
      <c r="A242" s="30">
        <v>397</v>
      </c>
      <c r="C242" s="13" t="s">
        <v>107</v>
      </c>
      <c r="E242" s="157">
        <v>22301164.09</v>
      </c>
      <c r="F242" s="145"/>
      <c r="G242" s="158">
        <v>0</v>
      </c>
      <c r="H242" s="147"/>
      <c r="I242" s="26">
        <v>6.67</v>
      </c>
      <c r="J242" s="26"/>
      <c r="K242" s="147">
        <v>1487391</v>
      </c>
      <c r="M242" s="142">
        <f t="shared" si="51"/>
        <v>0</v>
      </c>
      <c r="O242" s="143">
        <f t="shared" si="52"/>
        <v>1487391</v>
      </c>
    </row>
    <row r="243" spans="1:15">
      <c r="A243" s="30">
        <v>398</v>
      </c>
      <c r="C243" s="13" t="s">
        <v>108</v>
      </c>
      <c r="E243" s="157">
        <v>2513134.77</v>
      </c>
      <c r="F243" s="145"/>
      <c r="G243" s="146">
        <v>0</v>
      </c>
      <c r="H243" s="147"/>
      <c r="I243" s="26">
        <v>5</v>
      </c>
      <c r="J243" s="26"/>
      <c r="K243" s="147">
        <v>125661</v>
      </c>
      <c r="M243" s="149">
        <f t="shared" si="51"/>
        <v>0</v>
      </c>
      <c r="O243" s="150">
        <f t="shared" si="52"/>
        <v>125661</v>
      </c>
    </row>
    <row r="244" spans="1:15">
      <c r="A244" s="30"/>
      <c r="E244" s="165"/>
      <c r="G244" s="156"/>
      <c r="I244" s="26"/>
      <c r="J244" s="26"/>
      <c r="K244" s="166"/>
      <c r="M244" s="142"/>
      <c r="O244" s="143"/>
    </row>
    <row r="245" spans="1:15" ht="15.75">
      <c r="C245" s="31" t="s">
        <v>109</v>
      </c>
      <c r="E245" s="151">
        <f>SUBTOTAL(9,E234:E244)</f>
        <v>132123046.83000001</v>
      </c>
      <c r="F245" s="22"/>
      <c r="G245" s="164">
        <f t="shared" ref="G245" si="59">SUBTOTAL(9,G234:G244)</f>
        <v>0</v>
      </c>
      <c r="H245" s="35"/>
      <c r="I245" s="23">
        <f>+ROUND(K245/E245*100,2)</f>
        <v>5.51</v>
      </c>
      <c r="J245" s="23"/>
      <c r="K245" s="35">
        <f>SUBTOTAL(9,K234:K244)</f>
        <v>7283829</v>
      </c>
      <c r="L245" s="22"/>
      <c r="M245" s="163">
        <f t="shared" ref="M245" si="60">SUBTOTAL(9,M234:M244)</f>
        <v>0</v>
      </c>
      <c r="O245" s="35">
        <f t="shared" ref="O245" si="61">SUBTOTAL(9,O234:O244)</f>
        <v>7283829</v>
      </c>
    </row>
    <row r="246" spans="1:15" ht="15.75">
      <c r="C246" s="31"/>
      <c r="E246" s="151"/>
      <c r="F246" s="22"/>
      <c r="G246" s="167"/>
      <c r="H246" s="35"/>
      <c r="I246" s="23"/>
      <c r="J246" s="23"/>
      <c r="K246" s="35"/>
      <c r="L246" s="22"/>
      <c r="M246" s="142"/>
      <c r="O246" s="143"/>
    </row>
    <row r="247" spans="1:15" ht="15.75">
      <c r="C247" s="21" t="s">
        <v>154</v>
      </c>
      <c r="E247" s="151"/>
      <c r="F247" s="22"/>
      <c r="G247" s="167"/>
      <c r="H247" s="35"/>
      <c r="I247" s="23"/>
      <c r="J247" s="23"/>
      <c r="K247" s="35"/>
      <c r="L247" s="22"/>
      <c r="M247" s="142"/>
      <c r="O247" s="143"/>
    </row>
    <row r="248" spans="1:15" ht="15.75">
      <c r="C248" s="31"/>
      <c r="E248" s="151"/>
      <c r="F248" s="22"/>
      <c r="G248" s="167"/>
      <c r="H248" s="35"/>
      <c r="I248" s="23"/>
      <c r="J248" s="23"/>
      <c r="K248" s="35"/>
      <c r="L248" s="22"/>
      <c r="M248" s="142"/>
      <c r="O248" s="143"/>
    </row>
    <row r="249" spans="1:15" ht="15.75">
      <c r="A249" s="30">
        <v>391</v>
      </c>
      <c r="C249" s="13" t="s">
        <v>100</v>
      </c>
      <c r="E249" s="151"/>
      <c r="F249" s="22"/>
      <c r="G249" s="167"/>
      <c r="H249" s="35"/>
      <c r="I249" s="23"/>
      <c r="J249" s="23"/>
      <c r="K249" s="15">
        <v>-36612.199999999997</v>
      </c>
      <c r="L249" s="22"/>
      <c r="M249" s="142"/>
      <c r="O249" s="143">
        <f t="shared" ref="O249:O255" si="62">K249-M249</f>
        <v>-36612.199999999997</v>
      </c>
    </row>
    <row r="250" spans="1:15" ht="15.75">
      <c r="A250" s="30">
        <v>391.1</v>
      </c>
      <c r="C250" s="13" t="s">
        <v>101</v>
      </c>
      <c r="E250" s="151"/>
      <c r="F250" s="22"/>
      <c r="G250" s="167"/>
      <c r="H250" s="35"/>
      <c r="I250" s="23"/>
      <c r="J250" s="23"/>
      <c r="K250" s="15">
        <v>-3130870.9899999993</v>
      </c>
      <c r="L250" s="22"/>
      <c r="M250" s="142"/>
      <c r="O250" s="143">
        <f t="shared" si="62"/>
        <v>-3130870.9899999993</v>
      </c>
    </row>
    <row r="251" spans="1:15" ht="15.75">
      <c r="A251" s="30">
        <v>393</v>
      </c>
      <c r="C251" s="34" t="s">
        <v>103</v>
      </c>
      <c r="E251" s="151"/>
      <c r="F251" s="22"/>
      <c r="G251" s="167"/>
      <c r="H251" s="35"/>
      <c r="I251" s="23"/>
      <c r="J251" s="23"/>
      <c r="K251" s="15">
        <v>-460.8</v>
      </c>
      <c r="L251" s="22"/>
      <c r="M251" s="142"/>
      <c r="O251" s="143">
        <f t="shared" si="62"/>
        <v>-460.8</v>
      </c>
    </row>
    <row r="252" spans="1:15" ht="15.75">
      <c r="A252" s="30">
        <v>394</v>
      </c>
      <c r="C252" s="34" t="s">
        <v>104</v>
      </c>
      <c r="E252" s="151"/>
      <c r="F252" s="22"/>
      <c r="G252" s="167"/>
      <c r="H252" s="35"/>
      <c r="I252" s="23"/>
      <c r="J252" s="23"/>
      <c r="K252" s="15">
        <v>-8558.2000000000007</v>
      </c>
      <c r="L252" s="22"/>
      <c r="M252" s="142"/>
      <c r="O252" s="143">
        <f t="shared" si="62"/>
        <v>-8558.2000000000007</v>
      </c>
    </row>
    <row r="253" spans="1:15" ht="15.75">
      <c r="A253" s="30">
        <v>395</v>
      </c>
      <c r="C253" s="34" t="s">
        <v>105</v>
      </c>
      <c r="E253" s="151"/>
      <c r="F253" s="22"/>
      <c r="G253" s="167"/>
      <c r="H253" s="35"/>
      <c r="I253" s="23"/>
      <c r="J253" s="23"/>
      <c r="K253" s="15">
        <v>-17353.599999999999</v>
      </c>
      <c r="L253" s="22"/>
      <c r="M253" s="142"/>
      <c r="O253" s="143">
        <f t="shared" si="62"/>
        <v>-17353.599999999999</v>
      </c>
    </row>
    <row r="254" spans="1:15" ht="15.75">
      <c r="A254" s="30">
        <v>397</v>
      </c>
      <c r="C254" s="13" t="s">
        <v>107</v>
      </c>
      <c r="E254" s="151"/>
      <c r="F254" s="22"/>
      <c r="G254" s="167"/>
      <c r="H254" s="35"/>
      <c r="I254" s="23"/>
      <c r="J254" s="23"/>
      <c r="K254" s="15">
        <v>-75552</v>
      </c>
      <c r="L254" s="22"/>
      <c r="M254" s="142"/>
      <c r="O254" s="143">
        <f t="shared" si="62"/>
        <v>-75552</v>
      </c>
    </row>
    <row r="255" spans="1:15" ht="15.75">
      <c r="A255" s="30">
        <v>398</v>
      </c>
      <c r="C255" s="13" t="s">
        <v>108</v>
      </c>
      <c r="E255" s="151"/>
      <c r="F255" s="22"/>
      <c r="G255" s="168"/>
      <c r="H255" s="35"/>
      <c r="I255" s="23"/>
      <c r="J255" s="23"/>
      <c r="K255" s="15">
        <v>-8623.4</v>
      </c>
      <c r="L255" s="22"/>
      <c r="M255" s="149"/>
      <c r="O255" s="150">
        <f t="shared" si="62"/>
        <v>-8623.4</v>
      </c>
    </row>
    <row r="256" spans="1:15" ht="15.75">
      <c r="C256" s="31"/>
      <c r="E256" s="151"/>
      <c r="F256" s="22"/>
      <c r="G256" s="167"/>
      <c r="H256" s="35"/>
      <c r="I256" s="23"/>
      <c r="J256" s="23"/>
      <c r="K256" s="169"/>
      <c r="L256" s="22"/>
      <c r="M256" s="142"/>
      <c r="O256" s="143"/>
    </row>
    <row r="257" spans="1:15" ht="15.75">
      <c r="C257" s="31" t="s">
        <v>110</v>
      </c>
      <c r="E257" s="151"/>
      <c r="F257" s="22"/>
      <c r="G257" s="168">
        <f t="shared" ref="G257" si="63">SUBTOTAL(9,G249:G256)</f>
        <v>0</v>
      </c>
      <c r="H257" s="35"/>
      <c r="I257" s="23"/>
      <c r="J257" s="23"/>
      <c r="K257" s="36">
        <f>SUBTOTAL(9,K249:K256)</f>
        <v>-3278031.1899999995</v>
      </c>
      <c r="L257" s="22"/>
      <c r="M257" s="170">
        <f t="shared" ref="M257" si="64">SUBTOTAL(9,M249:M256)</f>
        <v>0</v>
      </c>
      <c r="O257" s="36">
        <f t="shared" ref="O257" si="65">SUBTOTAL(9,O249:O256)</f>
        <v>-3278031.1899999995</v>
      </c>
    </row>
    <row r="258" spans="1:15" ht="15.75">
      <c r="C258" s="31"/>
      <c r="E258" s="151"/>
      <c r="F258" s="22"/>
      <c r="G258" s="167"/>
      <c r="H258" s="35"/>
      <c r="I258" s="26"/>
      <c r="J258" s="26"/>
      <c r="K258" s="35"/>
      <c r="L258" s="22"/>
      <c r="M258" s="142"/>
      <c r="O258" s="143"/>
    </row>
    <row r="259" spans="1:15" ht="16.5" thickBot="1">
      <c r="C259" s="31" t="s">
        <v>111</v>
      </c>
      <c r="E259" s="171">
        <f>SUBTOTAL(9,E13:E258)</f>
        <v>4654637456.0800037</v>
      </c>
      <c r="F259" s="22"/>
      <c r="G259" s="172">
        <f t="shared" ref="G259" si="66">SUBTOTAL(9,G13:G258)</f>
        <v>1248118649.3500001</v>
      </c>
      <c r="H259" s="35"/>
      <c r="I259" s="23">
        <v>3.1</v>
      </c>
      <c r="J259" s="23"/>
      <c r="K259" s="51">
        <f>SUBTOTAL(9,K13:K258)</f>
        <v>142718647.81</v>
      </c>
      <c r="L259" s="22"/>
      <c r="M259" s="172">
        <f t="shared" ref="M259" si="67">SUBTOTAL(9,M13:M258)</f>
        <v>39558275</v>
      </c>
      <c r="O259" s="171">
        <f t="shared" ref="O259" si="68">SUBTOTAL(9,O13:O258)</f>
        <v>103160372.81</v>
      </c>
    </row>
    <row r="260" spans="1:15" ht="16.5" thickTop="1">
      <c r="C260" s="22"/>
      <c r="E260" s="151"/>
      <c r="F260" s="22"/>
      <c r="G260" s="167"/>
      <c r="H260" s="35"/>
      <c r="I260" s="26"/>
      <c r="J260" s="26"/>
      <c r="K260" s="35"/>
      <c r="L260" s="22"/>
      <c r="M260" s="22"/>
    </row>
    <row r="261" spans="1:15" ht="15.75">
      <c r="C261" s="21" t="s">
        <v>112</v>
      </c>
      <c r="E261" s="151"/>
      <c r="F261" s="22"/>
      <c r="G261" s="167"/>
      <c r="H261" s="35"/>
      <c r="I261" s="26"/>
      <c r="J261" s="26"/>
      <c r="K261" s="35"/>
      <c r="L261" s="22"/>
      <c r="M261" s="22"/>
    </row>
    <row r="262" spans="1:15" ht="15.75">
      <c r="C262" s="22"/>
      <c r="E262" s="151"/>
      <c r="F262" s="22"/>
      <c r="G262" s="167"/>
      <c r="H262" s="35"/>
      <c r="I262" s="26"/>
      <c r="J262" s="26"/>
      <c r="K262" s="35"/>
      <c r="L262" s="22"/>
      <c r="M262" s="22"/>
    </row>
    <row r="263" spans="1:15" ht="15.75">
      <c r="A263" s="30">
        <v>301</v>
      </c>
      <c r="C263" s="13" t="s">
        <v>113</v>
      </c>
      <c r="E263" s="157">
        <v>5040.43</v>
      </c>
      <c r="G263" s="156"/>
      <c r="H263" s="35"/>
      <c r="I263" s="26"/>
      <c r="J263" s="26"/>
      <c r="K263" s="35"/>
      <c r="L263" s="22"/>
      <c r="M263" s="22"/>
    </row>
    <row r="264" spans="1:15" ht="15.75">
      <c r="A264" s="30">
        <v>310</v>
      </c>
      <c r="C264" s="13" t="s">
        <v>114</v>
      </c>
      <c r="E264" s="157">
        <v>7074844.4300000006</v>
      </c>
      <c r="G264" s="156"/>
      <c r="H264" s="35"/>
      <c r="I264" s="26"/>
      <c r="J264" s="26"/>
      <c r="K264" s="35"/>
      <c r="L264" s="22"/>
      <c r="M264" s="22"/>
    </row>
    <row r="265" spans="1:15" ht="15.75">
      <c r="A265" s="30">
        <v>340</v>
      </c>
      <c r="C265" s="13" t="s">
        <v>114</v>
      </c>
      <c r="E265" s="157">
        <v>5964035.6900000004</v>
      </c>
      <c r="G265" s="156"/>
      <c r="H265" s="35"/>
      <c r="I265" s="26"/>
      <c r="J265" s="26"/>
      <c r="K265" s="35"/>
      <c r="L265" s="22"/>
      <c r="M265" s="22"/>
    </row>
    <row r="266" spans="1:15" ht="15.75">
      <c r="A266" s="30">
        <v>350</v>
      </c>
      <c r="C266" s="13" t="s">
        <v>114</v>
      </c>
      <c r="E266" s="157">
        <v>4673025.2200000007</v>
      </c>
      <c r="G266" s="156"/>
      <c r="H266" s="35"/>
      <c r="I266" s="26"/>
      <c r="J266" s="26"/>
      <c r="K266" s="35"/>
      <c r="L266" s="22"/>
      <c r="M266" s="22"/>
    </row>
    <row r="267" spans="1:15" ht="15.75">
      <c r="A267" s="30">
        <v>350.1</v>
      </c>
      <c r="C267" s="13" t="s">
        <v>27</v>
      </c>
      <c r="E267" s="157">
        <v>58324160.971999988</v>
      </c>
      <c r="G267" s="156"/>
      <c r="H267" s="35"/>
      <c r="I267" s="26"/>
      <c r="J267" s="26"/>
      <c r="K267" s="35"/>
      <c r="L267" s="22"/>
      <c r="M267" s="22"/>
    </row>
    <row r="268" spans="1:15" ht="15.75">
      <c r="A268" s="30">
        <v>354.1</v>
      </c>
      <c r="C268" s="13" t="s">
        <v>251</v>
      </c>
      <c r="E268" s="157">
        <v>564962.57000000007</v>
      </c>
      <c r="G268" s="156"/>
      <c r="H268" s="35"/>
      <c r="I268" s="26"/>
      <c r="J268" s="26"/>
      <c r="K268" s="35"/>
      <c r="L268" s="22"/>
      <c r="M268" s="22"/>
    </row>
    <row r="269" spans="1:15" ht="15.75">
      <c r="A269" s="30">
        <v>360</v>
      </c>
      <c r="C269" s="13" t="s">
        <v>114</v>
      </c>
      <c r="E269" s="157">
        <v>13132104.219999999</v>
      </c>
      <c r="G269" s="156"/>
      <c r="H269" s="35"/>
      <c r="I269" s="26"/>
      <c r="J269" s="26"/>
      <c r="K269" s="35"/>
      <c r="L269" s="22"/>
      <c r="M269" s="22"/>
    </row>
    <row r="270" spans="1:15" ht="15.75">
      <c r="A270" s="30">
        <v>389</v>
      </c>
      <c r="C270" s="13" t="s">
        <v>114</v>
      </c>
      <c r="E270" s="157">
        <v>1587642.56</v>
      </c>
      <c r="G270" s="156"/>
      <c r="H270" s="35"/>
      <c r="I270" s="26"/>
      <c r="J270" s="26"/>
      <c r="K270" s="35"/>
      <c r="L270" s="22"/>
      <c r="M270" s="22"/>
    </row>
    <row r="271" spans="1:15" ht="15.75">
      <c r="A271" s="30">
        <v>389.1</v>
      </c>
      <c r="C271" s="13" t="s">
        <v>27</v>
      </c>
      <c r="E271" s="157">
        <v>244222.03</v>
      </c>
      <c r="G271" s="156"/>
      <c r="H271" s="35"/>
      <c r="I271" s="26"/>
      <c r="J271" s="26"/>
      <c r="K271" s="35"/>
      <c r="L271" s="22"/>
      <c r="M271" s="22"/>
    </row>
    <row r="272" spans="1:15" ht="15.75">
      <c r="A272" s="30">
        <v>398.1</v>
      </c>
      <c r="C272" s="13" t="s">
        <v>252</v>
      </c>
      <c r="E272" s="157">
        <v>448268.6</v>
      </c>
      <c r="G272" s="173"/>
      <c r="H272" s="35"/>
      <c r="I272" s="26"/>
      <c r="J272" s="26"/>
      <c r="K272" s="35"/>
      <c r="L272" s="22"/>
      <c r="M272" s="22"/>
    </row>
    <row r="273" spans="2:13" ht="15.75">
      <c r="C273" s="22"/>
      <c r="E273" s="174"/>
      <c r="F273" s="22"/>
      <c r="G273" s="167"/>
      <c r="H273" s="35"/>
      <c r="I273" s="26"/>
      <c r="J273" s="26"/>
      <c r="K273" s="35"/>
      <c r="L273" s="22"/>
      <c r="M273" s="22"/>
    </row>
    <row r="274" spans="2:13" ht="15.75">
      <c r="C274" s="31" t="s">
        <v>115</v>
      </c>
      <c r="E274" s="175">
        <f>SUBTOTAL(9,E263:E273)</f>
        <v>92018306.721999973</v>
      </c>
      <c r="F274" s="22"/>
      <c r="G274" s="168"/>
      <c r="H274" s="35"/>
      <c r="I274" s="26"/>
      <c r="J274" s="26"/>
      <c r="K274" s="35"/>
      <c r="L274" s="22"/>
      <c r="M274" s="22"/>
    </row>
    <row r="275" spans="2:13" ht="15.75">
      <c r="C275" s="22"/>
      <c r="E275" s="151"/>
      <c r="F275" s="22"/>
      <c r="G275" s="167"/>
      <c r="H275" s="35"/>
      <c r="I275" s="26"/>
      <c r="J275" s="26"/>
      <c r="K275" s="35"/>
      <c r="L275" s="22"/>
      <c r="M275" s="22"/>
    </row>
    <row r="276" spans="2:13" ht="16.5" thickBot="1">
      <c r="C276" s="31" t="s">
        <v>116</v>
      </c>
      <c r="E276" s="171">
        <f>SUBTOTAL(9,E13:E275)</f>
        <v>4746655762.8020048</v>
      </c>
      <c r="F276" s="22"/>
      <c r="G276" s="172">
        <f>SUBTOTAL(9,G13:G275)</f>
        <v>1248118649.3500001</v>
      </c>
      <c r="H276" s="35"/>
      <c r="I276" s="26"/>
      <c r="J276" s="26"/>
      <c r="K276" s="35"/>
      <c r="L276" s="22"/>
      <c r="M276" s="22"/>
    </row>
    <row r="277" spans="2:13" ht="16.5" thickTop="1">
      <c r="C277" s="31"/>
      <c r="E277" s="157"/>
      <c r="F277" s="22"/>
      <c r="G277" s="35"/>
      <c r="H277" s="35"/>
      <c r="I277" s="26"/>
      <c r="J277" s="26"/>
      <c r="K277" s="35"/>
      <c r="L277" s="22"/>
      <c r="M277" s="22"/>
    </row>
    <row r="278" spans="2:13">
      <c r="B278" s="176"/>
    </row>
    <row r="279" spans="2:13">
      <c r="B279" s="176"/>
      <c r="C279" s="34"/>
    </row>
    <row r="280" spans="2:13">
      <c r="B280" s="176"/>
    </row>
  </sheetData>
  <mergeCells count="1">
    <mergeCell ref="K6:O6"/>
  </mergeCells>
  <printOptions horizontalCentered="1"/>
  <pageMargins left="0.45" right="0.45" top="0.75" bottom="0.5" header="0.3" footer="0.3"/>
  <pageSetup scale="56" fitToHeight="0" orientation="landscape" r:id="rId1"/>
  <rowBreaks count="6" manualBreakCount="6">
    <brk id="56" max="14" man="1"/>
    <brk id="93" max="14" man="1"/>
    <brk id="129" max="14" man="1"/>
    <brk id="175" max="14" man="1"/>
    <brk id="212" max="20" man="1"/>
    <brk id="260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81"/>
  <sheetViews>
    <sheetView zoomScale="75" zoomScaleNormal="75" workbookViewId="0">
      <pane xSplit="6" ySplit="9" topLeftCell="AB241" activePane="bottomRight" state="frozen"/>
      <selection pane="topRight" activeCell="G1" sqref="G1"/>
      <selection pane="bottomLeft" activeCell="A10" sqref="A10"/>
      <selection pane="bottomRight" activeCell="AI30" sqref="AI30"/>
    </sheetView>
  </sheetViews>
  <sheetFormatPr defaultColWidth="12.5703125" defaultRowHeight="15"/>
  <cols>
    <col min="1" max="1" width="10" style="13" customWidth="1"/>
    <col min="2" max="2" width="3.7109375" style="13" customWidth="1"/>
    <col min="3" max="3" width="74" style="13" customWidth="1"/>
    <col min="4" max="4" width="3.5703125" style="13" customWidth="1"/>
    <col min="5" max="5" width="31.140625" style="13" customWidth="1"/>
    <col min="6" max="6" width="3.5703125" style="13" customWidth="1"/>
    <col min="7" max="7" width="22.140625" style="15" customWidth="1"/>
    <col min="8" max="8" width="3.5703125" style="15" customWidth="1"/>
    <col min="9" max="9" width="16.28515625" style="13" customWidth="1"/>
    <col min="10" max="10" width="3.5703125" style="13" customWidth="1"/>
    <col min="11" max="11" width="22.140625" style="15" customWidth="1"/>
    <col min="12" max="12" width="3.5703125" style="13" customWidth="1"/>
    <col min="13" max="13" width="19.28515625" style="13" customWidth="1"/>
    <col min="14" max="14" width="3" style="13" customWidth="1"/>
    <col min="15" max="15" width="30.5703125" style="13" customWidth="1"/>
    <col min="16" max="16" width="5" style="13" customWidth="1"/>
    <col min="17" max="17" width="21.140625" style="13" customWidth="1"/>
    <col min="18" max="18" width="5.85546875" style="13" customWidth="1"/>
    <col min="19" max="19" width="20.7109375" style="13" customWidth="1"/>
    <col min="20" max="20" width="4.140625" style="13" customWidth="1"/>
    <col min="21" max="21" width="21.28515625" style="13" customWidth="1"/>
    <col min="22" max="22" width="4.140625" style="13" customWidth="1"/>
    <col min="23" max="23" width="20.7109375" style="13" customWidth="1"/>
    <col min="24" max="24" width="5.85546875" style="13" customWidth="1"/>
    <col min="25" max="25" width="16.42578125" style="13" customWidth="1"/>
    <col min="26" max="26" width="5.5703125" style="13" customWidth="1"/>
    <col min="27" max="27" width="22.85546875" style="13" customWidth="1"/>
    <col min="28" max="28" width="4.140625" style="13" customWidth="1"/>
    <col min="29" max="29" width="18.7109375" style="13" customWidth="1"/>
    <col min="30" max="30" width="4.140625" style="13" customWidth="1"/>
    <col min="31" max="31" width="23.85546875" style="13" customWidth="1"/>
    <col min="32" max="32" width="5.7109375" style="13" customWidth="1"/>
    <col min="33" max="33" width="16.28515625" style="13" customWidth="1"/>
    <col min="34" max="34" width="5.85546875" style="13" customWidth="1"/>
    <col min="35" max="35" width="22.85546875" style="13" customWidth="1"/>
    <col min="36" max="36" width="5.28515625" style="13" customWidth="1"/>
    <col min="37" max="37" width="22.7109375" style="13" customWidth="1"/>
    <col min="38" max="38" width="4.7109375" style="13" customWidth="1"/>
    <col min="39" max="39" width="21.7109375" style="13" customWidth="1"/>
    <col min="40" max="41" width="12.5703125" style="13"/>
    <col min="42" max="42" width="15.42578125" style="13" bestFit="1" customWidth="1"/>
    <col min="43" max="43" width="13.85546875" style="13" bestFit="1" customWidth="1"/>
    <col min="44" max="16384" width="12.5703125" style="13"/>
  </cols>
  <sheetData>
    <row r="1" spans="1:42" ht="15.7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O1" s="16"/>
    </row>
    <row r="2" spans="1:42" ht="15.7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O2" s="16"/>
    </row>
    <row r="3" spans="1:42" ht="15.75">
      <c r="A3" s="31" t="s">
        <v>243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O3" s="16"/>
      <c r="Q3" s="181" t="s">
        <v>177</v>
      </c>
      <c r="Y3" s="181" t="s">
        <v>308</v>
      </c>
      <c r="AG3" s="181" t="s">
        <v>311</v>
      </c>
    </row>
    <row r="4" spans="1:42" ht="15.75">
      <c r="A4" s="31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O4" s="16"/>
      <c r="Q4" s="181" t="s">
        <v>305</v>
      </c>
      <c r="S4" s="340" t="s">
        <v>177</v>
      </c>
      <c r="T4" s="340"/>
      <c r="U4" s="340"/>
      <c r="V4" s="340"/>
      <c r="W4" s="340"/>
      <c r="Y4" s="181" t="s">
        <v>305</v>
      </c>
      <c r="AA4" s="340" t="s">
        <v>308</v>
      </c>
      <c r="AB4" s="340"/>
      <c r="AC4" s="340"/>
      <c r="AD4" s="340"/>
      <c r="AE4" s="340"/>
      <c r="AG4" s="181" t="s">
        <v>312</v>
      </c>
      <c r="AI4" s="340" t="s">
        <v>311</v>
      </c>
      <c r="AJ4" s="340"/>
      <c r="AK4" s="340"/>
      <c r="AL4" s="340"/>
      <c r="AM4" s="340"/>
    </row>
    <row r="5" spans="1:42" ht="15.75">
      <c r="A5" s="16"/>
      <c r="B5" s="17"/>
      <c r="C5" s="17"/>
      <c r="D5" s="17"/>
      <c r="E5" s="17"/>
      <c r="F5" s="17"/>
      <c r="G5" s="39"/>
      <c r="H5" s="39"/>
      <c r="K5" s="342" t="s">
        <v>254</v>
      </c>
      <c r="L5" s="342"/>
      <c r="M5" s="342"/>
      <c r="N5" s="342"/>
      <c r="O5" s="342"/>
      <c r="Q5" s="181" t="s">
        <v>306</v>
      </c>
      <c r="S5" s="341" t="s">
        <v>255</v>
      </c>
      <c r="T5" s="341"/>
      <c r="U5" s="341"/>
      <c r="V5" s="341"/>
      <c r="W5" s="341"/>
      <c r="Y5" s="181" t="s">
        <v>309</v>
      </c>
      <c r="AA5" s="341" t="s">
        <v>255</v>
      </c>
      <c r="AB5" s="341"/>
      <c r="AC5" s="341"/>
      <c r="AD5" s="341"/>
      <c r="AE5" s="341"/>
      <c r="AG5" s="181" t="s">
        <v>313</v>
      </c>
      <c r="AI5" s="341" t="s">
        <v>255</v>
      </c>
      <c r="AJ5" s="341"/>
      <c r="AK5" s="341"/>
      <c r="AL5" s="341"/>
      <c r="AM5" s="341"/>
    </row>
    <row r="6" spans="1:42" ht="15.75">
      <c r="A6" s="16"/>
      <c r="B6" s="17"/>
      <c r="C6" s="17"/>
      <c r="D6" s="17"/>
      <c r="E6" s="17"/>
      <c r="F6" s="17"/>
      <c r="G6" s="39"/>
      <c r="H6" s="39"/>
      <c r="K6" s="20"/>
      <c r="L6" s="20"/>
      <c r="M6" s="20"/>
      <c r="N6" s="20"/>
      <c r="O6" s="20"/>
      <c r="Q6" s="181" t="s">
        <v>307</v>
      </c>
      <c r="S6" s="179"/>
      <c r="T6" s="179"/>
      <c r="U6" s="179" t="s">
        <v>256</v>
      </c>
      <c r="V6" s="179"/>
      <c r="W6" s="179"/>
      <c r="Y6" s="181" t="s">
        <v>307</v>
      </c>
      <c r="AA6" s="210"/>
      <c r="AB6" s="210"/>
      <c r="AC6" s="210" t="s">
        <v>256</v>
      </c>
      <c r="AD6" s="210"/>
      <c r="AE6" s="210"/>
      <c r="AG6" s="181"/>
      <c r="AI6" s="210"/>
      <c r="AJ6" s="210"/>
      <c r="AK6" s="210" t="s">
        <v>256</v>
      </c>
      <c r="AL6" s="210"/>
      <c r="AM6" s="210"/>
    </row>
    <row r="7" spans="1:42" ht="15.75">
      <c r="B7" s="22"/>
      <c r="C7" s="18"/>
      <c r="D7" s="18"/>
      <c r="E7" s="18" t="s">
        <v>119</v>
      </c>
      <c r="F7" s="18"/>
      <c r="G7" s="137" t="s">
        <v>244</v>
      </c>
      <c r="H7" s="20"/>
      <c r="I7" s="17"/>
      <c r="J7" s="17"/>
      <c r="K7" s="20" t="s">
        <v>253</v>
      </c>
      <c r="L7" s="35"/>
      <c r="M7" s="20" t="s">
        <v>253</v>
      </c>
      <c r="N7" s="35"/>
      <c r="O7" s="20" t="s">
        <v>253</v>
      </c>
      <c r="Q7" s="183"/>
      <c r="S7" s="179" t="s">
        <v>253</v>
      </c>
      <c r="T7" s="180"/>
      <c r="U7" s="210" t="s">
        <v>253</v>
      </c>
      <c r="V7" s="180"/>
      <c r="W7" s="210" t="s">
        <v>253</v>
      </c>
      <c r="Y7" s="190" t="s">
        <v>310</v>
      </c>
      <c r="AA7" s="210" t="s">
        <v>253</v>
      </c>
      <c r="AB7" s="180"/>
      <c r="AC7" s="210" t="s">
        <v>253</v>
      </c>
      <c r="AD7" s="180"/>
      <c r="AE7" s="210" t="s">
        <v>253</v>
      </c>
      <c r="AG7" s="183"/>
      <c r="AI7" s="210" t="s">
        <v>253</v>
      </c>
      <c r="AJ7" s="180"/>
      <c r="AK7" s="210" t="s">
        <v>253</v>
      </c>
      <c r="AL7" s="180"/>
      <c r="AM7" s="210" t="s">
        <v>253</v>
      </c>
    </row>
    <row r="8" spans="1:42" ht="15.75">
      <c r="B8" s="22"/>
      <c r="C8" s="18"/>
      <c r="D8" s="18"/>
      <c r="E8" s="18" t="s">
        <v>125</v>
      </c>
      <c r="F8" s="18"/>
      <c r="G8" s="137" t="s">
        <v>125</v>
      </c>
      <c r="H8" s="20"/>
      <c r="I8" s="18" t="s">
        <v>246</v>
      </c>
      <c r="J8" s="18"/>
      <c r="K8" s="20" t="s">
        <v>247</v>
      </c>
      <c r="L8" s="18"/>
      <c r="M8" s="138" t="s">
        <v>248</v>
      </c>
      <c r="O8" s="139" t="s">
        <v>249</v>
      </c>
      <c r="Q8" s="181" t="s">
        <v>246</v>
      </c>
      <c r="S8" s="179" t="s">
        <v>247</v>
      </c>
      <c r="T8" s="181"/>
      <c r="U8" s="138" t="s">
        <v>248</v>
      </c>
      <c r="V8" s="183"/>
      <c r="W8" s="182" t="s">
        <v>249</v>
      </c>
      <c r="Y8" s="181" t="s">
        <v>246</v>
      </c>
      <c r="AA8" s="210" t="s">
        <v>247</v>
      </c>
      <c r="AB8" s="181"/>
      <c r="AC8" s="138" t="s">
        <v>248</v>
      </c>
      <c r="AD8" s="183"/>
      <c r="AE8" s="182" t="s">
        <v>249</v>
      </c>
      <c r="AG8" s="181" t="s">
        <v>246</v>
      </c>
      <c r="AI8" s="210" t="s">
        <v>247</v>
      </c>
      <c r="AJ8" s="181"/>
      <c r="AK8" s="138" t="s">
        <v>248</v>
      </c>
      <c r="AL8" s="183"/>
      <c r="AM8" s="182" t="s">
        <v>249</v>
      </c>
    </row>
    <row r="9" spans="1:42" ht="15.75">
      <c r="B9" s="22"/>
      <c r="C9" s="18" t="s">
        <v>23</v>
      </c>
      <c r="D9" s="18"/>
      <c r="E9" s="44" t="s">
        <v>250</v>
      </c>
      <c r="F9" s="18"/>
      <c r="G9" s="137" t="s">
        <v>250</v>
      </c>
      <c r="H9" s="20"/>
      <c r="I9" s="18" t="s">
        <v>135</v>
      </c>
      <c r="J9" s="18"/>
      <c r="K9" s="20" t="s">
        <v>134</v>
      </c>
      <c r="L9" s="18"/>
      <c r="M9" s="140" t="s">
        <v>134</v>
      </c>
      <c r="O9" s="141" t="s">
        <v>134</v>
      </c>
      <c r="Q9" s="181" t="s">
        <v>135</v>
      </c>
      <c r="S9" s="179" t="s">
        <v>134</v>
      </c>
      <c r="T9" s="181"/>
      <c r="U9" s="140" t="s">
        <v>134</v>
      </c>
      <c r="V9" s="183"/>
      <c r="W9" s="184" t="s">
        <v>134</v>
      </c>
      <c r="Y9" s="181" t="s">
        <v>135</v>
      </c>
      <c r="AA9" s="210" t="s">
        <v>134</v>
      </c>
      <c r="AB9" s="181"/>
      <c r="AC9" s="140" t="s">
        <v>134</v>
      </c>
      <c r="AD9" s="183"/>
      <c r="AE9" s="184" t="s">
        <v>134</v>
      </c>
      <c r="AG9" s="181" t="s">
        <v>135</v>
      </c>
      <c r="AI9" s="210" t="s">
        <v>134</v>
      </c>
      <c r="AJ9" s="181"/>
      <c r="AK9" s="140" t="s">
        <v>134</v>
      </c>
      <c r="AL9" s="183"/>
      <c r="AM9" s="184" t="s">
        <v>134</v>
      </c>
    </row>
    <row r="10" spans="1:42" ht="15.75">
      <c r="B10" s="22"/>
      <c r="C10" s="45"/>
      <c r="D10" s="19"/>
      <c r="E10" s="45"/>
      <c r="F10" s="20"/>
      <c r="G10" s="137"/>
      <c r="H10" s="20"/>
      <c r="I10" s="47"/>
      <c r="J10" s="19"/>
      <c r="K10" s="45"/>
      <c r="L10" s="19"/>
      <c r="M10" s="142"/>
      <c r="O10" s="143"/>
      <c r="Q10" s="193"/>
      <c r="S10" s="185"/>
      <c r="T10" s="186"/>
      <c r="U10" s="142"/>
      <c r="V10" s="183"/>
      <c r="W10" s="187"/>
      <c r="Y10" s="193"/>
      <c r="AA10" s="185"/>
      <c r="AB10" s="186"/>
      <c r="AC10" s="142"/>
      <c r="AD10" s="183"/>
      <c r="AE10" s="187"/>
      <c r="AG10" s="193"/>
      <c r="AI10" s="185"/>
      <c r="AJ10" s="186"/>
      <c r="AK10" s="142"/>
      <c r="AL10" s="183"/>
      <c r="AM10" s="187"/>
    </row>
    <row r="11" spans="1:42" ht="15.75">
      <c r="B11" s="22"/>
      <c r="C11" s="19"/>
      <c r="D11" s="19"/>
      <c r="E11" s="19"/>
      <c r="F11" s="19"/>
      <c r="G11" s="137"/>
      <c r="H11" s="20"/>
      <c r="I11" s="19"/>
      <c r="J11" s="19"/>
      <c r="K11" s="20"/>
      <c r="L11" s="19"/>
      <c r="M11" s="142"/>
      <c r="O11" s="143"/>
      <c r="Q11" s="186"/>
      <c r="S11" s="179"/>
      <c r="T11" s="186"/>
      <c r="U11" s="142"/>
      <c r="V11" s="183"/>
      <c r="W11" s="187"/>
      <c r="Y11" s="186"/>
      <c r="AA11" s="210"/>
      <c r="AB11" s="186"/>
      <c r="AC11" s="142"/>
      <c r="AD11" s="183"/>
      <c r="AE11" s="187"/>
      <c r="AG11" s="186"/>
      <c r="AI11" s="210"/>
      <c r="AJ11" s="186"/>
      <c r="AK11" s="142"/>
      <c r="AL11" s="183"/>
      <c r="AM11" s="187"/>
    </row>
    <row r="12" spans="1:42" ht="15.75">
      <c r="B12" s="22"/>
      <c r="C12" s="21" t="s">
        <v>24</v>
      </c>
      <c r="D12" s="19"/>
      <c r="E12" s="19"/>
      <c r="F12" s="19"/>
      <c r="G12" s="137"/>
      <c r="H12" s="20"/>
      <c r="I12" s="19"/>
      <c r="J12" s="19"/>
      <c r="K12" s="20"/>
      <c r="L12" s="19"/>
      <c r="M12" s="142"/>
      <c r="O12" s="143"/>
      <c r="Q12" s="186"/>
      <c r="S12" s="179"/>
      <c r="T12" s="186"/>
      <c r="U12" s="142"/>
      <c r="V12" s="183"/>
      <c r="W12" s="187"/>
      <c r="Y12" s="186"/>
      <c r="AA12" s="210"/>
      <c r="AB12" s="186"/>
      <c r="AC12" s="142"/>
      <c r="AD12" s="183"/>
      <c r="AE12" s="187"/>
      <c r="AG12" s="186"/>
      <c r="AI12" s="210"/>
      <c r="AJ12" s="186"/>
      <c r="AK12" s="142"/>
      <c r="AL12" s="183"/>
      <c r="AM12" s="187"/>
    </row>
    <row r="13" spans="1:42" ht="15.75">
      <c r="B13" s="22"/>
      <c r="C13" s="19"/>
      <c r="D13" s="19"/>
      <c r="E13" s="19"/>
      <c r="F13" s="19"/>
      <c r="G13" s="137"/>
      <c r="H13" s="20"/>
      <c r="I13" s="19"/>
      <c r="J13" s="19"/>
      <c r="K13" s="20"/>
      <c r="L13" s="19"/>
      <c r="M13" s="142"/>
      <c r="O13" s="143"/>
      <c r="Q13" s="186"/>
      <c r="S13" s="179"/>
      <c r="T13" s="186"/>
      <c r="U13" s="142"/>
      <c r="V13" s="183"/>
      <c r="W13" s="187"/>
      <c r="Y13" s="186"/>
      <c r="AA13" s="210"/>
      <c r="AB13" s="186"/>
      <c r="AC13" s="142"/>
      <c r="AD13" s="183"/>
      <c r="AE13" s="187"/>
      <c r="AG13" s="186"/>
      <c r="AI13" s="210"/>
      <c r="AJ13" s="186"/>
      <c r="AK13" s="142"/>
      <c r="AL13" s="183"/>
      <c r="AM13" s="187"/>
    </row>
    <row r="14" spans="1:42" ht="15.75">
      <c r="A14" s="30">
        <v>303</v>
      </c>
      <c r="C14" s="13" t="s">
        <v>25</v>
      </c>
      <c r="D14" s="19"/>
      <c r="E14" s="144">
        <v>20095177.920000002</v>
      </c>
      <c r="F14" s="145"/>
      <c r="G14" s="146">
        <v>0</v>
      </c>
      <c r="H14" s="147"/>
      <c r="I14" s="26">
        <v>3.66</v>
      </c>
      <c r="J14" s="26"/>
      <c r="K14" s="148">
        <v>735656</v>
      </c>
      <c r="M14" s="149">
        <f>ROUND(G14*(I14/100),0)</f>
        <v>0</v>
      </c>
      <c r="O14" s="150">
        <f>K14-M14</f>
        <v>735656</v>
      </c>
      <c r="Q14" s="221">
        <v>3.66</v>
      </c>
      <c r="S14" s="236">
        <f>K14</f>
        <v>735656</v>
      </c>
      <c r="T14" s="183"/>
      <c r="U14" s="149">
        <f>G14*(Q14/100)</f>
        <v>0</v>
      </c>
      <c r="V14" s="183"/>
      <c r="W14" s="237">
        <f>S14-U14</f>
        <v>735656</v>
      </c>
      <c r="Y14" s="221">
        <v>3.66</v>
      </c>
      <c r="AA14" s="236">
        <f>K14</f>
        <v>735656</v>
      </c>
      <c r="AB14" s="183"/>
      <c r="AC14" s="149">
        <f>G14*(Y14/100)</f>
        <v>0</v>
      </c>
      <c r="AD14" s="183"/>
      <c r="AE14" s="237">
        <f>AA14-AC14</f>
        <v>735656</v>
      </c>
      <c r="AG14" s="221">
        <v>3.66</v>
      </c>
      <c r="AI14" s="236">
        <f>K14</f>
        <v>735656</v>
      </c>
      <c r="AJ14" s="183"/>
      <c r="AK14" s="149">
        <f>G14*(AG14/100)</f>
        <v>0</v>
      </c>
      <c r="AL14" s="183"/>
      <c r="AM14" s="237">
        <f>AI14-AK14</f>
        <v>735656</v>
      </c>
      <c r="AP14" s="15"/>
    </row>
    <row r="15" spans="1:42" ht="15.75">
      <c r="B15" s="22"/>
      <c r="C15" s="19"/>
      <c r="D15" s="19"/>
      <c r="E15" s="19"/>
      <c r="F15" s="19"/>
      <c r="G15" s="137"/>
      <c r="H15" s="20"/>
      <c r="I15" s="19"/>
      <c r="J15" s="19"/>
      <c r="K15" s="20"/>
      <c r="L15" s="19"/>
      <c r="M15" s="142"/>
      <c r="O15" s="143"/>
      <c r="Q15" s="186"/>
      <c r="S15" s="179"/>
      <c r="T15" s="186"/>
      <c r="U15" s="142"/>
      <c r="V15" s="183"/>
      <c r="W15" s="187"/>
      <c r="Y15" s="186"/>
      <c r="AA15" s="210"/>
      <c r="AB15" s="186"/>
      <c r="AC15" s="142"/>
      <c r="AD15" s="183"/>
      <c r="AE15" s="187"/>
      <c r="AG15" s="186"/>
      <c r="AI15" s="210"/>
      <c r="AJ15" s="186"/>
      <c r="AK15" s="142"/>
      <c r="AL15" s="183"/>
      <c r="AM15" s="187"/>
    </row>
    <row r="16" spans="1:42" ht="15.75">
      <c r="B16" s="22"/>
      <c r="C16" s="31" t="s">
        <v>139</v>
      </c>
      <c r="D16" s="19"/>
      <c r="E16" s="151">
        <f>SUBTOTAL(9,E14:E15)</f>
        <v>20095177.920000002</v>
      </c>
      <c r="F16" s="152"/>
      <c r="G16" s="153">
        <f t="shared" ref="G16" si="0">SUBTOTAL(9,G14:G15)</f>
        <v>0</v>
      </c>
      <c r="H16" s="154"/>
      <c r="I16" s="23">
        <f>+ROUND(K16/E16*100,2)</f>
        <v>3.66</v>
      </c>
      <c r="J16" s="23"/>
      <c r="K16" s="154">
        <f>SUBTOTAL(9,K14:K15)</f>
        <v>735656</v>
      </c>
      <c r="L16" s="22"/>
      <c r="M16" s="155">
        <f t="shared" ref="M16" si="1">SUBTOTAL(9,M14:M15)</f>
        <v>0</v>
      </c>
      <c r="O16" s="154">
        <f t="shared" ref="O16" si="2">SUBTOTAL(9,O14:O15)</f>
        <v>735656</v>
      </c>
      <c r="Q16" s="195">
        <f>+ROUND(S16/E16*100,2)</f>
        <v>3.66</v>
      </c>
      <c r="S16" s="189">
        <f>SUBTOTAL(9,S14:S15)</f>
        <v>735656</v>
      </c>
      <c r="T16" s="190"/>
      <c r="U16" s="155">
        <f t="shared" ref="U16" si="3">SUBTOTAL(9,U14:U15)</f>
        <v>0</v>
      </c>
      <c r="V16" s="183"/>
      <c r="W16" s="189">
        <f t="shared" ref="W16" si="4">SUBTOTAL(9,W14:W15)</f>
        <v>735656</v>
      </c>
      <c r="Y16" s="222">
        <f>+ROUND(AA16/E16*100,2)</f>
        <v>3.66</v>
      </c>
      <c r="AA16" s="189">
        <f>SUBTOTAL(9,AA14:AA15)</f>
        <v>735656</v>
      </c>
      <c r="AB16" s="190"/>
      <c r="AC16" s="155">
        <f t="shared" ref="AC16" si="5">SUBTOTAL(9,AC14:AC15)</f>
        <v>0</v>
      </c>
      <c r="AD16" s="183"/>
      <c r="AE16" s="189">
        <f t="shared" ref="AE16" si="6">SUBTOTAL(9,AE14:AE15)</f>
        <v>735656</v>
      </c>
      <c r="AG16" s="195">
        <f>+ROUND(AI16/E16*100,2)</f>
        <v>3.66</v>
      </c>
      <c r="AI16" s="189">
        <f>SUBTOTAL(9,AI14:AI15)</f>
        <v>735656</v>
      </c>
      <c r="AJ16" s="190"/>
      <c r="AK16" s="155">
        <f t="shared" ref="AK16" si="7">SUBTOTAL(9,AK14:AK15)</f>
        <v>0</v>
      </c>
      <c r="AL16" s="183"/>
      <c r="AM16" s="189">
        <f t="shared" ref="AM16" si="8">SUBTOTAL(9,AM14:AM15)</f>
        <v>735656</v>
      </c>
    </row>
    <row r="17" spans="1:39" ht="15.75">
      <c r="B17" s="22"/>
      <c r="C17" s="19"/>
      <c r="D17" s="19"/>
      <c r="E17" s="19"/>
      <c r="F17" s="19"/>
      <c r="G17" s="137"/>
      <c r="H17" s="20"/>
      <c r="I17" s="19"/>
      <c r="J17" s="19"/>
      <c r="K17" s="20"/>
      <c r="L17" s="19"/>
      <c r="M17" s="142"/>
      <c r="O17" s="143"/>
      <c r="Q17" s="186"/>
      <c r="S17" s="179"/>
      <c r="T17" s="186"/>
      <c r="U17" s="142"/>
      <c r="V17" s="183"/>
      <c r="W17" s="187"/>
      <c r="Y17" s="186"/>
      <c r="AA17" s="210"/>
      <c r="AB17" s="186"/>
      <c r="AC17" s="142"/>
      <c r="AD17" s="183"/>
      <c r="AE17" s="187"/>
      <c r="AG17" s="186"/>
      <c r="AI17" s="210"/>
      <c r="AJ17" s="186"/>
      <c r="AK17" s="142"/>
      <c r="AL17" s="183"/>
      <c r="AM17" s="187"/>
    </row>
    <row r="18" spans="1:39" ht="15.75">
      <c r="C18" s="18" t="s">
        <v>26</v>
      </c>
      <c r="G18" s="156"/>
      <c r="I18" s="24"/>
      <c r="J18" s="24"/>
      <c r="M18" s="142"/>
      <c r="O18" s="143"/>
      <c r="Q18" s="196"/>
      <c r="S18" s="191"/>
      <c r="T18" s="183"/>
      <c r="U18" s="142"/>
      <c r="V18" s="183"/>
      <c r="W18" s="187"/>
      <c r="Y18" s="196"/>
      <c r="AA18" s="191"/>
      <c r="AB18" s="183"/>
      <c r="AC18" s="142"/>
      <c r="AD18" s="183"/>
      <c r="AE18" s="187"/>
      <c r="AG18" s="196"/>
      <c r="AI18" s="191"/>
      <c r="AJ18" s="183"/>
      <c r="AK18" s="142"/>
      <c r="AL18" s="183"/>
      <c r="AM18" s="187"/>
    </row>
    <row r="19" spans="1:39" ht="15.75">
      <c r="C19" s="25"/>
      <c r="G19" s="156"/>
      <c r="I19" s="26"/>
      <c r="J19" s="26"/>
      <c r="M19" s="142"/>
      <c r="O19" s="143"/>
      <c r="Q19" s="194"/>
      <c r="S19" s="191"/>
      <c r="T19" s="183"/>
      <c r="U19" s="142"/>
      <c r="V19" s="183"/>
      <c r="W19" s="187"/>
      <c r="Y19" s="194"/>
      <c r="AA19" s="191"/>
      <c r="AB19" s="183"/>
      <c r="AC19" s="142"/>
      <c r="AD19" s="183"/>
      <c r="AE19" s="187"/>
      <c r="AG19" s="194"/>
      <c r="AI19" s="191"/>
      <c r="AJ19" s="183"/>
      <c r="AK19" s="142"/>
      <c r="AL19" s="183"/>
      <c r="AM19" s="187"/>
    </row>
    <row r="20" spans="1:39">
      <c r="A20" s="30">
        <v>310.10000000000002</v>
      </c>
      <c r="C20" s="13" t="s">
        <v>27</v>
      </c>
      <c r="G20" s="156"/>
      <c r="I20" s="26"/>
      <c r="J20" s="26"/>
      <c r="M20" s="142"/>
      <c r="O20" s="143"/>
      <c r="Q20" s="194"/>
      <c r="S20" s="191"/>
      <c r="T20" s="183"/>
      <c r="U20" s="142"/>
      <c r="V20" s="183"/>
      <c r="W20" s="187"/>
      <c r="Y20" s="194"/>
      <c r="AA20" s="191"/>
      <c r="AB20" s="183"/>
      <c r="AC20" s="142"/>
      <c r="AD20" s="183"/>
      <c r="AE20" s="187"/>
      <c r="AG20" s="194"/>
      <c r="AI20" s="191"/>
      <c r="AJ20" s="183"/>
      <c r="AK20" s="142"/>
      <c r="AL20" s="183"/>
      <c r="AM20" s="187"/>
    </row>
    <row r="21" spans="1:39">
      <c r="C21" s="33" t="s">
        <v>28</v>
      </c>
      <c r="E21" s="157">
        <v>5325571.5599999996</v>
      </c>
      <c r="F21" s="145"/>
      <c r="G21" s="158">
        <v>5325571.5599999996</v>
      </c>
      <c r="H21" s="147"/>
      <c r="I21" s="26">
        <v>3.37</v>
      </c>
      <c r="J21" s="26"/>
      <c r="K21" s="147">
        <v>179435</v>
      </c>
      <c r="M21" s="142">
        <f>ROUND(G21*(I21/100),0)-37</f>
        <v>179435</v>
      </c>
      <c r="O21" s="143">
        <f t="shared" ref="O21:O84" si="9">K21-M21</f>
        <v>0</v>
      </c>
      <c r="Q21" s="194">
        <f>'AG-Nucor 1-43 With Formulas'!S20</f>
        <v>3.3693097159321623</v>
      </c>
      <c r="S21" s="192">
        <f>E21*(Q21/100)</f>
        <v>179435</v>
      </c>
      <c r="T21" s="183"/>
      <c r="U21" s="142">
        <f>G21*(Q21/100)</f>
        <v>179435</v>
      </c>
      <c r="V21" s="183"/>
      <c r="W21" s="187">
        <f t="shared" ref="W21:W25" si="10">S21-U21</f>
        <v>0</v>
      </c>
      <c r="Y21" s="194">
        <f>'Adj 2 Depr-No Int NS or Retire '!S20</f>
        <v>3.3693009531794429</v>
      </c>
      <c r="AA21" s="224">
        <f>E21*(Y21/100)</f>
        <v>179434.53333333333</v>
      </c>
      <c r="AB21" s="225"/>
      <c r="AC21" s="226">
        <f>G21*(Y21/100)</f>
        <v>179434.53333333333</v>
      </c>
      <c r="AD21" s="183"/>
      <c r="AE21" s="187">
        <f t="shared" ref="AE21" si="11">AA21-AC21</f>
        <v>0</v>
      </c>
      <c r="AG21" s="194">
        <f>'Adj 3 Depr-Extend Lifespans'!S20</f>
        <v>3.3693009531794429</v>
      </c>
      <c r="AI21" s="224">
        <f>E21*(AG21/100)</f>
        <v>179434.53333333333</v>
      </c>
      <c r="AJ21" s="225"/>
      <c r="AK21" s="226">
        <f>G21*(AG21/100)</f>
        <v>179434.53333333333</v>
      </c>
      <c r="AL21" s="183"/>
      <c r="AM21" s="187">
        <f t="shared" ref="AM21:AM25" si="12">AI21-AK21</f>
        <v>0</v>
      </c>
    </row>
    <row r="22" spans="1:39">
      <c r="C22" s="33" t="s">
        <v>29</v>
      </c>
      <c r="E22" s="157">
        <v>480134.08</v>
      </c>
      <c r="F22" s="145"/>
      <c r="G22" s="158">
        <v>0</v>
      </c>
      <c r="H22" s="147"/>
      <c r="I22" s="26">
        <v>2.19</v>
      </c>
      <c r="J22" s="26"/>
      <c r="K22" s="147">
        <v>10494</v>
      </c>
      <c r="M22" s="142">
        <f t="shared" ref="M22:M84" si="13">ROUND(G22*(I22/100),0)</f>
        <v>0</v>
      </c>
      <c r="O22" s="143">
        <f t="shared" si="9"/>
        <v>10494</v>
      </c>
      <c r="Q22" s="194">
        <f>'AG-Nucor 1-43 With Formulas'!S21</f>
        <v>2.1856394780391342</v>
      </c>
      <c r="S22" s="192">
        <f>E22*(Q22/100)</f>
        <v>10494</v>
      </c>
      <c r="T22" s="183"/>
      <c r="U22" s="142">
        <f>G22*(Q22/100)</f>
        <v>0</v>
      </c>
      <c r="V22" s="183"/>
      <c r="W22" s="187">
        <f t="shared" si="10"/>
        <v>10494</v>
      </c>
      <c r="Y22" s="194">
        <f>'Adj 2 Depr-No Int NS or Retire '!S21</f>
        <v>2.1857366731115331</v>
      </c>
      <c r="AA22" s="224">
        <f>E22*(Y22/100)</f>
        <v>10494.466666666667</v>
      </c>
      <c r="AB22" s="225"/>
      <c r="AC22" s="226">
        <f>G22*(Y22/100)</f>
        <v>0</v>
      </c>
      <c r="AD22" s="183"/>
      <c r="AE22" s="187">
        <f t="shared" ref="AE22:AE25" si="14">AA22-AC22</f>
        <v>10494.466666666667</v>
      </c>
      <c r="AG22" s="194">
        <f>'Adj 3 Depr-Extend Lifespans'!S21</f>
        <v>2.1857366731115331</v>
      </c>
      <c r="AI22" s="224">
        <f>E22*(AG22/100)</f>
        <v>10494.466666666667</v>
      </c>
      <c r="AJ22" s="225"/>
      <c r="AK22" s="226">
        <f>G22*(AG22/100)</f>
        <v>0</v>
      </c>
      <c r="AL22" s="183"/>
      <c r="AM22" s="187">
        <f t="shared" si="12"/>
        <v>10494.466666666667</v>
      </c>
    </row>
    <row r="23" spans="1:39">
      <c r="C23" s="33" t="s">
        <v>30</v>
      </c>
      <c r="E23" s="157">
        <v>54040615.270000003</v>
      </c>
      <c r="F23" s="145"/>
      <c r="G23" s="158">
        <f>24117699.5-1050779.86</f>
        <v>23066919.640000001</v>
      </c>
      <c r="H23" s="147"/>
      <c r="I23" s="26">
        <v>3.41</v>
      </c>
      <c r="J23" s="26"/>
      <c r="K23" s="147">
        <v>1840731</v>
      </c>
      <c r="M23" s="142">
        <f t="shared" si="13"/>
        <v>786582</v>
      </c>
      <c r="O23" s="143">
        <f t="shared" si="9"/>
        <v>1054149</v>
      </c>
      <c r="Q23" s="194">
        <f>'AG-Nucor 1-43 With Formulas'!S22</f>
        <v>3.4061991907443359</v>
      </c>
      <c r="S23" s="192">
        <f>E23*(Q23/100)</f>
        <v>1840731</v>
      </c>
      <c r="T23" s="183"/>
      <c r="U23" s="142">
        <f>G23*(Q23/100)</f>
        <v>785705.23010732629</v>
      </c>
      <c r="V23" s="183"/>
      <c r="W23" s="187">
        <f t="shared" si="10"/>
        <v>1055025.7698926737</v>
      </c>
      <c r="Y23" s="194">
        <f>'Adj 2 Depr-No Int NS or Retire '!S22</f>
        <v>3.4062001159743645</v>
      </c>
      <c r="AA23" s="224">
        <f>E23*(Y23/100)</f>
        <v>1840731.5000000002</v>
      </c>
      <c r="AB23" s="225"/>
      <c r="AC23" s="226">
        <f>G23*(Y23/100)</f>
        <v>785705.44352939341</v>
      </c>
      <c r="AD23" s="183"/>
      <c r="AE23" s="187">
        <f t="shared" si="14"/>
        <v>1055026.0564706069</v>
      </c>
      <c r="AG23" s="194">
        <f>'Adj 3 Depr-Extend Lifespans'!S22</f>
        <v>1.8450250628194473</v>
      </c>
      <c r="AI23" s="224">
        <f>E23*(AG23/100)</f>
        <v>997062.89583333337</v>
      </c>
      <c r="AJ23" s="225"/>
      <c r="AK23" s="226">
        <f>G23*(AG23/100)</f>
        <v>425590.44857842143</v>
      </c>
      <c r="AL23" s="183"/>
      <c r="AM23" s="187">
        <f t="shared" si="12"/>
        <v>571472.447254912</v>
      </c>
    </row>
    <row r="24" spans="1:39">
      <c r="C24" s="33" t="s">
        <v>31</v>
      </c>
      <c r="E24" s="157">
        <v>1050779.8600000001</v>
      </c>
      <c r="F24" s="145"/>
      <c r="G24" s="158">
        <v>1050779.8600000001</v>
      </c>
      <c r="H24" s="147"/>
      <c r="I24" s="26">
        <v>3.26</v>
      </c>
      <c r="J24" s="26"/>
      <c r="K24" s="147">
        <v>34284</v>
      </c>
      <c r="M24" s="142">
        <f>ROUND(G24*(I24/100),0)-38</f>
        <v>34217</v>
      </c>
      <c r="O24" s="143">
        <f t="shared" si="9"/>
        <v>67</v>
      </c>
      <c r="Q24" s="194">
        <f>'AG-Nucor 1-43 With Formulas'!S23</f>
        <v>3.2627195576435959</v>
      </c>
      <c r="S24" s="192">
        <f>E24*(Q24/100)</f>
        <v>34284</v>
      </c>
      <c r="T24" s="183"/>
      <c r="U24" s="142">
        <f>G24*(Q24/100)</f>
        <v>34284</v>
      </c>
      <c r="V24" s="183"/>
      <c r="W24" s="187">
        <f t="shared" si="10"/>
        <v>0</v>
      </c>
      <c r="Y24" s="194">
        <f>'Adj 2 Depr-No Int NS or Retire '!S23</f>
        <v>3.2626939356480209</v>
      </c>
      <c r="AA24" s="224">
        <f>E24*(Y24/100)</f>
        <v>34283.730769230766</v>
      </c>
      <c r="AB24" s="225"/>
      <c r="AC24" s="226">
        <f>G24*(Y24/100)</f>
        <v>34283.730769230766</v>
      </c>
      <c r="AD24" s="183"/>
      <c r="AE24" s="187">
        <f t="shared" si="14"/>
        <v>0</v>
      </c>
      <c r="AG24" s="194">
        <f>'Adj 3 Depr-Extend Lifespans'!S23</f>
        <v>1.7672925484760116</v>
      </c>
      <c r="AI24" s="224">
        <f>E24*(AG24/100)</f>
        <v>18570.354166666668</v>
      </c>
      <c r="AJ24" s="225"/>
      <c r="AK24" s="226">
        <f>G24*(AG24/100)</f>
        <v>18570.354166666668</v>
      </c>
      <c r="AL24" s="183"/>
      <c r="AM24" s="187">
        <f t="shared" si="12"/>
        <v>0</v>
      </c>
    </row>
    <row r="25" spans="1:39">
      <c r="C25" s="33" t="s">
        <v>32</v>
      </c>
      <c r="E25" s="144">
        <v>6050424.8700000001</v>
      </c>
      <c r="F25" s="145"/>
      <c r="G25" s="146">
        <v>6050424.8700000001</v>
      </c>
      <c r="H25" s="147"/>
      <c r="I25" s="26">
        <v>13.44</v>
      </c>
      <c r="J25" s="26"/>
      <c r="K25" s="148">
        <v>812946</v>
      </c>
      <c r="M25" s="149">
        <f>ROUND(G25*(I25/100),0)-231</f>
        <v>812946</v>
      </c>
      <c r="O25" s="150">
        <f t="shared" si="9"/>
        <v>0</v>
      </c>
      <c r="Q25" s="194">
        <f>'AG-Nucor 1-43 With Formulas'!S24</f>
        <v>13.436180391741646</v>
      </c>
      <c r="S25" s="177">
        <f>E25*(Q25/100)</f>
        <v>812945.99999999988</v>
      </c>
      <c r="T25" s="183"/>
      <c r="U25" s="149">
        <f>G25*(Q25/100)</f>
        <v>812945.99999999988</v>
      </c>
      <c r="V25" s="183"/>
      <c r="W25" s="188">
        <f t="shared" si="10"/>
        <v>0</v>
      </c>
      <c r="Y25" s="227">
        <f>'Adj 2 Depr-No Int NS or Retire '!S24</f>
        <v>13.436185900996625</v>
      </c>
      <c r="AA25" s="177">
        <f>E25*(Y25/100)</f>
        <v>812946.33333333337</v>
      </c>
      <c r="AB25" s="225"/>
      <c r="AC25" s="149">
        <f>G25*(Y25/100)</f>
        <v>812946.33333333337</v>
      </c>
      <c r="AD25" s="183"/>
      <c r="AE25" s="188">
        <f t="shared" si="14"/>
        <v>0</v>
      </c>
      <c r="AG25" s="194">
        <f>'Adj 3 Depr-Extend Lifespans'!S24</f>
        <v>13.436185900996625</v>
      </c>
      <c r="AI25" s="177">
        <f>E25*(AG25/100)</f>
        <v>812946.33333333337</v>
      </c>
      <c r="AJ25" s="225"/>
      <c r="AK25" s="149">
        <f>G25*(AG25/100)</f>
        <v>812946.33333333337</v>
      </c>
      <c r="AL25" s="183"/>
      <c r="AM25" s="188">
        <f t="shared" si="12"/>
        <v>0</v>
      </c>
    </row>
    <row r="26" spans="1:39">
      <c r="E26" s="157"/>
      <c r="F26" s="145"/>
      <c r="G26" s="158"/>
      <c r="H26" s="147"/>
      <c r="I26" s="26"/>
      <c r="J26" s="26"/>
      <c r="K26" s="147"/>
      <c r="M26" s="142"/>
      <c r="O26" s="143"/>
      <c r="Q26" s="194"/>
      <c r="S26" s="192"/>
      <c r="T26" s="183"/>
      <c r="U26" s="142"/>
      <c r="V26" s="183"/>
      <c r="W26" s="187"/>
      <c r="Y26" s="194"/>
      <c r="AA26" s="192"/>
      <c r="AB26" s="183"/>
      <c r="AC26" s="142"/>
      <c r="AD26" s="183"/>
      <c r="AE26" s="187"/>
      <c r="AG26" s="194"/>
      <c r="AI26" s="192"/>
      <c r="AJ26" s="183"/>
      <c r="AK26" s="142"/>
      <c r="AL26" s="183"/>
      <c r="AM26" s="187"/>
    </row>
    <row r="27" spans="1:39" ht="15.75">
      <c r="C27" s="13" t="s">
        <v>33</v>
      </c>
      <c r="E27" s="157">
        <f>SUBTOTAL(9,E21:E26)</f>
        <v>66947525.640000001</v>
      </c>
      <c r="F27" s="145"/>
      <c r="G27" s="159">
        <f t="shared" ref="G27" si="15">SUBTOTAL(9,G21:G26)</f>
        <v>35493695.93</v>
      </c>
      <c r="H27" s="147"/>
      <c r="I27" s="26">
        <f>+ROUND(K27/E27*100,2)</f>
        <v>4.3</v>
      </c>
      <c r="J27" s="26"/>
      <c r="K27" s="147">
        <f>SUBTOTAL(9,K21:K26)</f>
        <v>2877890</v>
      </c>
      <c r="M27" s="160">
        <f t="shared" ref="M27" si="16">SUBTOTAL(9,M21:M26)</f>
        <v>1813180</v>
      </c>
      <c r="O27" s="147">
        <f t="shared" ref="O27" si="17">SUBTOTAL(9,O21:O26)</f>
        <v>1064710</v>
      </c>
      <c r="Q27" s="194">
        <f>+ROUND(S27/E27*100,2)</f>
        <v>4.3</v>
      </c>
      <c r="S27" s="192">
        <f>SUBTOTAL(9,S21:S26)</f>
        <v>2877890</v>
      </c>
      <c r="T27" s="183"/>
      <c r="U27" s="160">
        <f t="shared" ref="U27" si="18">SUBTOTAL(9,U21:U26)</f>
        <v>1812370.2301073261</v>
      </c>
      <c r="V27" s="183"/>
      <c r="W27" s="192">
        <f t="shared" ref="W27" si="19">SUBTOTAL(9,W21:W26)</f>
        <v>1065519.7698926737</v>
      </c>
      <c r="Y27" s="195">
        <f>+ROUND(AA27/E27*100,2)</f>
        <v>4.3</v>
      </c>
      <c r="AA27" s="192">
        <f>SUBTOTAL(9,AA21:AA26)</f>
        <v>2877890.5641025645</v>
      </c>
      <c r="AB27" s="183"/>
      <c r="AC27" s="160">
        <f t="shared" ref="AC27" si="20">SUBTOTAL(9,AC21:AC26)</f>
        <v>1812370.0409652907</v>
      </c>
      <c r="AD27" s="183"/>
      <c r="AE27" s="192">
        <f t="shared" ref="AE27" si="21">SUBTOTAL(9,AE21:AE26)</f>
        <v>1065520.5231372735</v>
      </c>
      <c r="AG27" s="195">
        <f>+ROUND(AI27/E27*100,2)</f>
        <v>3.02</v>
      </c>
      <c r="AI27" s="192">
        <f>SUBTOTAL(9,AI21:AI26)</f>
        <v>2018508.5833333335</v>
      </c>
      <c r="AJ27" s="183"/>
      <c r="AK27" s="160">
        <f t="shared" ref="AK27" si="22">SUBTOTAL(9,AK21:AK26)</f>
        <v>1436541.6694117547</v>
      </c>
      <c r="AL27" s="183"/>
      <c r="AM27" s="192">
        <f t="shared" ref="AM27" si="23">SUBTOTAL(9,AM21:AM26)</f>
        <v>581966.91392157867</v>
      </c>
    </row>
    <row r="28" spans="1:39" ht="15.75">
      <c r="C28" s="18"/>
      <c r="G28" s="156"/>
      <c r="I28" s="26"/>
      <c r="J28" s="26"/>
      <c r="M28" s="142"/>
      <c r="O28" s="143"/>
      <c r="Q28" s="194"/>
      <c r="S28" s="191"/>
      <c r="T28" s="183"/>
      <c r="U28" s="142"/>
      <c r="V28" s="183"/>
      <c r="W28" s="187"/>
      <c r="Y28" s="194"/>
      <c r="AA28" s="191"/>
      <c r="AB28" s="183"/>
      <c r="AC28" s="142"/>
      <c r="AD28" s="183"/>
      <c r="AE28" s="187"/>
      <c r="AG28" s="194"/>
      <c r="AI28" s="191"/>
      <c r="AJ28" s="183"/>
      <c r="AK28" s="142"/>
      <c r="AL28" s="183"/>
      <c r="AM28" s="187"/>
    </row>
    <row r="29" spans="1:39">
      <c r="A29" s="30">
        <v>311</v>
      </c>
      <c r="C29" s="13" t="s">
        <v>34</v>
      </c>
      <c r="G29" s="156"/>
      <c r="I29" s="26"/>
      <c r="J29" s="26"/>
      <c r="M29" s="142"/>
      <c r="O29" s="143"/>
      <c r="Q29" s="194"/>
      <c r="S29" s="191"/>
      <c r="T29" s="183"/>
      <c r="U29" s="142"/>
      <c r="V29" s="183"/>
      <c r="W29" s="187"/>
      <c r="Y29" s="194"/>
      <c r="AA29" s="191"/>
      <c r="AB29" s="183"/>
      <c r="AC29" s="142"/>
      <c r="AD29" s="183"/>
      <c r="AE29" s="187"/>
      <c r="AG29" s="194"/>
      <c r="AI29" s="191"/>
      <c r="AJ29" s="183"/>
      <c r="AK29" s="142"/>
      <c r="AL29" s="183"/>
      <c r="AM29" s="187"/>
    </row>
    <row r="30" spans="1:39">
      <c r="A30" s="30"/>
      <c r="C30" s="33" t="s">
        <v>35</v>
      </c>
      <c r="E30" s="157">
        <v>619445.56000000006</v>
      </c>
      <c r="F30" s="145"/>
      <c r="G30" s="158">
        <v>0</v>
      </c>
      <c r="H30" s="147"/>
      <c r="I30" s="26">
        <v>1.7</v>
      </c>
      <c r="J30" s="26"/>
      <c r="K30" s="147">
        <v>10555</v>
      </c>
      <c r="M30" s="142">
        <f t="shared" si="13"/>
        <v>0</v>
      </c>
      <c r="O30" s="143">
        <f t="shared" si="9"/>
        <v>10555</v>
      </c>
      <c r="Q30" s="194">
        <f>'AG-Nucor 1-43 With Formulas'!S29</f>
        <v>1.7039431197149915</v>
      </c>
      <c r="S30" s="192">
        <f t="shared" ref="S30:S39" si="24">E30*(Q30/100)</f>
        <v>10555</v>
      </c>
      <c r="T30" s="183"/>
      <c r="U30" s="142">
        <f t="shared" ref="U30:U39" si="25">G30*(Q30/100)</f>
        <v>0</v>
      </c>
      <c r="V30" s="183"/>
      <c r="W30" s="187">
        <f t="shared" ref="W30:W39" si="26">S30-U30</f>
        <v>10555</v>
      </c>
      <c r="Y30" s="194">
        <f>'Adj 2 Depr-No Int NS or Retire '!S29</f>
        <v>1.6770988375014402</v>
      </c>
      <c r="AA30" s="224">
        <f t="shared" ref="AA30:AA39" si="27">E30*(Y30/100)</f>
        <v>10388.714285714288</v>
      </c>
      <c r="AB30" s="225"/>
      <c r="AC30" s="226">
        <f t="shared" ref="AC30:AC39" si="28">G30*(Y30/100)</f>
        <v>0</v>
      </c>
      <c r="AD30" s="183"/>
      <c r="AE30" s="187">
        <f t="shared" ref="AE30:AE39" si="29">AA30-AC30</f>
        <v>10388.714285714288</v>
      </c>
      <c r="AG30" s="194">
        <f>'Adj 3 Depr-Extend Lifespans'!S29</f>
        <v>1.6770988375014402</v>
      </c>
      <c r="AI30" s="224">
        <f t="shared" ref="AI30:AI39" si="30">E30*(AG30/100)</f>
        <v>10388.714285714288</v>
      </c>
      <c r="AJ30" s="225"/>
      <c r="AK30" s="226">
        <f t="shared" ref="AK30:AK39" si="31">G30*(AG30/100)</f>
        <v>0</v>
      </c>
      <c r="AL30" s="183"/>
      <c r="AM30" s="187">
        <f t="shared" ref="AM30:AM39" si="32">AI30-AK30</f>
        <v>10388.714285714288</v>
      </c>
    </row>
    <row r="31" spans="1:39">
      <c r="A31" s="30"/>
      <c r="C31" s="33" t="s">
        <v>36</v>
      </c>
      <c r="E31" s="157">
        <v>11594469.07</v>
      </c>
      <c r="F31" s="145"/>
      <c r="G31" s="158">
        <v>1242055.47</v>
      </c>
      <c r="H31" s="147"/>
      <c r="I31" s="26">
        <v>0.75</v>
      </c>
      <c r="J31" s="26"/>
      <c r="K31" s="147">
        <v>86379</v>
      </c>
      <c r="M31" s="142">
        <f t="shared" si="13"/>
        <v>9315</v>
      </c>
      <c r="O31" s="143">
        <f t="shared" si="9"/>
        <v>77064</v>
      </c>
      <c r="Q31" s="194">
        <f>'AG-Nucor 1-43 With Formulas'!S30</f>
        <v>0.54354364671223365</v>
      </c>
      <c r="S31" s="192">
        <f t="shared" si="24"/>
        <v>63021.000000000007</v>
      </c>
      <c r="T31" s="183"/>
      <c r="U31" s="142">
        <f t="shared" si="25"/>
        <v>6751.1135958267732</v>
      </c>
      <c r="V31" s="183"/>
      <c r="W31" s="187">
        <f t="shared" si="26"/>
        <v>56269.88640417323</v>
      </c>
      <c r="Y31" s="194">
        <f>'Adj 2 Depr-No Int NS or Retire '!S30</f>
        <v>0.40723497598957614</v>
      </c>
      <c r="AA31" s="224">
        <f t="shared" si="27"/>
        <v>47216.73333333333</v>
      </c>
      <c r="AB31" s="225"/>
      <c r="AC31" s="226">
        <f t="shared" si="28"/>
        <v>5058.0842950317165</v>
      </c>
      <c r="AD31" s="183"/>
      <c r="AE31" s="187">
        <f t="shared" si="29"/>
        <v>42158.649038301613</v>
      </c>
      <c r="AG31" s="194">
        <f>'Adj 3 Depr-Extend Lifespans'!S30</f>
        <v>0.40723497598957614</v>
      </c>
      <c r="AI31" s="224">
        <f t="shared" si="30"/>
        <v>47216.73333333333</v>
      </c>
      <c r="AJ31" s="225"/>
      <c r="AK31" s="226">
        <f t="shared" si="31"/>
        <v>5058.0842950317165</v>
      </c>
      <c r="AL31" s="183"/>
      <c r="AM31" s="187">
        <f t="shared" si="32"/>
        <v>42158.649038301613</v>
      </c>
    </row>
    <row r="32" spans="1:39">
      <c r="A32" s="30"/>
      <c r="C32" s="33" t="s">
        <v>37</v>
      </c>
      <c r="E32" s="157">
        <v>16839214.859999999</v>
      </c>
      <c r="F32" s="145"/>
      <c r="G32" s="158">
        <v>16839214.859999999</v>
      </c>
      <c r="H32" s="147"/>
      <c r="I32" s="26">
        <v>2.83</v>
      </c>
      <c r="J32" s="26"/>
      <c r="K32" s="147">
        <v>476319</v>
      </c>
      <c r="M32" s="142">
        <f>ROUND(G32*(I32/100),0)-231</f>
        <v>476319</v>
      </c>
      <c r="O32" s="143">
        <f t="shared" si="9"/>
        <v>0</v>
      </c>
      <c r="Q32" s="194">
        <f>'AG-Nucor 1-43 With Formulas'!S31</f>
        <v>2.6271533659853783</v>
      </c>
      <c r="S32" s="192">
        <f t="shared" si="24"/>
        <v>442392</v>
      </c>
      <c r="T32" s="183"/>
      <c r="U32" s="142">
        <f t="shared" si="25"/>
        <v>442392</v>
      </c>
      <c r="V32" s="183"/>
      <c r="W32" s="187">
        <f t="shared" si="26"/>
        <v>0</v>
      </c>
      <c r="Y32" s="194">
        <f>'Adj 2 Depr-No Int NS or Retire '!S31</f>
        <v>2.5412198266034043</v>
      </c>
      <c r="AA32" s="224">
        <f t="shared" si="27"/>
        <v>427921.46666666667</v>
      </c>
      <c r="AB32" s="225"/>
      <c r="AC32" s="226">
        <f t="shared" si="28"/>
        <v>427921.46666666667</v>
      </c>
      <c r="AD32" s="183"/>
      <c r="AE32" s="187">
        <f t="shared" si="29"/>
        <v>0</v>
      </c>
      <c r="AG32" s="194">
        <f>'Adj 3 Depr-Extend Lifespans'!S31</f>
        <v>2.5412198266034043</v>
      </c>
      <c r="AI32" s="224">
        <f t="shared" si="30"/>
        <v>427921.46666666667</v>
      </c>
      <c r="AJ32" s="225"/>
      <c r="AK32" s="226">
        <f t="shared" si="31"/>
        <v>427921.46666666667</v>
      </c>
      <c r="AL32" s="183"/>
      <c r="AM32" s="187">
        <f t="shared" si="32"/>
        <v>0</v>
      </c>
    </row>
    <row r="33" spans="1:39">
      <c r="A33" s="30"/>
      <c r="C33" s="33" t="s">
        <v>38</v>
      </c>
      <c r="E33" s="157">
        <v>71702335.620000005</v>
      </c>
      <c r="F33" s="145"/>
      <c r="G33" s="158">
        <f>30007411.31+11436007.12</f>
        <v>41443418.43</v>
      </c>
      <c r="H33" s="147"/>
      <c r="I33" s="26">
        <v>3.46</v>
      </c>
      <c r="J33" s="26"/>
      <c r="K33" s="147">
        <v>2480647</v>
      </c>
      <c r="M33" s="142">
        <f t="shared" si="13"/>
        <v>1433942</v>
      </c>
      <c r="O33" s="143">
        <f t="shared" si="9"/>
        <v>1046705</v>
      </c>
      <c r="Q33" s="194">
        <f>'AG-Nucor 1-43 With Formulas'!S32</f>
        <v>3.3818005773910103</v>
      </c>
      <c r="S33" s="192">
        <f t="shared" si="24"/>
        <v>2424830</v>
      </c>
      <c r="T33" s="183"/>
      <c r="U33" s="142">
        <f t="shared" si="25"/>
        <v>1401533.7637563122</v>
      </c>
      <c r="V33" s="183"/>
      <c r="W33" s="187">
        <f t="shared" si="26"/>
        <v>1023296.2362436878</v>
      </c>
      <c r="Y33" s="194">
        <f>'Adj 2 Depr-No Int NS or Retire '!S32</f>
        <v>3.3068693201678143</v>
      </c>
      <c r="AA33" s="224">
        <f t="shared" si="27"/>
        <v>2371102.5384615385</v>
      </c>
      <c r="AB33" s="225"/>
      <c r="AC33" s="226">
        <f t="shared" si="28"/>
        <v>1370479.6892904437</v>
      </c>
      <c r="AD33" s="183"/>
      <c r="AE33" s="187">
        <f t="shared" si="29"/>
        <v>1000622.8491710948</v>
      </c>
      <c r="AG33" s="194">
        <f>'Adj 3 Depr-Extend Lifespans'!S32</f>
        <v>1.7912208817575659</v>
      </c>
      <c r="AI33" s="224">
        <f t="shared" si="30"/>
        <v>1284347.2083333333</v>
      </c>
      <c r="AJ33" s="225"/>
      <c r="AK33" s="226">
        <f t="shared" si="31"/>
        <v>742343.16503232357</v>
      </c>
      <c r="AL33" s="183"/>
      <c r="AM33" s="187">
        <f t="shared" si="32"/>
        <v>542004.04330100969</v>
      </c>
    </row>
    <row r="34" spans="1:39">
      <c r="A34" s="30"/>
      <c r="C34" s="33" t="s">
        <v>39</v>
      </c>
      <c r="E34" s="157">
        <v>27725671.460000001</v>
      </c>
      <c r="F34" s="145"/>
      <c r="G34" s="158">
        <v>728752.53</v>
      </c>
      <c r="H34" s="147"/>
      <c r="I34" s="26">
        <v>1.75</v>
      </c>
      <c r="J34" s="26"/>
      <c r="K34" s="147">
        <v>486535</v>
      </c>
      <c r="M34" s="142">
        <f t="shared" si="13"/>
        <v>12753</v>
      </c>
      <c r="O34" s="143">
        <f t="shared" si="9"/>
        <v>473782</v>
      </c>
      <c r="Q34" s="194">
        <f>'AG-Nucor 1-43 With Formulas'!S33</f>
        <v>1.6420522065870284</v>
      </c>
      <c r="S34" s="192">
        <f t="shared" si="24"/>
        <v>455270</v>
      </c>
      <c r="T34" s="183"/>
      <c r="U34" s="142">
        <f t="shared" si="25"/>
        <v>11966.496999423796</v>
      </c>
      <c r="V34" s="183"/>
      <c r="W34" s="187">
        <f t="shared" si="26"/>
        <v>443303.50300057622</v>
      </c>
      <c r="Y34" s="194">
        <f>'Adj 2 Depr-No Int NS or Retire '!S33</f>
        <v>1.4372175299747123</v>
      </c>
      <c r="AA34" s="224">
        <f t="shared" si="27"/>
        <v>398478.21052631579</v>
      </c>
      <c r="AB34" s="225"/>
      <c r="AC34" s="226">
        <f t="shared" si="28"/>
        <v>10473.759111294225</v>
      </c>
      <c r="AD34" s="183"/>
      <c r="AE34" s="187">
        <f t="shared" si="29"/>
        <v>388004.45141502155</v>
      </c>
      <c r="AG34" s="194">
        <f>'Adj 3 Depr-Extend Lifespans'!S33</f>
        <v>1.4372175299747123</v>
      </c>
      <c r="AI34" s="224">
        <f t="shared" si="30"/>
        <v>398478.21052631579</v>
      </c>
      <c r="AJ34" s="225"/>
      <c r="AK34" s="226">
        <f t="shared" si="31"/>
        <v>10473.759111294225</v>
      </c>
      <c r="AL34" s="183"/>
      <c r="AM34" s="187">
        <f t="shared" si="32"/>
        <v>388004.45141502155</v>
      </c>
    </row>
    <row r="35" spans="1:39">
      <c r="A35" s="30"/>
      <c r="C35" s="33" t="s">
        <v>40</v>
      </c>
      <c r="E35" s="157">
        <v>33813856.219999999</v>
      </c>
      <c r="F35" s="145"/>
      <c r="G35" s="158">
        <v>145128.04</v>
      </c>
      <c r="H35" s="147"/>
      <c r="I35" s="26">
        <v>1.7</v>
      </c>
      <c r="J35" s="26"/>
      <c r="K35" s="147">
        <v>576217</v>
      </c>
      <c r="M35" s="142">
        <f t="shared" si="13"/>
        <v>2467</v>
      </c>
      <c r="O35" s="143">
        <f t="shared" si="9"/>
        <v>573750</v>
      </c>
      <c r="Q35" s="194">
        <f>'AG-Nucor 1-43 With Formulas'!S34</f>
        <v>1.5912766544554733</v>
      </c>
      <c r="S35" s="192">
        <f t="shared" si="24"/>
        <v>538072</v>
      </c>
      <c r="T35" s="183"/>
      <c r="U35" s="142">
        <f t="shared" si="25"/>
        <v>2309.3886195888012</v>
      </c>
      <c r="V35" s="183"/>
      <c r="W35" s="187">
        <f t="shared" si="26"/>
        <v>535762.6113804112</v>
      </c>
      <c r="Y35" s="194">
        <f>'Adj 2 Depr-No Int NS or Retire '!S34</f>
        <v>1.3829159486687963</v>
      </c>
      <c r="AA35" s="224">
        <f t="shared" si="27"/>
        <v>467617.21052631579</v>
      </c>
      <c r="AB35" s="225"/>
      <c r="AC35" s="226">
        <f t="shared" si="28"/>
        <v>2006.9988111504304</v>
      </c>
      <c r="AD35" s="183"/>
      <c r="AE35" s="187">
        <f t="shared" si="29"/>
        <v>465610.21171516535</v>
      </c>
      <c r="AG35" s="194">
        <f>'Adj 3 Depr-Extend Lifespans'!S34</f>
        <v>1.2512096678431968</v>
      </c>
      <c r="AI35" s="224">
        <f t="shared" si="30"/>
        <v>423082.23809523811</v>
      </c>
      <c r="AJ35" s="225"/>
      <c r="AK35" s="226">
        <f t="shared" si="31"/>
        <v>1815.8560672313417</v>
      </c>
      <c r="AL35" s="183"/>
      <c r="AM35" s="187">
        <f t="shared" si="32"/>
        <v>421266.38202800677</v>
      </c>
    </row>
    <row r="36" spans="1:39">
      <c r="A36" s="30"/>
      <c r="C36" s="33" t="s">
        <v>41</v>
      </c>
      <c r="E36" s="157">
        <v>135449284.44</v>
      </c>
      <c r="F36" s="145"/>
      <c r="G36" s="158">
        <v>35755613</v>
      </c>
      <c r="H36" s="147"/>
      <c r="I36" s="26">
        <v>2.76</v>
      </c>
      <c r="J36" s="26"/>
      <c r="K36" s="147">
        <v>3734493</v>
      </c>
      <c r="M36" s="142">
        <f t="shared" si="13"/>
        <v>986855</v>
      </c>
      <c r="O36" s="143">
        <f t="shared" si="9"/>
        <v>2747638</v>
      </c>
      <c r="Q36" s="194">
        <f>'AG-Nucor 1-43 With Formulas'!S35</f>
        <v>2.637803525335479</v>
      </c>
      <c r="S36" s="192">
        <f t="shared" si="24"/>
        <v>3572886.0000000005</v>
      </c>
      <c r="T36" s="183"/>
      <c r="U36" s="142">
        <f t="shared" si="25"/>
        <v>943162.82021931082</v>
      </c>
      <c r="V36" s="183"/>
      <c r="W36" s="187">
        <f t="shared" si="26"/>
        <v>2629723.1797806895</v>
      </c>
      <c r="Y36" s="194">
        <f>'Adj 2 Depr-No Int NS or Retire '!S35</f>
        <v>2.5126792308520067</v>
      </c>
      <c r="AA36" s="224">
        <f t="shared" si="27"/>
        <v>3403406.0384615385</v>
      </c>
      <c r="AB36" s="225"/>
      <c r="AC36" s="226">
        <f t="shared" si="28"/>
        <v>898423.86171482003</v>
      </c>
      <c r="AD36" s="183"/>
      <c r="AE36" s="187">
        <f t="shared" si="29"/>
        <v>2504982.1767467186</v>
      </c>
      <c r="AG36" s="194">
        <f>'Adj 3 Depr-Extend Lifespans'!S35</f>
        <v>1.4847650000489128</v>
      </c>
      <c r="AI36" s="224">
        <f t="shared" si="30"/>
        <v>2011103.5681818181</v>
      </c>
      <c r="AJ36" s="225"/>
      <c r="AK36" s="226">
        <f t="shared" si="31"/>
        <v>530886.82737693912</v>
      </c>
      <c r="AL36" s="183"/>
      <c r="AM36" s="187">
        <f t="shared" si="32"/>
        <v>1480216.740804879</v>
      </c>
    </row>
    <row r="37" spans="1:39">
      <c r="A37" s="30"/>
      <c r="C37" s="33" t="s">
        <v>42</v>
      </c>
      <c r="E37" s="157">
        <v>91570829.790000007</v>
      </c>
      <c r="F37" s="145"/>
      <c r="G37" s="158">
        <v>14367458.42</v>
      </c>
      <c r="H37" s="147"/>
      <c r="I37" s="26">
        <v>3</v>
      </c>
      <c r="J37" s="26"/>
      <c r="K37" s="147">
        <v>2745653</v>
      </c>
      <c r="M37" s="142">
        <f t="shared" si="13"/>
        <v>431024</v>
      </c>
      <c r="O37" s="143">
        <f t="shared" si="9"/>
        <v>2314629</v>
      </c>
      <c r="Q37" s="194">
        <f>'AG-Nucor 1-43 With Formulas'!S36</f>
        <v>2.8801584588108815</v>
      </c>
      <c r="S37" s="192">
        <f t="shared" si="24"/>
        <v>2637385</v>
      </c>
      <c r="T37" s="183"/>
      <c r="U37" s="142">
        <f t="shared" si="25"/>
        <v>413805.56899976626</v>
      </c>
      <c r="V37" s="183"/>
      <c r="W37" s="187">
        <f t="shared" si="26"/>
        <v>2223579.4310002336</v>
      </c>
      <c r="Y37" s="194">
        <f>'Adj 2 Depr-No Int NS or Retire '!S36</f>
        <v>2.7723546457623005</v>
      </c>
      <c r="AA37" s="224">
        <f t="shared" si="27"/>
        <v>2538668.1538461535</v>
      </c>
      <c r="AB37" s="225"/>
      <c r="AC37" s="226">
        <f t="shared" si="28"/>
        <v>398316.9009848368</v>
      </c>
      <c r="AD37" s="183"/>
      <c r="AE37" s="187">
        <f t="shared" si="29"/>
        <v>2140351.2528613168</v>
      </c>
      <c r="AG37" s="194">
        <f>'Adj 3 Depr-Extend Lifespans'!S36</f>
        <v>1.5016920997879128</v>
      </c>
      <c r="AI37" s="224">
        <f t="shared" si="30"/>
        <v>1375111.9166666667</v>
      </c>
      <c r="AJ37" s="225"/>
      <c r="AK37" s="226">
        <f t="shared" si="31"/>
        <v>215754.98803345326</v>
      </c>
      <c r="AL37" s="183"/>
      <c r="AM37" s="187">
        <f t="shared" si="32"/>
        <v>1159356.9286332135</v>
      </c>
    </row>
    <row r="38" spans="1:39">
      <c r="A38" s="30"/>
      <c r="C38" s="33" t="s">
        <v>43</v>
      </c>
      <c r="E38" s="157">
        <v>25327525.350000001</v>
      </c>
      <c r="F38" s="145"/>
      <c r="G38" s="158">
        <v>25327525.350000001</v>
      </c>
      <c r="H38" s="147"/>
      <c r="I38" s="26">
        <v>2.98</v>
      </c>
      <c r="J38" s="26"/>
      <c r="K38" s="147">
        <v>755743</v>
      </c>
      <c r="M38" s="142">
        <f>ROUND(G38*(I38/100),0)+983</f>
        <v>755743</v>
      </c>
      <c r="O38" s="143">
        <f t="shared" si="9"/>
        <v>0</v>
      </c>
      <c r="Q38" s="194">
        <f>'AG-Nucor 1-43 With Formulas'!S37</f>
        <v>2.8770990846130964</v>
      </c>
      <c r="S38" s="192">
        <f t="shared" si="24"/>
        <v>728698</v>
      </c>
      <c r="T38" s="183"/>
      <c r="U38" s="142">
        <f t="shared" si="25"/>
        <v>728698</v>
      </c>
      <c r="V38" s="183"/>
      <c r="W38" s="187">
        <f t="shared" si="26"/>
        <v>0</v>
      </c>
      <c r="Y38" s="194">
        <f>'Adj 2 Depr-No Int NS or Retire '!S37</f>
        <v>2.7835831850903872</v>
      </c>
      <c r="AA38" s="224">
        <f t="shared" si="27"/>
        <v>705012.73684210528</v>
      </c>
      <c r="AB38" s="225"/>
      <c r="AC38" s="226">
        <f t="shared" si="28"/>
        <v>705012.73684210528</v>
      </c>
      <c r="AD38" s="183"/>
      <c r="AE38" s="187">
        <f t="shared" si="29"/>
        <v>0</v>
      </c>
      <c r="AG38" s="194">
        <f>'Adj 3 Depr-Extend Lifespans'!S37</f>
        <v>2.7835831850903872</v>
      </c>
      <c r="AI38" s="224">
        <f t="shared" si="30"/>
        <v>705012.73684210528</v>
      </c>
      <c r="AJ38" s="225"/>
      <c r="AK38" s="226">
        <f t="shared" si="31"/>
        <v>705012.73684210528</v>
      </c>
      <c r="AL38" s="183"/>
      <c r="AM38" s="187">
        <f t="shared" si="32"/>
        <v>0</v>
      </c>
    </row>
    <row r="39" spans="1:39">
      <c r="A39" s="30"/>
      <c r="C39" s="33" t="s">
        <v>44</v>
      </c>
      <c r="E39" s="144">
        <v>22295947.370000001</v>
      </c>
      <c r="F39" s="145"/>
      <c r="G39" s="146">
        <v>22295947.370000001</v>
      </c>
      <c r="H39" s="147"/>
      <c r="I39" s="26">
        <v>3.03</v>
      </c>
      <c r="J39" s="26"/>
      <c r="K39" s="148">
        <v>674665</v>
      </c>
      <c r="M39" s="149">
        <f>ROUND(G39*(I39/100),0)-902</f>
        <v>674665</v>
      </c>
      <c r="O39" s="150">
        <f t="shared" si="9"/>
        <v>0</v>
      </c>
      <c r="Q39" s="194">
        <f>'AG-Nucor 1-43 With Formulas'!S38</f>
        <v>2.8657808946021026</v>
      </c>
      <c r="S39" s="177">
        <f t="shared" si="24"/>
        <v>638953</v>
      </c>
      <c r="T39" s="183"/>
      <c r="U39" s="149">
        <f t="shared" si="25"/>
        <v>638953</v>
      </c>
      <c r="V39" s="183"/>
      <c r="W39" s="188">
        <f t="shared" si="26"/>
        <v>0</v>
      </c>
      <c r="Y39" s="227">
        <f>'Adj 2 Depr-No Int NS or Retire '!S38</f>
        <v>2.7724250097771534</v>
      </c>
      <c r="AA39" s="177">
        <f t="shared" si="27"/>
        <v>618138.42105263146</v>
      </c>
      <c r="AB39" s="225"/>
      <c r="AC39" s="149">
        <f t="shared" si="28"/>
        <v>618138.42105263146</v>
      </c>
      <c r="AD39" s="183"/>
      <c r="AE39" s="188">
        <f t="shared" si="29"/>
        <v>0</v>
      </c>
      <c r="AG39" s="194">
        <f>'Adj 3 Depr-Extend Lifespans'!S38</f>
        <v>2.5083845326555201</v>
      </c>
      <c r="AI39" s="177">
        <f t="shared" si="30"/>
        <v>559268.09523809527</v>
      </c>
      <c r="AJ39" s="225"/>
      <c r="AK39" s="149">
        <f t="shared" si="31"/>
        <v>559268.09523809527</v>
      </c>
      <c r="AL39" s="183"/>
      <c r="AM39" s="188">
        <f t="shared" si="32"/>
        <v>0</v>
      </c>
    </row>
    <row r="40" spans="1:39">
      <c r="A40" s="30"/>
      <c r="E40" s="157"/>
      <c r="F40" s="145"/>
      <c r="G40" s="158"/>
      <c r="H40" s="147"/>
      <c r="I40" s="26"/>
      <c r="J40" s="26"/>
      <c r="K40" s="147"/>
      <c r="M40" s="142"/>
      <c r="O40" s="143"/>
      <c r="Q40" s="194"/>
      <c r="S40" s="192"/>
      <c r="T40" s="183"/>
      <c r="U40" s="142"/>
      <c r="V40" s="183"/>
      <c r="W40" s="187"/>
      <c r="Y40" s="194"/>
      <c r="AA40" s="192"/>
      <c r="AB40" s="183"/>
      <c r="AC40" s="142"/>
      <c r="AD40" s="183"/>
      <c r="AE40" s="187"/>
      <c r="AG40" s="194"/>
      <c r="AI40" s="192"/>
      <c r="AJ40" s="183"/>
      <c r="AK40" s="142"/>
      <c r="AL40" s="183"/>
      <c r="AM40" s="187"/>
    </row>
    <row r="41" spans="1:39" ht="15.75">
      <c r="A41" s="30"/>
      <c r="C41" s="13" t="s">
        <v>45</v>
      </c>
      <c r="E41" s="157">
        <f>SUBTOTAL(9,E30:E40)</f>
        <v>436938579.74000007</v>
      </c>
      <c r="F41" s="145"/>
      <c r="G41" s="159">
        <f t="shared" ref="G41" si="33">SUBTOTAL(9,G30:G40)</f>
        <v>158145113.47</v>
      </c>
      <c r="H41" s="147"/>
      <c r="I41" s="26">
        <f>+ROUND(K41/E41*100,2)</f>
        <v>2.75</v>
      </c>
      <c r="J41" s="26"/>
      <c r="K41" s="147">
        <f>SUBTOTAL(9,K30:K40)</f>
        <v>12027206</v>
      </c>
      <c r="M41" s="160">
        <f t="shared" ref="M41" si="34">SUBTOTAL(9,M30:M40)</f>
        <v>4783083</v>
      </c>
      <c r="O41" s="147">
        <f t="shared" ref="O41" si="35">SUBTOTAL(9,O30:O40)</f>
        <v>7244123</v>
      </c>
      <c r="Q41" s="194">
        <f>+ROUND(S41/E41*100,2)</f>
        <v>2.63</v>
      </c>
      <c r="S41" s="192">
        <f>SUBTOTAL(9,S30:S40)</f>
        <v>11512062</v>
      </c>
      <c r="T41" s="183"/>
      <c r="U41" s="160">
        <f t="shared" ref="U41" si="36">SUBTOTAL(9,U30:U40)</f>
        <v>4589572.1521902289</v>
      </c>
      <c r="V41" s="183"/>
      <c r="W41" s="192">
        <f t="shared" ref="W41" si="37">SUBTOTAL(9,W30:W40)</f>
        <v>6922489.847809772</v>
      </c>
      <c r="Y41" s="195">
        <f>+ROUND(AA41/E41*100,2)</f>
        <v>2.5099999999999998</v>
      </c>
      <c r="AA41" s="192">
        <f>SUBTOTAL(9,AA30:AA40)</f>
        <v>10987950.224002313</v>
      </c>
      <c r="AB41" s="183"/>
      <c r="AC41" s="160">
        <f t="shared" ref="AC41" si="38">SUBTOTAL(9,AC30:AC40)</f>
        <v>4435831.9187689796</v>
      </c>
      <c r="AD41" s="183"/>
      <c r="AE41" s="192">
        <f t="shared" ref="AE41" si="39">SUBTOTAL(9,AE30:AE40)</f>
        <v>6552118.3052333333</v>
      </c>
      <c r="AG41" s="195">
        <f>+ROUND(AI41/E41*100,2)</f>
        <v>1.66</v>
      </c>
      <c r="AI41" s="192">
        <f>SUBTOTAL(9,AI30:AI40)</f>
        <v>7241930.8881692868</v>
      </c>
      <c r="AJ41" s="183"/>
      <c r="AK41" s="160">
        <f t="shared" ref="AK41" si="40">SUBTOTAL(9,AK30:AK40)</f>
        <v>3198534.9786631404</v>
      </c>
      <c r="AL41" s="183"/>
      <c r="AM41" s="192">
        <f t="shared" ref="AM41" si="41">SUBTOTAL(9,AM30:AM40)</f>
        <v>4043395.9095061463</v>
      </c>
    </row>
    <row r="42" spans="1:39">
      <c r="A42" s="30"/>
      <c r="E42" s="157"/>
      <c r="F42" s="145"/>
      <c r="G42" s="158"/>
      <c r="H42" s="147"/>
      <c r="I42" s="26"/>
      <c r="J42" s="26"/>
      <c r="K42" s="147"/>
      <c r="M42" s="142"/>
      <c r="O42" s="143"/>
      <c r="Q42" s="194"/>
      <c r="S42" s="192"/>
      <c r="T42" s="183"/>
      <c r="U42" s="142"/>
      <c r="V42" s="183"/>
      <c r="W42" s="187"/>
      <c r="Y42" s="194"/>
      <c r="AA42" s="192"/>
      <c r="AB42" s="183"/>
      <c r="AC42" s="142"/>
      <c r="AD42" s="183"/>
      <c r="AE42" s="187"/>
      <c r="AG42" s="194"/>
      <c r="AI42" s="192"/>
      <c r="AJ42" s="183"/>
      <c r="AK42" s="142"/>
      <c r="AL42" s="183"/>
      <c r="AM42" s="187"/>
    </row>
    <row r="43" spans="1:39">
      <c r="A43" s="30">
        <v>312</v>
      </c>
      <c r="C43" s="13" t="s">
        <v>46</v>
      </c>
      <c r="E43" s="157"/>
      <c r="F43" s="145"/>
      <c r="G43" s="158"/>
      <c r="H43" s="147"/>
      <c r="I43" s="26"/>
      <c r="J43" s="26"/>
      <c r="K43" s="147"/>
      <c r="M43" s="142"/>
      <c r="O43" s="143"/>
      <c r="Q43" s="194"/>
      <c r="S43" s="192"/>
      <c r="T43" s="183"/>
      <c r="U43" s="142"/>
      <c r="V43" s="183"/>
      <c r="W43" s="187"/>
      <c r="Y43" s="194"/>
      <c r="AA43" s="192"/>
      <c r="AB43" s="183"/>
      <c r="AC43" s="142"/>
      <c r="AD43" s="183"/>
      <c r="AE43" s="187"/>
      <c r="AG43" s="194"/>
      <c r="AI43" s="192"/>
      <c r="AJ43" s="183"/>
      <c r="AK43" s="142"/>
      <c r="AL43" s="183"/>
      <c r="AM43" s="187"/>
    </row>
    <row r="44" spans="1:39">
      <c r="A44" s="30"/>
      <c r="C44" s="33" t="s">
        <v>36</v>
      </c>
      <c r="E44" s="157">
        <v>101123705.05</v>
      </c>
      <c r="F44" s="145"/>
      <c r="G44" s="158">
        <v>17023483.719999999</v>
      </c>
      <c r="H44" s="147"/>
      <c r="I44" s="26">
        <v>1.81</v>
      </c>
      <c r="J44" s="26"/>
      <c r="K44" s="147">
        <v>1834258</v>
      </c>
      <c r="M44" s="142">
        <f t="shared" si="13"/>
        <v>308125</v>
      </c>
      <c r="O44" s="143">
        <f t="shared" si="9"/>
        <v>1526133</v>
      </c>
      <c r="Q44" s="194">
        <f>'AG-Nucor 1-43 With Formulas'!S43</f>
        <v>1.6020437534393921</v>
      </c>
      <c r="S44" s="192">
        <f t="shared" ref="S44:S54" si="42">E44*(Q44/100)</f>
        <v>1620046</v>
      </c>
      <c r="T44" s="183"/>
      <c r="U44" s="142">
        <f t="shared" ref="U44:U54" si="43">G44*(Q44/100)</f>
        <v>272723.65755403182</v>
      </c>
      <c r="V44" s="183"/>
      <c r="W44" s="187">
        <f t="shared" ref="W44:W54" si="44">S44-U44</f>
        <v>1347322.3424459682</v>
      </c>
      <c r="Y44" s="194">
        <f>'Adj 2 Depr-No Int NS or Retire '!S43</f>
        <v>1.399031677060439</v>
      </c>
      <c r="AA44" s="224">
        <f t="shared" ref="AA44:AA54" si="45">E44*(Y44/100)</f>
        <v>1414752.6666666667</v>
      </c>
      <c r="AB44" s="225"/>
      <c r="AC44" s="226">
        <f t="shared" ref="AC44:AC54" si="46">G44*(Y44/100)</f>
        <v>238163.9297820268</v>
      </c>
      <c r="AD44" s="183"/>
      <c r="AE44" s="187">
        <f t="shared" ref="AE44:AE54" si="47">AA44-AC44</f>
        <v>1176588.7368846401</v>
      </c>
      <c r="AG44" s="194">
        <f>'Adj 3 Depr-Extend Lifespans'!S43</f>
        <v>1.399031677060439</v>
      </c>
      <c r="AI44" s="224">
        <f t="shared" ref="AI44:AI54" si="48">E44*(AG44/100)</f>
        <v>1414752.6666666667</v>
      </c>
      <c r="AJ44" s="225"/>
      <c r="AK44" s="226">
        <f t="shared" ref="AK44:AK54" si="49">G44*(AG44/100)</f>
        <v>238163.9297820268</v>
      </c>
      <c r="AL44" s="183"/>
      <c r="AM44" s="187">
        <f t="shared" ref="AM44:AM54" si="50">AI44-AK44</f>
        <v>1176588.7368846401</v>
      </c>
    </row>
    <row r="45" spans="1:39">
      <c r="A45" s="30"/>
      <c r="C45" s="33" t="s">
        <v>47</v>
      </c>
      <c r="E45" s="157">
        <v>7772878.4500000002</v>
      </c>
      <c r="F45" s="145"/>
      <c r="G45" s="158">
        <v>657445.13</v>
      </c>
      <c r="H45" s="147"/>
      <c r="I45" s="26">
        <v>0.22</v>
      </c>
      <c r="J45" s="26"/>
      <c r="K45" s="147">
        <v>17189</v>
      </c>
      <c r="M45" s="142">
        <f t="shared" si="13"/>
        <v>1446</v>
      </c>
      <c r="O45" s="143">
        <f t="shared" si="9"/>
        <v>15743</v>
      </c>
      <c r="Q45" s="194">
        <f>'AG-Nucor 1-43 With Formulas'!S44</f>
        <v>0</v>
      </c>
      <c r="S45" s="192">
        <f t="shared" si="42"/>
        <v>0</v>
      </c>
      <c r="T45" s="183"/>
      <c r="U45" s="142">
        <f t="shared" si="43"/>
        <v>0</v>
      </c>
      <c r="V45" s="183"/>
      <c r="W45" s="187">
        <f t="shared" si="44"/>
        <v>0</v>
      </c>
      <c r="Y45" s="194">
        <f>'Adj 2 Depr-No Int NS or Retire '!S44</f>
        <v>0</v>
      </c>
      <c r="AA45" s="224">
        <f t="shared" si="45"/>
        <v>0</v>
      </c>
      <c r="AB45" s="225"/>
      <c r="AC45" s="226">
        <f t="shared" si="46"/>
        <v>0</v>
      </c>
      <c r="AD45" s="183"/>
      <c r="AE45" s="187">
        <f t="shared" si="47"/>
        <v>0</v>
      </c>
      <c r="AG45" s="194">
        <f>'Adj 3 Depr-Extend Lifespans'!S44</f>
        <v>0</v>
      </c>
      <c r="AI45" s="224">
        <f t="shared" si="48"/>
        <v>0</v>
      </c>
      <c r="AJ45" s="225"/>
      <c r="AK45" s="226">
        <f t="shared" si="49"/>
        <v>0</v>
      </c>
      <c r="AL45" s="183"/>
      <c r="AM45" s="187">
        <f t="shared" si="50"/>
        <v>0</v>
      </c>
    </row>
    <row r="46" spans="1:39">
      <c r="A46" s="30"/>
      <c r="C46" s="33" t="s">
        <v>48</v>
      </c>
      <c r="E46" s="157">
        <v>10041434.960000001</v>
      </c>
      <c r="F46" s="145"/>
      <c r="G46" s="158">
        <v>0</v>
      </c>
      <c r="H46" s="147"/>
      <c r="I46" s="26">
        <v>1.77</v>
      </c>
      <c r="J46" s="26"/>
      <c r="K46" s="147">
        <v>178164</v>
      </c>
      <c r="M46" s="142">
        <f t="shared" si="13"/>
        <v>0</v>
      </c>
      <c r="O46" s="143">
        <f t="shared" si="9"/>
        <v>178164</v>
      </c>
      <c r="Q46" s="194">
        <f>'AG-Nucor 1-43 With Formulas'!S45</f>
        <v>1.5597471937417198</v>
      </c>
      <c r="S46" s="192">
        <f t="shared" si="42"/>
        <v>156621</v>
      </c>
      <c r="T46" s="183"/>
      <c r="U46" s="142">
        <f t="shared" si="43"/>
        <v>0</v>
      </c>
      <c r="V46" s="183"/>
      <c r="W46" s="187">
        <f t="shared" si="44"/>
        <v>156621</v>
      </c>
      <c r="Y46" s="194">
        <f>'Adj 2 Depr-No Int NS or Retire '!S45</f>
        <v>1.3646422768511031</v>
      </c>
      <c r="AA46" s="224">
        <f t="shared" si="45"/>
        <v>137029.66666666666</v>
      </c>
      <c r="AB46" s="225"/>
      <c r="AC46" s="226">
        <f t="shared" si="46"/>
        <v>0</v>
      </c>
      <c r="AD46" s="183"/>
      <c r="AE46" s="187">
        <f t="shared" si="47"/>
        <v>137029.66666666666</v>
      </c>
      <c r="AG46" s="194">
        <f>'Adj 3 Depr-Extend Lifespans'!S45</f>
        <v>1.3646422768511031</v>
      </c>
      <c r="AI46" s="224">
        <f t="shared" si="48"/>
        <v>137029.66666666666</v>
      </c>
      <c r="AJ46" s="225"/>
      <c r="AK46" s="226">
        <f t="shared" si="49"/>
        <v>0</v>
      </c>
      <c r="AL46" s="183"/>
      <c r="AM46" s="187">
        <f t="shared" si="50"/>
        <v>137029.66666666666</v>
      </c>
    </row>
    <row r="47" spans="1:39">
      <c r="A47" s="30"/>
      <c r="C47" s="33" t="s">
        <v>37</v>
      </c>
      <c r="E47" s="157">
        <v>193947398</v>
      </c>
      <c r="F47" s="145"/>
      <c r="G47" s="158">
        <v>192819702.47999999</v>
      </c>
      <c r="H47" s="147"/>
      <c r="I47" s="26">
        <v>2.92</v>
      </c>
      <c r="J47" s="26"/>
      <c r="K47" s="147">
        <v>5656492</v>
      </c>
      <c r="M47" s="142">
        <f t="shared" si="13"/>
        <v>5630335</v>
      </c>
      <c r="O47" s="143">
        <f t="shared" si="9"/>
        <v>26157</v>
      </c>
      <c r="Q47" s="194">
        <f>'AG-Nucor 1-43 With Formulas'!S46</f>
        <v>2.7081750279526822</v>
      </c>
      <c r="S47" s="192">
        <f t="shared" si="42"/>
        <v>5252434.9999999991</v>
      </c>
      <c r="T47" s="183"/>
      <c r="U47" s="142">
        <f t="shared" si="43"/>
        <v>5221895.0315360175</v>
      </c>
      <c r="V47" s="183"/>
      <c r="W47" s="187">
        <f t="shared" si="44"/>
        <v>30539.968463981524</v>
      </c>
      <c r="Y47" s="194">
        <f>'Adj 2 Depr-No Int NS or Retire '!S46</f>
        <v>2.5331812907332742</v>
      </c>
      <c r="AA47" s="224">
        <f t="shared" si="45"/>
        <v>4913039.2</v>
      </c>
      <c r="AB47" s="225"/>
      <c r="AC47" s="226">
        <f t="shared" si="46"/>
        <v>4884472.6280709226</v>
      </c>
      <c r="AD47" s="183"/>
      <c r="AE47" s="187">
        <f t="shared" si="47"/>
        <v>28566.571929077618</v>
      </c>
      <c r="AG47" s="194">
        <f>'Adj 3 Depr-Extend Lifespans'!S46</f>
        <v>2.5331812907332742</v>
      </c>
      <c r="AI47" s="224">
        <f t="shared" si="48"/>
        <v>4913039.2</v>
      </c>
      <c r="AJ47" s="225"/>
      <c r="AK47" s="226">
        <f t="shared" si="49"/>
        <v>4884472.6280709226</v>
      </c>
      <c r="AL47" s="183"/>
      <c r="AM47" s="187">
        <f t="shared" si="50"/>
        <v>28566.571929077618</v>
      </c>
    </row>
    <row r="48" spans="1:39">
      <c r="A48" s="30"/>
      <c r="C48" s="33" t="s">
        <v>38</v>
      </c>
      <c r="E48" s="157">
        <v>242346947.83000001</v>
      </c>
      <c r="F48" s="145"/>
      <c r="G48" s="158">
        <f>175143735.76+15413511.76</f>
        <v>190557247.51999998</v>
      </c>
      <c r="H48" s="147"/>
      <c r="I48" s="26">
        <v>3.71</v>
      </c>
      <c r="J48" s="26"/>
      <c r="K48" s="147">
        <v>8983272</v>
      </c>
      <c r="M48" s="142">
        <f t="shared" si="13"/>
        <v>7069674</v>
      </c>
      <c r="O48" s="143">
        <f t="shared" si="9"/>
        <v>1913598</v>
      </c>
      <c r="Q48" s="194">
        <f>'AG-Nucor 1-43 With Formulas'!S47</f>
        <v>3.6254048498119267</v>
      </c>
      <c r="S48" s="192">
        <f t="shared" si="42"/>
        <v>8786058</v>
      </c>
      <c r="T48" s="183"/>
      <c r="U48" s="142">
        <f t="shared" si="43"/>
        <v>6908471.6932581961</v>
      </c>
      <c r="V48" s="183"/>
      <c r="W48" s="187">
        <f t="shared" si="44"/>
        <v>1877586.3067418039</v>
      </c>
      <c r="Y48" s="194">
        <f>'Adj 2 Depr-No Int NS or Retire '!S47</f>
        <v>3.3951575641633411</v>
      </c>
      <c r="AA48" s="224">
        <f t="shared" si="45"/>
        <v>8228060.730769231</v>
      </c>
      <c r="AB48" s="225"/>
      <c r="AC48" s="226">
        <f t="shared" si="46"/>
        <v>6469718.8032367397</v>
      </c>
      <c r="AD48" s="183"/>
      <c r="AE48" s="187">
        <f t="shared" si="47"/>
        <v>1758341.9275324913</v>
      </c>
      <c r="AG48" s="194">
        <f>'Adj 3 Depr-Extend Lifespans'!S47</f>
        <v>1.8390436805884764</v>
      </c>
      <c r="AI48" s="224">
        <f t="shared" si="48"/>
        <v>4456866.229166667</v>
      </c>
      <c r="AJ48" s="225"/>
      <c r="AK48" s="226">
        <f t="shared" si="49"/>
        <v>3504431.0184199009</v>
      </c>
      <c r="AL48" s="183"/>
      <c r="AM48" s="187">
        <f t="shared" si="50"/>
        <v>952435.21074676607</v>
      </c>
    </row>
    <row r="49" spans="1:39">
      <c r="A49" s="30"/>
      <c r="C49" s="33" t="s">
        <v>39</v>
      </c>
      <c r="E49" s="157">
        <v>234286878.19</v>
      </c>
      <c r="F49" s="145"/>
      <c r="G49" s="158">
        <v>123665493.19</v>
      </c>
      <c r="H49" s="147"/>
      <c r="I49" s="26">
        <v>2.9</v>
      </c>
      <c r="J49" s="26"/>
      <c r="K49" s="147">
        <v>6801846</v>
      </c>
      <c r="M49" s="142">
        <f t="shared" si="13"/>
        <v>3586299</v>
      </c>
      <c r="O49" s="143">
        <f t="shared" si="9"/>
        <v>3215547</v>
      </c>
      <c r="Q49" s="194">
        <f>'AG-Nucor 1-43 With Formulas'!S48</f>
        <v>2.787349872280954</v>
      </c>
      <c r="S49" s="192">
        <f t="shared" si="42"/>
        <v>6530395</v>
      </c>
      <c r="T49" s="183"/>
      <c r="U49" s="142">
        <f t="shared" si="43"/>
        <v>3446989.9664870771</v>
      </c>
      <c r="V49" s="183"/>
      <c r="W49" s="187">
        <f t="shared" si="44"/>
        <v>3083405.0335129229</v>
      </c>
      <c r="Y49" s="194">
        <f>'Adj 2 Depr-No Int NS or Retire '!S48</f>
        <v>2.4651772590616137</v>
      </c>
      <c r="AA49" s="224">
        <f t="shared" si="45"/>
        <v>5775586.8421052638</v>
      </c>
      <c r="AB49" s="225"/>
      <c r="AC49" s="226">
        <f t="shared" si="46"/>
        <v>3048573.6154262684</v>
      </c>
      <c r="AD49" s="183"/>
      <c r="AE49" s="187">
        <f t="shared" si="47"/>
        <v>2727013.2266789954</v>
      </c>
      <c r="AG49" s="194">
        <f>'Adj 3 Depr-Extend Lifespans'!S48</f>
        <v>2.4651772590616137</v>
      </c>
      <c r="AI49" s="224">
        <f t="shared" si="48"/>
        <v>5775586.8421052638</v>
      </c>
      <c r="AJ49" s="225"/>
      <c r="AK49" s="226">
        <f t="shared" si="49"/>
        <v>3048573.6154262684</v>
      </c>
      <c r="AL49" s="183"/>
      <c r="AM49" s="187">
        <f t="shared" si="50"/>
        <v>2727013.2266789954</v>
      </c>
    </row>
    <row r="50" spans="1:39">
      <c r="A50" s="30"/>
      <c r="C50" s="33" t="s">
        <v>40</v>
      </c>
      <c r="E50" s="157">
        <v>298973833.27999997</v>
      </c>
      <c r="F50" s="145"/>
      <c r="G50" s="158">
        <v>71310904.580000028</v>
      </c>
      <c r="H50" s="147"/>
      <c r="I50" s="26">
        <v>2.77</v>
      </c>
      <c r="J50" s="26"/>
      <c r="K50" s="147">
        <v>8269671</v>
      </c>
      <c r="M50" s="142">
        <f t="shared" si="13"/>
        <v>1975312</v>
      </c>
      <c r="O50" s="143">
        <f t="shared" si="9"/>
        <v>6294359</v>
      </c>
      <c r="Q50" s="194">
        <f>'AG-Nucor 1-43 With Formulas'!S49</f>
        <v>2.6478805563515437</v>
      </c>
      <c r="S50" s="192">
        <f t="shared" si="42"/>
        <v>7916470</v>
      </c>
      <c r="T50" s="183"/>
      <c r="U50" s="142">
        <f t="shared" si="43"/>
        <v>1888227.5769322233</v>
      </c>
      <c r="V50" s="183"/>
      <c r="W50" s="187">
        <f t="shared" si="44"/>
        <v>6028242.4230677765</v>
      </c>
      <c r="Y50" s="194">
        <f>'Adj 2 Depr-No Int NS or Retire '!S49</f>
        <v>2.3106538430576373</v>
      </c>
      <c r="AA50" s="224">
        <f t="shared" si="45"/>
        <v>6908250.3684210526</v>
      </c>
      <c r="AB50" s="225"/>
      <c r="AC50" s="226">
        <f t="shared" si="46"/>
        <v>1647748.1571969353</v>
      </c>
      <c r="AD50" s="183"/>
      <c r="AE50" s="187">
        <f t="shared" si="47"/>
        <v>5260502.2112241173</v>
      </c>
      <c r="AG50" s="194">
        <f>'Adj 3 Depr-Extend Lifespans'!S49</f>
        <v>2.0905915722902435</v>
      </c>
      <c r="AI50" s="224">
        <f t="shared" si="48"/>
        <v>6250321.7619047631</v>
      </c>
      <c r="AJ50" s="225"/>
      <c r="AK50" s="226">
        <f t="shared" si="49"/>
        <v>1490819.7612734179</v>
      </c>
      <c r="AL50" s="183"/>
      <c r="AM50" s="187">
        <f t="shared" si="50"/>
        <v>4759502.0006313454</v>
      </c>
    </row>
    <row r="51" spans="1:39">
      <c r="A51" s="30"/>
      <c r="C51" s="33" t="s">
        <v>41</v>
      </c>
      <c r="E51" s="157">
        <v>204062486.12</v>
      </c>
      <c r="F51" s="145"/>
      <c r="G51" s="158">
        <f>39753052.16+2098741.85</f>
        <v>41851794.009999998</v>
      </c>
      <c r="H51" s="147"/>
      <c r="I51" s="26">
        <v>3.11</v>
      </c>
      <c r="J51" s="26"/>
      <c r="K51" s="147">
        <v>6348373</v>
      </c>
      <c r="M51" s="142">
        <f t="shared" si="13"/>
        <v>1301591</v>
      </c>
      <c r="O51" s="143">
        <f t="shared" si="9"/>
        <v>5046782</v>
      </c>
      <c r="Q51" s="194">
        <f>'AG-Nucor 1-43 With Formulas'!S50</f>
        <v>2.9821218567441412</v>
      </c>
      <c r="S51" s="192">
        <f t="shared" si="42"/>
        <v>6085392</v>
      </c>
      <c r="T51" s="183"/>
      <c r="U51" s="142">
        <f t="shared" si="43"/>
        <v>1248071.4966117453</v>
      </c>
      <c r="V51" s="183"/>
      <c r="W51" s="187">
        <f t="shared" si="44"/>
        <v>4837320.5033882549</v>
      </c>
      <c r="Y51" s="194">
        <f>'Adj 2 Depr-No Int NS or Retire '!S50</f>
        <v>2.637790995768833</v>
      </c>
      <c r="AA51" s="224">
        <f t="shared" si="45"/>
        <v>5382741.884615385</v>
      </c>
      <c r="AB51" s="225"/>
      <c r="AC51" s="226">
        <f t="shared" si="46"/>
        <v>1103962.8539634997</v>
      </c>
      <c r="AD51" s="183"/>
      <c r="AE51" s="187">
        <f t="shared" si="47"/>
        <v>4278779.0306518851</v>
      </c>
      <c r="AG51" s="194">
        <f>'Adj 3 Depr-Extend Lifespans'!S50</f>
        <v>1.5586946793179468</v>
      </c>
      <c r="AI51" s="224">
        <f t="shared" si="48"/>
        <v>3180711.1136363638</v>
      </c>
      <c r="AJ51" s="225"/>
      <c r="AK51" s="226">
        <f t="shared" si="49"/>
        <v>652341.68643297709</v>
      </c>
      <c r="AL51" s="183"/>
      <c r="AM51" s="187">
        <f t="shared" si="50"/>
        <v>2528369.4272033866</v>
      </c>
    </row>
    <row r="52" spans="1:39">
      <c r="A52" s="30"/>
      <c r="C52" s="33" t="s">
        <v>42</v>
      </c>
      <c r="E52" s="157">
        <v>302101587.54000002</v>
      </c>
      <c r="F52" s="145"/>
      <c r="G52" s="158">
        <f>78611765.97+2098741.85</f>
        <v>80710507.819999993</v>
      </c>
      <c r="H52" s="147"/>
      <c r="I52" s="26">
        <v>3.26</v>
      </c>
      <c r="J52" s="26"/>
      <c r="K52" s="147">
        <v>9837787</v>
      </c>
      <c r="M52" s="142">
        <f t="shared" si="13"/>
        <v>2631163</v>
      </c>
      <c r="O52" s="143">
        <f t="shared" si="9"/>
        <v>7206624</v>
      </c>
      <c r="Q52" s="194">
        <f>'AG-Nucor 1-43 With Formulas'!S51</f>
        <v>3.1291844829343463</v>
      </c>
      <c r="S52" s="192">
        <f t="shared" si="42"/>
        <v>9453316</v>
      </c>
      <c r="T52" s="183"/>
      <c r="U52" s="142">
        <f t="shared" si="43"/>
        <v>2525580.6868009516</v>
      </c>
      <c r="V52" s="183"/>
      <c r="W52" s="187">
        <f t="shared" si="44"/>
        <v>6927735.3131990489</v>
      </c>
      <c r="Y52" s="194">
        <f>'Adj 2 Depr-No Int NS or Retire '!S51</f>
        <v>2.8007665311344474</v>
      </c>
      <c r="AA52" s="224">
        <f t="shared" si="45"/>
        <v>8461160.1538461559</v>
      </c>
      <c r="AB52" s="225"/>
      <c r="AC52" s="226">
        <f t="shared" si="46"/>
        <v>2260512.8901312109</v>
      </c>
      <c r="AD52" s="183"/>
      <c r="AE52" s="187">
        <f t="shared" si="47"/>
        <v>6200647.2637149449</v>
      </c>
      <c r="AG52" s="194">
        <f>'Adj 3 Depr-Extend Lifespans'!S51</f>
        <v>1.5170818710311589</v>
      </c>
      <c r="AI52" s="224">
        <f t="shared" si="48"/>
        <v>4583128.416666666</v>
      </c>
      <c r="AJ52" s="225"/>
      <c r="AK52" s="226">
        <f t="shared" si="49"/>
        <v>1224444.4821544057</v>
      </c>
      <c r="AL52" s="183"/>
      <c r="AM52" s="187">
        <f t="shared" si="50"/>
        <v>3358683.9345122604</v>
      </c>
    </row>
    <row r="53" spans="1:39">
      <c r="A53" s="30"/>
      <c r="C53" s="33" t="s">
        <v>43</v>
      </c>
      <c r="E53" s="157">
        <v>101115917.65000001</v>
      </c>
      <c r="F53" s="145"/>
      <c r="G53" s="158">
        <v>101115917.65000001</v>
      </c>
      <c r="H53" s="147"/>
      <c r="I53" s="26">
        <v>3.14</v>
      </c>
      <c r="J53" s="26"/>
      <c r="K53" s="147">
        <v>3178413</v>
      </c>
      <c r="M53" s="142">
        <f>ROUND(G53*(I53/100),0)+3406-33</f>
        <v>3178413</v>
      </c>
      <c r="O53" s="143">
        <f t="shared" si="9"/>
        <v>0</v>
      </c>
      <c r="Q53" s="194">
        <f>'AG-Nucor 1-43 With Formulas'!S52</f>
        <v>3.0308551524083414</v>
      </c>
      <c r="S53" s="192">
        <f t="shared" si="42"/>
        <v>3064677.0000000009</v>
      </c>
      <c r="T53" s="183"/>
      <c r="U53" s="142">
        <f t="shared" si="43"/>
        <v>3064677.0000000009</v>
      </c>
      <c r="V53" s="183"/>
      <c r="W53" s="187">
        <f t="shared" si="44"/>
        <v>0</v>
      </c>
      <c r="Y53" s="194">
        <f>'Adj 2 Depr-No Int NS or Retire '!S52</f>
        <v>2.7838475537980738</v>
      </c>
      <c r="AA53" s="224">
        <f t="shared" si="45"/>
        <v>2814913</v>
      </c>
      <c r="AB53" s="225"/>
      <c r="AC53" s="226">
        <f t="shared" si="46"/>
        <v>2814913</v>
      </c>
      <c r="AD53" s="183"/>
      <c r="AE53" s="187">
        <f t="shared" si="47"/>
        <v>0</v>
      </c>
      <c r="AG53" s="194">
        <f>'Adj 3 Depr-Extend Lifespans'!S52</f>
        <v>2.7838475537980738</v>
      </c>
      <c r="AI53" s="224">
        <f t="shared" si="48"/>
        <v>2814913</v>
      </c>
      <c r="AJ53" s="225"/>
      <c r="AK53" s="226">
        <f t="shared" si="49"/>
        <v>2814913</v>
      </c>
      <c r="AL53" s="183"/>
      <c r="AM53" s="187">
        <f t="shared" si="50"/>
        <v>0</v>
      </c>
    </row>
    <row r="54" spans="1:39">
      <c r="A54" s="30"/>
      <c r="C54" s="33" t="s">
        <v>44</v>
      </c>
      <c r="E54" s="144">
        <v>156122871.75</v>
      </c>
      <c r="F54" s="145"/>
      <c r="G54" s="146">
        <v>156122871.75</v>
      </c>
      <c r="H54" s="147"/>
      <c r="I54" s="26">
        <v>3.19</v>
      </c>
      <c r="J54" s="26"/>
      <c r="K54" s="148">
        <v>4976241</v>
      </c>
      <c r="M54" s="149">
        <f>ROUND(G54*(I54/100),0)-4079</f>
        <v>4976241</v>
      </c>
      <c r="O54" s="150">
        <f t="shared" si="9"/>
        <v>0</v>
      </c>
      <c r="Q54" s="194">
        <f>'AG-Nucor 1-43 With Formulas'!S53</f>
        <v>3.0186666099421142</v>
      </c>
      <c r="S54" s="177">
        <f t="shared" si="42"/>
        <v>4712829</v>
      </c>
      <c r="T54" s="183"/>
      <c r="U54" s="149">
        <f t="shared" si="43"/>
        <v>4712829</v>
      </c>
      <c r="V54" s="183"/>
      <c r="W54" s="188">
        <f t="shared" si="44"/>
        <v>0</v>
      </c>
      <c r="Y54" s="227">
        <f>'Adj 2 Depr-No Int NS or Retire '!S53</f>
        <v>2.7724142454752823</v>
      </c>
      <c r="AA54" s="177">
        <f t="shared" si="45"/>
        <v>4328372.7368421052</v>
      </c>
      <c r="AB54" s="225"/>
      <c r="AC54" s="149">
        <f t="shared" si="46"/>
        <v>4328372.7368421052</v>
      </c>
      <c r="AD54" s="183"/>
      <c r="AE54" s="188">
        <f t="shared" si="47"/>
        <v>0</v>
      </c>
      <c r="AG54" s="194">
        <f>'Adj 3 Depr-Extend Lifespans'!S53</f>
        <v>2.5083747935252556</v>
      </c>
      <c r="AI54" s="177">
        <f t="shared" si="48"/>
        <v>3916146.7619047621</v>
      </c>
      <c r="AJ54" s="225"/>
      <c r="AK54" s="149">
        <f t="shared" si="49"/>
        <v>3916146.7619047621</v>
      </c>
      <c r="AL54" s="183"/>
      <c r="AM54" s="188">
        <f t="shared" si="50"/>
        <v>0</v>
      </c>
    </row>
    <row r="55" spans="1:39">
      <c r="A55" s="30"/>
      <c r="E55" s="157"/>
      <c r="F55" s="145"/>
      <c r="G55" s="158"/>
      <c r="H55" s="147"/>
      <c r="I55" s="26"/>
      <c r="J55" s="26"/>
      <c r="K55" s="147"/>
      <c r="M55" s="142"/>
      <c r="O55" s="143"/>
      <c r="Q55" s="194"/>
      <c r="S55" s="192"/>
      <c r="T55" s="183"/>
      <c r="U55" s="142"/>
      <c r="V55" s="183"/>
      <c r="W55" s="187"/>
      <c r="Y55" s="194"/>
      <c r="AA55" s="192"/>
      <c r="AB55" s="183"/>
      <c r="AC55" s="142"/>
      <c r="AD55" s="183"/>
      <c r="AE55" s="187"/>
      <c r="AG55" s="194"/>
      <c r="AI55" s="192"/>
      <c r="AJ55" s="183"/>
      <c r="AK55" s="142"/>
      <c r="AL55" s="183"/>
      <c r="AM55" s="187"/>
    </row>
    <row r="56" spans="1:39" ht="15.75">
      <c r="A56" s="30"/>
      <c r="C56" s="13" t="s">
        <v>49</v>
      </c>
      <c r="E56" s="157">
        <f>SUBTOTAL(9,E44:E55)</f>
        <v>1851895938.8200002</v>
      </c>
      <c r="F56" s="145"/>
      <c r="G56" s="159">
        <f t="shared" ref="G56" si="51">SUBTOTAL(9,G44:G55)</f>
        <v>975835367.85000002</v>
      </c>
      <c r="H56" s="147"/>
      <c r="I56" s="26">
        <f>+ROUND(K56/E56*100,2)</f>
        <v>3.03</v>
      </c>
      <c r="J56" s="26"/>
      <c r="K56" s="147">
        <f>SUBTOTAL(9,K44:K55)</f>
        <v>56081706</v>
      </c>
      <c r="M56" s="160">
        <f t="shared" ref="M56" si="52">SUBTOTAL(9,M44:M55)</f>
        <v>30658599</v>
      </c>
      <c r="O56" s="147">
        <f t="shared" ref="O56" si="53">SUBTOTAL(9,O44:O55)</f>
        <v>25423107</v>
      </c>
      <c r="Q56" s="194">
        <f>+ROUND(S56/E56*100,2)</f>
        <v>2.89</v>
      </c>
      <c r="S56" s="192">
        <f>SUBTOTAL(9,S44:S55)</f>
        <v>53578239</v>
      </c>
      <c r="T56" s="183"/>
      <c r="U56" s="160">
        <f t="shared" ref="U56" si="54">SUBTOTAL(9,U44:U55)</f>
        <v>29289466.109180242</v>
      </c>
      <c r="V56" s="183"/>
      <c r="W56" s="192">
        <f t="shared" ref="W56" si="55">SUBTOTAL(9,W44:W55)</f>
        <v>24288772.890819758</v>
      </c>
      <c r="Y56" s="195">
        <f>+ROUND(AA56/E56*100,2)</f>
        <v>2.61</v>
      </c>
      <c r="AA56" s="192">
        <f>SUBTOTAL(9,AA44:AA55)</f>
        <v>48363907.24993252</v>
      </c>
      <c r="AB56" s="183"/>
      <c r="AC56" s="160">
        <f t="shared" ref="AC56" si="56">SUBTOTAL(9,AC44:AC55)</f>
        <v>26796438.614649706</v>
      </c>
      <c r="AD56" s="183"/>
      <c r="AE56" s="192">
        <f t="shared" ref="AE56" si="57">SUBTOTAL(9,AE44:AE55)</f>
        <v>21567468.635282822</v>
      </c>
      <c r="AG56" s="195">
        <f>+ROUND(AI56/E56*100,2)</f>
        <v>2.02</v>
      </c>
      <c r="AI56" s="192">
        <f>SUBTOTAL(9,AI44:AI55)</f>
        <v>37442495.658717819</v>
      </c>
      <c r="AJ56" s="183"/>
      <c r="AK56" s="160">
        <f t="shared" ref="AK56" si="58">SUBTOTAL(9,AK44:AK55)</f>
        <v>21774306.883464679</v>
      </c>
      <c r="AL56" s="183"/>
      <c r="AM56" s="192">
        <f t="shared" ref="AM56" si="59">SUBTOTAL(9,AM44:AM55)</f>
        <v>15668188.775253139</v>
      </c>
    </row>
    <row r="57" spans="1:39">
      <c r="A57" s="30"/>
      <c r="E57" s="157"/>
      <c r="F57" s="145"/>
      <c r="G57" s="158"/>
      <c r="H57" s="147"/>
      <c r="I57" s="26"/>
      <c r="J57" s="26"/>
      <c r="K57" s="147"/>
      <c r="M57" s="142"/>
      <c r="O57" s="143"/>
      <c r="Q57" s="194"/>
      <c r="S57" s="192"/>
      <c r="T57" s="183"/>
      <c r="U57" s="142"/>
      <c r="V57" s="183"/>
      <c r="W57" s="187"/>
      <c r="Y57" s="194"/>
      <c r="AA57" s="192"/>
      <c r="AB57" s="183"/>
      <c r="AC57" s="142"/>
      <c r="AD57" s="183"/>
      <c r="AE57" s="187"/>
      <c r="AG57" s="194"/>
      <c r="AI57" s="192"/>
      <c r="AJ57" s="183"/>
      <c r="AK57" s="142"/>
      <c r="AL57" s="183"/>
      <c r="AM57" s="187"/>
    </row>
    <row r="58" spans="1:39">
      <c r="A58" s="30">
        <v>314</v>
      </c>
      <c r="C58" s="13" t="s">
        <v>50</v>
      </c>
      <c r="E58" s="157"/>
      <c r="F58" s="145"/>
      <c r="G58" s="158"/>
      <c r="H58" s="147"/>
      <c r="I58" s="26"/>
      <c r="J58" s="26"/>
      <c r="K58" s="147"/>
      <c r="M58" s="142"/>
      <c r="O58" s="143"/>
      <c r="Q58" s="194"/>
      <c r="S58" s="192"/>
      <c r="T58" s="183"/>
      <c r="U58" s="142"/>
      <c r="V58" s="183"/>
      <c r="W58" s="187"/>
      <c r="Y58" s="194"/>
      <c r="AA58" s="192"/>
      <c r="AB58" s="183"/>
      <c r="AC58" s="142"/>
      <c r="AD58" s="183"/>
      <c r="AE58" s="187"/>
      <c r="AG58" s="194"/>
      <c r="AI58" s="192"/>
      <c r="AJ58" s="183"/>
      <c r="AK58" s="142"/>
      <c r="AL58" s="183"/>
      <c r="AM58" s="187"/>
    </row>
    <row r="59" spans="1:39">
      <c r="A59" s="30"/>
      <c r="C59" s="33" t="s">
        <v>36</v>
      </c>
      <c r="E59" s="157">
        <v>23714956.780000001</v>
      </c>
      <c r="F59" s="145"/>
      <c r="G59" s="158">
        <v>0</v>
      </c>
      <c r="H59" s="147"/>
      <c r="I59" s="26">
        <v>0.69</v>
      </c>
      <c r="J59" s="26"/>
      <c r="K59" s="147">
        <v>164115</v>
      </c>
      <c r="M59" s="142">
        <f t="shared" si="13"/>
        <v>0</v>
      </c>
      <c r="O59" s="143">
        <f t="shared" si="9"/>
        <v>164115</v>
      </c>
      <c r="Q59" s="194">
        <f>'AG-Nucor 1-43 With Formulas'!S58</f>
        <v>0.48113518004058531</v>
      </c>
      <c r="S59" s="192">
        <f>E59*(Q59/100)</f>
        <v>114101</v>
      </c>
      <c r="T59" s="183"/>
      <c r="U59" s="142">
        <f>G59*(Q59/100)</f>
        <v>0</v>
      </c>
      <c r="V59" s="183"/>
      <c r="W59" s="187">
        <f t="shared" ref="W59:W63" si="60">S59-U59</f>
        <v>114101</v>
      </c>
      <c r="Y59" s="194">
        <f>'Adj 2 Depr-No Int NS or Retire '!S58</f>
        <v>0.32897663441015412</v>
      </c>
      <c r="AA59" s="224">
        <f>E59*(Y59/100)</f>
        <v>78016.666666666657</v>
      </c>
      <c r="AB59" s="225"/>
      <c r="AC59" s="226">
        <f>G59*(Y59/100)</f>
        <v>0</v>
      </c>
      <c r="AD59" s="183"/>
      <c r="AE59" s="187">
        <f t="shared" ref="AE59:AE63" si="61">AA59-AC59</f>
        <v>78016.666666666657</v>
      </c>
      <c r="AG59" s="194">
        <f>'Adj 3 Depr-Extend Lifespans'!S58</f>
        <v>0.32897663441015412</v>
      </c>
      <c r="AI59" s="224">
        <f>E59*(AG59/100)</f>
        <v>78016.666666666657</v>
      </c>
      <c r="AJ59" s="225"/>
      <c r="AK59" s="226">
        <f>G59*(AG59/100)</f>
        <v>0</v>
      </c>
      <c r="AL59" s="183"/>
      <c r="AM59" s="187">
        <f t="shared" ref="AM59:AM63" si="62">AI59-AK59</f>
        <v>78016.666666666657</v>
      </c>
    </row>
    <row r="60" spans="1:39">
      <c r="A60" s="30"/>
      <c r="C60" s="33" t="s">
        <v>39</v>
      </c>
      <c r="E60" s="157">
        <v>42923558.049999997</v>
      </c>
      <c r="F60" s="145"/>
      <c r="G60" s="158">
        <v>0</v>
      </c>
      <c r="H60" s="147"/>
      <c r="I60" s="26">
        <v>2.68</v>
      </c>
      <c r="J60" s="26"/>
      <c r="K60" s="147">
        <v>1149095</v>
      </c>
      <c r="M60" s="142">
        <f t="shared" si="13"/>
        <v>0</v>
      </c>
      <c r="O60" s="143">
        <f t="shared" si="9"/>
        <v>1149095</v>
      </c>
      <c r="Q60" s="194">
        <f>'AG-Nucor 1-43 With Formulas'!S59</f>
        <v>2.5458537214624033</v>
      </c>
      <c r="S60" s="192">
        <f>E60*(Q60/100)</f>
        <v>1092771</v>
      </c>
      <c r="T60" s="183"/>
      <c r="U60" s="142">
        <f>G60*(Q60/100)</f>
        <v>0</v>
      </c>
      <c r="V60" s="183"/>
      <c r="W60" s="187">
        <f t="shared" si="60"/>
        <v>1092771</v>
      </c>
      <c r="Y60" s="194">
        <f>'Adj 2 Depr-No Int NS or Retire '!S59</f>
        <v>2.076406323646347</v>
      </c>
      <c r="AA60" s="224">
        <f>E60*(Y60/100)</f>
        <v>891267.47368421056</v>
      </c>
      <c r="AB60" s="225"/>
      <c r="AC60" s="226">
        <f>G60*(Y60/100)</f>
        <v>0</v>
      </c>
      <c r="AD60" s="183"/>
      <c r="AE60" s="187">
        <f t="shared" si="61"/>
        <v>891267.47368421056</v>
      </c>
      <c r="AG60" s="194">
        <f>'Adj 3 Depr-Extend Lifespans'!S59</f>
        <v>2.076406323646347</v>
      </c>
      <c r="AI60" s="224">
        <f>E60*(AG60/100)</f>
        <v>891267.47368421056</v>
      </c>
      <c r="AJ60" s="225"/>
      <c r="AK60" s="226">
        <f>G60*(AG60/100)</f>
        <v>0</v>
      </c>
      <c r="AL60" s="183"/>
      <c r="AM60" s="187">
        <f t="shared" si="62"/>
        <v>891267.47368421056</v>
      </c>
    </row>
    <row r="61" spans="1:39">
      <c r="A61" s="30"/>
      <c r="C61" s="33" t="s">
        <v>40</v>
      </c>
      <c r="E61" s="157">
        <v>78018528.159999996</v>
      </c>
      <c r="F61" s="145"/>
      <c r="G61" s="158">
        <v>0</v>
      </c>
      <c r="H61" s="147"/>
      <c r="I61" s="26">
        <v>3.08</v>
      </c>
      <c r="J61" s="26"/>
      <c r="K61" s="147">
        <v>2404254</v>
      </c>
      <c r="M61" s="142">
        <f t="shared" si="13"/>
        <v>0</v>
      </c>
      <c r="O61" s="143">
        <f t="shared" si="9"/>
        <v>2404254</v>
      </c>
      <c r="Q61" s="194">
        <f>'AG-Nucor 1-43 With Formulas'!S60</f>
        <v>2.9559901402784936</v>
      </c>
      <c r="S61" s="192">
        <f>E61*(Q61/100)</f>
        <v>2306220</v>
      </c>
      <c r="T61" s="183"/>
      <c r="U61" s="142">
        <f>G61*(Q61/100)</f>
        <v>0</v>
      </c>
      <c r="V61" s="183"/>
      <c r="W61" s="187">
        <f t="shared" si="60"/>
        <v>2306220</v>
      </c>
      <c r="Y61" s="194">
        <f>'Adj 2 Depr-No Int NS or Retire '!S60</f>
        <v>2.5292259270240294</v>
      </c>
      <c r="AA61" s="224">
        <f>E61*(Y61/100)</f>
        <v>1973264.8421052631</v>
      </c>
      <c r="AB61" s="225"/>
      <c r="AC61" s="226">
        <f>G61*(Y61/100)</f>
        <v>0</v>
      </c>
      <c r="AD61" s="183"/>
      <c r="AE61" s="187">
        <f t="shared" si="61"/>
        <v>1973264.8421052631</v>
      </c>
      <c r="AG61" s="194">
        <f>'Adj 3 Depr-Extend Lifespans'!S60</f>
        <v>2.2883472673074547</v>
      </c>
      <c r="AI61" s="224">
        <f>E61*(AG61/100)</f>
        <v>1785334.8571428568</v>
      </c>
      <c r="AJ61" s="225"/>
      <c r="AK61" s="226">
        <f>G61*(AG61/100)</f>
        <v>0</v>
      </c>
      <c r="AL61" s="183"/>
      <c r="AM61" s="187">
        <f t="shared" si="62"/>
        <v>1785334.8571428568</v>
      </c>
    </row>
    <row r="62" spans="1:39">
      <c r="A62" s="30"/>
      <c r="C62" s="33" t="s">
        <v>41</v>
      </c>
      <c r="E62" s="157">
        <v>81735044.379999995</v>
      </c>
      <c r="F62" s="145"/>
      <c r="G62" s="158">
        <v>0</v>
      </c>
      <c r="H62" s="147"/>
      <c r="I62" s="26">
        <v>3.07</v>
      </c>
      <c r="J62" s="26"/>
      <c r="K62" s="147">
        <v>2509979</v>
      </c>
      <c r="M62" s="142">
        <f t="shared" si="13"/>
        <v>0</v>
      </c>
      <c r="O62" s="143">
        <f t="shared" si="9"/>
        <v>2509979</v>
      </c>
      <c r="Q62" s="194">
        <f>'AG-Nucor 1-43 With Formulas'!S61</f>
        <v>2.9393034753008109</v>
      </c>
      <c r="S62" s="192">
        <f>E62*(Q62/100)</f>
        <v>2402441</v>
      </c>
      <c r="T62" s="183"/>
      <c r="U62" s="142">
        <f>G62*(Q62/100)</f>
        <v>0</v>
      </c>
      <c r="V62" s="183"/>
      <c r="W62" s="187">
        <f t="shared" si="60"/>
        <v>2402441</v>
      </c>
      <c r="Y62" s="194">
        <f>'Adj 2 Depr-No Int NS or Retire '!S61</f>
        <v>2.5412145572433178</v>
      </c>
      <c r="AA62" s="224">
        <f>E62*(Y62/100)</f>
        <v>2077062.8461538462</v>
      </c>
      <c r="AB62" s="225"/>
      <c r="AC62" s="226">
        <f>G62*(Y62/100)</f>
        <v>0</v>
      </c>
      <c r="AD62" s="183"/>
      <c r="AE62" s="187">
        <f t="shared" si="61"/>
        <v>2077062.8461538462</v>
      </c>
      <c r="AG62" s="194">
        <f>'Adj 3 Depr-Extend Lifespans'!S61</f>
        <v>1.5016267838255968</v>
      </c>
      <c r="AI62" s="224">
        <f>E62*(AG62/100)</f>
        <v>1227355.3181818181</v>
      </c>
      <c r="AJ62" s="225"/>
      <c r="AK62" s="226">
        <f>G62*(AG62/100)</f>
        <v>0</v>
      </c>
      <c r="AL62" s="183"/>
      <c r="AM62" s="187">
        <f t="shared" si="62"/>
        <v>1227355.3181818181</v>
      </c>
    </row>
    <row r="63" spans="1:39">
      <c r="A63" s="30"/>
      <c r="C63" s="33" t="s">
        <v>42</v>
      </c>
      <c r="E63" s="144">
        <v>80326528.049999997</v>
      </c>
      <c r="F63" s="145"/>
      <c r="G63" s="146">
        <v>0</v>
      </c>
      <c r="H63" s="147"/>
      <c r="I63" s="26">
        <v>3.41</v>
      </c>
      <c r="J63" s="26"/>
      <c r="K63" s="148">
        <v>2739311</v>
      </c>
      <c r="M63" s="149">
        <f t="shared" si="13"/>
        <v>0</v>
      </c>
      <c r="O63" s="150">
        <f t="shared" si="9"/>
        <v>2739311</v>
      </c>
      <c r="Q63" s="194">
        <f>'AG-Nucor 1-43 With Formulas'!S62</f>
        <v>3.2835802368530231</v>
      </c>
      <c r="S63" s="177">
        <f>E63*(Q63/100)</f>
        <v>2637586</v>
      </c>
      <c r="T63" s="183"/>
      <c r="U63" s="149">
        <f>G63*(Q63/100)</f>
        <v>0</v>
      </c>
      <c r="V63" s="183"/>
      <c r="W63" s="188">
        <f t="shared" si="60"/>
        <v>2637586</v>
      </c>
      <c r="Y63" s="227">
        <f>'Adj 2 Depr-No Int NS or Retire '!S62</f>
        <v>2.9597051942753838</v>
      </c>
      <c r="AA63" s="177">
        <f>E63*(Y63/100)</f>
        <v>2377428.423076923</v>
      </c>
      <c r="AB63" s="225"/>
      <c r="AC63" s="149">
        <f>G63*(Y63/100)</f>
        <v>0</v>
      </c>
      <c r="AD63" s="183"/>
      <c r="AE63" s="188">
        <f t="shared" si="61"/>
        <v>2377428.423076923</v>
      </c>
      <c r="AG63" s="194">
        <f>'Adj 3 Depr-Extend Lifespans'!S62</f>
        <v>1.6031736468991662</v>
      </c>
      <c r="AI63" s="177">
        <f>E63*(AG63/100)</f>
        <v>1287773.7291666667</v>
      </c>
      <c r="AJ63" s="225"/>
      <c r="AK63" s="149">
        <f>G63*(AG63/100)</f>
        <v>0</v>
      </c>
      <c r="AL63" s="183"/>
      <c r="AM63" s="188">
        <f t="shared" si="62"/>
        <v>1287773.7291666667</v>
      </c>
    </row>
    <row r="64" spans="1:39">
      <c r="A64" s="30"/>
      <c r="E64" s="157"/>
      <c r="F64" s="145"/>
      <c r="G64" s="158"/>
      <c r="H64" s="147"/>
      <c r="I64" s="26"/>
      <c r="J64" s="26"/>
      <c r="K64" s="147"/>
      <c r="M64" s="142"/>
      <c r="O64" s="143"/>
      <c r="Q64" s="194"/>
      <c r="S64" s="192"/>
      <c r="T64" s="183"/>
      <c r="U64" s="142"/>
      <c r="V64" s="183"/>
      <c r="W64" s="187"/>
      <c r="Y64" s="194"/>
      <c r="AA64" s="192"/>
      <c r="AB64" s="183"/>
      <c r="AC64" s="142"/>
      <c r="AD64" s="183"/>
      <c r="AE64" s="187"/>
      <c r="AG64" s="194"/>
      <c r="AI64" s="192"/>
      <c r="AJ64" s="183"/>
      <c r="AK64" s="142"/>
      <c r="AL64" s="183"/>
      <c r="AM64" s="187"/>
    </row>
    <row r="65" spans="1:39" ht="15.75">
      <c r="A65" s="30"/>
      <c r="C65" s="13" t="s">
        <v>51</v>
      </c>
      <c r="E65" s="157">
        <f>SUBTOTAL(9,E59:E64)</f>
        <v>306718615.42000002</v>
      </c>
      <c r="F65" s="145"/>
      <c r="G65" s="158">
        <f t="shared" ref="G65" si="63">SUBTOTAL(9,G59:G64)</f>
        <v>0</v>
      </c>
      <c r="H65" s="147"/>
      <c r="I65" s="26">
        <f>+ROUND(K65/E65*100,2)</f>
        <v>2.92</v>
      </c>
      <c r="J65" s="26"/>
      <c r="K65" s="147">
        <f>SUBTOTAL(9,K59:K64)</f>
        <v>8966754</v>
      </c>
      <c r="M65" s="160">
        <f t="shared" ref="M65" si="64">SUBTOTAL(9,M59:M64)</f>
        <v>0</v>
      </c>
      <c r="O65" s="147">
        <f t="shared" ref="O65" si="65">SUBTOTAL(9,O59:O64)</f>
        <v>8966754</v>
      </c>
      <c r="Q65" s="194">
        <f>+ROUND(S65/E65*100,2)</f>
        <v>2.79</v>
      </c>
      <c r="S65" s="192">
        <f>SUBTOTAL(9,S59:S64)</f>
        <v>8553119</v>
      </c>
      <c r="T65" s="183"/>
      <c r="U65" s="160">
        <f t="shared" ref="U65" si="66">SUBTOTAL(9,U59:U64)</f>
        <v>0</v>
      </c>
      <c r="V65" s="183"/>
      <c r="W65" s="192">
        <f t="shared" ref="W65" si="67">SUBTOTAL(9,W59:W64)</f>
        <v>8553119</v>
      </c>
      <c r="Y65" s="195">
        <f>+ROUND(AA65/E65*100,2)</f>
        <v>2.41</v>
      </c>
      <c r="AA65" s="192">
        <f>SUBTOTAL(9,AA59:AA64)</f>
        <v>7397040.2516869092</v>
      </c>
      <c r="AB65" s="183"/>
      <c r="AC65" s="160">
        <f t="shared" ref="AC65" si="68">SUBTOTAL(9,AC59:AC64)</f>
        <v>0</v>
      </c>
      <c r="AD65" s="183"/>
      <c r="AE65" s="192">
        <f t="shared" ref="AE65" si="69">SUBTOTAL(9,AE59:AE64)</f>
        <v>7397040.2516869092</v>
      </c>
      <c r="AG65" s="195">
        <f>+ROUND(AI65/E65*100,2)</f>
        <v>1.72</v>
      </c>
      <c r="AI65" s="192">
        <f>SUBTOTAL(9,AI59:AI64)</f>
        <v>5269748.044842219</v>
      </c>
      <c r="AJ65" s="183"/>
      <c r="AK65" s="160">
        <f t="shared" ref="AK65" si="70">SUBTOTAL(9,AK59:AK64)</f>
        <v>0</v>
      </c>
      <c r="AL65" s="183"/>
      <c r="AM65" s="192">
        <f t="shared" ref="AM65" si="71">SUBTOTAL(9,AM59:AM64)</f>
        <v>5269748.044842219</v>
      </c>
    </row>
    <row r="66" spans="1:39">
      <c r="A66" s="30"/>
      <c r="E66" s="157"/>
      <c r="F66" s="145"/>
      <c r="G66" s="158"/>
      <c r="H66" s="147"/>
      <c r="I66" s="26"/>
      <c r="J66" s="26"/>
      <c r="K66" s="147"/>
      <c r="M66" s="142"/>
      <c r="O66" s="143"/>
      <c r="Q66" s="194"/>
      <c r="S66" s="192"/>
      <c r="T66" s="183"/>
      <c r="U66" s="142"/>
      <c r="V66" s="183"/>
      <c r="W66" s="187"/>
      <c r="Y66" s="194"/>
      <c r="AA66" s="192"/>
      <c r="AB66" s="183"/>
      <c r="AC66" s="142"/>
      <c r="AD66" s="183"/>
      <c r="AE66" s="187"/>
      <c r="AG66" s="194"/>
      <c r="AI66" s="192"/>
      <c r="AJ66" s="183"/>
      <c r="AK66" s="142"/>
      <c r="AL66" s="183"/>
      <c r="AM66" s="187"/>
    </row>
    <row r="67" spans="1:39">
      <c r="A67" s="30">
        <v>315</v>
      </c>
      <c r="C67" s="13" t="s">
        <v>52</v>
      </c>
      <c r="E67" s="157"/>
      <c r="F67" s="145"/>
      <c r="G67" s="158"/>
      <c r="H67" s="147"/>
      <c r="I67" s="26"/>
      <c r="J67" s="26"/>
      <c r="K67" s="147"/>
      <c r="M67" s="142"/>
      <c r="O67" s="143"/>
      <c r="Q67" s="194"/>
      <c r="S67" s="192"/>
      <c r="T67" s="183"/>
      <c r="U67" s="142"/>
      <c r="V67" s="183"/>
      <c r="W67" s="187"/>
      <c r="Y67" s="194"/>
      <c r="AA67" s="192"/>
      <c r="AB67" s="183"/>
      <c r="AC67" s="142"/>
      <c r="AD67" s="183"/>
      <c r="AE67" s="187"/>
      <c r="AG67" s="194"/>
      <c r="AI67" s="192"/>
      <c r="AJ67" s="183"/>
      <c r="AK67" s="142"/>
      <c r="AL67" s="183"/>
      <c r="AM67" s="187"/>
    </row>
    <row r="68" spans="1:39">
      <c r="A68" s="30"/>
      <c r="C68" s="33" t="s">
        <v>36</v>
      </c>
      <c r="E68" s="157">
        <v>3473012</v>
      </c>
      <c r="F68" s="145"/>
      <c r="G68" s="158">
        <v>0</v>
      </c>
      <c r="H68" s="147"/>
      <c r="I68" s="26">
        <v>0.4</v>
      </c>
      <c r="J68" s="26"/>
      <c r="K68" s="147">
        <v>13878</v>
      </c>
      <c r="M68" s="142">
        <f t="shared" si="13"/>
        <v>0</v>
      </c>
      <c r="O68" s="143">
        <f t="shared" si="9"/>
        <v>13878</v>
      </c>
      <c r="Q68" s="194">
        <f>'AG-Nucor 1-43 With Formulas'!S67</f>
        <v>0.19663047521862867</v>
      </c>
      <c r="S68" s="192">
        <f t="shared" ref="S68:S77" si="72">E68*(Q68/100)</f>
        <v>6829</v>
      </c>
      <c r="T68" s="183"/>
      <c r="U68" s="142">
        <f t="shared" ref="U68:U77" si="73">G68*(Q68/100)</f>
        <v>0</v>
      </c>
      <c r="V68" s="183"/>
      <c r="W68" s="187">
        <f t="shared" ref="W68:W77" si="74">S68-U68</f>
        <v>6829</v>
      </c>
      <c r="Y68" s="194">
        <f>'Adj 2 Depr-No Int NS or Retire '!S67</f>
        <v>6.2193853634827642E-2</v>
      </c>
      <c r="AA68" s="224">
        <f t="shared" ref="AA68:AA77" si="75">E68*(Y68/100)</f>
        <v>2160</v>
      </c>
      <c r="AB68" s="225"/>
      <c r="AC68" s="226">
        <f t="shared" ref="AC68:AC77" si="76">G68*(Y68/100)</f>
        <v>0</v>
      </c>
      <c r="AD68" s="183"/>
      <c r="AE68" s="187">
        <f t="shared" ref="AE68:AE77" si="77">AA68-AC68</f>
        <v>2160</v>
      </c>
      <c r="AG68" s="194">
        <f>'Adj 3 Depr-Extend Lifespans'!S67</f>
        <v>6.2193853634827642E-2</v>
      </c>
      <c r="AI68" s="224">
        <f t="shared" ref="AI68:AI77" si="78">E68*(AG68/100)</f>
        <v>2160</v>
      </c>
      <c r="AJ68" s="225"/>
      <c r="AK68" s="226">
        <f t="shared" ref="AK68:AK77" si="79">G68*(AG68/100)</f>
        <v>0</v>
      </c>
      <c r="AL68" s="183"/>
      <c r="AM68" s="187">
        <f t="shared" ref="AM68:AM77" si="80">AI68-AK68</f>
        <v>2160</v>
      </c>
    </row>
    <row r="69" spans="1:39">
      <c r="A69" s="30"/>
      <c r="C69" s="33" t="s">
        <v>47</v>
      </c>
      <c r="E69" s="157">
        <v>108139.1</v>
      </c>
      <c r="F69" s="145"/>
      <c r="G69" s="158">
        <v>0</v>
      </c>
      <c r="H69" s="147"/>
      <c r="I69" s="26">
        <v>5.58</v>
      </c>
      <c r="J69" s="26"/>
      <c r="K69" s="147">
        <v>6032</v>
      </c>
      <c r="M69" s="142">
        <f t="shared" si="13"/>
        <v>0</v>
      </c>
      <c r="O69" s="143">
        <f t="shared" si="9"/>
        <v>6032</v>
      </c>
      <c r="Q69" s="194">
        <f>'AG-Nucor 1-43 With Formulas'!S68</f>
        <v>5.1479991973301056</v>
      </c>
      <c r="S69" s="192">
        <f t="shared" si="72"/>
        <v>5567</v>
      </c>
      <c r="T69" s="183"/>
      <c r="U69" s="142">
        <f t="shared" si="73"/>
        <v>0</v>
      </c>
      <c r="V69" s="183"/>
      <c r="W69" s="187">
        <f t="shared" si="74"/>
        <v>5567</v>
      </c>
      <c r="Y69" s="238">
        <f>'Adj 2 Depr-No Int NS or Retire '!S68</f>
        <v>4.9947574136327324</v>
      </c>
      <c r="AA69" s="224">
        <f t="shared" si="75"/>
        <v>5401.2857142857147</v>
      </c>
      <c r="AB69" s="225"/>
      <c r="AC69" s="226">
        <f t="shared" si="76"/>
        <v>0</v>
      </c>
      <c r="AD69" s="183"/>
      <c r="AE69" s="187">
        <f t="shared" si="77"/>
        <v>5401.2857142857147</v>
      </c>
      <c r="AG69" s="194">
        <f>'Adj 3 Depr-Extend Lifespans'!S68</f>
        <v>4.9947574136327324</v>
      </c>
      <c r="AI69" s="224">
        <f t="shared" si="78"/>
        <v>5401.2857142857147</v>
      </c>
      <c r="AJ69" s="225"/>
      <c r="AK69" s="226">
        <f t="shared" si="79"/>
        <v>0</v>
      </c>
      <c r="AL69" s="183"/>
      <c r="AM69" s="187">
        <f t="shared" si="80"/>
        <v>5401.2857142857147</v>
      </c>
    </row>
    <row r="70" spans="1:39">
      <c r="A70" s="30"/>
      <c r="C70" s="33" t="s">
        <v>48</v>
      </c>
      <c r="E70" s="157">
        <v>108269.09</v>
      </c>
      <c r="F70" s="145"/>
      <c r="G70" s="158">
        <v>0</v>
      </c>
      <c r="H70" s="147"/>
      <c r="I70" s="26">
        <v>4.32</v>
      </c>
      <c r="J70" s="26"/>
      <c r="K70" s="147">
        <v>4679</v>
      </c>
      <c r="M70" s="142">
        <f t="shared" si="13"/>
        <v>0</v>
      </c>
      <c r="O70" s="143">
        <f t="shared" si="9"/>
        <v>4679</v>
      </c>
      <c r="Q70" s="194">
        <f>'AG-Nucor 1-43 With Formulas'!S69</f>
        <v>4.1202895489377438</v>
      </c>
      <c r="S70" s="192">
        <f t="shared" si="72"/>
        <v>4461</v>
      </c>
      <c r="T70" s="183"/>
      <c r="U70" s="142">
        <f t="shared" si="73"/>
        <v>0</v>
      </c>
      <c r="V70" s="183"/>
      <c r="W70" s="187">
        <f t="shared" si="74"/>
        <v>4461</v>
      </c>
      <c r="Y70" s="238">
        <f>'Adj 2 Depr-No Int NS or Retire '!S69</f>
        <v>3.9611798097992081</v>
      </c>
      <c r="AA70" s="224">
        <f t="shared" si="75"/>
        <v>4288.7333333333336</v>
      </c>
      <c r="AB70" s="225"/>
      <c r="AC70" s="226">
        <f t="shared" si="76"/>
        <v>0</v>
      </c>
      <c r="AD70" s="183"/>
      <c r="AE70" s="187">
        <f t="shared" si="77"/>
        <v>4288.7333333333336</v>
      </c>
      <c r="AG70" s="194">
        <f>'Adj 3 Depr-Extend Lifespans'!S69</f>
        <v>3.9611798097992081</v>
      </c>
      <c r="AI70" s="224">
        <f t="shared" si="78"/>
        <v>4288.7333333333336</v>
      </c>
      <c r="AJ70" s="225"/>
      <c r="AK70" s="226">
        <f t="shared" si="79"/>
        <v>0</v>
      </c>
      <c r="AL70" s="183"/>
      <c r="AM70" s="187">
        <f t="shared" si="80"/>
        <v>4288.7333333333336</v>
      </c>
    </row>
    <row r="71" spans="1:39">
      <c r="A71" s="30"/>
      <c r="C71" s="33" t="s">
        <v>37</v>
      </c>
      <c r="E71" s="157">
        <v>12060627.85</v>
      </c>
      <c r="F71" s="145"/>
      <c r="G71" s="158">
        <v>12060627.850000001</v>
      </c>
      <c r="H71" s="147"/>
      <c r="I71" s="26">
        <v>2.84</v>
      </c>
      <c r="J71" s="26"/>
      <c r="K71" s="147">
        <v>342027</v>
      </c>
      <c r="M71" s="142">
        <f>ROUND(G71*(I71/100),0)-495</f>
        <v>342027</v>
      </c>
      <c r="O71" s="143">
        <f t="shared" si="9"/>
        <v>0</v>
      </c>
      <c r="Q71" s="194">
        <f>'AG-Nucor 1-43 With Formulas'!S70</f>
        <v>2.6337434829315294</v>
      </c>
      <c r="S71" s="192">
        <f t="shared" si="72"/>
        <v>317646</v>
      </c>
      <c r="T71" s="183"/>
      <c r="U71" s="142">
        <f t="shared" si="73"/>
        <v>317646.00000000006</v>
      </c>
      <c r="V71" s="183"/>
      <c r="W71" s="187">
        <f t="shared" si="74"/>
        <v>0</v>
      </c>
      <c r="Y71" s="238">
        <f>'Adj 2 Depr-No Int NS or Retire '!S70</f>
        <v>2.5389800360462442</v>
      </c>
      <c r="AA71" s="224">
        <f t="shared" si="75"/>
        <v>306216.93333333335</v>
      </c>
      <c r="AB71" s="225"/>
      <c r="AC71" s="226">
        <f t="shared" si="76"/>
        <v>306216.93333333341</v>
      </c>
      <c r="AD71" s="183"/>
      <c r="AE71" s="187">
        <f t="shared" si="77"/>
        <v>0</v>
      </c>
      <c r="AG71" s="194">
        <f>'Adj 3 Depr-Extend Lifespans'!S70</f>
        <v>2.5389800360462442</v>
      </c>
      <c r="AI71" s="224">
        <f t="shared" si="78"/>
        <v>306216.93333333335</v>
      </c>
      <c r="AJ71" s="225"/>
      <c r="AK71" s="226">
        <f t="shared" si="79"/>
        <v>306216.93333333341</v>
      </c>
      <c r="AL71" s="183"/>
      <c r="AM71" s="187">
        <f t="shared" si="80"/>
        <v>0</v>
      </c>
    </row>
    <row r="72" spans="1:39">
      <c r="A72" s="30"/>
      <c r="C72" s="33" t="s">
        <v>39</v>
      </c>
      <c r="E72" s="157">
        <v>10670855.65</v>
      </c>
      <c r="F72" s="145"/>
      <c r="G72" s="158">
        <v>3643762.64</v>
      </c>
      <c r="H72" s="147"/>
      <c r="I72" s="26">
        <v>1.94</v>
      </c>
      <c r="J72" s="26"/>
      <c r="K72" s="147">
        <v>207347</v>
      </c>
      <c r="M72" s="142">
        <f t="shared" si="13"/>
        <v>70689</v>
      </c>
      <c r="O72" s="143">
        <f t="shared" si="9"/>
        <v>136658</v>
      </c>
      <c r="Q72" s="194">
        <f>'AG-Nucor 1-43 With Formulas'!S71</f>
        <v>1.8261328462446209</v>
      </c>
      <c r="S72" s="192">
        <f t="shared" si="72"/>
        <v>194863.99999999997</v>
      </c>
      <c r="T72" s="183"/>
      <c r="U72" s="142">
        <f t="shared" si="73"/>
        <v>66539.946408230142</v>
      </c>
      <c r="V72" s="183"/>
      <c r="W72" s="187">
        <f t="shared" si="74"/>
        <v>128324.05359176983</v>
      </c>
      <c r="Y72" s="238">
        <f>'Adj 2 Depr-No Int NS or Retire '!S71</f>
        <v>1.5647445439761649</v>
      </c>
      <c r="AA72" s="224">
        <f t="shared" si="75"/>
        <v>166971.63157894733</v>
      </c>
      <c r="AB72" s="225"/>
      <c r="AC72" s="226">
        <f t="shared" si="76"/>
        <v>57015.577104841876</v>
      </c>
      <c r="AD72" s="183"/>
      <c r="AE72" s="187">
        <f t="shared" si="77"/>
        <v>109956.05447410545</v>
      </c>
      <c r="AG72" s="194">
        <f>'Adj 3 Depr-Extend Lifespans'!S71</f>
        <v>1.5647445439761649</v>
      </c>
      <c r="AI72" s="224">
        <f t="shared" si="78"/>
        <v>166971.63157894733</v>
      </c>
      <c r="AJ72" s="225"/>
      <c r="AK72" s="226">
        <f t="shared" si="79"/>
        <v>57015.577104841876</v>
      </c>
      <c r="AL72" s="183"/>
      <c r="AM72" s="187">
        <f t="shared" si="80"/>
        <v>109956.05447410545</v>
      </c>
    </row>
    <row r="73" spans="1:39">
      <c r="A73" s="30"/>
      <c r="C73" s="33" t="s">
        <v>40</v>
      </c>
      <c r="E73" s="157">
        <v>23193967.98</v>
      </c>
      <c r="F73" s="145"/>
      <c r="G73" s="158">
        <v>0</v>
      </c>
      <c r="H73" s="147"/>
      <c r="I73" s="26">
        <v>2.0299999999999998</v>
      </c>
      <c r="J73" s="26"/>
      <c r="K73" s="147">
        <v>470160</v>
      </c>
      <c r="M73" s="142">
        <f t="shared" si="13"/>
        <v>0</v>
      </c>
      <c r="O73" s="143">
        <f t="shared" si="9"/>
        <v>470160</v>
      </c>
      <c r="Q73" s="194">
        <f>'AG-Nucor 1-43 With Formulas'!S72</f>
        <v>1.9096215032370671</v>
      </c>
      <c r="S73" s="192">
        <f t="shared" si="72"/>
        <v>442917.00000000006</v>
      </c>
      <c r="T73" s="183"/>
      <c r="U73" s="142">
        <f t="shared" si="73"/>
        <v>0</v>
      </c>
      <c r="V73" s="183"/>
      <c r="W73" s="187">
        <f t="shared" si="74"/>
        <v>442917.00000000006</v>
      </c>
      <c r="Y73" s="238">
        <f>'Adj 2 Depr-No Int NS or Retire '!S72</f>
        <v>1.6399869697137477</v>
      </c>
      <c r="AA73" s="224">
        <f t="shared" si="75"/>
        <v>380378.05263157893</v>
      </c>
      <c r="AB73" s="225"/>
      <c r="AC73" s="226">
        <f t="shared" si="76"/>
        <v>0</v>
      </c>
      <c r="AD73" s="183"/>
      <c r="AE73" s="187">
        <f t="shared" si="77"/>
        <v>380378.05263157893</v>
      </c>
      <c r="AG73" s="194">
        <f>'Adj 3 Depr-Extend Lifespans'!S72</f>
        <v>1.4837977345029145</v>
      </c>
      <c r="AI73" s="224">
        <f t="shared" si="78"/>
        <v>344151.57142857142</v>
      </c>
      <c r="AJ73" s="225"/>
      <c r="AK73" s="226">
        <f t="shared" si="79"/>
        <v>0</v>
      </c>
      <c r="AL73" s="183"/>
      <c r="AM73" s="187">
        <f t="shared" si="80"/>
        <v>344151.57142857142</v>
      </c>
    </row>
    <row r="74" spans="1:39">
      <c r="A74" s="30"/>
      <c r="C74" s="33" t="s">
        <v>41</v>
      </c>
      <c r="E74" s="157">
        <v>25044774.100000001</v>
      </c>
      <c r="F74" s="145"/>
      <c r="G74" s="158">
        <v>0</v>
      </c>
      <c r="H74" s="147"/>
      <c r="I74" s="26">
        <v>2.88</v>
      </c>
      <c r="J74" s="26"/>
      <c r="K74" s="147">
        <v>720761</v>
      </c>
      <c r="M74" s="142">
        <f t="shared" si="13"/>
        <v>0</v>
      </c>
      <c r="O74" s="143">
        <f t="shared" si="9"/>
        <v>720761</v>
      </c>
      <c r="Q74" s="194">
        <f>'AG-Nucor 1-43 With Formulas'!S73</f>
        <v>2.7574734642944931</v>
      </c>
      <c r="S74" s="192">
        <f t="shared" si="72"/>
        <v>690603</v>
      </c>
      <c r="T74" s="183"/>
      <c r="U74" s="142">
        <f t="shared" si="73"/>
        <v>0</v>
      </c>
      <c r="V74" s="183"/>
      <c r="W74" s="187">
        <f t="shared" si="74"/>
        <v>690603</v>
      </c>
      <c r="Y74" s="238">
        <f>'Adj 2 Depr-No Int NS or Retire '!S73</f>
        <v>2.6063891278251505</v>
      </c>
      <c r="AA74" s="224">
        <f t="shared" si="75"/>
        <v>652764.26923076925</v>
      </c>
      <c r="AB74" s="225"/>
      <c r="AC74" s="226">
        <f t="shared" si="76"/>
        <v>0</v>
      </c>
      <c r="AD74" s="183"/>
      <c r="AE74" s="187">
        <f t="shared" si="77"/>
        <v>652764.26923076925</v>
      </c>
      <c r="AG74" s="194">
        <f>'Adj 3 Depr-Extend Lifespans'!S73</f>
        <v>1.5401390300784978</v>
      </c>
      <c r="AI74" s="224">
        <f t="shared" si="78"/>
        <v>385724.34090909082</v>
      </c>
      <c r="AJ74" s="225"/>
      <c r="AK74" s="226">
        <f t="shared" si="79"/>
        <v>0</v>
      </c>
      <c r="AL74" s="183"/>
      <c r="AM74" s="187">
        <f t="shared" si="80"/>
        <v>385724.34090909082</v>
      </c>
    </row>
    <row r="75" spans="1:39">
      <c r="A75" s="30"/>
      <c r="C75" s="33" t="s">
        <v>42</v>
      </c>
      <c r="E75" s="157">
        <v>12751242.41</v>
      </c>
      <c r="F75" s="145"/>
      <c r="G75" s="158">
        <v>50263.03</v>
      </c>
      <c r="H75" s="147"/>
      <c r="I75" s="26">
        <v>3.01</v>
      </c>
      <c r="J75" s="26"/>
      <c r="K75" s="147">
        <v>384418</v>
      </c>
      <c r="M75" s="142">
        <f t="shared" si="13"/>
        <v>1513</v>
      </c>
      <c r="O75" s="143">
        <f t="shared" si="9"/>
        <v>382905</v>
      </c>
      <c r="Q75" s="194">
        <f>'AG-Nucor 1-43 With Formulas'!S74</f>
        <v>2.8953257112457327</v>
      </c>
      <c r="S75" s="192">
        <f t="shared" si="72"/>
        <v>369190</v>
      </c>
      <c r="T75" s="183"/>
      <c r="U75" s="142">
        <f t="shared" si="73"/>
        <v>1455.278430841156</v>
      </c>
      <c r="V75" s="183"/>
      <c r="W75" s="187">
        <f t="shared" si="74"/>
        <v>367734.72156915884</v>
      </c>
      <c r="Y75" s="238">
        <f>'Adj 2 Depr-No Int NS or Retire '!S74</f>
        <v>2.7588684199440294</v>
      </c>
      <c r="AA75" s="224">
        <f t="shared" si="75"/>
        <v>351789.99999999994</v>
      </c>
      <c r="AB75" s="225"/>
      <c r="AC75" s="226">
        <f t="shared" si="76"/>
        <v>1386.6908615769935</v>
      </c>
      <c r="AD75" s="183"/>
      <c r="AE75" s="187">
        <f t="shared" si="77"/>
        <v>350403.30913842295</v>
      </c>
      <c r="AG75" s="194">
        <f>'Adj 3 Depr-Extend Lifespans'!S74</f>
        <v>1.4943870608030159</v>
      </c>
      <c r="AI75" s="224">
        <f t="shared" si="78"/>
        <v>190552.91666666666</v>
      </c>
      <c r="AJ75" s="225"/>
      <c r="AK75" s="226">
        <f t="shared" si="79"/>
        <v>751.12421668753814</v>
      </c>
      <c r="AL75" s="183"/>
      <c r="AM75" s="187">
        <f t="shared" si="80"/>
        <v>189801.79244997911</v>
      </c>
    </row>
    <row r="76" spans="1:39">
      <c r="A76" s="30"/>
      <c r="C76" s="33" t="s">
        <v>43</v>
      </c>
      <c r="E76" s="157">
        <v>12513473.779999999</v>
      </c>
      <c r="F76" s="145"/>
      <c r="G76" s="158">
        <v>12513473.779999999</v>
      </c>
      <c r="H76" s="147"/>
      <c r="I76" s="26">
        <v>3.01</v>
      </c>
      <c r="J76" s="26"/>
      <c r="K76" s="147">
        <v>376037</v>
      </c>
      <c r="M76" s="142">
        <f>ROUND(G76*(I76/100),0)-619</f>
        <v>376037</v>
      </c>
      <c r="O76" s="143">
        <f t="shared" si="9"/>
        <v>0</v>
      </c>
      <c r="Q76" s="194">
        <f>'AG-Nucor 1-43 With Formulas'!S75</f>
        <v>2.8976446219076988</v>
      </c>
      <c r="S76" s="192">
        <f t="shared" si="72"/>
        <v>362596</v>
      </c>
      <c r="T76" s="183"/>
      <c r="U76" s="142">
        <f t="shared" si="73"/>
        <v>362596</v>
      </c>
      <c r="V76" s="183"/>
      <c r="W76" s="187">
        <f t="shared" si="74"/>
        <v>0</v>
      </c>
      <c r="Y76" s="238">
        <f>'Adj 2 Depr-No Int NS or Retire '!S75</f>
        <v>2.7870619245257631</v>
      </c>
      <c r="AA76" s="224">
        <f t="shared" si="75"/>
        <v>348758.26315789472</v>
      </c>
      <c r="AB76" s="225"/>
      <c r="AC76" s="226">
        <f t="shared" si="76"/>
        <v>348758.26315789472</v>
      </c>
      <c r="AD76" s="183"/>
      <c r="AE76" s="187">
        <f t="shared" si="77"/>
        <v>0</v>
      </c>
      <c r="AG76" s="194">
        <f>'Adj 3 Depr-Extend Lifespans'!S75</f>
        <v>2.7870619245257631</v>
      </c>
      <c r="AI76" s="224">
        <f t="shared" si="78"/>
        <v>348758.26315789472</v>
      </c>
      <c r="AJ76" s="225"/>
      <c r="AK76" s="226">
        <f t="shared" si="79"/>
        <v>348758.26315789472</v>
      </c>
      <c r="AL76" s="183"/>
      <c r="AM76" s="187">
        <f t="shared" si="80"/>
        <v>0</v>
      </c>
    </row>
    <row r="77" spans="1:39">
      <c r="A77" s="30"/>
      <c r="C77" s="33" t="s">
        <v>44</v>
      </c>
      <c r="E77" s="144">
        <v>17711668.739999998</v>
      </c>
      <c r="F77" s="145"/>
      <c r="G77" s="146">
        <v>17711668.740000002</v>
      </c>
      <c r="H77" s="147"/>
      <c r="I77" s="26">
        <v>3.05</v>
      </c>
      <c r="J77" s="26"/>
      <c r="K77" s="148">
        <v>539744</v>
      </c>
      <c r="M77" s="149">
        <f>ROUND(G77*(I77/100),0)-462</f>
        <v>539744</v>
      </c>
      <c r="O77" s="150">
        <f t="shared" si="9"/>
        <v>0</v>
      </c>
      <c r="Q77" s="194">
        <f>'AG-Nucor 1-43 With Formulas'!S76</f>
        <v>2.886278009736535</v>
      </c>
      <c r="S77" s="177">
        <f t="shared" si="72"/>
        <v>511207.99999999994</v>
      </c>
      <c r="T77" s="183"/>
      <c r="U77" s="149">
        <f t="shared" si="73"/>
        <v>511208.00000000006</v>
      </c>
      <c r="V77" s="183"/>
      <c r="W77" s="188">
        <f t="shared" si="74"/>
        <v>0</v>
      </c>
      <c r="Y77" s="227">
        <f>'Adj 2 Depr-No Int NS or Retire '!S76</f>
        <v>2.7759193038010004</v>
      </c>
      <c r="AA77" s="177">
        <f t="shared" si="75"/>
        <v>491661.63157894736</v>
      </c>
      <c r="AB77" s="225"/>
      <c r="AC77" s="149">
        <f t="shared" si="76"/>
        <v>491661.63157894748</v>
      </c>
      <c r="AD77" s="183"/>
      <c r="AE77" s="188">
        <f t="shared" si="77"/>
        <v>0</v>
      </c>
      <c r="AG77" s="194">
        <f>'Adj 3 Depr-Extend Lifespans'!S76</f>
        <v>2.5115460367723332</v>
      </c>
      <c r="AI77" s="177">
        <f t="shared" si="78"/>
        <v>444836.7142857142</v>
      </c>
      <c r="AJ77" s="225"/>
      <c r="AK77" s="149">
        <f t="shared" si="79"/>
        <v>444836.71428571432</v>
      </c>
      <c r="AL77" s="183"/>
      <c r="AM77" s="188">
        <f t="shared" si="80"/>
        <v>0</v>
      </c>
    </row>
    <row r="78" spans="1:39">
      <c r="A78" s="30"/>
      <c r="E78" s="157"/>
      <c r="F78" s="145"/>
      <c r="G78" s="158"/>
      <c r="H78" s="147"/>
      <c r="I78" s="26"/>
      <c r="J78" s="26"/>
      <c r="K78" s="147"/>
      <c r="M78" s="142"/>
      <c r="O78" s="143"/>
      <c r="Q78" s="194"/>
      <c r="S78" s="192"/>
      <c r="T78" s="183"/>
      <c r="U78" s="142"/>
      <c r="V78" s="183"/>
      <c r="W78" s="187"/>
      <c r="Y78" s="194"/>
      <c r="AA78" s="192"/>
      <c r="AB78" s="183"/>
      <c r="AC78" s="142"/>
      <c r="AD78" s="183"/>
      <c r="AE78" s="187"/>
      <c r="AG78" s="194"/>
      <c r="AI78" s="192"/>
      <c r="AJ78" s="183"/>
      <c r="AK78" s="142"/>
      <c r="AL78" s="183"/>
      <c r="AM78" s="187"/>
    </row>
    <row r="79" spans="1:39" ht="15.75">
      <c r="A79" s="30"/>
      <c r="C79" s="13" t="s">
        <v>53</v>
      </c>
      <c r="E79" s="157">
        <f>SUBTOTAL(9,E68:E78)</f>
        <v>117636030.7</v>
      </c>
      <c r="F79" s="145"/>
      <c r="G79" s="159">
        <f t="shared" ref="G79" si="81">SUBTOTAL(9,G68:G78)</f>
        <v>45979796.040000007</v>
      </c>
      <c r="H79" s="147"/>
      <c r="I79" s="26">
        <f>+ROUND(K79/E79*100,2)</f>
        <v>2.61</v>
      </c>
      <c r="J79" s="26"/>
      <c r="K79" s="147">
        <f>SUBTOTAL(9,K68:K78)</f>
        <v>3065083</v>
      </c>
      <c r="M79" s="160">
        <f t="shared" ref="M79" si="82">SUBTOTAL(9,M68:M78)</f>
        <v>1330010</v>
      </c>
      <c r="O79" s="147">
        <f t="shared" ref="O79" si="83">SUBTOTAL(9,O68:O78)</f>
        <v>1735073</v>
      </c>
      <c r="Q79" s="194">
        <f>+ROUND(S79/E79*100,2)</f>
        <v>2.4700000000000002</v>
      </c>
      <c r="S79" s="192">
        <f>SUBTOTAL(9,S68:S78)</f>
        <v>2905881</v>
      </c>
      <c r="T79" s="183"/>
      <c r="U79" s="160">
        <f t="shared" ref="U79" si="84">SUBTOTAL(9,U68:U78)</f>
        <v>1259445.2248390715</v>
      </c>
      <c r="V79" s="183"/>
      <c r="W79" s="192">
        <f t="shared" ref="W79" si="85">SUBTOTAL(9,W68:W78)</f>
        <v>1646435.7751609287</v>
      </c>
      <c r="Y79" s="195">
        <f>+ROUND(AA79/E79*100,2)</f>
        <v>2.2999999999999998</v>
      </c>
      <c r="AA79" s="192">
        <f>SUBTOTAL(9,AA68:AA78)</f>
        <v>2710390.80055909</v>
      </c>
      <c r="AB79" s="183"/>
      <c r="AC79" s="160">
        <f t="shared" ref="AC79" si="86">SUBTOTAL(9,AC68:AC78)</f>
        <v>1205039.0960365944</v>
      </c>
      <c r="AD79" s="183"/>
      <c r="AE79" s="192">
        <f t="shared" ref="AE79" si="87">SUBTOTAL(9,AE68:AE78)</f>
        <v>1505351.7045224956</v>
      </c>
      <c r="AG79" s="195">
        <f>+ROUND(AI79/E79*100,2)</f>
        <v>1.87</v>
      </c>
      <c r="AI79" s="192">
        <f>SUBTOTAL(9,AI68:AI78)</f>
        <v>2199062.3904078375</v>
      </c>
      <c r="AJ79" s="183"/>
      <c r="AK79" s="160">
        <f t="shared" ref="AK79" si="88">SUBTOTAL(9,AK68:AK78)</f>
        <v>1157578.6120984717</v>
      </c>
      <c r="AL79" s="183"/>
      <c r="AM79" s="192">
        <f t="shared" ref="AM79" si="89">SUBTOTAL(9,AM68:AM78)</f>
        <v>1041483.7783093659</v>
      </c>
    </row>
    <row r="80" spans="1:39">
      <c r="A80" s="30"/>
      <c r="E80" s="157"/>
      <c r="F80" s="145"/>
      <c r="G80" s="158"/>
      <c r="H80" s="147"/>
      <c r="I80" s="26"/>
      <c r="J80" s="26"/>
      <c r="K80" s="147"/>
      <c r="M80" s="142"/>
      <c r="O80" s="143"/>
      <c r="Q80" s="194"/>
      <c r="S80" s="192"/>
      <c r="T80" s="183"/>
      <c r="U80" s="142"/>
      <c r="V80" s="183"/>
      <c r="W80" s="187"/>
      <c r="Y80" s="194"/>
      <c r="AA80" s="192"/>
      <c r="AB80" s="183"/>
      <c r="AC80" s="142"/>
      <c r="AD80" s="183"/>
      <c r="AE80" s="187"/>
      <c r="AG80" s="194"/>
      <c r="AI80" s="192"/>
      <c r="AJ80" s="183"/>
      <c r="AK80" s="142"/>
      <c r="AL80" s="183"/>
      <c r="AM80" s="187"/>
    </row>
    <row r="81" spans="1:43">
      <c r="A81" s="30">
        <v>316</v>
      </c>
      <c r="C81" s="13" t="s">
        <v>54</v>
      </c>
      <c r="E81" s="157"/>
      <c r="G81" s="156"/>
      <c r="I81" s="26"/>
      <c r="J81" s="26"/>
      <c r="M81" s="142"/>
      <c r="O81" s="143"/>
      <c r="Q81" s="194"/>
      <c r="S81" s="191"/>
      <c r="T81" s="183"/>
      <c r="U81" s="142"/>
      <c r="V81" s="183"/>
      <c r="W81" s="187"/>
      <c r="Y81" s="194"/>
      <c r="AA81" s="191"/>
      <c r="AB81" s="183"/>
      <c r="AC81" s="142"/>
      <c r="AD81" s="183"/>
      <c r="AE81" s="187"/>
      <c r="AG81" s="194"/>
      <c r="AI81" s="191"/>
      <c r="AJ81" s="183"/>
      <c r="AK81" s="142"/>
      <c r="AL81" s="183"/>
      <c r="AM81" s="187"/>
    </row>
    <row r="82" spans="1:43">
      <c r="A82" s="30"/>
      <c r="C82" s="33" t="s">
        <v>35</v>
      </c>
      <c r="E82" s="157">
        <v>1167329.42</v>
      </c>
      <c r="F82" s="145"/>
      <c r="G82" s="158">
        <v>0</v>
      </c>
      <c r="H82" s="147"/>
      <c r="I82" s="26">
        <v>4.3899999999999997</v>
      </c>
      <c r="J82" s="26"/>
      <c r="K82" s="147">
        <v>51254</v>
      </c>
      <c r="M82" s="142">
        <f t="shared" si="13"/>
        <v>0</v>
      </c>
      <c r="O82" s="143">
        <f t="shared" si="9"/>
        <v>51254</v>
      </c>
      <c r="Q82" s="194">
        <f>'AG-Nucor 1-43 With Formulas'!S81</f>
        <v>4.3907057529656024</v>
      </c>
      <c r="S82" s="192">
        <f t="shared" ref="S82:S89" si="90">E82*(Q82/100)</f>
        <v>51254</v>
      </c>
      <c r="T82" s="183"/>
      <c r="U82" s="142">
        <f t="shared" ref="U82:U89" si="91">G82*(Q82/100)</f>
        <v>0</v>
      </c>
      <c r="V82" s="183"/>
      <c r="W82" s="187">
        <f t="shared" ref="W82:W89" si="92">S82-U82</f>
        <v>51254</v>
      </c>
      <c r="Y82" s="194">
        <f>'Adj 2 Depr-No Int NS or Retire '!S81</f>
        <v>4.0035828104118201</v>
      </c>
      <c r="AA82" s="224">
        <f t="shared" ref="AA82:AA89" si="93">E82*(Y82/100)</f>
        <v>46735</v>
      </c>
      <c r="AB82" s="225"/>
      <c r="AC82" s="226">
        <f t="shared" ref="AC82:AC89" si="94">G82*(Y82/100)</f>
        <v>0</v>
      </c>
      <c r="AD82" s="183"/>
      <c r="AE82" s="187">
        <f t="shared" ref="AE82:AE89" si="95">AA82-AC82</f>
        <v>46735</v>
      </c>
      <c r="AG82" s="194">
        <f>'Adj 3 Depr-Extend Lifespans'!S81</f>
        <v>4.0035828104118201</v>
      </c>
      <c r="AI82" s="224">
        <f t="shared" ref="AI82:AI89" si="96">E82*(AG82/100)</f>
        <v>46735</v>
      </c>
      <c r="AJ82" s="225"/>
      <c r="AK82" s="226">
        <f t="shared" ref="AK82:AK89" si="97">G82*(AG82/100)</f>
        <v>0</v>
      </c>
      <c r="AL82" s="183"/>
      <c r="AM82" s="187">
        <f t="shared" ref="AM82:AM89" si="98">AI82-AK82</f>
        <v>46735</v>
      </c>
    </row>
    <row r="83" spans="1:43">
      <c r="A83" s="30"/>
      <c r="C83" s="33" t="s">
        <v>36</v>
      </c>
      <c r="E83" s="157">
        <v>2918709.21</v>
      </c>
      <c r="F83" s="145"/>
      <c r="G83" s="158">
        <v>0</v>
      </c>
      <c r="H83" s="147"/>
      <c r="I83" s="26">
        <v>3.11</v>
      </c>
      <c r="J83" s="26"/>
      <c r="K83" s="147">
        <v>90809</v>
      </c>
      <c r="M83" s="142">
        <f t="shared" si="13"/>
        <v>0</v>
      </c>
      <c r="O83" s="143">
        <f t="shared" si="9"/>
        <v>90809</v>
      </c>
      <c r="Q83" s="194">
        <f>'AG-Nucor 1-43 With Formulas'!S82</f>
        <v>2.8604082830163131</v>
      </c>
      <c r="S83" s="192">
        <f t="shared" si="90"/>
        <v>83487</v>
      </c>
      <c r="T83" s="183"/>
      <c r="U83" s="142">
        <f t="shared" si="91"/>
        <v>0</v>
      </c>
      <c r="V83" s="183"/>
      <c r="W83" s="187">
        <f t="shared" si="92"/>
        <v>83487</v>
      </c>
      <c r="Y83" s="238">
        <f>'Adj 2 Depr-No Int NS or Retire '!S82</f>
        <v>2.2995279249943965</v>
      </c>
      <c r="AA83" s="224">
        <f t="shared" si="93"/>
        <v>67116.53333333334</v>
      </c>
      <c r="AB83" s="225"/>
      <c r="AC83" s="226">
        <f t="shared" si="94"/>
        <v>0</v>
      </c>
      <c r="AD83" s="183"/>
      <c r="AE83" s="187">
        <f t="shared" si="95"/>
        <v>67116.53333333334</v>
      </c>
      <c r="AG83" s="194">
        <f>'Adj 3 Depr-Extend Lifespans'!S82</f>
        <v>2.2995279249943965</v>
      </c>
      <c r="AI83" s="224">
        <f t="shared" si="96"/>
        <v>67116.53333333334</v>
      </c>
      <c r="AJ83" s="225"/>
      <c r="AK83" s="226">
        <f t="shared" si="97"/>
        <v>0</v>
      </c>
      <c r="AL83" s="183"/>
      <c r="AM83" s="187">
        <f t="shared" si="98"/>
        <v>67116.53333333334</v>
      </c>
    </row>
    <row r="84" spans="1:43">
      <c r="A84" s="30"/>
      <c r="C84" s="33" t="s">
        <v>47</v>
      </c>
      <c r="E84" s="157">
        <v>2010174.77</v>
      </c>
      <c r="F84" s="145"/>
      <c r="G84" s="158">
        <v>0</v>
      </c>
      <c r="H84" s="147"/>
      <c r="I84" s="26">
        <v>13.7</v>
      </c>
      <c r="J84" s="26"/>
      <c r="K84" s="147">
        <v>275439</v>
      </c>
      <c r="M84" s="142">
        <f t="shared" si="13"/>
        <v>0</v>
      </c>
      <c r="O84" s="143">
        <f t="shared" si="9"/>
        <v>275439</v>
      </c>
      <c r="Q84" s="194">
        <f>'AG-Nucor 1-43 With Formulas'!S83</f>
        <v>13.267453356804392</v>
      </c>
      <c r="S84" s="192">
        <f t="shared" si="90"/>
        <v>266699</v>
      </c>
      <c r="T84" s="183"/>
      <c r="U84" s="142">
        <f t="shared" si="91"/>
        <v>0</v>
      </c>
      <c r="V84" s="183"/>
      <c r="W84" s="187">
        <f t="shared" si="92"/>
        <v>266699</v>
      </c>
      <c r="Y84" s="238">
        <f>'Adj 2 Depr-No Int NS or Retire '!S83</f>
        <v>12.935044448896353</v>
      </c>
      <c r="AA84" s="224">
        <f t="shared" si="93"/>
        <v>260017</v>
      </c>
      <c r="AB84" s="225"/>
      <c r="AC84" s="226">
        <f t="shared" si="94"/>
        <v>0</v>
      </c>
      <c r="AD84" s="183"/>
      <c r="AE84" s="187">
        <f t="shared" si="95"/>
        <v>260017</v>
      </c>
      <c r="AG84" s="194">
        <f>'Adj 3 Depr-Extend Lifespans'!S83</f>
        <v>12.935044448896353</v>
      </c>
      <c r="AI84" s="224">
        <f t="shared" si="96"/>
        <v>260017</v>
      </c>
      <c r="AJ84" s="225"/>
      <c r="AK84" s="226">
        <f t="shared" si="97"/>
        <v>0</v>
      </c>
      <c r="AL84" s="183"/>
      <c r="AM84" s="187">
        <f t="shared" si="98"/>
        <v>260017</v>
      </c>
    </row>
    <row r="85" spans="1:43">
      <c r="A85" s="30"/>
      <c r="C85" s="33" t="s">
        <v>37</v>
      </c>
      <c r="E85" s="157">
        <v>2139985.1800000002</v>
      </c>
      <c r="F85" s="145"/>
      <c r="G85" s="158">
        <v>2139985.1800000002</v>
      </c>
      <c r="H85" s="147"/>
      <c r="I85" s="26">
        <v>3.27</v>
      </c>
      <c r="J85" s="26"/>
      <c r="K85" s="147">
        <v>69957</v>
      </c>
      <c r="M85" s="142">
        <f>ROUND(G85*(I85/100),0)-21</f>
        <v>69957</v>
      </c>
      <c r="O85" s="143">
        <f t="shared" ref="O85:O148" si="99">K85-M85</f>
        <v>0</v>
      </c>
      <c r="Q85" s="194">
        <f>'AG-Nucor 1-43 With Formulas'!S84</f>
        <v>3.0265162864352173</v>
      </c>
      <c r="S85" s="192">
        <f t="shared" si="90"/>
        <v>64767</v>
      </c>
      <c r="T85" s="183"/>
      <c r="U85" s="142">
        <f t="shared" si="91"/>
        <v>64767</v>
      </c>
      <c r="V85" s="183"/>
      <c r="W85" s="187">
        <f t="shared" si="92"/>
        <v>0</v>
      </c>
      <c r="Y85" s="238">
        <f>'Adj 2 Depr-No Int NS or Retire '!S84</f>
        <v>2.4291943928321973</v>
      </c>
      <c r="AA85" s="224">
        <f t="shared" si="93"/>
        <v>51984.4</v>
      </c>
      <c r="AB85" s="225"/>
      <c r="AC85" s="226">
        <f t="shared" si="94"/>
        <v>51984.4</v>
      </c>
      <c r="AD85" s="183"/>
      <c r="AE85" s="187">
        <f t="shared" si="95"/>
        <v>0</v>
      </c>
      <c r="AG85" s="194">
        <f>'Adj 3 Depr-Extend Lifespans'!S84</f>
        <v>2.4291943928321973</v>
      </c>
      <c r="AI85" s="224">
        <f t="shared" si="96"/>
        <v>51984.4</v>
      </c>
      <c r="AJ85" s="225"/>
      <c r="AK85" s="226">
        <f t="shared" si="97"/>
        <v>51984.4</v>
      </c>
      <c r="AL85" s="183"/>
      <c r="AM85" s="187">
        <f t="shared" si="98"/>
        <v>0</v>
      </c>
    </row>
    <row r="86" spans="1:43">
      <c r="A86" s="30"/>
      <c r="C86" s="33" t="s">
        <v>38</v>
      </c>
      <c r="E86" s="157">
        <v>8375944.4500000002</v>
      </c>
      <c r="F86" s="145"/>
      <c r="G86" s="158">
        <v>837074.2</v>
      </c>
      <c r="H86" s="147"/>
      <c r="I86" s="26">
        <v>4.1900000000000004</v>
      </c>
      <c r="J86" s="26"/>
      <c r="K86" s="147">
        <v>350766</v>
      </c>
      <c r="M86" s="142">
        <f t="shared" ref="M86:M149" si="100">ROUND(G86*(I86/100),0)</f>
        <v>35073</v>
      </c>
      <c r="O86" s="143">
        <f t="shared" si="99"/>
        <v>315693</v>
      </c>
      <c r="Q86" s="194">
        <f>'AG-Nucor 1-43 With Formulas'!S85</f>
        <v>4.0742509938685183</v>
      </c>
      <c r="S86" s="192">
        <f t="shared" si="90"/>
        <v>341257</v>
      </c>
      <c r="T86" s="183"/>
      <c r="U86" s="142">
        <f t="shared" si="91"/>
        <v>34104.503912916945</v>
      </c>
      <c r="V86" s="183"/>
      <c r="W86" s="187">
        <f t="shared" si="92"/>
        <v>307152.49608708307</v>
      </c>
      <c r="Y86" s="238">
        <f>'Adj 2 Depr-No Int NS or Retire '!S85</f>
        <v>2.8534651259077277</v>
      </c>
      <c r="AA86" s="224">
        <f t="shared" si="93"/>
        <v>239004.65384615384</v>
      </c>
      <c r="AB86" s="225"/>
      <c r="AC86" s="226">
        <f t="shared" si="94"/>
        <v>23885.620374971106</v>
      </c>
      <c r="AD86" s="183"/>
      <c r="AE86" s="187">
        <f t="shared" si="95"/>
        <v>215119.03347118275</v>
      </c>
      <c r="AG86" s="194">
        <f>'Adj 3 Depr-Extend Lifespans'!S85</f>
        <v>1.5456269432000191</v>
      </c>
      <c r="AI86" s="224">
        <f t="shared" si="96"/>
        <v>129460.85416666666</v>
      </c>
      <c r="AJ86" s="225"/>
      <c r="AK86" s="226">
        <f t="shared" si="97"/>
        <v>12938.044369776013</v>
      </c>
      <c r="AL86" s="183"/>
      <c r="AM86" s="187">
        <f t="shared" si="98"/>
        <v>116522.80979689065</v>
      </c>
    </row>
    <row r="87" spans="1:43">
      <c r="A87" s="30"/>
      <c r="C87" s="33" t="s">
        <v>39</v>
      </c>
      <c r="E87" s="157">
        <v>182562.7</v>
      </c>
      <c r="F87" s="145"/>
      <c r="G87" s="158">
        <v>0</v>
      </c>
      <c r="H87" s="147"/>
      <c r="I87" s="26">
        <v>2.89</v>
      </c>
      <c r="J87" s="26"/>
      <c r="K87" s="147">
        <v>5273</v>
      </c>
      <c r="M87" s="142">
        <f t="shared" si="100"/>
        <v>0</v>
      </c>
      <c r="O87" s="143">
        <f t="shared" si="99"/>
        <v>5273</v>
      </c>
      <c r="Q87" s="194">
        <f>'AG-Nucor 1-43 With Formulas'!S86</f>
        <v>2.6812705990873273</v>
      </c>
      <c r="S87" s="192">
        <f t="shared" si="90"/>
        <v>4895.0000000000009</v>
      </c>
      <c r="T87" s="183"/>
      <c r="U87" s="142">
        <f t="shared" si="91"/>
        <v>0</v>
      </c>
      <c r="V87" s="183"/>
      <c r="W87" s="187">
        <f t="shared" si="92"/>
        <v>4895.0000000000009</v>
      </c>
      <c r="Y87" s="238">
        <f>'Adj 2 Depr-No Int NS or Retire '!S86</f>
        <v>1.2652322217315792</v>
      </c>
      <c r="AA87" s="224">
        <f t="shared" si="93"/>
        <v>2309.8421052631579</v>
      </c>
      <c r="AB87" s="225"/>
      <c r="AC87" s="226">
        <f t="shared" si="94"/>
        <v>0</v>
      </c>
      <c r="AD87" s="183"/>
      <c r="AE87" s="187">
        <f t="shared" si="95"/>
        <v>2309.8421052631579</v>
      </c>
      <c r="AG87" s="194">
        <f>'Adj 3 Depr-Extend Lifespans'!S86</f>
        <v>1.2652322217315792</v>
      </c>
      <c r="AI87" s="224">
        <f t="shared" si="96"/>
        <v>2309.8421052631579</v>
      </c>
      <c r="AJ87" s="225"/>
      <c r="AK87" s="226">
        <f t="shared" si="97"/>
        <v>0</v>
      </c>
      <c r="AL87" s="183"/>
      <c r="AM87" s="187">
        <f t="shared" si="98"/>
        <v>2309.8421052631579</v>
      </c>
    </row>
    <row r="88" spans="1:43">
      <c r="A88" s="30"/>
      <c r="C88" s="33" t="s">
        <v>41</v>
      </c>
      <c r="E88" s="157">
        <v>2192469.65</v>
      </c>
      <c r="F88" s="145"/>
      <c r="G88" s="158">
        <v>0</v>
      </c>
      <c r="H88" s="147"/>
      <c r="I88" s="26">
        <v>4.33</v>
      </c>
      <c r="J88" s="26"/>
      <c r="K88" s="147">
        <v>94877</v>
      </c>
      <c r="M88" s="142">
        <f t="shared" si="100"/>
        <v>0</v>
      </c>
      <c r="O88" s="143">
        <f t="shared" si="99"/>
        <v>94877</v>
      </c>
      <c r="Q88" s="194">
        <f>'AG-Nucor 1-43 With Formulas'!S87</f>
        <v>4.2233651900266898</v>
      </c>
      <c r="S88" s="192">
        <f t="shared" si="90"/>
        <v>92596</v>
      </c>
      <c r="T88" s="183"/>
      <c r="U88" s="142">
        <f t="shared" si="91"/>
        <v>0</v>
      </c>
      <c r="V88" s="183"/>
      <c r="W88" s="187">
        <f t="shared" si="92"/>
        <v>92596</v>
      </c>
      <c r="Y88" s="238">
        <f>'Adj 2 Depr-No Int NS or Retire '!S87</f>
        <v>3.0566671698283256</v>
      </c>
      <c r="AA88" s="224">
        <f t="shared" si="93"/>
        <v>67016.5</v>
      </c>
      <c r="AB88" s="225"/>
      <c r="AC88" s="226">
        <f t="shared" si="94"/>
        <v>0</v>
      </c>
      <c r="AD88" s="183"/>
      <c r="AE88" s="187">
        <f t="shared" si="95"/>
        <v>67016.5</v>
      </c>
      <c r="AG88" s="194">
        <f>'Adj 3 Depr-Extend Lifespans'!S87</f>
        <v>1.8062124185349198</v>
      </c>
      <c r="AI88" s="224">
        <f t="shared" si="96"/>
        <v>39600.659090909088</v>
      </c>
      <c r="AJ88" s="225"/>
      <c r="AK88" s="226">
        <f t="shared" si="97"/>
        <v>0</v>
      </c>
      <c r="AL88" s="183"/>
      <c r="AM88" s="187">
        <f t="shared" si="98"/>
        <v>39600.659090909088</v>
      </c>
    </row>
    <row r="89" spans="1:43">
      <c r="A89" s="30"/>
      <c r="C89" s="33" t="s">
        <v>42</v>
      </c>
      <c r="E89" s="144">
        <v>2721199.41</v>
      </c>
      <c r="F89" s="145"/>
      <c r="G89" s="146">
        <v>1536289.1800000002</v>
      </c>
      <c r="H89" s="147"/>
      <c r="I89" s="26">
        <v>4.3</v>
      </c>
      <c r="J89" s="26"/>
      <c r="K89" s="148">
        <v>117145</v>
      </c>
      <c r="M89" s="149">
        <f t="shared" si="100"/>
        <v>66060</v>
      </c>
      <c r="O89" s="150">
        <f t="shared" si="99"/>
        <v>51085</v>
      </c>
      <c r="Q89" s="194">
        <f>'AG-Nucor 1-43 With Formulas'!S88</f>
        <v>4.1368890345305491</v>
      </c>
      <c r="S89" s="177">
        <f t="shared" si="90"/>
        <v>112573</v>
      </c>
      <c r="T89" s="183"/>
      <c r="U89" s="149">
        <f t="shared" si="91"/>
        <v>63554.578626099297</v>
      </c>
      <c r="V89" s="183"/>
      <c r="W89" s="188">
        <f t="shared" si="92"/>
        <v>49018.421373900703</v>
      </c>
      <c r="Y89" s="227">
        <f>'Adj 2 Depr-No Int NS or Retire '!S88</f>
        <v>2.8139952844147893</v>
      </c>
      <c r="AA89" s="177">
        <f t="shared" si="93"/>
        <v>76574.423076923078</v>
      </c>
      <c r="AB89" s="225"/>
      <c r="AC89" s="149">
        <f t="shared" si="94"/>
        <v>43231.105080174639</v>
      </c>
      <c r="AD89" s="183"/>
      <c r="AE89" s="188">
        <f t="shared" si="95"/>
        <v>33343.317996748439</v>
      </c>
      <c r="AG89" s="194">
        <f>'Adj 3 Depr-Extend Lifespans'!S88</f>
        <v>1.5242474457246775</v>
      </c>
      <c r="AI89" s="177">
        <f t="shared" si="96"/>
        <v>41477.8125</v>
      </c>
      <c r="AJ89" s="225"/>
      <c r="AK89" s="149">
        <f t="shared" si="97"/>
        <v>23416.848585094598</v>
      </c>
      <c r="AL89" s="183"/>
      <c r="AM89" s="188">
        <f t="shared" si="98"/>
        <v>18060.963914905402</v>
      </c>
    </row>
    <row r="90" spans="1:43">
      <c r="A90" s="30"/>
      <c r="E90" s="157"/>
      <c r="F90" s="145"/>
      <c r="G90" s="158"/>
      <c r="H90" s="147"/>
      <c r="I90" s="26"/>
      <c r="J90" s="26"/>
      <c r="K90" s="147"/>
      <c r="M90" s="142"/>
      <c r="O90" s="143"/>
      <c r="Q90" s="194"/>
      <c r="S90" s="192"/>
      <c r="T90" s="183"/>
      <c r="U90" s="142"/>
      <c r="V90" s="183"/>
      <c r="W90" s="187"/>
      <c r="Y90" s="194"/>
      <c r="AA90" s="192"/>
      <c r="AB90" s="183"/>
      <c r="AC90" s="142"/>
      <c r="AD90" s="183"/>
      <c r="AE90" s="187"/>
      <c r="AG90" s="194"/>
      <c r="AI90" s="192"/>
      <c r="AJ90" s="183"/>
      <c r="AK90" s="142"/>
      <c r="AL90" s="183"/>
      <c r="AM90" s="187"/>
    </row>
    <row r="91" spans="1:43" ht="15.75">
      <c r="A91" s="30"/>
      <c r="C91" s="13" t="s">
        <v>55</v>
      </c>
      <c r="E91" s="144">
        <f>SUBTOTAL(9,E82:E90)</f>
        <v>21708374.789999999</v>
      </c>
      <c r="F91" s="145"/>
      <c r="G91" s="161">
        <f t="shared" ref="G91" si="101">SUBTOTAL(9,G82:G90)</f>
        <v>4513348.5600000005</v>
      </c>
      <c r="H91" s="147"/>
      <c r="I91" s="26">
        <f>+ROUND(K91/E91*100,2)</f>
        <v>4.8600000000000003</v>
      </c>
      <c r="J91" s="26"/>
      <c r="K91" s="148">
        <f>SUBTOTAL(9,K82:K90)</f>
        <v>1055520</v>
      </c>
      <c r="M91" s="162">
        <f t="shared" ref="M91" si="102">SUBTOTAL(9,M82:M90)</f>
        <v>171090</v>
      </c>
      <c r="O91" s="148">
        <f t="shared" ref="O91" si="103">SUBTOTAL(9,O82:O90)</f>
        <v>884430</v>
      </c>
      <c r="Q91" s="194">
        <f>+ROUND(S91/E91*100,2)</f>
        <v>4.6900000000000004</v>
      </c>
      <c r="S91" s="177">
        <f t="shared" ref="S91" si="104">SUBTOTAL(9,S82:S90)</f>
        <v>1017528</v>
      </c>
      <c r="T91" s="183"/>
      <c r="U91" s="178">
        <f t="shared" ref="U91" si="105">SUBTOTAL(9,U82:U90)</f>
        <v>162426.08253901624</v>
      </c>
      <c r="V91" s="183"/>
      <c r="W91" s="177">
        <f t="shared" ref="W91" si="106">SUBTOTAL(9,W82:W90)</f>
        <v>855101.91746098385</v>
      </c>
      <c r="Y91" s="195">
        <f>+ROUND(AA91/E91*100,2)</f>
        <v>3.73</v>
      </c>
      <c r="AA91" s="177">
        <f t="shared" ref="AA91" si="107">SUBTOTAL(9,AA82:AA90)</f>
        <v>810758.35236167349</v>
      </c>
      <c r="AB91" s="183"/>
      <c r="AC91" s="178">
        <f t="shared" ref="AC91" si="108">SUBTOTAL(9,AC82:AC90)</f>
        <v>119101.12545514575</v>
      </c>
      <c r="AD91" s="183"/>
      <c r="AE91" s="177">
        <f t="shared" ref="AE91" si="109">SUBTOTAL(9,AE82:AE90)</f>
        <v>691657.22690652777</v>
      </c>
      <c r="AG91" s="195">
        <f>+ROUND(AI91/E91*100,2)</f>
        <v>2.94</v>
      </c>
      <c r="AI91" s="177">
        <f t="shared" ref="AI91" si="110">SUBTOTAL(9,AI82:AI90)</f>
        <v>638702.10119617218</v>
      </c>
      <c r="AJ91" s="183"/>
      <c r="AK91" s="178">
        <f t="shared" ref="AK91" si="111">SUBTOTAL(9,AK82:AK90)</f>
        <v>88339.292954870616</v>
      </c>
      <c r="AL91" s="183"/>
      <c r="AM91" s="177">
        <f t="shared" ref="AM91" si="112">SUBTOTAL(9,AM82:AM90)</f>
        <v>550362.80824130168</v>
      </c>
    </row>
    <row r="92" spans="1:43" ht="15.75">
      <c r="C92" s="18"/>
      <c r="E92" s="157"/>
      <c r="F92" s="145"/>
      <c r="G92" s="158"/>
      <c r="H92" s="147"/>
      <c r="I92" s="26"/>
      <c r="J92" s="26"/>
      <c r="K92" s="147"/>
      <c r="M92" s="142"/>
      <c r="O92" s="143"/>
      <c r="Q92" s="194"/>
      <c r="S92" s="192"/>
      <c r="T92" s="183"/>
      <c r="U92" s="142"/>
      <c r="V92" s="183"/>
      <c r="W92" s="187"/>
      <c r="Y92" s="194"/>
      <c r="AA92" s="192"/>
      <c r="AB92" s="183"/>
      <c r="AC92" s="142"/>
      <c r="AD92" s="183"/>
      <c r="AE92" s="187"/>
      <c r="AG92" s="194"/>
      <c r="AI92" s="192"/>
      <c r="AJ92" s="183"/>
      <c r="AK92" s="142"/>
      <c r="AL92" s="183"/>
      <c r="AM92" s="187"/>
    </row>
    <row r="93" spans="1:43" ht="15.75">
      <c r="A93" s="30"/>
      <c r="C93" s="31" t="s">
        <v>56</v>
      </c>
      <c r="E93" s="151">
        <f>SUBTOTAL(9,E21:E92)</f>
        <v>2801845065.1100001</v>
      </c>
      <c r="F93" s="22"/>
      <c r="G93" s="153">
        <f t="shared" ref="G93" si="113">SUBTOTAL(9,G21:G92)</f>
        <v>1219967321.8500001</v>
      </c>
      <c r="H93" s="35"/>
      <c r="I93" s="23">
        <f>+ROUND(K93/E93*100,2)</f>
        <v>3</v>
      </c>
      <c r="J93" s="23"/>
      <c r="K93" s="35">
        <f>SUBTOTAL(9,K21:K92)</f>
        <v>84074159</v>
      </c>
      <c r="M93" s="163">
        <f t="shared" ref="M93" si="114">SUBTOTAL(9,M21:M92)</f>
        <v>38755962</v>
      </c>
      <c r="O93" s="35">
        <f t="shared" ref="O93" si="115">SUBTOTAL(9,O21:O92)</f>
        <v>45318197</v>
      </c>
      <c r="Q93" s="195">
        <f>+ROUND(S93/E93*100,2)</f>
        <v>2.87</v>
      </c>
      <c r="S93" s="180">
        <f>SUBTOTAL(9,S21:S92)</f>
        <v>80444719</v>
      </c>
      <c r="T93" s="183"/>
      <c r="U93" s="163">
        <f t="shared" ref="U93" si="116">SUBTOTAL(9,U21:U92)</f>
        <v>37113279.798855878</v>
      </c>
      <c r="V93" s="183"/>
      <c r="W93" s="180">
        <f t="shared" ref="W93" si="117">SUBTOTAL(9,W21:W92)</f>
        <v>43331439.201144122</v>
      </c>
      <c r="Y93" s="195">
        <f>+ROUND(AA93/E93*100,2)</f>
        <v>2.61</v>
      </c>
      <c r="AA93" s="180">
        <f>SUBTOTAL(9,AA21:AA92)</f>
        <v>73147937.442645088</v>
      </c>
      <c r="AB93" s="183"/>
      <c r="AC93" s="163">
        <f t="shared" ref="AC93" si="118">SUBTOTAL(9,AC21:AC92)</f>
        <v>34368780.795875706</v>
      </c>
      <c r="AD93" s="183"/>
      <c r="AE93" s="180">
        <f t="shared" ref="AE93" si="119">SUBTOTAL(9,AE21:AE92)</f>
        <v>38779156.646769352</v>
      </c>
      <c r="AG93" s="195">
        <f>+ROUND(AI93/E93*100,2)</f>
        <v>1.96</v>
      </c>
      <c r="AI93" s="180">
        <f>SUBTOTAL(9,AI21:AI92)</f>
        <v>54810447.666666657</v>
      </c>
      <c r="AJ93" s="183"/>
      <c r="AK93" s="163">
        <f t="shared" ref="AK93" si="120">SUBTOTAL(9,AK21:AK92)</f>
        <v>27655301.436592914</v>
      </c>
      <c r="AL93" s="183"/>
      <c r="AM93" s="180">
        <f t="shared" ref="AM93" si="121">SUBTOTAL(9,AM21:AM92)</f>
        <v>27155146.230073754</v>
      </c>
      <c r="AP93" s="15"/>
      <c r="AQ93" s="15"/>
    </row>
    <row r="94" spans="1:43">
      <c r="A94" s="30"/>
      <c r="C94" s="34"/>
      <c r="E94" s="157"/>
      <c r="G94" s="156"/>
      <c r="I94" s="26"/>
      <c r="J94" s="26"/>
      <c r="M94" s="142"/>
      <c r="O94" s="143"/>
      <c r="Q94" s="194"/>
      <c r="S94" s="191"/>
      <c r="T94" s="183"/>
      <c r="U94" s="142"/>
      <c r="V94" s="183"/>
      <c r="W94" s="187"/>
      <c r="Y94" s="194"/>
      <c r="AA94" s="191"/>
      <c r="AB94" s="183"/>
      <c r="AC94" s="142"/>
      <c r="AD94" s="183"/>
      <c r="AE94" s="187"/>
      <c r="AG94" s="194"/>
      <c r="AI94" s="191"/>
      <c r="AJ94" s="183"/>
      <c r="AK94" s="142"/>
      <c r="AL94" s="183"/>
      <c r="AM94" s="187"/>
    </row>
    <row r="95" spans="1:43" ht="15.75">
      <c r="C95" s="18" t="s">
        <v>57</v>
      </c>
      <c r="G95" s="156"/>
      <c r="I95" s="26"/>
      <c r="J95" s="26"/>
      <c r="M95" s="142"/>
      <c r="O95" s="143"/>
      <c r="Q95" s="194"/>
      <c r="S95" s="191"/>
      <c r="T95" s="183"/>
      <c r="U95" s="142"/>
      <c r="V95" s="183"/>
      <c r="W95" s="187"/>
      <c r="Y95" s="194"/>
      <c r="AA95" s="191"/>
      <c r="AB95" s="183"/>
      <c r="AC95" s="142"/>
      <c r="AD95" s="183"/>
      <c r="AE95" s="187"/>
      <c r="AG95" s="194"/>
      <c r="AI95" s="191"/>
      <c r="AJ95" s="183"/>
      <c r="AK95" s="142"/>
      <c r="AL95" s="183"/>
      <c r="AM95" s="187"/>
    </row>
    <row r="96" spans="1:43" ht="15.75">
      <c r="C96" s="25"/>
      <c r="G96" s="156"/>
      <c r="I96" s="26"/>
      <c r="J96" s="26"/>
      <c r="M96" s="142"/>
      <c r="O96" s="143"/>
      <c r="Q96" s="194"/>
      <c r="S96" s="191"/>
      <c r="T96" s="183"/>
      <c r="U96" s="142"/>
      <c r="V96" s="183"/>
      <c r="W96" s="187"/>
      <c r="Y96" s="194"/>
      <c r="AA96" s="191"/>
      <c r="AB96" s="183"/>
      <c r="AC96" s="142"/>
      <c r="AD96" s="183"/>
      <c r="AE96" s="187"/>
      <c r="AG96" s="194"/>
      <c r="AI96" s="191"/>
      <c r="AJ96" s="183"/>
      <c r="AK96" s="142"/>
      <c r="AL96" s="183"/>
      <c r="AM96" s="187"/>
    </row>
    <row r="97" spans="1:39">
      <c r="A97" s="30">
        <v>341</v>
      </c>
      <c r="C97" s="13" t="s">
        <v>34</v>
      </c>
      <c r="G97" s="156"/>
      <c r="I97" s="26"/>
      <c r="J97" s="26"/>
      <c r="M97" s="142"/>
      <c r="O97" s="143"/>
      <c r="Q97" s="194"/>
      <c r="S97" s="191"/>
      <c r="T97" s="183"/>
      <c r="U97" s="142"/>
      <c r="V97" s="183"/>
      <c r="W97" s="187"/>
      <c r="Y97" s="194"/>
      <c r="AA97" s="191"/>
      <c r="AB97" s="183"/>
      <c r="AC97" s="142"/>
      <c r="AD97" s="183"/>
      <c r="AE97" s="187"/>
      <c r="AG97" s="194"/>
      <c r="AI97" s="191"/>
      <c r="AJ97" s="183"/>
      <c r="AK97" s="142"/>
      <c r="AL97" s="183"/>
      <c r="AM97" s="187"/>
    </row>
    <row r="98" spans="1:39">
      <c r="A98" s="30"/>
      <c r="C98" s="33" t="s">
        <v>58</v>
      </c>
      <c r="E98" s="157">
        <v>18449493.530000001</v>
      </c>
      <c r="F98" s="145"/>
      <c r="G98" s="158">
        <v>0</v>
      </c>
      <c r="H98" s="147"/>
      <c r="I98" s="26">
        <v>2.91</v>
      </c>
      <c r="J98" s="26"/>
      <c r="K98" s="147">
        <v>537108</v>
      </c>
      <c r="M98" s="142">
        <f t="shared" si="100"/>
        <v>0</v>
      </c>
      <c r="O98" s="143">
        <f t="shared" si="99"/>
        <v>537108</v>
      </c>
      <c r="Q98" s="194">
        <f>'AG-Nucor 1-43 With Formulas'!S97</f>
        <v>2.8654065714073829</v>
      </c>
      <c r="S98" s="192">
        <f t="shared" ref="S98:S116" si="122">E98*(Q98/100)</f>
        <v>528652.99999999988</v>
      </c>
      <c r="T98" s="183"/>
      <c r="U98" s="142">
        <f t="shared" ref="U98:U116" si="123">G98*(Q98/100)</f>
        <v>0</v>
      </c>
      <c r="V98" s="183"/>
      <c r="W98" s="187">
        <f t="shared" ref="W98:W116" si="124">S98-U98</f>
        <v>528652.99999999988</v>
      </c>
      <c r="Y98" s="194">
        <f>'Adj 2 Depr-No Int NS or Retire '!S97</f>
        <v>2.2874559475077199</v>
      </c>
      <c r="AA98" s="224">
        <f t="shared" ref="AA98:AA116" si="125">E98*(Y98/100)</f>
        <v>422024.03703703702</v>
      </c>
      <c r="AB98" s="225"/>
      <c r="AC98" s="226">
        <f t="shared" ref="AC98:AC116" si="126">G98*(Y98/100)</f>
        <v>0</v>
      </c>
      <c r="AD98" s="183"/>
      <c r="AE98" s="187">
        <f t="shared" ref="AE98:AE116" si="127">AA98-AC98</f>
        <v>422024.03703703702</v>
      </c>
      <c r="AG98" s="194">
        <f>'Adj 3 Depr-Extend Lifespans'!S97</f>
        <v>1.9300409557096387</v>
      </c>
      <c r="AI98" s="224">
        <f t="shared" ref="AI98:AI116" si="128">E98*(AG98/100)</f>
        <v>356082.78125</v>
      </c>
      <c r="AJ98" s="225"/>
      <c r="AK98" s="226">
        <f t="shared" ref="AK98:AK116" si="129">G98*(AG98/100)</f>
        <v>0</v>
      </c>
      <c r="AL98" s="183"/>
      <c r="AM98" s="187">
        <f t="shared" ref="AM98:AM116" si="130">AI98-AK98</f>
        <v>356082.78125</v>
      </c>
    </row>
    <row r="99" spans="1:39">
      <c r="A99" s="30"/>
      <c r="C99" s="33" t="s">
        <v>59</v>
      </c>
      <c r="E99" s="157">
        <v>2666719.81</v>
      </c>
      <c r="F99" s="145"/>
      <c r="G99" s="158">
        <v>0</v>
      </c>
      <c r="H99" s="147"/>
      <c r="I99" s="26">
        <v>3.81</v>
      </c>
      <c r="J99" s="26"/>
      <c r="K99" s="147">
        <v>101616</v>
      </c>
      <c r="M99" s="142">
        <f t="shared" si="100"/>
        <v>0</v>
      </c>
      <c r="O99" s="143">
        <f t="shared" si="99"/>
        <v>101616</v>
      </c>
      <c r="Q99" s="194">
        <f>'AG-Nucor 1-43 With Formulas'!S98</f>
        <v>3.6419649201915969</v>
      </c>
      <c r="S99" s="192">
        <f t="shared" si="122"/>
        <v>97121</v>
      </c>
      <c r="T99" s="183"/>
      <c r="U99" s="142">
        <f t="shared" si="123"/>
        <v>0</v>
      </c>
      <c r="V99" s="183"/>
      <c r="W99" s="187">
        <f t="shared" si="124"/>
        <v>97121</v>
      </c>
      <c r="Y99" s="238">
        <f>'Adj 2 Depr-No Int NS or Retire '!S98</f>
        <v>3.324395287418954</v>
      </c>
      <c r="AA99" s="224">
        <f t="shared" si="125"/>
        <v>88652.307692307688</v>
      </c>
      <c r="AB99" s="225"/>
      <c r="AC99" s="226">
        <f t="shared" si="126"/>
        <v>0</v>
      </c>
      <c r="AD99" s="183"/>
      <c r="AE99" s="187">
        <f t="shared" si="127"/>
        <v>88652.307692307688</v>
      </c>
      <c r="AG99" s="194">
        <f>'Adj 3 Depr-Extend Lifespans'!S98</f>
        <v>2.0579589874498287</v>
      </c>
      <c r="AI99" s="224">
        <f t="shared" si="128"/>
        <v>54880</v>
      </c>
      <c r="AJ99" s="225"/>
      <c r="AK99" s="226">
        <f t="shared" si="129"/>
        <v>0</v>
      </c>
      <c r="AL99" s="183"/>
      <c r="AM99" s="187">
        <f t="shared" si="130"/>
        <v>54880</v>
      </c>
    </row>
    <row r="100" spans="1:39">
      <c r="A100" s="30"/>
      <c r="C100" s="33" t="s">
        <v>60</v>
      </c>
      <c r="E100" s="157">
        <v>2666719.81</v>
      </c>
      <c r="F100" s="145"/>
      <c r="G100" s="158">
        <v>0</v>
      </c>
      <c r="H100" s="147"/>
      <c r="I100" s="26">
        <v>3.74</v>
      </c>
      <c r="J100" s="26"/>
      <c r="K100" s="147">
        <v>99819</v>
      </c>
      <c r="M100" s="142">
        <f t="shared" si="100"/>
        <v>0</v>
      </c>
      <c r="O100" s="143">
        <f t="shared" si="99"/>
        <v>99819</v>
      </c>
      <c r="Q100" s="194">
        <f>'AG-Nucor 1-43 With Formulas'!S99</f>
        <v>3.5745787631134744</v>
      </c>
      <c r="S100" s="192">
        <f t="shared" si="122"/>
        <v>95324</v>
      </c>
      <c r="T100" s="183"/>
      <c r="U100" s="142">
        <f t="shared" si="123"/>
        <v>0</v>
      </c>
      <c r="V100" s="183"/>
      <c r="W100" s="187">
        <f t="shared" si="124"/>
        <v>95324</v>
      </c>
      <c r="Y100" s="238">
        <f>'Adj 2 Depr-No Int NS or Retire '!S99</f>
        <v>3.2628849747810587</v>
      </c>
      <c r="AA100" s="224">
        <f t="shared" si="125"/>
        <v>87012</v>
      </c>
      <c r="AB100" s="225"/>
      <c r="AC100" s="226">
        <f t="shared" si="126"/>
        <v>0</v>
      </c>
      <c r="AD100" s="183"/>
      <c r="AE100" s="187">
        <f t="shared" si="127"/>
        <v>87012</v>
      </c>
      <c r="AG100" s="194">
        <f>'Adj 3 Depr-Extend Lifespans'!S99</f>
        <v>2.0198811748644649</v>
      </c>
      <c r="AI100" s="224">
        <f t="shared" si="128"/>
        <v>53864.571428571428</v>
      </c>
      <c r="AJ100" s="225"/>
      <c r="AK100" s="226">
        <f t="shared" si="129"/>
        <v>0</v>
      </c>
      <c r="AL100" s="183"/>
      <c r="AM100" s="187">
        <f t="shared" si="130"/>
        <v>53864.571428571428</v>
      </c>
    </row>
    <row r="101" spans="1:39">
      <c r="A101" s="30"/>
      <c r="C101" s="33" t="s">
        <v>61</v>
      </c>
      <c r="E101" s="157">
        <v>2666719.81</v>
      </c>
      <c r="F101" s="145"/>
      <c r="G101" s="158">
        <v>0</v>
      </c>
      <c r="H101" s="147"/>
      <c r="I101" s="26">
        <v>3.91</v>
      </c>
      <c r="J101" s="26"/>
      <c r="K101" s="147">
        <v>104219</v>
      </c>
      <c r="M101" s="142">
        <f t="shared" si="100"/>
        <v>0</v>
      </c>
      <c r="O101" s="143">
        <f t="shared" si="99"/>
        <v>104219</v>
      </c>
      <c r="Q101" s="194">
        <f>'AG-Nucor 1-43 With Formulas'!S100</f>
        <v>3.7395754749352537</v>
      </c>
      <c r="S101" s="192">
        <f t="shared" si="122"/>
        <v>99723.999999999985</v>
      </c>
      <c r="T101" s="183"/>
      <c r="U101" s="142">
        <f t="shared" si="123"/>
        <v>0</v>
      </c>
      <c r="V101" s="183"/>
      <c r="W101" s="187">
        <f t="shared" si="124"/>
        <v>99723.999999999985</v>
      </c>
      <c r="Y101" s="238">
        <f>'Adj 2 Depr-No Int NS or Retire '!S100</f>
        <v>3.413484858129018</v>
      </c>
      <c r="AA101" s="224">
        <f t="shared" si="125"/>
        <v>91028.076923076922</v>
      </c>
      <c r="AB101" s="225"/>
      <c r="AC101" s="226">
        <f t="shared" si="126"/>
        <v>0</v>
      </c>
      <c r="AD101" s="183"/>
      <c r="AE101" s="187">
        <f t="shared" si="127"/>
        <v>91028.076923076922</v>
      </c>
      <c r="AG101" s="194">
        <f>'Adj 3 Depr-Extend Lifespans'!S100</f>
        <v>2.1131096740798681</v>
      </c>
      <c r="AI101" s="224">
        <f t="shared" si="128"/>
        <v>56350.714285714283</v>
      </c>
      <c r="AJ101" s="225"/>
      <c r="AK101" s="226">
        <f t="shared" si="129"/>
        <v>0</v>
      </c>
      <c r="AL101" s="183"/>
      <c r="AM101" s="187">
        <f t="shared" si="130"/>
        <v>56350.714285714283</v>
      </c>
    </row>
    <row r="102" spans="1:39">
      <c r="A102" s="30"/>
      <c r="C102" s="33" t="s">
        <v>62</v>
      </c>
      <c r="E102" s="157">
        <v>1937757.41</v>
      </c>
      <c r="F102" s="145"/>
      <c r="G102" s="158">
        <v>0</v>
      </c>
      <c r="H102" s="147"/>
      <c r="I102" s="26">
        <v>3.46</v>
      </c>
      <c r="J102" s="26"/>
      <c r="K102" s="147">
        <v>67013</v>
      </c>
      <c r="M102" s="142">
        <f t="shared" si="100"/>
        <v>0</v>
      </c>
      <c r="O102" s="143">
        <f t="shared" si="99"/>
        <v>67013</v>
      </c>
      <c r="Q102" s="194">
        <f>'AG-Nucor 1-43 With Formulas'!S101</f>
        <v>3.3951102269297992</v>
      </c>
      <c r="S102" s="192">
        <f t="shared" si="122"/>
        <v>65789</v>
      </c>
      <c r="T102" s="183"/>
      <c r="U102" s="142">
        <f t="shared" si="123"/>
        <v>0</v>
      </c>
      <c r="V102" s="183"/>
      <c r="W102" s="187">
        <f t="shared" si="124"/>
        <v>65789</v>
      </c>
      <c r="Y102" s="238">
        <f>'Adj 2 Depr-No Int NS or Retire '!S101</f>
        <v>2.9332074361384817</v>
      </c>
      <c r="AA102" s="224">
        <f t="shared" si="125"/>
        <v>56838.444444444445</v>
      </c>
      <c r="AB102" s="225"/>
      <c r="AC102" s="226">
        <f t="shared" si="126"/>
        <v>0</v>
      </c>
      <c r="AD102" s="183"/>
      <c r="AE102" s="187">
        <f t="shared" si="127"/>
        <v>56838.444444444445</v>
      </c>
      <c r="AG102" s="194">
        <f>'Adj 3 Depr-Extend Lifespans'!S101</f>
        <v>2.2955536456735941</v>
      </c>
      <c r="AI102" s="224">
        <f t="shared" si="128"/>
        <v>44482.260869565209</v>
      </c>
      <c r="AJ102" s="225"/>
      <c r="AK102" s="226">
        <f t="shared" si="129"/>
        <v>0</v>
      </c>
      <c r="AL102" s="183"/>
      <c r="AM102" s="187">
        <f t="shared" si="130"/>
        <v>44482.260869565209</v>
      </c>
    </row>
    <row r="103" spans="1:39">
      <c r="A103" s="30"/>
      <c r="C103" s="33" t="s">
        <v>63</v>
      </c>
      <c r="E103" s="157">
        <v>1599135.43</v>
      </c>
      <c r="F103" s="145"/>
      <c r="G103" s="158">
        <v>0</v>
      </c>
      <c r="H103" s="147"/>
      <c r="I103" s="26">
        <v>3.47</v>
      </c>
      <c r="J103" s="26"/>
      <c r="K103" s="147">
        <v>55507</v>
      </c>
      <c r="M103" s="142">
        <f t="shared" si="100"/>
        <v>0</v>
      </c>
      <c r="O103" s="143">
        <f t="shared" si="99"/>
        <v>55507</v>
      </c>
      <c r="Q103" s="194">
        <f>'AG-Nucor 1-43 With Formulas'!S102</f>
        <v>3.4079665160067147</v>
      </c>
      <c r="S103" s="192">
        <f t="shared" si="122"/>
        <v>54498</v>
      </c>
      <c r="T103" s="183"/>
      <c r="U103" s="142">
        <f t="shared" si="123"/>
        <v>0</v>
      </c>
      <c r="V103" s="183"/>
      <c r="W103" s="187">
        <f t="shared" si="124"/>
        <v>54498</v>
      </c>
      <c r="Y103" s="238">
        <f>'Adj 2 Depr-No Int NS or Retire '!S102</f>
        <v>2.9469708863592343</v>
      </c>
      <c r="AA103" s="224">
        <f t="shared" si="125"/>
        <v>47126.055555555555</v>
      </c>
      <c r="AB103" s="225"/>
      <c r="AC103" s="226">
        <f t="shared" si="126"/>
        <v>0</v>
      </c>
      <c r="AD103" s="183"/>
      <c r="AE103" s="187">
        <f t="shared" si="127"/>
        <v>47126.055555555555</v>
      </c>
      <c r="AG103" s="194">
        <f>'Adj 3 Depr-Extend Lifespans'!S102</f>
        <v>2.3063250414985315</v>
      </c>
      <c r="AI103" s="224">
        <f t="shared" si="128"/>
        <v>36881.260869565216</v>
      </c>
      <c r="AJ103" s="225"/>
      <c r="AK103" s="226">
        <f t="shared" si="129"/>
        <v>0</v>
      </c>
      <c r="AL103" s="183"/>
      <c r="AM103" s="187">
        <f t="shared" si="130"/>
        <v>36881.260869565216</v>
      </c>
    </row>
    <row r="104" spans="1:39">
      <c r="A104" s="30"/>
      <c r="C104" s="33" t="s">
        <v>64</v>
      </c>
      <c r="E104" s="157">
        <v>303524.78000000003</v>
      </c>
      <c r="F104" s="145"/>
      <c r="G104" s="158">
        <v>0</v>
      </c>
      <c r="H104" s="147"/>
      <c r="I104" s="26">
        <v>3.33</v>
      </c>
      <c r="J104" s="26"/>
      <c r="K104" s="147">
        <v>10096</v>
      </c>
      <c r="M104" s="142">
        <f t="shared" si="100"/>
        <v>0</v>
      </c>
      <c r="O104" s="143">
        <f t="shared" si="99"/>
        <v>10096</v>
      </c>
      <c r="Q104" s="194">
        <f>'AG-Nucor 1-43 With Formulas'!S103</f>
        <v>3.2738677876646514</v>
      </c>
      <c r="S104" s="192">
        <f t="shared" si="122"/>
        <v>9937.0000000000018</v>
      </c>
      <c r="T104" s="183"/>
      <c r="U104" s="142">
        <f t="shared" si="123"/>
        <v>0</v>
      </c>
      <c r="V104" s="183"/>
      <c r="W104" s="187">
        <f t="shared" si="124"/>
        <v>9937.0000000000018</v>
      </c>
      <c r="Y104" s="238">
        <f>'Adj 2 Depr-No Int NS or Retire '!S103</f>
        <v>2.7992622366630315</v>
      </c>
      <c r="AA104" s="224">
        <f t="shared" si="125"/>
        <v>8496.454545454546</v>
      </c>
      <c r="AB104" s="225"/>
      <c r="AC104" s="226">
        <f t="shared" si="126"/>
        <v>0</v>
      </c>
      <c r="AD104" s="183"/>
      <c r="AE104" s="187">
        <f t="shared" si="127"/>
        <v>8496.454545454546</v>
      </c>
      <c r="AG104" s="194">
        <f>'Adj 3 Depr-Extend Lifespans'!S103</f>
        <v>2.2808803409846923</v>
      </c>
      <c r="AI104" s="224">
        <f t="shared" si="128"/>
        <v>6923.0370370370374</v>
      </c>
      <c r="AJ104" s="225"/>
      <c r="AK104" s="226">
        <f t="shared" si="129"/>
        <v>0</v>
      </c>
      <c r="AL104" s="183"/>
      <c r="AM104" s="187">
        <f t="shared" si="130"/>
        <v>6923.0370370370374</v>
      </c>
    </row>
    <row r="105" spans="1:39">
      <c r="A105" s="30"/>
      <c r="C105" s="33" t="s">
        <v>65</v>
      </c>
      <c r="E105" s="157">
        <v>303524.78000000003</v>
      </c>
      <c r="F105" s="145"/>
      <c r="G105" s="158">
        <v>0</v>
      </c>
      <c r="H105" s="147"/>
      <c r="I105" s="26">
        <v>3.32</v>
      </c>
      <c r="J105" s="26"/>
      <c r="K105" s="147">
        <v>10082</v>
      </c>
      <c r="M105" s="142">
        <f t="shared" si="100"/>
        <v>0</v>
      </c>
      <c r="O105" s="143">
        <f t="shared" si="99"/>
        <v>10082</v>
      </c>
      <c r="Q105" s="194">
        <f>'AG-Nucor 1-43 With Formulas'!S104</f>
        <v>3.2692553141789609</v>
      </c>
      <c r="S105" s="192">
        <f t="shared" si="122"/>
        <v>9923</v>
      </c>
      <c r="T105" s="183"/>
      <c r="U105" s="142">
        <f t="shared" si="123"/>
        <v>0</v>
      </c>
      <c r="V105" s="183"/>
      <c r="W105" s="187">
        <f t="shared" si="124"/>
        <v>9923</v>
      </c>
      <c r="Y105" s="238">
        <f>'Adj 2 Depr-No Int NS or Retire '!S104</f>
        <v>2.7954584435936627</v>
      </c>
      <c r="AA105" s="224">
        <f t="shared" si="125"/>
        <v>8484.9090909090901</v>
      </c>
      <c r="AB105" s="225"/>
      <c r="AC105" s="226">
        <f t="shared" si="126"/>
        <v>0</v>
      </c>
      <c r="AD105" s="183"/>
      <c r="AE105" s="187">
        <f t="shared" si="127"/>
        <v>8484.9090909090901</v>
      </c>
      <c r="AG105" s="194">
        <f>'Adj 3 Depr-Extend Lifespans'!S104</f>
        <v>2.2777809540392808</v>
      </c>
      <c r="AI105" s="224">
        <f t="shared" si="128"/>
        <v>6913.6296296296296</v>
      </c>
      <c r="AJ105" s="225"/>
      <c r="AK105" s="226">
        <f t="shared" si="129"/>
        <v>0</v>
      </c>
      <c r="AL105" s="183"/>
      <c r="AM105" s="187">
        <f t="shared" si="130"/>
        <v>6913.6296296296296</v>
      </c>
    </row>
    <row r="106" spans="1:39">
      <c r="A106" s="30"/>
      <c r="C106" s="33" t="s">
        <v>66</v>
      </c>
      <c r="E106" s="157">
        <v>4625823.04</v>
      </c>
      <c r="F106" s="145"/>
      <c r="G106" s="158">
        <v>0</v>
      </c>
      <c r="H106" s="147"/>
      <c r="I106" s="26">
        <v>3.41</v>
      </c>
      <c r="J106" s="26"/>
      <c r="K106" s="147">
        <v>157809</v>
      </c>
      <c r="M106" s="142">
        <f t="shared" si="100"/>
        <v>0</v>
      </c>
      <c r="O106" s="143">
        <f t="shared" si="99"/>
        <v>157809</v>
      </c>
      <c r="Q106" s="194">
        <f>'AG-Nucor 1-43 With Formulas'!S105</f>
        <v>3.3256352149605788</v>
      </c>
      <c r="S106" s="192">
        <f t="shared" si="122"/>
        <v>153838</v>
      </c>
      <c r="T106" s="183"/>
      <c r="U106" s="142">
        <f t="shared" si="123"/>
        <v>0</v>
      </c>
      <c r="V106" s="183"/>
      <c r="W106" s="187">
        <f t="shared" si="124"/>
        <v>153838</v>
      </c>
      <c r="Y106" s="238">
        <f>'Adj 2 Depr-No Int NS or Retire '!S105</f>
        <v>2.871117499877704</v>
      </c>
      <c r="AA106" s="224">
        <f t="shared" si="125"/>
        <v>132812.8148148148</v>
      </c>
      <c r="AB106" s="225"/>
      <c r="AC106" s="226">
        <f t="shared" si="126"/>
        <v>0</v>
      </c>
      <c r="AD106" s="183"/>
      <c r="AE106" s="187">
        <f t="shared" si="127"/>
        <v>132812.8148148148</v>
      </c>
      <c r="AG106" s="194">
        <f>'Adj 3 Depr-Extend Lifespans'!S105</f>
        <v>2.4225053905218128</v>
      </c>
      <c r="AI106" s="224">
        <f t="shared" si="128"/>
        <v>112060.8125</v>
      </c>
      <c r="AJ106" s="225"/>
      <c r="AK106" s="226">
        <f t="shared" si="129"/>
        <v>0</v>
      </c>
      <c r="AL106" s="183"/>
      <c r="AM106" s="187">
        <f t="shared" si="130"/>
        <v>112060.8125</v>
      </c>
    </row>
    <row r="107" spans="1:39">
      <c r="A107" s="30"/>
      <c r="C107" s="33" t="s">
        <v>67</v>
      </c>
      <c r="E107" s="157">
        <v>224532.24</v>
      </c>
      <c r="F107" s="145"/>
      <c r="G107" s="158">
        <v>0</v>
      </c>
      <c r="H107" s="147"/>
      <c r="I107" s="26">
        <v>3.38</v>
      </c>
      <c r="J107" s="26"/>
      <c r="K107" s="147">
        <v>7587</v>
      </c>
      <c r="M107" s="142">
        <f t="shared" si="100"/>
        <v>0</v>
      </c>
      <c r="O107" s="143">
        <f t="shared" si="99"/>
        <v>7587</v>
      </c>
      <c r="Q107" s="194">
        <f>'AG-Nucor 1-43 With Formulas'!S106</f>
        <v>3.3376053256316331</v>
      </c>
      <c r="S107" s="192">
        <f t="shared" si="122"/>
        <v>7494</v>
      </c>
      <c r="T107" s="183"/>
      <c r="U107" s="142">
        <f t="shared" si="123"/>
        <v>0</v>
      </c>
      <c r="V107" s="183"/>
      <c r="W107" s="187">
        <f t="shared" si="124"/>
        <v>7494</v>
      </c>
      <c r="Y107" s="238">
        <f>'Adj 2 Depr-No Int NS or Retire '!S106</f>
        <v>2.9610694462209772</v>
      </c>
      <c r="AA107" s="224">
        <f t="shared" si="125"/>
        <v>6648.5555555555557</v>
      </c>
      <c r="AB107" s="225"/>
      <c r="AC107" s="226">
        <f t="shared" si="126"/>
        <v>0</v>
      </c>
      <c r="AD107" s="183"/>
      <c r="AE107" s="187">
        <f t="shared" si="127"/>
        <v>6648.5555555555557</v>
      </c>
      <c r="AG107" s="194">
        <f>'Adj 3 Depr-Extend Lifespans'!S106</f>
        <v>2.4984023452489494</v>
      </c>
      <c r="AI107" s="224">
        <f t="shared" si="128"/>
        <v>5609.71875</v>
      </c>
      <c r="AJ107" s="225"/>
      <c r="AK107" s="226">
        <f t="shared" si="129"/>
        <v>0</v>
      </c>
      <c r="AL107" s="183"/>
      <c r="AM107" s="187">
        <f t="shared" si="130"/>
        <v>5609.71875</v>
      </c>
    </row>
    <row r="108" spans="1:39">
      <c r="A108" s="30"/>
      <c r="C108" s="33" t="s">
        <v>68</v>
      </c>
      <c r="E108" s="157">
        <v>1119860.8</v>
      </c>
      <c r="F108" s="145"/>
      <c r="G108" s="158">
        <v>0</v>
      </c>
      <c r="H108" s="147"/>
      <c r="I108" s="26">
        <v>4.83</v>
      </c>
      <c r="J108" s="26"/>
      <c r="K108" s="147">
        <v>54118</v>
      </c>
      <c r="M108" s="142">
        <f t="shared" si="100"/>
        <v>0</v>
      </c>
      <c r="O108" s="143">
        <f t="shared" si="99"/>
        <v>54118</v>
      </c>
      <c r="Q108" s="194">
        <f>'AG-Nucor 1-43 With Formulas'!S107</f>
        <v>4.7568412074072057</v>
      </c>
      <c r="S108" s="192">
        <f t="shared" si="122"/>
        <v>53270</v>
      </c>
      <c r="T108" s="183"/>
      <c r="U108" s="142">
        <f t="shared" si="123"/>
        <v>0</v>
      </c>
      <c r="V108" s="183"/>
      <c r="W108" s="187">
        <f t="shared" si="124"/>
        <v>53270</v>
      </c>
      <c r="Y108" s="238">
        <f>'Adj 2 Depr-No Int NS or Retire '!S107</f>
        <v>4.333666691677986</v>
      </c>
      <c r="AA108" s="224">
        <f t="shared" si="125"/>
        <v>48531.03448275863</v>
      </c>
      <c r="AB108" s="225"/>
      <c r="AC108" s="226">
        <f t="shared" si="126"/>
        <v>0</v>
      </c>
      <c r="AD108" s="183"/>
      <c r="AE108" s="187">
        <f t="shared" si="127"/>
        <v>48531.03448275863</v>
      </c>
      <c r="AG108" s="194">
        <f>'Adj 3 Depr-Extend Lifespans'!S107</f>
        <v>4.333666691677986</v>
      </c>
      <c r="AI108" s="224">
        <f t="shared" si="128"/>
        <v>48531.03448275863</v>
      </c>
      <c r="AJ108" s="225"/>
      <c r="AK108" s="226">
        <f t="shared" si="129"/>
        <v>0</v>
      </c>
      <c r="AL108" s="183"/>
      <c r="AM108" s="187">
        <f t="shared" si="130"/>
        <v>48531.03448275863</v>
      </c>
    </row>
    <row r="109" spans="1:39">
      <c r="A109" s="30"/>
      <c r="C109" s="33" t="s">
        <v>70</v>
      </c>
      <c r="E109" s="157">
        <v>1135966.24</v>
      </c>
      <c r="F109" s="145"/>
      <c r="G109" s="158">
        <v>0</v>
      </c>
      <c r="H109" s="147"/>
      <c r="I109" s="26">
        <v>4.83</v>
      </c>
      <c r="J109" s="26"/>
      <c r="K109" s="147">
        <v>54896</v>
      </c>
      <c r="M109" s="142">
        <f t="shared" si="100"/>
        <v>0</v>
      </c>
      <c r="O109" s="143">
        <f t="shared" si="99"/>
        <v>54896</v>
      </c>
      <c r="Q109" s="194">
        <f>'AG-Nucor 1-43 With Formulas'!S108</f>
        <v>4.7568315058377086</v>
      </c>
      <c r="S109" s="192">
        <f t="shared" si="122"/>
        <v>54036</v>
      </c>
      <c r="T109" s="183"/>
      <c r="U109" s="142">
        <f t="shared" si="123"/>
        <v>0</v>
      </c>
      <c r="V109" s="183"/>
      <c r="W109" s="187">
        <f t="shared" si="124"/>
        <v>54036</v>
      </c>
      <c r="Y109" s="238">
        <f>'Adj 2 Depr-No Int NS or Retire '!S108</f>
        <v>4.3336705572129173</v>
      </c>
      <c r="AA109" s="224">
        <f t="shared" si="125"/>
        <v>49229.034482758623</v>
      </c>
      <c r="AB109" s="225"/>
      <c r="AC109" s="226">
        <f t="shared" si="126"/>
        <v>0</v>
      </c>
      <c r="AD109" s="183"/>
      <c r="AE109" s="187">
        <f t="shared" si="127"/>
        <v>49229.034482758623</v>
      </c>
      <c r="AG109" s="194">
        <f>'Adj 3 Depr-Extend Lifespans'!S108</f>
        <v>4.3336705572129173</v>
      </c>
      <c r="AI109" s="224">
        <f t="shared" si="128"/>
        <v>49229.034482758623</v>
      </c>
      <c r="AJ109" s="225"/>
      <c r="AK109" s="226">
        <f t="shared" si="129"/>
        <v>0</v>
      </c>
      <c r="AL109" s="183"/>
      <c r="AM109" s="187">
        <f t="shared" si="130"/>
        <v>49229.034482758623</v>
      </c>
    </row>
    <row r="110" spans="1:39">
      <c r="A110" s="30"/>
      <c r="C110" s="33" t="s">
        <v>71</v>
      </c>
      <c r="E110" s="157">
        <v>1465228.09</v>
      </c>
      <c r="F110" s="145"/>
      <c r="G110" s="158">
        <v>0</v>
      </c>
      <c r="H110" s="147"/>
      <c r="I110" s="26">
        <v>4.37</v>
      </c>
      <c r="J110" s="26"/>
      <c r="K110" s="147">
        <v>63993</v>
      </c>
      <c r="M110" s="142">
        <f t="shared" si="100"/>
        <v>0</v>
      </c>
      <c r="O110" s="143">
        <f t="shared" si="99"/>
        <v>63993</v>
      </c>
      <c r="Q110" s="194">
        <f>'AG-Nucor 1-43 With Formulas'!S109</f>
        <v>4.3674428873391307</v>
      </c>
      <c r="S110" s="192">
        <f t="shared" si="122"/>
        <v>63993</v>
      </c>
      <c r="T110" s="183"/>
      <c r="U110" s="142">
        <f t="shared" si="123"/>
        <v>0</v>
      </c>
      <c r="V110" s="183"/>
      <c r="W110" s="187">
        <f t="shared" si="124"/>
        <v>63993</v>
      </c>
      <c r="Y110" s="238">
        <f>'Adj 2 Depr-No Int NS or Retire '!S109</f>
        <v>3.8885491395209519</v>
      </c>
      <c r="AA110" s="224">
        <f t="shared" si="125"/>
        <v>56976.114285714284</v>
      </c>
      <c r="AB110" s="225"/>
      <c r="AC110" s="226">
        <f t="shared" si="126"/>
        <v>0</v>
      </c>
      <c r="AD110" s="183"/>
      <c r="AE110" s="187">
        <f t="shared" si="127"/>
        <v>56976.114285714284</v>
      </c>
      <c r="AG110" s="194">
        <f>'Adj 3 Depr-Extend Lifespans'!S109</f>
        <v>3.8885491395209519</v>
      </c>
      <c r="AI110" s="224">
        <f t="shared" si="128"/>
        <v>56976.114285714284</v>
      </c>
      <c r="AJ110" s="225"/>
      <c r="AK110" s="226">
        <f t="shared" si="129"/>
        <v>0</v>
      </c>
      <c r="AL110" s="183"/>
      <c r="AM110" s="187">
        <f t="shared" si="130"/>
        <v>56976.114285714284</v>
      </c>
    </row>
    <row r="111" spans="1:39">
      <c r="A111" s="30"/>
      <c r="C111" s="33" t="s">
        <v>72</v>
      </c>
      <c r="E111" s="157">
        <v>2033652.36</v>
      </c>
      <c r="F111" s="145"/>
      <c r="G111" s="158">
        <v>0</v>
      </c>
      <c r="H111" s="147"/>
      <c r="I111" s="26">
        <v>4.8899999999999997</v>
      </c>
      <c r="J111" s="26"/>
      <c r="K111" s="147">
        <v>99377</v>
      </c>
      <c r="M111" s="142">
        <f t="shared" si="100"/>
        <v>0</v>
      </c>
      <c r="O111" s="143">
        <f t="shared" si="99"/>
        <v>99377</v>
      </c>
      <c r="Q111" s="194">
        <f>'AG-Nucor 1-43 With Formulas'!S110</f>
        <v>4.8294881628637842</v>
      </c>
      <c r="S111" s="192">
        <f t="shared" si="122"/>
        <v>98215</v>
      </c>
      <c r="T111" s="183"/>
      <c r="U111" s="142">
        <f t="shared" si="123"/>
        <v>0</v>
      </c>
      <c r="V111" s="183"/>
      <c r="W111" s="187">
        <f t="shared" si="124"/>
        <v>98215</v>
      </c>
      <c r="Y111" s="238">
        <f>'Adj 2 Depr-No Int NS or Retire '!S110</f>
        <v>4.5735287655396366</v>
      </c>
      <c r="AA111" s="224">
        <f t="shared" si="125"/>
        <v>93009.675675675695</v>
      </c>
      <c r="AB111" s="225"/>
      <c r="AC111" s="226">
        <f t="shared" si="126"/>
        <v>0</v>
      </c>
      <c r="AD111" s="183"/>
      <c r="AE111" s="187">
        <f t="shared" si="127"/>
        <v>93009.675675675695</v>
      </c>
      <c r="AG111" s="194">
        <f>'Adj 3 Depr-Extend Lifespans'!S110</f>
        <v>4.5735287655396366</v>
      </c>
      <c r="AI111" s="224">
        <f t="shared" si="128"/>
        <v>93009.675675675695</v>
      </c>
      <c r="AJ111" s="225"/>
      <c r="AK111" s="226">
        <f t="shared" si="129"/>
        <v>0</v>
      </c>
      <c r="AL111" s="183"/>
      <c r="AM111" s="187">
        <f t="shared" si="130"/>
        <v>93009.675675675695</v>
      </c>
    </row>
    <row r="112" spans="1:39">
      <c r="A112" s="30"/>
      <c r="C112" s="33" t="s">
        <v>73</v>
      </c>
      <c r="E112" s="157">
        <v>7836172.29</v>
      </c>
      <c r="F112" s="145"/>
      <c r="G112" s="158">
        <v>0</v>
      </c>
      <c r="H112" s="147"/>
      <c r="I112" s="26">
        <v>3.81</v>
      </c>
      <c r="J112" s="26"/>
      <c r="K112" s="147">
        <v>298583</v>
      </c>
      <c r="M112" s="142">
        <f t="shared" si="100"/>
        <v>0</v>
      </c>
      <c r="O112" s="143">
        <f t="shared" si="99"/>
        <v>298583</v>
      </c>
      <c r="Q112" s="194">
        <f>'AG-Nucor 1-43 With Formulas'!S111</f>
        <v>3.7075116427793597</v>
      </c>
      <c r="S112" s="192">
        <f t="shared" si="122"/>
        <v>290527</v>
      </c>
      <c r="T112" s="183"/>
      <c r="U112" s="142">
        <f t="shared" si="123"/>
        <v>0</v>
      </c>
      <c r="V112" s="183"/>
      <c r="W112" s="187">
        <f t="shared" si="124"/>
        <v>290527</v>
      </c>
      <c r="Y112" s="238">
        <f>'Adj 2 Depr-No Int NS or Retire '!S111</f>
        <v>3.4348317440240113</v>
      </c>
      <c r="AA112" s="224">
        <f t="shared" si="125"/>
        <v>269159.33333333331</v>
      </c>
      <c r="AB112" s="225"/>
      <c r="AC112" s="226">
        <f t="shared" si="126"/>
        <v>0</v>
      </c>
      <c r="AD112" s="183"/>
      <c r="AE112" s="187">
        <f t="shared" si="127"/>
        <v>269159.33333333331</v>
      </c>
      <c r="AG112" s="194">
        <f>'Adj 3 Depr-Extend Lifespans'!S111</f>
        <v>3.4348317440240113</v>
      </c>
      <c r="AI112" s="224">
        <f t="shared" si="128"/>
        <v>269159.33333333331</v>
      </c>
      <c r="AJ112" s="225"/>
      <c r="AK112" s="226">
        <f t="shared" si="129"/>
        <v>0</v>
      </c>
      <c r="AL112" s="183"/>
      <c r="AM112" s="187">
        <f t="shared" si="130"/>
        <v>269159.33333333331</v>
      </c>
    </row>
    <row r="113" spans="1:39">
      <c r="A113" s="30"/>
      <c r="C113" s="33" t="s">
        <v>74</v>
      </c>
      <c r="E113" s="157">
        <v>933680.4</v>
      </c>
      <c r="F113" s="145"/>
      <c r="G113" s="158">
        <v>0</v>
      </c>
      <c r="H113" s="147"/>
      <c r="I113" s="26">
        <v>3.22</v>
      </c>
      <c r="J113" s="26"/>
      <c r="K113" s="147">
        <v>30021</v>
      </c>
      <c r="M113" s="142">
        <f t="shared" si="100"/>
        <v>0</v>
      </c>
      <c r="O113" s="143">
        <f t="shared" si="99"/>
        <v>30021</v>
      </c>
      <c r="Q113" s="194">
        <f>'AG-Nucor 1-43 With Formulas'!S112</f>
        <v>3.1123069521433671</v>
      </c>
      <c r="S113" s="192">
        <f t="shared" si="122"/>
        <v>29059</v>
      </c>
      <c r="T113" s="183"/>
      <c r="U113" s="142">
        <f t="shared" si="123"/>
        <v>0</v>
      </c>
      <c r="V113" s="183"/>
      <c r="W113" s="187">
        <f t="shared" si="124"/>
        <v>29059</v>
      </c>
      <c r="Y113" s="238">
        <f>'Adj 2 Depr-No Int NS or Retire '!S112</f>
        <v>2.8781644278767273</v>
      </c>
      <c r="AA113" s="224">
        <f t="shared" si="125"/>
        <v>26872.857142857138</v>
      </c>
      <c r="AB113" s="225"/>
      <c r="AC113" s="226">
        <f t="shared" si="126"/>
        <v>0</v>
      </c>
      <c r="AD113" s="183"/>
      <c r="AE113" s="187">
        <f t="shared" si="127"/>
        <v>26872.857142857138</v>
      </c>
      <c r="AG113" s="194">
        <f>'Adj 3 Depr-Extend Lifespans'!S112</f>
        <v>2.8781644278767273</v>
      </c>
      <c r="AI113" s="224">
        <f t="shared" si="128"/>
        <v>26872.857142857138</v>
      </c>
      <c r="AJ113" s="225"/>
      <c r="AK113" s="226">
        <f t="shared" si="129"/>
        <v>0</v>
      </c>
      <c r="AL113" s="183"/>
      <c r="AM113" s="187">
        <f t="shared" si="130"/>
        <v>26872.857142857138</v>
      </c>
    </row>
    <row r="114" spans="1:39">
      <c r="A114" s="30"/>
      <c r="C114" s="33" t="s">
        <v>75</v>
      </c>
      <c r="E114" s="157">
        <v>933680.4</v>
      </c>
      <c r="F114" s="145"/>
      <c r="G114" s="158">
        <v>0</v>
      </c>
      <c r="H114" s="147"/>
      <c r="I114" s="26">
        <v>2.84</v>
      </c>
      <c r="J114" s="26"/>
      <c r="K114" s="147">
        <v>26472</v>
      </c>
      <c r="M114" s="142">
        <f t="shared" si="100"/>
        <v>0</v>
      </c>
      <c r="O114" s="143">
        <f t="shared" si="99"/>
        <v>26472</v>
      </c>
      <c r="Q114" s="194">
        <f>'AG-Nucor 1-43 With Formulas'!S113</f>
        <v>2.7321982982613755</v>
      </c>
      <c r="S114" s="192">
        <f t="shared" si="122"/>
        <v>25510.000000000004</v>
      </c>
      <c r="T114" s="183"/>
      <c r="U114" s="142">
        <f t="shared" si="123"/>
        <v>0</v>
      </c>
      <c r="V114" s="183"/>
      <c r="W114" s="187">
        <f t="shared" si="124"/>
        <v>25510.000000000004</v>
      </c>
      <c r="Y114" s="238">
        <f>'Adj 2 Depr-No Int NS or Retire '!S113</f>
        <v>2.5266573831800221</v>
      </c>
      <c r="AA114" s="224">
        <f t="shared" si="125"/>
        <v>23590.904761904763</v>
      </c>
      <c r="AB114" s="225"/>
      <c r="AC114" s="226">
        <f t="shared" si="126"/>
        <v>0</v>
      </c>
      <c r="AD114" s="183"/>
      <c r="AE114" s="187">
        <f t="shared" si="127"/>
        <v>23590.904761904763</v>
      </c>
      <c r="AG114" s="194">
        <f>'Adj 3 Depr-Extend Lifespans'!S113</f>
        <v>2.5266573831800221</v>
      </c>
      <c r="AI114" s="224">
        <f t="shared" si="128"/>
        <v>23590.904761904763</v>
      </c>
      <c r="AJ114" s="225"/>
      <c r="AK114" s="226">
        <f t="shared" si="129"/>
        <v>0</v>
      </c>
      <c r="AL114" s="183"/>
      <c r="AM114" s="187">
        <f t="shared" si="130"/>
        <v>23590.904761904763</v>
      </c>
    </row>
    <row r="115" spans="1:39">
      <c r="A115" s="30"/>
      <c r="C115" s="33" t="s">
        <v>76</v>
      </c>
      <c r="E115" s="157">
        <v>933680.4</v>
      </c>
      <c r="F115" s="145"/>
      <c r="G115" s="158">
        <v>0</v>
      </c>
      <c r="H115" s="147"/>
      <c r="I115" s="26">
        <v>2.4700000000000002</v>
      </c>
      <c r="J115" s="26"/>
      <c r="K115" s="147">
        <v>23072</v>
      </c>
      <c r="M115" s="142">
        <f t="shared" si="100"/>
        <v>0</v>
      </c>
      <c r="O115" s="143">
        <f t="shared" si="99"/>
        <v>23072</v>
      </c>
      <c r="Q115" s="194">
        <f>'AG-Nucor 1-43 With Formulas'!S114</f>
        <v>2.36804799586668</v>
      </c>
      <c r="S115" s="192">
        <f t="shared" si="122"/>
        <v>22110</v>
      </c>
      <c r="T115" s="183"/>
      <c r="U115" s="142">
        <f t="shared" si="123"/>
        <v>0</v>
      </c>
      <c r="V115" s="183"/>
      <c r="W115" s="187">
        <f t="shared" si="124"/>
        <v>22110</v>
      </c>
      <c r="Y115" s="238">
        <f>'Adj 2 Depr-No Int NS or Retire '!S114</f>
        <v>2.1899101560621714</v>
      </c>
      <c r="AA115" s="224">
        <f t="shared" si="125"/>
        <v>20446.761904761905</v>
      </c>
      <c r="AB115" s="225"/>
      <c r="AC115" s="226">
        <f t="shared" si="126"/>
        <v>0</v>
      </c>
      <c r="AD115" s="183"/>
      <c r="AE115" s="187">
        <f t="shared" si="127"/>
        <v>20446.761904761905</v>
      </c>
      <c r="AG115" s="194">
        <f>'Adj 3 Depr-Extend Lifespans'!S114</f>
        <v>2.1899101560621714</v>
      </c>
      <c r="AI115" s="224">
        <f t="shared" si="128"/>
        <v>20446.761904761905</v>
      </c>
      <c r="AJ115" s="225"/>
      <c r="AK115" s="226">
        <f t="shared" si="129"/>
        <v>0</v>
      </c>
      <c r="AL115" s="183"/>
      <c r="AM115" s="187">
        <f t="shared" si="130"/>
        <v>20446.761904761905</v>
      </c>
    </row>
    <row r="116" spans="1:39">
      <c r="A116" s="30"/>
      <c r="C116" s="33" t="s">
        <v>77</v>
      </c>
      <c r="E116" s="144">
        <v>625882</v>
      </c>
      <c r="F116" s="145"/>
      <c r="G116" s="146">
        <v>0</v>
      </c>
      <c r="H116" s="147"/>
      <c r="I116" s="26">
        <v>3.48</v>
      </c>
      <c r="J116" s="26"/>
      <c r="K116" s="148">
        <v>21795</v>
      </c>
      <c r="M116" s="149">
        <f t="shared" si="100"/>
        <v>0</v>
      </c>
      <c r="O116" s="150">
        <f t="shared" si="99"/>
        <v>21795</v>
      </c>
      <c r="Q116" s="26">
        <v>3.48</v>
      </c>
      <c r="S116" s="177">
        <f t="shared" si="122"/>
        <v>21780.693599999999</v>
      </c>
      <c r="T116" s="183"/>
      <c r="U116" s="149">
        <f t="shared" si="123"/>
        <v>0</v>
      </c>
      <c r="V116" s="183"/>
      <c r="W116" s="188">
        <f t="shared" si="124"/>
        <v>21780.693599999999</v>
      </c>
      <c r="Y116" s="227">
        <f>'Adj 2 Depr-No Int NS or Retire '!S115</f>
        <v>3.212657786693121</v>
      </c>
      <c r="AA116" s="177">
        <f t="shared" si="125"/>
        <v>20107.446808510642</v>
      </c>
      <c r="AB116" s="225"/>
      <c r="AC116" s="149">
        <f t="shared" si="126"/>
        <v>0</v>
      </c>
      <c r="AD116" s="183"/>
      <c r="AE116" s="188">
        <f t="shared" si="127"/>
        <v>20107.446808510642</v>
      </c>
      <c r="AG116" s="194">
        <f>'Adj 3 Depr-Extend Lifespans'!S115</f>
        <v>3.212657786693121</v>
      </c>
      <c r="AI116" s="177">
        <f t="shared" si="128"/>
        <v>20107.446808510642</v>
      </c>
      <c r="AJ116" s="225"/>
      <c r="AK116" s="149">
        <f t="shared" si="129"/>
        <v>0</v>
      </c>
      <c r="AL116" s="183"/>
      <c r="AM116" s="188">
        <f t="shared" si="130"/>
        <v>20107.446808510642</v>
      </c>
    </row>
    <row r="117" spans="1:39">
      <c r="A117" s="30"/>
      <c r="E117" s="157"/>
      <c r="F117" s="145"/>
      <c r="G117" s="158"/>
      <c r="H117" s="147"/>
      <c r="I117" s="26"/>
      <c r="J117" s="26"/>
      <c r="K117" s="147"/>
      <c r="M117" s="142"/>
      <c r="O117" s="143"/>
      <c r="Q117" s="194"/>
      <c r="S117" s="192"/>
      <c r="T117" s="183"/>
      <c r="U117" s="142"/>
      <c r="V117" s="183"/>
      <c r="W117" s="187"/>
      <c r="Y117" s="194"/>
      <c r="AA117" s="192"/>
      <c r="AB117" s="183"/>
      <c r="AC117" s="142"/>
      <c r="AD117" s="183"/>
      <c r="AE117" s="187"/>
      <c r="AG117" s="194"/>
      <c r="AI117" s="192"/>
      <c r="AJ117" s="183"/>
      <c r="AK117" s="142"/>
      <c r="AL117" s="183"/>
      <c r="AM117" s="187"/>
    </row>
    <row r="118" spans="1:39" ht="15.75">
      <c r="A118" s="30"/>
      <c r="C118" s="13" t="s">
        <v>45</v>
      </c>
      <c r="E118" s="157">
        <f>SUBTOTAL(9,E98:E117)</f>
        <v>52461753.619999997</v>
      </c>
      <c r="F118" s="145"/>
      <c r="G118" s="158">
        <f t="shared" ref="G118" si="131">SUBTOTAL(9,G98:G117)</f>
        <v>0</v>
      </c>
      <c r="H118" s="147"/>
      <c r="I118" s="26">
        <f>+ROUND(K118/E118*100,2)</f>
        <v>3.48</v>
      </c>
      <c r="J118" s="26"/>
      <c r="K118" s="147">
        <f>SUBTOTAL(9,K98:K117)</f>
        <v>1823183</v>
      </c>
      <c r="M118" s="160">
        <f t="shared" ref="M118" si="132">SUBTOTAL(9,M98:M117)</f>
        <v>0</v>
      </c>
      <c r="O118" s="147">
        <f t="shared" ref="O118" si="133">SUBTOTAL(9,O98:O117)</f>
        <v>1823183</v>
      </c>
      <c r="Q118" s="194">
        <f>+ROUND(S118/E118*100,2)</f>
        <v>3.39</v>
      </c>
      <c r="S118" s="192">
        <f>SUBTOTAL(9,S98:S117)</f>
        <v>1780801.6935999999</v>
      </c>
      <c r="T118" s="183"/>
      <c r="U118" s="160">
        <f t="shared" ref="U118" si="134">SUBTOTAL(9,U98:U117)</f>
        <v>0</v>
      </c>
      <c r="V118" s="183"/>
      <c r="W118" s="192">
        <f t="shared" ref="W118" si="135">SUBTOTAL(9,W98:W117)</f>
        <v>1780801.6935999999</v>
      </c>
      <c r="Y118" s="195">
        <f>+ROUND(AA118/E118*100,2)</f>
        <v>2.97</v>
      </c>
      <c r="AA118" s="192">
        <f>SUBTOTAL(9,AA98:AA117)</f>
        <v>1557046.8185374306</v>
      </c>
      <c r="AB118" s="183"/>
      <c r="AC118" s="160">
        <f t="shared" ref="AC118" si="136">SUBTOTAL(9,AC98:AC117)</f>
        <v>0</v>
      </c>
      <c r="AD118" s="183"/>
      <c r="AE118" s="192">
        <f t="shared" ref="AE118" si="137">SUBTOTAL(9,AE98:AE117)</f>
        <v>1557046.8185374306</v>
      </c>
      <c r="AG118" s="195">
        <f>+ROUND(AI118/E118*100,2)</f>
        <v>2.56</v>
      </c>
      <c r="AI118" s="192">
        <f>SUBTOTAL(9,AI98:AI117)</f>
        <v>1341971.9494983577</v>
      </c>
      <c r="AJ118" s="183"/>
      <c r="AK118" s="160">
        <f t="shared" ref="AK118" si="138">SUBTOTAL(9,AK98:AK117)</f>
        <v>0</v>
      </c>
      <c r="AL118" s="183"/>
      <c r="AM118" s="192">
        <f t="shared" ref="AM118" si="139">SUBTOTAL(9,AM98:AM117)</f>
        <v>1341971.9494983577</v>
      </c>
    </row>
    <row r="119" spans="1:39">
      <c r="A119" s="30"/>
      <c r="E119" s="157"/>
      <c r="F119" s="145"/>
      <c r="G119" s="158"/>
      <c r="H119" s="147"/>
      <c r="I119" s="26"/>
      <c r="J119" s="26"/>
      <c r="K119" s="147"/>
      <c r="M119" s="142"/>
      <c r="O119" s="143"/>
      <c r="Q119" s="194"/>
      <c r="S119" s="192"/>
      <c r="T119" s="183"/>
      <c r="U119" s="142"/>
      <c r="V119" s="183"/>
      <c r="W119" s="187"/>
      <c r="Y119" s="194"/>
      <c r="AA119" s="192"/>
      <c r="AB119" s="183"/>
      <c r="AC119" s="142"/>
      <c r="AD119" s="183"/>
      <c r="AE119" s="187"/>
      <c r="AG119" s="194"/>
      <c r="AI119" s="192"/>
      <c r="AJ119" s="183"/>
      <c r="AK119" s="142"/>
      <c r="AL119" s="183"/>
      <c r="AM119" s="187"/>
    </row>
    <row r="120" spans="1:39">
      <c r="A120" s="30">
        <v>342</v>
      </c>
      <c r="C120" s="13" t="s">
        <v>78</v>
      </c>
      <c r="G120" s="156"/>
      <c r="I120" s="26"/>
      <c r="J120" s="26"/>
      <c r="M120" s="142"/>
      <c r="O120" s="143"/>
      <c r="Q120" s="194"/>
      <c r="S120" s="191"/>
      <c r="T120" s="183"/>
      <c r="U120" s="142"/>
      <c r="V120" s="183"/>
      <c r="W120" s="187"/>
      <c r="Y120" s="194"/>
      <c r="AA120" s="191"/>
      <c r="AB120" s="183"/>
      <c r="AC120" s="142"/>
      <c r="AD120" s="183"/>
      <c r="AE120" s="187"/>
      <c r="AG120" s="194"/>
      <c r="AI120" s="191"/>
      <c r="AJ120" s="183"/>
      <c r="AK120" s="142"/>
      <c r="AL120" s="183"/>
      <c r="AM120" s="187"/>
    </row>
    <row r="121" spans="1:39">
      <c r="A121" s="30"/>
      <c r="C121" s="33" t="s">
        <v>58</v>
      </c>
      <c r="E121" s="157">
        <v>13766120.51</v>
      </c>
      <c r="F121" s="145"/>
      <c r="G121" s="158">
        <v>0</v>
      </c>
      <c r="H121" s="147"/>
      <c r="I121" s="26">
        <v>2.71</v>
      </c>
      <c r="J121" s="26"/>
      <c r="K121" s="147">
        <v>373566</v>
      </c>
      <c r="M121" s="142">
        <f t="shared" si="100"/>
        <v>0</v>
      </c>
      <c r="O121" s="143">
        <f t="shared" si="99"/>
        <v>373566</v>
      </c>
      <c r="Q121" s="194">
        <f>'AG-Nucor 1-43 With Formulas'!S120</f>
        <v>2.6696482842281903</v>
      </c>
      <c r="S121" s="192">
        <f t="shared" ref="S121:S127" si="140">E121*(Q121/100)</f>
        <v>367507</v>
      </c>
      <c r="T121" s="183"/>
      <c r="U121" s="142">
        <f t="shared" ref="U121:U127" si="141">G121*(Q121/100)</f>
        <v>0</v>
      </c>
      <c r="V121" s="183"/>
      <c r="W121" s="187">
        <f t="shared" ref="W121:W127" si="142">S121-U121</f>
        <v>367507</v>
      </c>
      <c r="Y121" s="194">
        <f>'Adj 2 Depr-No Int NS or Retire '!S120</f>
        <v>2.2138787903304666</v>
      </c>
      <c r="AA121" s="224">
        <f t="shared" ref="AA121:AA127" si="143">E121*(Y121/100)</f>
        <v>304765.22222222225</v>
      </c>
      <c r="AB121" s="225"/>
      <c r="AC121" s="226">
        <f t="shared" ref="AC121:AC127" si="144">G121*(Y121/100)</f>
        <v>0</v>
      </c>
      <c r="AD121" s="183"/>
      <c r="AE121" s="187">
        <f t="shared" ref="AE121:AE127" si="145">AA121-AC121</f>
        <v>304765.22222222225</v>
      </c>
      <c r="AG121" s="194">
        <f>'Adj 3 Depr-Extend Lifespans'!S120</f>
        <v>1.8679602293413311</v>
      </c>
      <c r="AI121" s="224">
        <f t="shared" ref="AI121:AI127" si="146">E121*(AG121/100)</f>
        <v>257145.65625000003</v>
      </c>
      <c r="AJ121" s="225"/>
      <c r="AK121" s="226">
        <f t="shared" ref="AK121:AK127" si="147">G121*(AG121/100)</f>
        <v>0</v>
      </c>
      <c r="AL121" s="183"/>
      <c r="AM121" s="187">
        <f t="shared" ref="AM121:AM127" si="148">AI121-AK121</f>
        <v>257145.65625000003</v>
      </c>
    </row>
    <row r="122" spans="1:39">
      <c r="A122" s="30"/>
      <c r="C122" s="33" t="s">
        <v>64</v>
      </c>
      <c r="E122" s="157">
        <v>70051.649999999994</v>
      </c>
      <c r="F122" s="145"/>
      <c r="G122" s="158">
        <v>0</v>
      </c>
      <c r="H122" s="147"/>
      <c r="I122" s="26">
        <v>3.08</v>
      </c>
      <c r="J122" s="26"/>
      <c r="K122" s="147">
        <v>2158</v>
      </c>
      <c r="M122" s="142">
        <f t="shared" si="100"/>
        <v>0</v>
      </c>
      <c r="O122" s="143">
        <f t="shared" si="99"/>
        <v>2158</v>
      </c>
      <c r="Q122" s="194">
        <f>'AG-Nucor 1-43 With Formulas'!S121</f>
        <v>3.0306209775215862</v>
      </c>
      <c r="S122" s="192">
        <f t="shared" si="140"/>
        <v>2123</v>
      </c>
      <c r="T122" s="183"/>
      <c r="U122" s="142">
        <f t="shared" si="141"/>
        <v>0</v>
      </c>
      <c r="V122" s="183"/>
      <c r="W122" s="187">
        <f t="shared" si="142"/>
        <v>2123</v>
      </c>
      <c r="Y122" s="238">
        <f>'Adj 2 Depr-No Int NS or Retire '!S121</f>
        <v>2.7294146533307928</v>
      </c>
      <c r="AA122" s="224">
        <f t="shared" si="143"/>
        <v>1912</v>
      </c>
      <c r="AB122" s="225"/>
      <c r="AC122" s="226">
        <f t="shared" si="144"/>
        <v>0</v>
      </c>
      <c r="AD122" s="183"/>
      <c r="AE122" s="187">
        <f t="shared" si="145"/>
        <v>1912</v>
      </c>
      <c r="AG122" s="194">
        <f>'Adj 3 Depr-Extend Lifespans'!S121</f>
        <v>2.2239674953065718</v>
      </c>
      <c r="AI122" s="224">
        <f t="shared" si="146"/>
        <v>1557.9259259259259</v>
      </c>
      <c r="AJ122" s="225"/>
      <c r="AK122" s="226">
        <f t="shared" si="147"/>
        <v>0</v>
      </c>
      <c r="AL122" s="183"/>
      <c r="AM122" s="187">
        <f t="shared" si="148"/>
        <v>1557.9259259259259</v>
      </c>
    </row>
    <row r="123" spans="1:39">
      <c r="A123" s="30"/>
      <c r="C123" s="33" t="s">
        <v>65</v>
      </c>
      <c r="E123" s="157">
        <v>70051.649999999994</v>
      </c>
      <c r="F123" s="145"/>
      <c r="G123" s="158">
        <v>0</v>
      </c>
      <c r="H123" s="147"/>
      <c r="I123" s="26">
        <v>3.08</v>
      </c>
      <c r="J123" s="26"/>
      <c r="K123" s="147">
        <v>2155</v>
      </c>
      <c r="M123" s="142">
        <f t="shared" si="100"/>
        <v>0</v>
      </c>
      <c r="O123" s="143">
        <f t="shared" si="99"/>
        <v>2155</v>
      </c>
      <c r="Q123" s="194">
        <f>'AG-Nucor 1-43 With Formulas'!S122</f>
        <v>3.0263384231492054</v>
      </c>
      <c r="S123" s="192">
        <f t="shared" si="140"/>
        <v>2120.0000000000005</v>
      </c>
      <c r="T123" s="183"/>
      <c r="U123" s="142">
        <f t="shared" si="141"/>
        <v>0</v>
      </c>
      <c r="V123" s="183"/>
      <c r="W123" s="187">
        <f t="shared" si="142"/>
        <v>2120.0000000000005</v>
      </c>
      <c r="Y123" s="238">
        <f>'Adj 2 Depr-No Int NS or Retire '!S122</f>
        <v>2.7254565348957134</v>
      </c>
      <c r="AA123" s="224">
        <f t="shared" si="143"/>
        <v>1909.227272727273</v>
      </c>
      <c r="AB123" s="225"/>
      <c r="AC123" s="226">
        <f t="shared" si="144"/>
        <v>0</v>
      </c>
      <c r="AD123" s="183"/>
      <c r="AE123" s="187">
        <f t="shared" si="145"/>
        <v>1909.227272727273</v>
      </c>
      <c r="AG123" s="194">
        <f>'Adj 3 Depr-Extend Lifespans'!S122</f>
        <v>2.2207423617668773</v>
      </c>
      <c r="AI123" s="224">
        <f t="shared" si="146"/>
        <v>1555.6666666666667</v>
      </c>
      <c r="AJ123" s="225"/>
      <c r="AK123" s="226">
        <f t="shared" si="147"/>
        <v>0</v>
      </c>
      <c r="AL123" s="183"/>
      <c r="AM123" s="187">
        <f t="shared" si="148"/>
        <v>1555.6666666666667</v>
      </c>
    </row>
    <row r="124" spans="1:39">
      <c r="A124" s="30"/>
      <c r="C124" s="33" t="s">
        <v>66</v>
      </c>
      <c r="E124" s="157">
        <v>2384532.85</v>
      </c>
      <c r="F124" s="145"/>
      <c r="G124" s="158">
        <v>0</v>
      </c>
      <c r="H124" s="147"/>
      <c r="I124" s="26">
        <v>3.16</v>
      </c>
      <c r="J124" s="26"/>
      <c r="K124" s="147">
        <v>75281</v>
      </c>
      <c r="M124" s="142">
        <f t="shared" si="100"/>
        <v>0</v>
      </c>
      <c r="O124" s="143">
        <f t="shared" si="99"/>
        <v>75281</v>
      </c>
      <c r="Q124" s="194">
        <f>'AG-Nucor 1-43 With Formulas'!S123</f>
        <v>3.0769968214109529</v>
      </c>
      <c r="S124" s="192">
        <f t="shared" si="140"/>
        <v>73372.000000000015</v>
      </c>
      <c r="T124" s="183"/>
      <c r="U124" s="142">
        <f t="shared" si="141"/>
        <v>0</v>
      </c>
      <c r="V124" s="183"/>
      <c r="W124" s="187">
        <f t="shared" si="142"/>
        <v>73372.000000000015</v>
      </c>
      <c r="Y124" s="238">
        <f>'Adj 2 Depr-No Int NS or Retire '!S123</f>
        <v>2.846792557448043</v>
      </c>
      <c r="AA124" s="224">
        <f t="shared" si="143"/>
        <v>67882.703703703708</v>
      </c>
      <c r="AB124" s="225"/>
      <c r="AC124" s="226">
        <f t="shared" si="144"/>
        <v>0</v>
      </c>
      <c r="AD124" s="183"/>
      <c r="AE124" s="187">
        <f t="shared" si="145"/>
        <v>67882.703703703708</v>
      </c>
      <c r="AG124" s="194">
        <f>'Adj 3 Depr-Extend Lifespans'!S123</f>
        <v>2.4019812203467863</v>
      </c>
      <c r="AI124" s="224">
        <f t="shared" si="146"/>
        <v>57276.03125</v>
      </c>
      <c r="AJ124" s="225"/>
      <c r="AK124" s="226">
        <f t="shared" si="147"/>
        <v>0</v>
      </c>
      <c r="AL124" s="183"/>
      <c r="AM124" s="187">
        <f t="shared" si="148"/>
        <v>57276.03125</v>
      </c>
    </row>
    <row r="125" spans="1:39">
      <c r="A125" s="30"/>
      <c r="C125" s="33" t="s">
        <v>67</v>
      </c>
      <c r="E125" s="157">
        <v>2116650.59</v>
      </c>
      <c r="F125" s="145"/>
      <c r="G125" s="158">
        <v>0</v>
      </c>
      <c r="H125" s="147"/>
      <c r="I125" s="26">
        <v>2.82</v>
      </c>
      <c r="J125" s="26"/>
      <c r="K125" s="147">
        <v>59717</v>
      </c>
      <c r="M125" s="142">
        <f t="shared" si="100"/>
        <v>0</v>
      </c>
      <c r="O125" s="143">
        <f t="shared" si="99"/>
        <v>59717</v>
      </c>
      <c r="Q125" s="194">
        <f>'AG-Nucor 1-43 With Formulas'!S124</f>
        <v>2.7812809671151255</v>
      </c>
      <c r="S125" s="192">
        <f t="shared" si="140"/>
        <v>58870</v>
      </c>
      <c r="T125" s="183"/>
      <c r="U125" s="142">
        <f t="shared" si="141"/>
        <v>0</v>
      </c>
      <c r="V125" s="183"/>
      <c r="W125" s="187">
        <f t="shared" si="142"/>
        <v>58870</v>
      </c>
      <c r="Y125" s="238">
        <f>'Adj 2 Depr-No Int NS or Retire '!S124</f>
        <v>2.5361662445088675</v>
      </c>
      <c r="AA125" s="224">
        <f t="shared" si="143"/>
        <v>53681.777777777781</v>
      </c>
      <c r="AB125" s="225"/>
      <c r="AC125" s="226">
        <f t="shared" si="144"/>
        <v>0</v>
      </c>
      <c r="AD125" s="183"/>
      <c r="AE125" s="187">
        <f t="shared" si="145"/>
        <v>53681.777777777781</v>
      </c>
      <c r="AG125" s="194">
        <f>'Adj 3 Depr-Extend Lifespans'!S124</f>
        <v>2.1398902688043568</v>
      </c>
      <c r="AI125" s="224">
        <f t="shared" si="146"/>
        <v>45294</v>
      </c>
      <c r="AJ125" s="225"/>
      <c r="AK125" s="226">
        <f t="shared" si="147"/>
        <v>0</v>
      </c>
      <c r="AL125" s="183"/>
      <c r="AM125" s="187">
        <f t="shared" si="148"/>
        <v>45294</v>
      </c>
    </row>
    <row r="126" spans="1:39">
      <c r="A126" s="30"/>
      <c r="C126" s="33" t="s">
        <v>70</v>
      </c>
      <c r="E126" s="157">
        <v>357670.24</v>
      </c>
      <c r="F126" s="145"/>
      <c r="G126" s="158">
        <v>0</v>
      </c>
      <c r="H126" s="147"/>
      <c r="I126" s="26">
        <v>4.58</v>
      </c>
      <c r="J126" s="26"/>
      <c r="K126" s="147">
        <v>16399</v>
      </c>
      <c r="M126" s="142">
        <f t="shared" si="100"/>
        <v>0</v>
      </c>
      <c r="O126" s="143">
        <f t="shared" si="99"/>
        <v>16399</v>
      </c>
      <c r="Q126" s="194">
        <f>'AG-Nucor 1-43 With Formulas'!S125</f>
        <v>4.5122568766134981</v>
      </c>
      <c r="S126" s="192">
        <f t="shared" si="140"/>
        <v>16139.000000000004</v>
      </c>
      <c r="T126" s="183"/>
      <c r="U126" s="142">
        <f t="shared" si="141"/>
        <v>0</v>
      </c>
      <c r="V126" s="183"/>
      <c r="W126" s="187">
        <f t="shared" si="142"/>
        <v>16139.000000000004</v>
      </c>
      <c r="Y126" s="238">
        <f>'Adj 2 Depr-No Int NS or Retire '!S125</f>
        <v>4.2851067855513865</v>
      </c>
      <c r="AA126" s="224">
        <f t="shared" si="143"/>
        <v>15326.551724137929</v>
      </c>
      <c r="AB126" s="225"/>
      <c r="AC126" s="226">
        <f t="shared" si="144"/>
        <v>0</v>
      </c>
      <c r="AD126" s="183"/>
      <c r="AE126" s="187">
        <f t="shared" si="145"/>
        <v>15326.551724137929</v>
      </c>
      <c r="AG126" s="194">
        <f>'Adj 3 Depr-Extend Lifespans'!S125</f>
        <v>4.2851067855513865</v>
      </c>
      <c r="AI126" s="224">
        <f t="shared" si="146"/>
        <v>15326.551724137929</v>
      </c>
      <c r="AJ126" s="225"/>
      <c r="AK126" s="226">
        <f t="shared" si="147"/>
        <v>0</v>
      </c>
      <c r="AL126" s="183"/>
      <c r="AM126" s="187">
        <f t="shared" si="148"/>
        <v>15326.551724137929</v>
      </c>
    </row>
    <row r="127" spans="1:39">
      <c r="A127" s="30"/>
      <c r="C127" s="33" t="s">
        <v>73</v>
      </c>
      <c r="E127" s="144">
        <v>1162203.57</v>
      </c>
      <c r="F127" s="145"/>
      <c r="G127" s="146">
        <v>0</v>
      </c>
      <c r="H127" s="147"/>
      <c r="I127" s="26">
        <v>3.57</v>
      </c>
      <c r="J127" s="26"/>
      <c r="K127" s="148">
        <v>41477</v>
      </c>
      <c r="M127" s="149">
        <f t="shared" si="100"/>
        <v>0</v>
      </c>
      <c r="O127" s="150">
        <f t="shared" si="99"/>
        <v>41477</v>
      </c>
      <c r="Q127" s="194">
        <f>'AG-Nucor 1-43 With Formulas'!S126</f>
        <v>3.471680955170358</v>
      </c>
      <c r="S127" s="177">
        <f t="shared" si="140"/>
        <v>40348</v>
      </c>
      <c r="T127" s="183"/>
      <c r="U127" s="149">
        <f t="shared" si="141"/>
        <v>0</v>
      </c>
      <c r="V127" s="183"/>
      <c r="W127" s="188">
        <f t="shared" si="142"/>
        <v>40348</v>
      </c>
      <c r="Y127" s="227">
        <f>'Adj 2 Depr-No Int NS or Retire '!S126</f>
        <v>3.4055668102636307</v>
      </c>
      <c r="AA127" s="177">
        <f t="shared" si="143"/>
        <v>39579.619047619046</v>
      </c>
      <c r="AB127" s="225"/>
      <c r="AC127" s="149">
        <f t="shared" si="144"/>
        <v>0</v>
      </c>
      <c r="AD127" s="183"/>
      <c r="AE127" s="188">
        <f t="shared" si="145"/>
        <v>39579.619047619046</v>
      </c>
      <c r="AG127" s="194">
        <f>'Adj 3 Depr-Extend Lifespans'!S126</f>
        <v>3.4055668102636307</v>
      </c>
      <c r="AI127" s="177">
        <f t="shared" si="146"/>
        <v>39579.619047619046</v>
      </c>
      <c r="AJ127" s="225"/>
      <c r="AK127" s="149">
        <f t="shared" si="147"/>
        <v>0</v>
      </c>
      <c r="AL127" s="183"/>
      <c r="AM127" s="188">
        <f t="shared" si="148"/>
        <v>39579.619047619046</v>
      </c>
    </row>
    <row r="128" spans="1:39">
      <c r="A128" s="30"/>
      <c r="E128" s="157"/>
      <c r="F128" s="145"/>
      <c r="G128" s="158"/>
      <c r="H128" s="147"/>
      <c r="I128" s="26"/>
      <c r="J128" s="26"/>
      <c r="K128" s="147"/>
      <c r="M128" s="142"/>
      <c r="O128" s="143"/>
      <c r="Q128" s="194"/>
      <c r="S128" s="192"/>
      <c r="T128" s="183"/>
      <c r="U128" s="142"/>
      <c r="V128" s="183"/>
      <c r="W128" s="187"/>
      <c r="Y128" s="194"/>
      <c r="AA128" s="192"/>
      <c r="AB128" s="183"/>
      <c r="AC128" s="142"/>
      <c r="AD128" s="183"/>
      <c r="AE128" s="187"/>
      <c r="AG128" s="194"/>
      <c r="AI128" s="192"/>
      <c r="AJ128" s="183"/>
      <c r="AK128" s="142"/>
      <c r="AL128" s="183"/>
      <c r="AM128" s="187"/>
    </row>
    <row r="129" spans="1:39" ht="15.75">
      <c r="A129" s="30"/>
      <c r="C129" s="13" t="s">
        <v>79</v>
      </c>
      <c r="E129" s="157">
        <f>SUBTOTAL(9,E121:E128)</f>
        <v>19927281.059999999</v>
      </c>
      <c r="F129" s="145"/>
      <c r="G129" s="158">
        <f t="shared" ref="G129" si="149">SUBTOTAL(9,G121:G128)</f>
        <v>0</v>
      </c>
      <c r="H129" s="147"/>
      <c r="I129" s="26">
        <f>+ROUND(K129/E129*100,2)</f>
        <v>2.86</v>
      </c>
      <c r="J129" s="26"/>
      <c r="K129" s="147">
        <f>SUBTOTAL(9,K121:K128)</f>
        <v>570753</v>
      </c>
      <c r="M129" s="160">
        <f t="shared" ref="M129" si="150">SUBTOTAL(9,M121:M128)</f>
        <v>0</v>
      </c>
      <c r="O129" s="147">
        <f t="shared" ref="O129" si="151">SUBTOTAL(9,O121:O128)</f>
        <v>570753</v>
      </c>
      <c r="Q129" s="194">
        <f>+ROUND(S129/E129*100,2)</f>
        <v>2.81</v>
      </c>
      <c r="S129" s="192">
        <f>SUBTOTAL(9,S121:S128)</f>
        <v>560479</v>
      </c>
      <c r="T129" s="183"/>
      <c r="U129" s="160">
        <f t="shared" ref="U129" si="152">SUBTOTAL(9,U121:U128)</f>
        <v>0</v>
      </c>
      <c r="V129" s="183"/>
      <c r="W129" s="192">
        <f t="shared" ref="W129" si="153">SUBTOTAL(9,W121:W128)</f>
        <v>560479</v>
      </c>
      <c r="Y129" s="195">
        <f>+ROUND(AA129/E129*100,2)</f>
        <v>2.4300000000000002</v>
      </c>
      <c r="AA129" s="192">
        <f>SUBTOTAL(9,AA121:AA128)</f>
        <v>485057.10174818797</v>
      </c>
      <c r="AB129" s="183"/>
      <c r="AC129" s="160">
        <f t="shared" ref="AC129" si="154">SUBTOTAL(9,AC121:AC128)</f>
        <v>0</v>
      </c>
      <c r="AD129" s="183"/>
      <c r="AE129" s="192">
        <f t="shared" ref="AE129" si="155">SUBTOTAL(9,AE121:AE128)</f>
        <v>485057.10174818797</v>
      </c>
      <c r="AG129" s="195">
        <f>+ROUND(AI129/E129*100,2)</f>
        <v>2.1</v>
      </c>
      <c r="AI129" s="192">
        <f>SUBTOTAL(9,AI121:AI128)</f>
        <v>417735.45086434955</v>
      </c>
      <c r="AJ129" s="183"/>
      <c r="AK129" s="160">
        <f t="shared" ref="AK129" si="156">SUBTOTAL(9,AK121:AK128)</f>
        <v>0</v>
      </c>
      <c r="AL129" s="183"/>
      <c r="AM129" s="192">
        <f t="shared" ref="AM129" si="157">SUBTOTAL(9,AM121:AM128)</f>
        <v>417735.45086434955</v>
      </c>
    </row>
    <row r="130" spans="1:39">
      <c r="A130" s="30"/>
      <c r="E130" s="157"/>
      <c r="F130" s="145"/>
      <c r="G130" s="158"/>
      <c r="H130" s="147"/>
      <c r="I130" s="26"/>
      <c r="J130" s="26"/>
      <c r="K130" s="147"/>
      <c r="M130" s="142"/>
      <c r="O130" s="143"/>
      <c r="Q130" s="194"/>
      <c r="S130" s="192"/>
      <c r="T130" s="183"/>
      <c r="U130" s="142"/>
      <c r="V130" s="183"/>
      <c r="W130" s="187"/>
      <c r="Y130" s="194"/>
      <c r="AA130" s="192"/>
      <c r="AB130" s="183"/>
      <c r="AC130" s="142"/>
      <c r="AD130" s="183"/>
      <c r="AE130" s="187"/>
      <c r="AG130" s="194"/>
      <c r="AI130" s="192"/>
      <c r="AJ130" s="183"/>
      <c r="AK130" s="142"/>
      <c r="AL130" s="183"/>
      <c r="AM130" s="187"/>
    </row>
    <row r="131" spans="1:39">
      <c r="A131" s="30">
        <v>343</v>
      </c>
      <c r="C131" s="13" t="s">
        <v>80</v>
      </c>
      <c r="G131" s="156"/>
      <c r="I131" s="26"/>
      <c r="J131" s="26"/>
      <c r="M131" s="142"/>
      <c r="O131" s="143"/>
      <c r="Q131" s="194"/>
      <c r="S131" s="191"/>
      <c r="T131" s="183"/>
      <c r="U131" s="142"/>
      <c r="V131" s="183"/>
      <c r="W131" s="187"/>
      <c r="Y131" s="194"/>
      <c r="AA131" s="191"/>
      <c r="AB131" s="183"/>
      <c r="AC131" s="142"/>
      <c r="AD131" s="183"/>
      <c r="AE131" s="187"/>
      <c r="AG131" s="194"/>
      <c r="AI131" s="191"/>
      <c r="AJ131" s="183"/>
      <c r="AK131" s="142"/>
      <c r="AL131" s="183"/>
      <c r="AM131" s="187"/>
    </row>
    <row r="132" spans="1:39">
      <c r="A132" s="30"/>
      <c r="C132" s="33" t="s">
        <v>58</v>
      </c>
      <c r="E132" s="157">
        <v>21780283.59</v>
      </c>
      <c r="F132" s="145"/>
      <c r="G132" s="158">
        <v>0</v>
      </c>
      <c r="H132" s="147"/>
      <c r="I132" s="26">
        <v>2.75</v>
      </c>
      <c r="J132" s="26"/>
      <c r="K132" s="147">
        <v>598492</v>
      </c>
      <c r="M132" s="142">
        <f t="shared" si="100"/>
        <v>0</v>
      </c>
      <c r="O132" s="143">
        <f t="shared" si="99"/>
        <v>598492</v>
      </c>
      <c r="Q132" s="194">
        <f>'AG-Nucor 1-43 With Formulas'!S131</f>
        <v>2.7044321877904438</v>
      </c>
      <c r="S132" s="192">
        <f t="shared" ref="S132:S149" si="158">E132*(Q132/100)</f>
        <v>589033</v>
      </c>
      <c r="T132" s="183"/>
      <c r="U132" s="142">
        <f t="shared" ref="U132:U149" si="159">G132*(Q132/100)</f>
        <v>0</v>
      </c>
      <c r="V132" s="183"/>
      <c r="W132" s="187">
        <f t="shared" ref="W132:W149" si="160">S132-U132</f>
        <v>589033</v>
      </c>
      <c r="Y132" s="194">
        <f>'Adj 2 Depr-No Int NS or Retire '!S131</f>
        <v>2.2741084027329657</v>
      </c>
      <c r="AA132" s="224">
        <f t="shared" ref="AA132:AA149" si="161">E132*(Y132/100)</f>
        <v>495307.25925925927</v>
      </c>
      <c r="AB132" s="225"/>
      <c r="AC132" s="226">
        <f t="shared" ref="AC132:AC149" si="162">G132*(Y132/100)</f>
        <v>0</v>
      </c>
      <c r="AD132" s="183"/>
      <c r="AE132" s="187">
        <f t="shared" ref="AE132:AE149" si="163">AA132-AC132</f>
        <v>495307.25925925927</v>
      </c>
      <c r="AG132" s="194">
        <f>'Adj 3 Depr-Extend Lifespans'!S131</f>
        <v>1.9187789648059399</v>
      </c>
      <c r="AI132" s="224">
        <f t="shared" ref="AI132:AI149" si="164">E132*(AG132/100)</f>
        <v>417915.5</v>
      </c>
      <c r="AJ132" s="225"/>
      <c r="AK132" s="226">
        <f t="shared" ref="AK132:AK149" si="165">G132*(AG132/100)</f>
        <v>0</v>
      </c>
      <c r="AL132" s="183"/>
      <c r="AM132" s="187">
        <f t="shared" ref="AM132:AM149" si="166">AI132-AK132</f>
        <v>417915.5</v>
      </c>
    </row>
    <row r="133" spans="1:39">
      <c r="A133" s="30"/>
      <c r="C133" s="33" t="s">
        <v>59</v>
      </c>
      <c r="E133" s="157">
        <v>24250302.120000001</v>
      </c>
      <c r="F133" s="145"/>
      <c r="G133" s="158">
        <v>0</v>
      </c>
      <c r="H133" s="147"/>
      <c r="I133" s="26">
        <v>4.5599999999999996</v>
      </c>
      <c r="J133" s="26"/>
      <c r="K133" s="147">
        <v>1105177</v>
      </c>
      <c r="M133" s="142">
        <f t="shared" si="100"/>
        <v>0</v>
      </c>
      <c r="O133" s="143">
        <f t="shared" si="99"/>
        <v>1105177</v>
      </c>
      <c r="Q133" s="194">
        <f>'AG-Nucor 1-43 With Formulas'!S132</f>
        <v>4.3954009097516344</v>
      </c>
      <c r="S133" s="192">
        <f t="shared" si="158"/>
        <v>1065898</v>
      </c>
      <c r="T133" s="183"/>
      <c r="U133" s="142">
        <f t="shared" si="159"/>
        <v>0</v>
      </c>
      <c r="V133" s="183"/>
      <c r="W133" s="187">
        <f t="shared" si="160"/>
        <v>1065898</v>
      </c>
      <c r="Y133" s="194">
        <f>'Adj 2 Depr-No Int NS or Retire '!S132</f>
        <v>4.2145073664375827</v>
      </c>
      <c r="AA133" s="224">
        <f t="shared" si="161"/>
        <v>1022030.7692307694</v>
      </c>
      <c r="AB133" s="225"/>
      <c r="AC133" s="226">
        <f t="shared" si="162"/>
        <v>0</v>
      </c>
      <c r="AD133" s="183"/>
      <c r="AE133" s="187">
        <f t="shared" si="163"/>
        <v>1022030.7692307694</v>
      </c>
      <c r="AG133" s="194">
        <f>'Adj 3 Depr-Extend Lifespans'!S132</f>
        <v>2.608980750651837</v>
      </c>
      <c r="AI133" s="224">
        <f t="shared" si="164"/>
        <v>632685.71428571432</v>
      </c>
      <c r="AJ133" s="225"/>
      <c r="AK133" s="226">
        <f t="shared" si="165"/>
        <v>0</v>
      </c>
      <c r="AL133" s="183"/>
      <c r="AM133" s="187">
        <f t="shared" si="166"/>
        <v>632685.71428571432</v>
      </c>
    </row>
    <row r="134" spans="1:39">
      <c r="A134" s="30"/>
      <c r="C134" s="33" t="s">
        <v>60</v>
      </c>
      <c r="E134" s="157">
        <v>16948244.77</v>
      </c>
      <c r="F134" s="145"/>
      <c r="G134" s="158">
        <v>0</v>
      </c>
      <c r="H134" s="147"/>
      <c r="I134" s="26">
        <v>3.52</v>
      </c>
      <c r="J134" s="26"/>
      <c r="K134" s="147">
        <v>596612</v>
      </c>
      <c r="M134" s="142">
        <f t="shared" si="100"/>
        <v>0</v>
      </c>
      <c r="O134" s="143">
        <f t="shared" si="99"/>
        <v>596612</v>
      </c>
      <c r="Q134" s="194">
        <f>'AG-Nucor 1-43 With Formulas'!S133</f>
        <v>3.3560230437951128</v>
      </c>
      <c r="S134" s="192">
        <f t="shared" si="158"/>
        <v>568787</v>
      </c>
      <c r="T134" s="183"/>
      <c r="U134" s="142">
        <f t="shared" si="159"/>
        <v>0</v>
      </c>
      <c r="V134" s="183"/>
      <c r="W134" s="187">
        <f t="shared" si="160"/>
        <v>568787</v>
      </c>
      <c r="Y134" s="194">
        <f>'Adj 2 Depr-No Int NS or Retire '!S133</f>
        <v>3.1450790305507978</v>
      </c>
      <c r="AA134" s="224">
        <f t="shared" si="161"/>
        <v>533035.69230769225</v>
      </c>
      <c r="AB134" s="225"/>
      <c r="AC134" s="226">
        <f t="shared" si="162"/>
        <v>0</v>
      </c>
      <c r="AD134" s="183"/>
      <c r="AE134" s="187">
        <f t="shared" si="163"/>
        <v>533035.69230769225</v>
      </c>
      <c r="AG134" s="194">
        <f>'Adj 3 Depr-Extend Lifespans'!S133</f>
        <v>1.9469536855790657</v>
      </c>
      <c r="AI134" s="224">
        <f t="shared" si="164"/>
        <v>329974.47619047621</v>
      </c>
      <c r="AJ134" s="225"/>
      <c r="AK134" s="226">
        <f t="shared" si="165"/>
        <v>0</v>
      </c>
      <c r="AL134" s="183"/>
      <c r="AM134" s="187">
        <f t="shared" si="166"/>
        <v>329974.47619047621</v>
      </c>
    </row>
    <row r="135" spans="1:39">
      <c r="A135" s="30"/>
      <c r="C135" s="33" t="s">
        <v>61</v>
      </c>
      <c r="E135" s="157">
        <v>16247189.43</v>
      </c>
      <c r="F135" s="145"/>
      <c r="G135" s="158">
        <v>0</v>
      </c>
      <c r="H135" s="147"/>
      <c r="I135" s="26">
        <v>3.71</v>
      </c>
      <c r="J135" s="26"/>
      <c r="K135" s="147">
        <v>602129</v>
      </c>
      <c r="M135" s="142">
        <f t="shared" si="100"/>
        <v>0</v>
      </c>
      <c r="O135" s="143">
        <f t="shared" si="99"/>
        <v>602129</v>
      </c>
      <c r="Q135" s="194">
        <f>'AG-Nucor 1-43 With Formulas'!S134</f>
        <v>3.5419295286692547</v>
      </c>
      <c r="S135" s="192">
        <f t="shared" si="158"/>
        <v>575464</v>
      </c>
      <c r="T135" s="183"/>
      <c r="U135" s="142">
        <f t="shared" si="159"/>
        <v>0</v>
      </c>
      <c r="V135" s="183"/>
      <c r="W135" s="187">
        <f t="shared" si="160"/>
        <v>575464</v>
      </c>
      <c r="Y135" s="194">
        <f>'Adj 2 Depr-No Int NS or Retire '!S134</f>
        <v>3.3215117606486091</v>
      </c>
      <c r="AA135" s="224">
        <f t="shared" si="161"/>
        <v>539652.30769230775</v>
      </c>
      <c r="AB135" s="225"/>
      <c r="AC135" s="226">
        <f t="shared" si="162"/>
        <v>0</v>
      </c>
      <c r="AD135" s="183"/>
      <c r="AE135" s="187">
        <f t="shared" si="163"/>
        <v>539652.30769230775</v>
      </c>
      <c r="AG135" s="194">
        <f>'Adj 3 Depr-Extend Lifespans'!S134</f>
        <v>2.0561739470681868</v>
      </c>
      <c r="AI135" s="224">
        <f t="shared" si="164"/>
        <v>334070.47619047621</v>
      </c>
      <c r="AJ135" s="225"/>
      <c r="AK135" s="226">
        <f t="shared" si="165"/>
        <v>0</v>
      </c>
      <c r="AL135" s="183"/>
      <c r="AM135" s="187">
        <f t="shared" si="166"/>
        <v>334070.47619047621</v>
      </c>
    </row>
    <row r="136" spans="1:39">
      <c r="A136" s="30"/>
      <c r="C136" s="33" t="s">
        <v>62</v>
      </c>
      <c r="E136" s="157">
        <v>25858484.41</v>
      </c>
      <c r="F136" s="145"/>
      <c r="G136" s="158">
        <v>0</v>
      </c>
      <c r="H136" s="147"/>
      <c r="I136" s="26">
        <v>3.3</v>
      </c>
      <c r="J136" s="26"/>
      <c r="K136" s="147">
        <v>852617</v>
      </c>
      <c r="M136" s="142">
        <f t="shared" si="100"/>
        <v>0</v>
      </c>
      <c r="O136" s="143">
        <f t="shared" si="99"/>
        <v>852617</v>
      </c>
      <c r="Q136" s="194">
        <f>'AG-Nucor 1-43 With Formulas'!S135</f>
        <v>3.2366436745857214</v>
      </c>
      <c r="S136" s="192">
        <f t="shared" si="158"/>
        <v>836946.99999999988</v>
      </c>
      <c r="T136" s="183"/>
      <c r="U136" s="142">
        <f t="shared" si="159"/>
        <v>0</v>
      </c>
      <c r="V136" s="183"/>
      <c r="W136" s="187">
        <f t="shared" si="160"/>
        <v>836946.99999999988</v>
      </c>
      <c r="Y136" s="194">
        <f>'Adj 2 Depr-No Int NS or Retire '!S135</f>
        <v>2.9127312905291287</v>
      </c>
      <c r="AA136" s="224">
        <f t="shared" si="161"/>
        <v>753188.16666666663</v>
      </c>
      <c r="AB136" s="225"/>
      <c r="AC136" s="226">
        <f t="shared" si="162"/>
        <v>0</v>
      </c>
      <c r="AD136" s="183"/>
      <c r="AE136" s="187">
        <f t="shared" si="163"/>
        <v>753188.16666666663</v>
      </c>
      <c r="AG136" s="194">
        <f>'Adj 3 Depr-Extend Lifespans'!S135</f>
        <v>2.2795288360662749</v>
      </c>
      <c r="AI136" s="224">
        <f t="shared" si="164"/>
        <v>589451.60869565222</v>
      </c>
      <c r="AJ136" s="225"/>
      <c r="AK136" s="226">
        <f t="shared" si="165"/>
        <v>0</v>
      </c>
      <c r="AL136" s="183"/>
      <c r="AM136" s="187">
        <f t="shared" si="166"/>
        <v>589451.60869565222</v>
      </c>
    </row>
    <row r="137" spans="1:39">
      <c r="A137" s="30"/>
      <c r="C137" s="33" t="s">
        <v>63</v>
      </c>
      <c r="E137" s="157">
        <v>21295538.73</v>
      </c>
      <c r="F137" s="145"/>
      <c r="G137" s="158">
        <v>0</v>
      </c>
      <c r="H137" s="147"/>
      <c r="I137" s="26">
        <v>3.28</v>
      </c>
      <c r="J137" s="26"/>
      <c r="K137" s="147">
        <v>698328</v>
      </c>
      <c r="M137" s="142">
        <f t="shared" si="100"/>
        <v>0</v>
      </c>
      <c r="O137" s="143">
        <f t="shared" si="99"/>
        <v>698328</v>
      </c>
      <c r="Q137" s="194">
        <f>'AG-Nucor 1-43 With Formulas'!S136</f>
        <v>3.2184769246267382</v>
      </c>
      <c r="S137" s="192">
        <f t="shared" si="158"/>
        <v>685392</v>
      </c>
      <c r="T137" s="183"/>
      <c r="U137" s="142">
        <f t="shared" si="159"/>
        <v>0</v>
      </c>
      <c r="V137" s="183"/>
      <c r="W137" s="187">
        <f t="shared" si="160"/>
        <v>685392</v>
      </c>
      <c r="Y137" s="194">
        <f>'Adj 2 Depr-No Int NS or Retire '!S136</f>
        <v>2.8881813490415404</v>
      </c>
      <c r="AA137" s="224">
        <f t="shared" si="161"/>
        <v>615053.77777777775</v>
      </c>
      <c r="AB137" s="225"/>
      <c r="AC137" s="226">
        <f t="shared" si="162"/>
        <v>0</v>
      </c>
      <c r="AD137" s="183"/>
      <c r="AE137" s="187">
        <f t="shared" si="163"/>
        <v>615053.77777777775</v>
      </c>
      <c r="AG137" s="194">
        <f>'Adj 3 Depr-Extend Lifespans'!S136</f>
        <v>2.2603158383803361</v>
      </c>
      <c r="AI137" s="224">
        <f t="shared" si="164"/>
        <v>481346.4347826087</v>
      </c>
      <c r="AJ137" s="225"/>
      <c r="AK137" s="226">
        <f t="shared" si="165"/>
        <v>0</v>
      </c>
      <c r="AL137" s="183"/>
      <c r="AM137" s="187">
        <f t="shared" si="166"/>
        <v>481346.4347826087</v>
      </c>
    </row>
    <row r="138" spans="1:39">
      <c r="A138" s="30"/>
      <c r="C138" s="33" t="s">
        <v>64</v>
      </c>
      <c r="E138" s="157">
        <v>18332746.16</v>
      </c>
      <c r="F138" s="145"/>
      <c r="G138" s="158">
        <v>0</v>
      </c>
      <c r="H138" s="147"/>
      <c r="I138" s="26">
        <v>3.28</v>
      </c>
      <c r="J138" s="26"/>
      <c r="K138" s="147">
        <v>600986</v>
      </c>
      <c r="M138" s="142">
        <f t="shared" si="100"/>
        <v>0</v>
      </c>
      <c r="O138" s="143">
        <f t="shared" si="99"/>
        <v>600986</v>
      </c>
      <c r="Q138" s="194">
        <f>'AG-Nucor 1-43 With Formulas'!S137</f>
        <v>3.2286870435782005</v>
      </c>
      <c r="S138" s="192">
        <f t="shared" si="158"/>
        <v>591907</v>
      </c>
      <c r="T138" s="183"/>
      <c r="U138" s="142">
        <f t="shared" si="159"/>
        <v>0</v>
      </c>
      <c r="V138" s="183"/>
      <c r="W138" s="187">
        <f t="shared" si="160"/>
        <v>591907</v>
      </c>
      <c r="Y138" s="194">
        <f>'Adj 2 Depr-No Int NS or Retire '!S137</f>
        <v>2.9265582761988123</v>
      </c>
      <c r="AA138" s="224">
        <f t="shared" si="161"/>
        <v>536518.5</v>
      </c>
      <c r="AB138" s="225"/>
      <c r="AC138" s="226">
        <f t="shared" si="162"/>
        <v>0</v>
      </c>
      <c r="AD138" s="183"/>
      <c r="AE138" s="187">
        <f t="shared" si="163"/>
        <v>536518.5</v>
      </c>
      <c r="AG138" s="194">
        <f>'Adj 3 Depr-Extend Lifespans'!S137</f>
        <v>2.3846030398656994</v>
      </c>
      <c r="AI138" s="224">
        <f t="shared" si="164"/>
        <v>437163.22222222225</v>
      </c>
      <c r="AJ138" s="225"/>
      <c r="AK138" s="226">
        <f t="shared" si="165"/>
        <v>0</v>
      </c>
      <c r="AL138" s="183"/>
      <c r="AM138" s="187">
        <f t="shared" si="166"/>
        <v>437163.22222222225</v>
      </c>
    </row>
    <row r="139" spans="1:39">
      <c r="A139" s="30"/>
      <c r="C139" s="33" t="s">
        <v>65</v>
      </c>
      <c r="E139" s="157">
        <v>16754183.57</v>
      </c>
      <c r="F139" s="145"/>
      <c r="G139" s="158">
        <v>0</v>
      </c>
      <c r="H139" s="147"/>
      <c r="I139" s="26">
        <v>3.16</v>
      </c>
      <c r="J139" s="26"/>
      <c r="K139" s="147">
        <v>530174</v>
      </c>
      <c r="M139" s="142">
        <f t="shared" si="100"/>
        <v>0</v>
      </c>
      <c r="O139" s="143">
        <f t="shared" si="99"/>
        <v>530174</v>
      </c>
      <c r="Q139" s="194">
        <f>'AG-Nucor 1-43 With Formulas'!S138</f>
        <v>3.1146787775108518</v>
      </c>
      <c r="S139" s="192">
        <f t="shared" si="158"/>
        <v>521839</v>
      </c>
      <c r="T139" s="183"/>
      <c r="U139" s="142">
        <f t="shared" si="159"/>
        <v>0</v>
      </c>
      <c r="V139" s="183"/>
      <c r="W139" s="187">
        <f t="shared" si="160"/>
        <v>521839</v>
      </c>
      <c r="Y139" s="194">
        <f>'Adj 2 Depr-No Int NS or Retire '!S138</f>
        <v>2.8013326171936477</v>
      </c>
      <c r="AA139" s="224">
        <f t="shared" si="161"/>
        <v>469340.40909090912</v>
      </c>
      <c r="AB139" s="225"/>
      <c r="AC139" s="226">
        <f t="shared" si="162"/>
        <v>0</v>
      </c>
      <c r="AD139" s="183"/>
      <c r="AE139" s="187">
        <f t="shared" si="163"/>
        <v>469340.40909090912</v>
      </c>
      <c r="AG139" s="194">
        <f>'Adj 3 Depr-Extend Lifespans'!S138</f>
        <v>2.2825673177133425</v>
      </c>
      <c r="AI139" s="224">
        <f t="shared" si="164"/>
        <v>382425.51851851854</v>
      </c>
      <c r="AJ139" s="225"/>
      <c r="AK139" s="226">
        <f t="shared" si="165"/>
        <v>0</v>
      </c>
      <c r="AL139" s="183"/>
      <c r="AM139" s="187">
        <f t="shared" si="166"/>
        <v>382425.51851851854</v>
      </c>
    </row>
    <row r="140" spans="1:39">
      <c r="A140" s="30"/>
      <c r="C140" s="33" t="s">
        <v>66</v>
      </c>
      <c r="E140" s="157">
        <v>41179391.759999998</v>
      </c>
      <c r="F140" s="145"/>
      <c r="G140" s="158">
        <v>0</v>
      </c>
      <c r="H140" s="147"/>
      <c r="I140" s="26">
        <v>3.32</v>
      </c>
      <c r="J140" s="26"/>
      <c r="K140" s="147">
        <v>1367228</v>
      </c>
      <c r="M140" s="142">
        <f t="shared" si="100"/>
        <v>0</v>
      </c>
      <c r="O140" s="143">
        <f t="shared" si="99"/>
        <v>1367228</v>
      </c>
      <c r="Q140" s="194">
        <f>'AG-Nucor 1-43 With Formulas'!S139</f>
        <v>3.2397127373209171</v>
      </c>
      <c r="S140" s="192">
        <f t="shared" si="158"/>
        <v>1334094</v>
      </c>
      <c r="T140" s="183"/>
      <c r="U140" s="142">
        <f t="shared" si="159"/>
        <v>0</v>
      </c>
      <c r="V140" s="183"/>
      <c r="W140" s="187">
        <f t="shared" si="160"/>
        <v>1334094</v>
      </c>
      <c r="Y140" s="194">
        <f>'Adj 2 Depr-No Int NS or Retire '!S139</f>
        <v>2.9874086311752355</v>
      </c>
      <c r="AA140" s="224">
        <f t="shared" si="161"/>
        <v>1230196.7037037036</v>
      </c>
      <c r="AB140" s="225"/>
      <c r="AC140" s="226">
        <f t="shared" si="162"/>
        <v>0</v>
      </c>
      <c r="AD140" s="183"/>
      <c r="AE140" s="187">
        <f t="shared" si="163"/>
        <v>1230196.7037037036</v>
      </c>
      <c r="AG140" s="194">
        <f>'Adj 3 Depr-Extend Lifespans'!S139</f>
        <v>2.5206260325541052</v>
      </c>
      <c r="AI140" s="224">
        <f t="shared" si="164"/>
        <v>1037978.4687500001</v>
      </c>
      <c r="AJ140" s="225"/>
      <c r="AK140" s="226">
        <f t="shared" si="165"/>
        <v>0</v>
      </c>
      <c r="AL140" s="183"/>
      <c r="AM140" s="187">
        <f t="shared" si="166"/>
        <v>1037978.4687500001</v>
      </c>
    </row>
    <row r="141" spans="1:39">
      <c r="A141" s="30"/>
      <c r="C141" s="33" t="s">
        <v>67</v>
      </c>
      <c r="E141" s="157">
        <v>38525568.210000001</v>
      </c>
      <c r="F141" s="145"/>
      <c r="G141" s="158">
        <v>0</v>
      </c>
      <c r="H141" s="147"/>
      <c r="I141" s="26">
        <v>3.01</v>
      </c>
      <c r="J141" s="26"/>
      <c r="K141" s="147">
        <v>1157887</v>
      </c>
      <c r="M141" s="142">
        <f t="shared" si="100"/>
        <v>0</v>
      </c>
      <c r="O141" s="143">
        <f t="shared" si="99"/>
        <v>1157887</v>
      </c>
      <c r="Q141" s="194">
        <f>'AG-Nucor 1-43 With Formulas'!S140</f>
        <v>2.9652229754874262</v>
      </c>
      <c r="S141" s="192">
        <f t="shared" si="158"/>
        <v>1142369</v>
      </c>
      <c r="T141" s="183"/>
      <c r="U141" s="142">
        <f t="shared" si="159"/>
        <v>0</v>
      </c>
      <c r="V141" s="183"/>
      <c r="W141" s="187">
        <f t="shared" si="160"/>
        <v>1142369</v>
      </c>
      <c r="Y141" s="194">
        <f>'Adj 2 Depr-No Int NS or Retire '!S140</f>
        <v>2.6943757192557589</v>
      </c>
      <c r="AA141" s="224">
        <f t="shared" si="161"/>
        <v>1038023.5555555556</v>
      </c>
      <c r="AB141" s="225"/>
      <c r="AC141" s="226">
        <f t="shared" si="162"/>
        <v>0</v>
      </c>
      <c r="AD141" s="183"/>
      <c r="AE141" s="187">
        <f t="shared" si="163"/>
        <v>1038023.5555555556</v>
      </c>
      <c r="AG141" s="194">
        <f>'Adj 3 Depr-Extend Lifespans'!S140</f>
        <v>2.2733795131220464</v>
      </c>
      <c r="AI141" s="224">
        <f t="shared" si="164"/>
        <v>875832.375</v>
      </c>
      <c r="AJ141" s="225"/>
      <c r="AK141" s="226">
        <f t="shared" si="165"/>
        <v>0</v>
      </c>
      <c r="AL141" s="183"/>
      <c r="AM141" s="187">
        <f t="shared" si="166"/>
        <v>875832.375</v>
      </c>
    </row>
    <row r="142" spans="1:39">
      <c r="A142" s="30"/>
      <c r="C142" s="33" t="s">
        <v>68</v>
      </c>
      <c r="E142" s="157">
        <v>354200.3</v>
      </c>
      <c r="F142" s="145"/>
      <c r="G142" s="158">
        <v>0</v>
      </c>
      <c r="H142" s="147"/>
      <c r="I142" s="26">
        <v>4.78</v>
      </c>
      <c r="J142" s="26"/>
      <c r="K142" s="147">
        <v>16918</v>
      </c>
      <c r="M142" s="142">
        <f t="shared" si="100"/>
        <v>0</v>
      </c>
      <c r="O142" s="143">
        <f t="shared" si="99"/>
        <v>16918</v>
      </c>
      <c r="Q142" s="194">
        <f>'AG-Nucor 1-43 With Formulas'!S141</f>
        <v>4.7035533284415632</v>
      </c>
      <c r="S142" s="192">
        <f t="shared" si="158"/>
        <v>16660.000000000004</v>
      </c>
      <c r="T142" s="183"/>
      <c r="U142" s="142">
        <f t="shared" si="159"/>
        <v>0</v>
      </c>
      <c r="V142" s="183"/>
      <c r="W142" s="187">
        <f t="shared" si="160"/>
        <v>16660.000000000004</v>
      </c>
      <c r="Y142" s="194">
        <f>'Adj 2 Depr-No Int NS or Retire '!S141</f>
        <v>4.4708971264233153</v>
      </c>
      <c r="AA142" s="224">
        <f t="shared" si="161"/>
        <v>15835.931034482761</v>
      </c>
      <c r="AB142" s="225"/>
      <c r="AC142" s="226">
        <f t="shared" si="162"/>
        <v>0</v>
      </c>
      <c r="AD142" s="183"/>
      <c r="AE142" s="187">
        <f t="shared" si="163"/>
        <v>15835.931034482761</v>
      </c>
      <c r="AG142" s="194">
        <f>'Adj 3 Depr-Extend Lifespans'!S141</f>
        <v>4.4708971264233153</v>
      </c>
      <c r="AI142" s="224">
        <f t="shared" si="164"/>
        <v>15835.931034482761</v>
      </c>
      <c r="AJ142" s="225"/>
      <c r="AK142" s="226">
        <f t="shared" si="165"/>
        <v>0</v>
      </c>
      <c r="AL142" s="183"/>
      <c r="AM142" s="187">
        <f t="shared" si="166"/>
        <v>15835.931034482761</v>
      </c>
    </row>
    <row r="143" spans="1:39">
      <c r="A143" s="30"/>
      <c r="C143" s="33" t="s">
        <v>70</v>
      </c>
      <c r="E143" s="157">
        <v>387999.31</v>
      </c>
      <c r="F143" s="145"/>
      <c r="G143" s="158">
        <v>0</v>
      </c>
      <c r="H143" s="147"/>
      <c r="I143" s="26">
        <v>4.82</v>
      </c>
      <c r="J143" s="26"/>
      <c r="K143" s="147">
        <v>18696</v>
      </c>
      <c r="M143" s="142">
        <f t="shared" si="100"/>
        <v>0</v>
      </c>
      <c r="O143" s="143">
        <f t="shared" si="99"/>
        <v>18696</v>
      </c>
      <c r="Q143" s="194">
        <f>'AG-Nucor 1-43 With Formulas'!S142</f>
        <v>4.7461424609234486</v>
      </c>
      <c r="S143" s="192">
        <f t="shared" si="158"/>
        <v>18415</v>
      </c>
      <c r="T143" s="183"/>
      <c r="U143" s="142">
        <f t="shared" si="159"/>
        <v>0</v>
      </c>
      <c r="V143" s="183"/>
      <c r="W143" s="187">
        <f t="shared" si="160"/>
        <v>18415</v>
      </c>
      <c r="Y143" s="194">
        <f>'Adj 2 Depr-No Int NS or Retire '!S142</f>
        <v>4.5202888776200174</v>
      </c>
      <c r="AA143" s="224">
        <f t="shared" si="161"/>
        <v>17538.689655172413</v>
      </c>
      <c r="AB143" s="225"/>
      <c r="AC143" s="226">
        <f t="shared" si="162"/>
        <v>0</v>
      </c>
      <c r="AD143" s="183"/>
      <c r="AE143" s="187">
        <f t="shared" si="163"/>
        <v>17538.689655172413</v>
      </c>
      <c r="AG143" s="194">
        <f>'Adj 3 Depr-Extend Lifespans'!S142</f>
        <v>4.5202888776200174</v>
      </c>
      <c r="AI143" s="224">
        <f t="shared" si="164"/>
        <v>17538.689655172413</v>
      </c>
      <c r="AJ143" s="225"/>
      <c r="AK143" s="226">
        <f t="shared" si="165"/>
        <v>0</v>
      </c>
      <c r="AL143" s="183"/>
      <c r="AM143" s="187">
        <f t="shared" si="166"/>
        <v>17538.689655172413</v>
      </c>
    </row>
    <row r="144" spans="1:39">
      <c r="A144" s="30"/>
      <c r="C144" s="33" t="s">
        <v>71</v>
      </c>
      <c r="E144" s="157">
        <v>201654.6</v>
      </c>
      <c r="F144" s="145"/>
      <c r="G144" s="158">
        <v>0</v>
      </c>
      <c r="H144" s="147"/>
      <c r="I144" s="26">
        <v>4.2</v>
      </c>
      <c r="J144" s="26"/>
      <c r="K144" s="147">
        <v>8461</v>
      </c>
      <c r="M144" s="142">
        <f t="shared" si="100"/>
        <v>0</v>
      </c>
      <c r="O144" s="143">
        <f t="shared" si="99"/>
        <v>8461</v>
      </c>
      <c r="Q144" s="194">
        <f>'AG-Nucor 1-43 With Formulas'!S143</f>
        <v>4.1957882438585576</v>
      </c>
      <c r="S144" s="192">
        <f t="shared" si="158"/>
        <v>8461</v>
      </c>
      <c r="T144" s="183"/>
      <c r="U144" s="142">
        <f t="shared" si="159"/>
        <v>0</v>
      </c>
      <c r="V144" s="183"/>
      <c r="W144" s="187">
        <f t="shared" si="160"/>
        <v>8461</v>
      </c>
      <c r="Y144" s="194">
        <f>'Adj 2 Depr-No Int NS or Retire '!S143</f>
        <v>3.8916047538712237</v>
      </c>
      <c r="AA144" s="224">
        <f t="shared" si="161"/>
        <v>7847.6000000000013</v>
      </c>
      <c r="AB144" s="225"/>
      <c r="AC144" s="226">
        <f t="shared" si="162"/>
        <v>0</v>
      </c>
      <c r="AD144" s="183"/>
      <c r="AE144" s="187">
        <f t="shared" si="163"/>
        <v>7847.6000000000013</v>
      </c>
      <c r="AG144" s="194">
        <f>'Adj 3 Depr-Extend Lifespans'!S143</f>
        <v>3.8916047538712237</v>
      </c>
      <c r="AI144" s="224">
        <f t="shared" si="164"/>
        <v>7847.6000000000013</v>
      </c>
      <c r="AJ144" s="225"/>
      <c r="AK144" s="226">
        <f t="shared" si="165"/>
        <v>0</v>
      </c>
      <c r="AL144" s="183"/>
      <c r="AM144" s="187">
        <f t="shared" si="166"/>
        <v>7847.6000000000013</v>
      </c>
    </row>
    <row r="145" spans="1:39">
      <c r="A145" s="30"/>
      <c r="C145" s="33" t="s">
        <v>72</v>
      </c>
      <c r="E145" s="157">
        <v>275099.08</v>
      </c>
      <c r="F145" s="145"/>
      <c r="G145" s="158">
        <v>0</v>
      </c>
      <c r="H145" s="147"/>
      <c r="I145" s="26">
        <v>4.07</v>
      </c>
      <c r="J145" s="26"/>
      <c r="K145" s="147">
        <v>11209</v>
      </c>
      <c r="M145" s="142">
        <f t="shared" si="100"/>
        <v>0</v>
      </c>
      <c r="O145" s="143">
        <f t="shared" si="99"/>
        <v>11209</v>
      </c>
      <c r="Q145" s="194">
        <f>'AG-Nucor 1-43 With Formulas'!S144</f>
        <v>4.01709813060807</v>
      </c>
      <c r="S145" s="192">
        <f t="shared" si="158"/>
        <v>11050.999999999998</v>
      </c>
      <c r="T145" s="183"/>
      <c r="U145" s="142">
        <f t="shared" si="159"/>
        <v>0</v>
      </c>
      <c r="V145" s="183"/>
      <c r="W145" s="187">
        <f t="shared" si="160"/>
        <v>11050.999999999998</v>
      </c>
      <c r="Y145" s="194">
        <f>'Adj 2 Depr-No Int NS or Retire '!S144</f>
        <v>3.7781178939484525</v>
      </c>
      <c r="AA145" s="224">
        <f t="shared" si="161"/>
        <v>10393.567567567568</v>
      </c>
      <c r="AB145" s="225"/>
      <c r="AC145" s="226">
        <f t="shared" si="162"/>
        <v>0</v>
      </c>
      <c r="AD145" s="183"/>
      <c r="AE145" s="187">
        <f t="shared" si="163"/>
        <v>10393.567567567568</v>
      </c>
      <c r="AG145" s="194">
        <f>'Adj 3 Depr-Extend Lifespans'!S144</f>
        <v>3.7781178939484525</v>
      </c>
      <c r="AI145" s="224">
        <f t="shared" si="164"/>
        <v>10393.567567567568</v>
      </c>
      <c r="AJ145" s="225"/>
      <c r="AK145" s="226">
        <f t="shared" si="165"/>
        <v>0</v>
      </c>
      <c r="AL145" s="183"/>
      <c r="AM145" s="187">
        <f t="shared" si="166"/>
        <v>10393.567567567568</v>
      </c>
    </row>
    <row r="146" spans="1:39">
      <c r="A146" s="30"/>
      <c r="C146" s="33" t="s">
        <v>73</v>
      </c>
      <c r="E146" s="157">
        <v>57861908.030000001</v>
      </c>
      <c r="F146" s="145"/>
      <c r="G146" s="158">
        <v>0</v>
      </c>
      <c r="H146" s="147"/>
      <c r="I146" s="26">
        <v>4.3099999999999996</v>
      </c>
      <c r="J146" s="26"/>
      <c r="K146" s="147">
        <v>2493372</v>
      </c>
      <c r="M146" s="142">
        <f t="shared" si="100"/>
        <v>0</v>
      </c>
      <c r="O146" s="143">
        <f t="shared" si="99"/>
        <v>2493372</v>
      </c>
      <c r="Q146" s="194">
        <f>'AG-Nucor 1-43 With Formulas'!S145</f>
        <v>4.2111677318636804</v>
      </c>
      <c r="S146" s="192">
        <f t="shared" si="158"/>
        <v>2436662</v>
      </c>
      <c r="T146" s="183"/>
      <c r="U146" s="142">
        <f t="shared" si="159"/>
        <v>0</v>
      </c>
      <c r="V146" s="183"/>
      <c r="W146" s="187">
        <f t="shared" si="160"/>
        <v>2436662</v>
      </c>
      <c r="Y146" s="194">
        <f>'Adj 2 Depr-No Int NS or Retire '!S145</f>
        <v>4.0923275608127394</v>
      </c>
      <c r="AA146" s="224">
        <f t="shared" si="161"/>
        <v>2367898.8095238092</v>
      </c>
      <c r="AB146" s="225"/>
      <c r="AC146" s="226">
        <f t="shared" si="162"/>
        <v>0</v>
      </c>
      <c r="AD146" s="183"/>
      <c r="AE146" s="187">
        <f t="shared" si="163"/>
        <v>2367898.8095238092</v>
      </c>
      <c r="AG146" s="194">
        <f>'Adj 3 Depr-Extend Lifespans'!S145</f>
        <v>4.0923275608127394</v>
      </c>
      <c r="AI146" s="224">
        <f t="shared" si="164"/>
        <v>2367898.8095238092</v>
      </c>
      <c r="AJ146" s="225"/>
      <c r="AK146" s="226">
        <f t="shared" si="165"/>
        <v>0</v>
      </c>
      <c r="AL146" s="183"/>
      <c r="AM146" s="187">
        <f t="shared" si="166"/>
        <v>2367898.8095238092</v>
      </c>
    </row>
    <row r="147" spans="1:39">
      <c r="A147" s="30"/>
      <c r="C147" s="33" t="s">
        <v>74</v>
      </c>
      <c r="E147" s="157">
        <v>44185201.950000003</v>
      </c>
      <c r="F147" s="145"/>
      <c r="G147" s="158">
        <v>0</v>
      </c>
      <c r="H147" s="147"/>
      <c r="I147" s="26">
        <v>3.26</v>
      </c>
      <c r="J147" s="26"/>
      <c r="K147" s="147">
        <v>1440118</v>
      </c>
      <c r="M147" s="142">
        <f t="shared" si="100"/>
        <v>0</v>
      </c>
      <c r="O147" s="143">
        <f t="shared" si="99"/>
        <v>1440118</v>
      </c>
      <c r="Q147" s="194">
        <f>'AG-Nucor 1-43 With Formulas'!S146</f>
        <v>3.1601462443921222</v>
      </c>
      <c r="S147" s="192">
        <f t="shared" si="158"/>
        <v>1396316.9999999998</v>
      </c>
      <c r="T147" s="183"/>
      <c r="U147" s="142">
        <f t="shared" si="159"/>
        <v>0</v>
      </c>
      <c r="V147" s="183"/>
      <c r="W147" s="187">
        <f t="shared" si="160"/>
        <v>1396316.9999999998</v>
      </c>
      <c r="Y147" s="194">
        <f>'Adj 2 Depr-No Int NS or Retire '!S146</f>
        <v>3.0375774129187025</v>
      </c>
      <c r="AA147" s="224">
        <f t="shared" si="161"/>
        <v>1342159.7142857143</v>
      </c>
      <c r="AB147" s="225"/>
      <c r="AC147" s="226">
        <f t="shared" si="162"/>
        <v>0</v>
      </c>
      <c r="AD147" s="183"/>
      <c r="AE147" s="187">
        <f t="shared" si="163"/>
        <v>1342159.7142857143</v>
      </c>
      <c r="AG147" s="194">
        <f>'Adj 3 Depr-Extend Lifespans'!S146</f>
        <v>3.0375774129187025</v>
      </c>
      <c r="AI147" s="224">
        <f t="shared" si="164"/>
        <v>1342159.7142857143</v>
      </c>
      <c r="AJ147" s="225"/>
      <c r="AK147" s="226">
        <f t="shared" si="165"/>
        <v>0</v>
      </c>
      <c r="AL147" s="183"/>
      <c r="AM147" s="187">
        <f t="shared" si="166"/>
        <v>1342159.7142857143</v>
      </c>
    </row>
    <row r="148" spans="1:39">
      <c r="A148" s="30"/>
      <c r="C148" s="33" t="s">
        <v>75</v>
      </c>
      <c r="E148" s="157">
        <v>45507960.020000003</v>
      </c>
      <c r="F148" s="145"/>
      <c r="G148" s="158">
        <v>0</v>
      </c>
      <c r="H148" s="147"/>
      <c r="I148" s="26">
        <v>2.92</v>
      </c>
      <c r="J148" s="26"/>
      <c r="K148" s="147">
        <v>1326570</v>
      </c>
      <c r="M148" s="142">
        <f t="shared" si="100"/>
        <v>0</v>
      </c>
      <c r="O148" s="143">
        <f t="shared" si="99"/>
        <v>1326570</v>
      </c>
      <c r="Q148" s="194">
        <f>'AG-Nucor 1-43 With Formulas'!S147</f>
        <v>2.8158897903505715</v>
      </c>
      <c r="S148" s="192">
        <f t="shared" si="158"/>
        <v>1281454</v>
      </c>
      <c r="T148" s="183"/>
      <c r="U148" s="142">
        <f t="shared" si="159"/>
        <v>0</v>
      </c>
      <c r="V148" s="183"/>
      <c r="W148" s="187">
        <f t="shared" si="160"/>
        <v>1281454</v>
      </c>
      <c r="Y148" s="194">
        <f>'Adj 2 Depr-No Int NS or Retire '!S147</f>
        <v>2.7067148554766489</v>
      </c>
      <c r="AA148" s="224">
        <f t="shared" si="161"/>
        <v>1231770.7142857143</v>
      </c>
      <c r="AB148" s="225"/>
      <c r="AC148" s="226">
        <f t="shared" si="162"/>
        <v>0</v>
      </c>
      <c r="AD148" s="183"/>
      <c r="AE148" s="187">
        <f t="shared" si="163"/>
        <v>1231770.7142857143</v>
      </c>
      <c r="AG148" s="194">
        <f>'Adj 3 Depr-Extend Lifespans'!S147</f>
        <v>2.7067148554766489</v>
      </c>
      <c r="AI148" s="224">
        <f t="shared" si="164"/>
        <v>1231770.7142857143</v>
      </c>
      <c r="AJ148" s="225"/>
      <c r="AK148" s="226">
        <f t="shared" si="165"/>
        <v>0</v>
      </c>
      <c r="AL148" s="183"/>
      <c r="AM148" s="187">
        <f t="shared" si="166"/>
        <v>1231770.7142857143</v>
      </c>
    </row>
    <row r="149" spans="1:39">
      <c r="A149" s="30"/>
      <c r="C149" s="33" t="s">
        <v>76</v>
      </c>
      <c r="E149" s="144">
        <v>39171021.640000001</v>
      </c>
      <c r="F149" s="145"/>
      <c r="G149" s="146">
        <v>0</v>
      </c>
      <c r="H149" s="147"/>
      <c r="I149" s="26">
        <v>2.64</v>
      </c>
      <c r="J149" s="26"/>
      <c r="K149" s="148">
        <v>1034641</v>
      </c>
      <c r="M149" s="149">
        <f t="shared" si="100"/>
        <v>0</v>
      </c>
      <c r="O149" s="150">
        <f t="shared" ref="O149:O208" si="167">K149-M149</f>
        <v>1034641</v>
      </c>
      <c r="Q149" s="194">
        <f>'AG-Nucor 1-43 With Formulas'!S148</f>
        <v>2.5422543459604285</v>
      </c>
      <c r="S149" s="177">
        <f t="shared" si="158"/>
        <v>995826.99999999988</v>
      </c>
      <c r="T149" s="183"/>
      <c r="U149" s="149">
        <f t="shared" si="159"/>
        <v>0</v>
      </c>
      <c r="V149" s="183"/>
      <c r="W149" s="188">
        <f t="shared" si="160"/>
        <v>995826.99999999988</v>
      </c>
      <c r="Y149" s="227">
        <f>'Adj 2 Depr-No Int NS or Retire '!S148</f>
        <v>2.4457813038790168</v>
      </c>
      <c r="AA149" s="177">
        <f t="shared" si="161"/>
        <v>958037.52380952379</v>
      </c>
      <c r="AB149" s="225"/>
      <c r="AC149" s="149">
        <f t="shared" si="162"/>
        <v>0</v>
      </c>
      <c r="AD149" s="183"/>
      <c r="AE149" s="188">
        <f t="shared" si="163"/>
        <v>958037.52380952379</v>
      </c>
      <c r="AG149" s="194">
        <f>'Adj 3 Depr-Extend Lifespans'!S148</f>
        <v>2.4457813038790168</v>
      </c>
      <c r="AI149" s="177">
        <f t="shared" si="164"/>
        <v>958037.52380952379</v>
      </c>
      <c r="AJ149" s="225"/>
      <c r="AK149" s="149">
        <f t="shared" si="165"/>
        <v>0</v>
      </c>
      <c r="AL149" s="183"/>
      <c r="AM149" s="188">
        <f t="shared" si="166"/>
        <v>958037.52380952379</v>
      </c>
    </row>
    <row r="150" spans="1:39">
      <c r="A150" s="30"/>
      <c r="E150" s="157"/>
      <c r="F150" s="145"/>
      <c r="G150" s="158"/>
      <c r="H150" s="147"/>
      <c r="I150" s="26"/>
      <c r="J150" s="26"/>
      <c r="K150" s="147"/>
      <c r="M150" s="142"/>
      <c r="O150" s="143"/>
      <c r="Q150" s="194"/>
      <c r="S150" s="192"/>
      <c r="T150" s="183"/>
      <c r="U150" s="142"/>
      <c r="V150" s="183"/>
      <c r="W150" s="187"/>
      <c r="Y150" s="194"/>
      <c r="AA150" s="192"/>
      <c r="AB150" s="183"/>
      <c r="AC150" s="142"/>
      <c r="AD150" s="183"/>
      <c r="AE150" s="187"/>
      <c r="AG150" s="194"/>
      <c r="AI150" s="192"/>
      <c r="AJ150" s="183"/>
      <c r="AK150" s="142"/>
      <c r="AL150" s="183"/>
      <c r="AM150" s="187"/>
    </row>
    <row r="151" spans="1:39" ht="15.75">
      <c r="A151" s="30"/>
      <c r="C151" s="13" t="s">
        <v>81</v>
      </c>
      <c r="E151" s="157">
        <f>SUBTOTAL(9,E132:E150)</f>
        <v>429116977.68000001</v>
      </c>
      <c r="F151" s="145"/>
      <c r="G151" s="158">
        <f t="shared" ref="G151" si="168">SUBTOTAL(9,G132:G150)</f>
        <v>0</v>
      </c>
      <c r="H151" s="147"/>
      <c r="I151" s="26">
        <f>+ROUND(K151/E151*100,2)</f>
        <v>3.37</v>
      </c>
      <c r="J151" s="26"/>
      <c r="K151" s="147">
        <f>SUBTOTAL(9,K132:K150)</f>
        <v>14459615</v>
      </c>
      <c r="M151" s="160">
        <f t="shared" ref="M151" si="169">SUBTOTAL(9,M132:M150)</f>
        <v>0</v>
      </c>
      <c r="O151" s="147">
        <f t="shared" ref="O151" si="170">SUBTOTAL(9,O132:O150)</f>
        <v>14459615</v>
      </c>
      <c r="Q151" s="194">
        <f>+ROUND(S151/E151*100,2)</f>
        <v>3.28</v>
      </c>
      <c r="S151" s="192">
        <f>SUBTOTAL(9,S132:S150)</f>
        <v>14076577</v>
      </c>
      <c r="T151" s="183"/>
      <c r="U151" s="160">
        <f t="shared" ref="U151" si="171">SUBTOTAL(9,U132:U150)</f>
        <v>0</v>
      </c>
      <c r="V151" s="183"/>
      <c r="W151" s="192">
        <f t="shared" ref="W151" si="172">SUBTOTAL(9,W132:W150)</f>
        <v>14076577</v>
      </c>
      <c r="Y151" s="195">
        <f>+ROUND(AA151/E151*100,2)</f>
        <v>3.07</v>
      </c>
      <c r="AA151" s="192">
        <f>SUBTOTAL(9,AA132:AA150)</f>
        <v>13183829.691446627</v>
      </c>
      <c r="AB151" s="183"/>
      <c r="AC151" s="160">
        <f t="shared" ref="AC151" si="173">SUBTOTAL(9,AC132:AC150)</f>
        <v>0</v>
      </c>
      <c r="AD151" s="183"/>
      <c r="AE151" s="192">
        <f t="shared" ref="AE151" si="174">SUBTOTAL(9,AE132:AE150)</f>
        <v>13183829.691446627</v>
      </c>
      <c r="AG151" s="195">
        <f>+ROUND(AI151/E151*100,2)</f>
        <v>2.67</v>
      </c>
      <c r="AI151" s="192">
        <f>SUBTOTAL(9,AI132:AI150)</f>
        <v>11470326.344797654</v>
      </c>
      <c r="AJ151" s="183"/>
      <c r="AK151" s="160">
        <f t="shared" ref="AK151" si="175">SUBTOTAL(9,AK132:AK150)</f>
        <v>0</v>
      </c>
      <c r="AL151" s="183"/>
      <c r="AM151" s="192">
        <f t="shared" ref="AM151" si="176">SUBTOTAL(9,AM132:AM150)</f>
        <v>11470326.344797654</v>
      </c>
    </row>
    <row r="152" spans="1:39">
      <c r="A152" s="30"/>
      <c r="E152" s="157"/>
      <c r="F152" s="145"/>
      <c r="G152" s="158"/>
      <c r="H152" s="147"/>
      <c r="I152" s="26"/>
      <c r="J152" s="26"/>
      <c r="K152" s="147"/>
      <c r="M152" s="142"/>
      <c r="O152" s="143"/>
      <c r="Q152" s="194"/>
      <c r="S152" s="192"/>
      <c r="T152" s="183"/>
      <c r="U152" s="142"/>
      <c r="V152" s="183"/>
      <c r="W152" s="187"/>
      <c r="Y152" s="194"/>
      <c r="AA152" s="192"/>
      <c r="AB152" s="183"/>
      <c r="AC152" s="142"/>
      <c r="AD152" s="183"/>
      <c r="AE152" s="187"/>
      <c r="AG152" s="194"/>
      <c r="AI152" s="192"/>
      <c r="AJ152" s="183"/>
      <c r="AK152" s="142"/>
      <c r="AL152" s="183"/>
      <c r="AM152" s="187"/>
    </row>
    <row r="153" spans="1:39">
      <c r="A153" s="30">
        <v>344</v>
      </c>
      <c r="C153" s="13" t="s">
        <v>82</v>
      </c>
      <c r="G153" s="156"/>
      <c r="I153" s="26"/>
      <c r="J153" s="26"/>
      <c r="M153" s="142"/>
      <c r="O153" s="143"/>
      <c r="Q153" s="194"/>
      <c r="S153" s="191"/>
      <c r="T153" s="183"/>
      <c r="U153" s="142"/>
      <c r="V153" s="183"/>
      <c r="W153" s="187"/>
      <c r="Y153" s="194"/>
      <c r="AA153" s="191"/>
      <c r="AB153" s="183"/>
      <c r="AC153" s="142"/>
      <c r="AD153" s="183"/>
      <c r="AE153" s="187"/>
      <c r="AG153" s="194"/>
      <c r="AI153" s="191"/>
      <c r="AJ153" s="183"/>
      <c r="AK153" s="142"/>
      <c r="AL153" s="183"/>
      <c r="AM153" s="187"/>
    </row>
    <row r="154" spans="1:39">
      <c r="A154" s="30"/>
      <c r="C154" s="33" t="s">
        <v>58</v>
      </c>
      <c r="E154" s="157">
        <v>385287.95</v>
      </c>
      <c r="F154" s="145"/>
      <c r="G154" s="158">
        <v>0</v>
      </c>
      <c r="H154" s="147"/>
      <c r="I154" s="26">
        <v>3.08</v>
      </c>
      <c r="J154" s="26"/>
      <c r="K154" s="147">
        <v>11864</v>
      </c>
      <c r="M154" s="142">
        <f t="shared" ref="M154:M208" si="177">ROUND(G154*(I154/100),0)</f>
        <v>0</v>
      </c>
      <c r="O154" s="143">
        <f t="shared" si="167"/>
        <v>11864</v>
      </c>
      <c r="Q154" s="194">
        <f>'AG-Nucor 1-43 With Formulas'!S153</f>
        <v>3.0364302854527372</v>
      </c>
      <c r="S154" s="192">
        <f t="shared" ref="S154:S173" si="178">E154*(Q154/100)</f>
        <v>11699</v>
      </c>
      <c r="T154" s="183"/>
      <c r="U154" s="142">
        <f t="shared" ref="U154:U173" si="179">G154*(Q154/100)</f>
        <v>0</v>
      </c>
      <c r="V154" s="183"/>
      <c r="W154" s="187">
        <f t="shared" ref="W154:W173" si="180">S154-U154</f>
        <v>11699</v>
      </c>
      <c r="Y154" s="194">
        <f>'Adj 2 Depr-No Int NS or Retire '!S153</f>
        <v>2.6222523238067068</v>
      </c>
      <c r="AA154" s="224">
        <f t="shared" ref="AA154:AA173" si="181">E154*(Y154/100)</f>
        <v>10103.222222222223</v>
      </c>
      <c r="AB154" s="225"/>
      <c r="AC154" s="226">
        <f t="shared" ref="AC154:AC173" si="182">G154*(Y154/100)</f>
        <v>0</v>
      </c>
      <c r="AD154" s="183"/>
      <c r="AE154" s="187">
        <f t="shared" ref="AE154:AE173" si="183">AA154-AC154</f>
        <v>10103.222222222223</v>
      </c>
      <c r="AG154" s="194">
        <f>'Adj 3 Depr-Extend Lifespans'!S153</f>
        <v>2.2125253982119086</v>
      </c>
      <c r="AI154" s="224">
        <f t="shared" ref="AI154:AI173" si="184">E154*(AG154/100)</f>
        <v>8524.59375</v>
      </c>
      <c r="AJ154" s="225"/>
      <c r="AK154" s="226">
        <f t="shared" ref="AK154:AK173" si="185">G154*(AG154/100)</f>
        <v>0</v>
      </c>
      <c r="AL154" s="183"/>
      <c r="AM154" s="187">
        <f t="shared" ref="AM154:AM173" si="186">AI154-AK154</f>
        <v>8524.59375</v>
      </c>
    </row>
    <row r="155" spans="1:39">
      <c r="A155" s="30"/>
      <c r="C155" s="33" t="s">
        <v>59</v>
      </c>
      <c r="E155" s="157">
        <v>4960295.58</v>
      </c>
      <c r="F155" s="145"/>
      <c r="G155" s="158">
        <v>0</v>
      </c>
      <c r="H155" s="147"/>
      <c r="I155" s="26">
        <v>3.57</v>
      </c>
      <c r="J155" s="26"/>
      <c r="K155" s="147">
        <v>177234</v>
      </c>
      <c r="M155" s="142">
        <f t="shared" si="177"/>
        <v>0</v>
      </c>
      <c r="O155" s="143">
        <f t="shared" si="167"/>
        <v>177234</v>
      </c>
      <c r="Q155" s="194">
        <f>'AG-Nucor 1-43 With Formulas'!S154</f>
        <v>3.4054422216508313</v>
      </c>
      <c r="S155" s="192">
        <f t="shared" si="178"/>
        <v>168920</v>
      </c>
      <c r="T155" s="183"/>
      <c r="U155" s="142">
        <f t="shared" si="179"/>
        <v>0</v>
      </c>
      <c r="V155" s="183"/>
      <c r="W155" s="187">
        <f t="shared" si="180"/>
        <v>168920</v>
      </c>
      <c r="Y155" s="238">
        <f>'Adj 2 Depr-No Int NS or Retire '!S154</f>
        <v>3.135973168388051</v>
      </c>
      <c r="AA155" s="224">
        <f t="shared" si="181"/>
        <v>155553.53846153844</v>
      </c>
      <c r="AB155" s="225"/>
      <c r="AC155" s="226">
        <f t="shared" si="182"/>
        <v>0</v>
      </c>
      <c r="AD155" s="183"/>
      <c r="AE155" s="187">
        <f t="shared" si="183"/>
        <v>155553.53846153844</v>
      </c>
      <c r="AG155" s="194">
        <f>'Adj 3 Depr-Extend Lifespans'!S154</f>
        <v>1.9413167232878412</v>
      </c>
      <c r="AI155" s="224">
        <f t="shared" si="184"/>
        <v>96295.047619047618</v>
      </c>
      <c r="AJ155" s="225"/>
      <c r="AK155" s="226">
        <f t="shared" si="185"/>
        <v>0</v>
      </c>
      <c r="AL155" s="183"/>
      <c r="AM155" s="187">
        <f t="shared" si="186"/>
        <v>96295.047619047618</v>
      </c>
    </row>
    <row r="156" spans="1:39">
      <c r="A156" s="30"/>
      <c r="C156" s="33" t="s">
        <v>60</v>
      </c>
      <c r="E156" s="157">
        <v>5083402.2400000002</v>
      </c>
      <c r="F156" s="145"/>
      <c r="G156" s="158">
        <v>0</v>
      </c>
      <c r="H156" s="147"/>
      <c r="I156" s="26">
        <v>3.58</v>
      </c>
      <c r="J156" s="26"/>
      <c r="K156" s="147">
        <v>181954</v>
      </c>
      <c r="M156" s="142">
        <f t="shared" si="177"/>
        <v>0</v>
      </c>
      <c r="O156" s="143">
        <f t="shared" si="167"/>
        <v>181954</v>
      </c>
      <c r="Q156" s="194">
        <f>'AG-Nucor 1-43 With Formulas'!S155</f>
        <v>3.4120078456709289</v>
      </c>
      <c r="S156" s="192">
        <f t="shared" si="178"/>
        <v>173446.08325581174</v>
      </c>
      <c r="T156" s="183"/>
      <c r="U156" s="142">
        <f t="shared" si="179"/>
        <v>0</v>
      </c>
      <c r="V156" s="183"/>
      <c r="W156" s="187">
        <f t="shared" si="180"/>
        <v>173446.08325581174</v>
      </c>
      <c r="Y156" s="238">
        <f>'Adj 2 Depr-No Int NS or Retire '!S155</f>
        <v>3.1524783261328904</v>
      </c>
      <c r="AA156" s="224">
        <f t="shared" si="181"/>
        <v>160253.15384615387</v>
      </c>
      <c r="AB156" s="225"/>
      <c r="AC156" s="226">
        <f t="shared" si="182"/>
        <v>0</v>
      </c>
      <c r="AD156" s="183"/>
      <c r="AE156" s="187">
        <f t="shared" si="183"/>
        <v>160253.15384615387</v>
      </c>
      <c r="AG156" s="194">
        <f>'Adj 3 Depr-Extend Lifespans'!S155</f>
        <v>1.9515342018917889</v>
      </c>
      <c r="AI156" s="224">
        <f t="shared" si="184"/>
        <v>99204.333333333328</v>
      </c>
      <c r="AJ156" s="225"/>
      <c r="AK156" s="226">
        <f t="shared" si="185"/>
        <v>0</v>
      </c>
      <c r="AL156" s="183"/>
      <c r="AM156" s="187">
        <f t="shared" si="186"/>
        <v>99204.333333333328</v>
      </c>
    </row>
    <row r="157" spans="1:39">
      <c r="A157" s="30"/>
      <c r="C157" s="33" t="s">
        <v>61</v>
      </c>
      <c r="E157" s="157">
        <v>2283154.23</v>
      </c>
      <c r="F157" s="145"/>
      <c r="G157" s="158">
        <v>0</v>
      </c>
      <c r="H157" s="147"/>
      <c r="I157" s="26">
        <v>4.43</v>
      </c>
      <c r="J157" s="26"/>
      <c r="K157" s="147">
        <v>101252</v>
      </c>
      <c r="M157" s="142">
        <f t="shared" si="177"/>
        <v>0</v>
      </c>
      <c r="O157" s="143">
        <f t="shared" si="167"/>
        <v>101252</v>
      </c>
      <c r="Q157" s="194">
        <f>'AG-Nucor 1-43 With Formulas'!S156</f>
        <v>4.2722475213599562</v>
      </c>
      <c r="S157" s="192">
        <f t="shared" si="178"/>
        <v>97542</v>
      </c>
      <c r="T157" s="183"/>
      <c r="U157" s="142">
        <f t="shared" si="179"/>
        <v>0</v>
      </c>
      <c r="V157" s="183"/>
      <c r="W157" s="187">
        <f t="shared" si="180"/>
        <v>97542</v>
      </c>
      <c r="Y157" s="238">
        <f>'Adj 2 Depr-No Int NS or Retire '!S156</f>
        <v>4.0729820314618665</v>
      </c>
      <c r="AA157" s="224">
        <f t="shared" si="181"/>
        <v>92992.461538461532</v>
      </c>
      <c r="AB157" s="225"/>
      <c r="AC157" s="226">
        <f t="shared" si="182"/>
        <v>0</v>
      </c>
      <c r="AD157" s="183"/>
      <c r="AE157" s="187">
        <f t="shared" si="183"/>
        <v>92992.461538461532</v>
      </c>
      <c r="AG157" s="194">
        <f>'Adj 3 Depr-Extend Lifespans'!S156</f>
        <v>2.5213698290002031</v>
      </c>
      <c r="AI157" s="224">
        <f t="shared" si="184"/>
        <v>57566.761904761908</v>
      </c>
      <c r="AJ157" s="225"/>
      <c r="AK157" s="226">
        <f t="shared" si="185"/>
        <v>0</v>
      </c>
      <c r="AL157" s="183"/>
      <c r="AM157" s="187">
        <f t="shared" si="186"/>
        <v>57566.761904761908</v>
      </c>
    </row>
    <row r="158" spans="1:39">
      <c r="A158" s="30"/>
      <c r="C158" s="33" t="s">
        <v>62</v>
      </c>
      <c r="E158" s="157">
        <v>7839449.8600000003</v>
      </c>
      <c r="F158" s="145"/>
      <c r="G158" s="158">
        <v>0</v>
      </c>
      <c r="H158" s="147"/>
      <c r="I158" s="26">
        <v>3.29</v>
      </c>
      <c r="J158" s="26"/>
      <c r="K158" s="147">
        <v>257680</v>
      </c>
      <c r="M158" s="142">
        <f t="shared" si="177"/>
        <v>0</v>
      </c>
      <c r="O158" s="143">
        <f t="shared" si="167"/>
        <v>257680</v>
      </c>
      <c r="Q158" s="194">
        <f>'AG-Nucor 1-43 With Formulas'!S157</f>
        <v>3.2243971772784574</v>
      </c>
      <c r="S158" s="192">
        <f t="shared" si="178"/>
        <v>252775</v>
      </c>
      <c r="T158" s="183"/>
      <c r="U158" s="142">
        <f t="shared" si="179"/>
        <v>0</v>
      </c>
      <c r="V158" s="183"/>
      <c r="W158" s="187">
        <f t="shared" si="180"/>
        <v>252775</v>
      </c>
      <c r="Y158" s="238">
        <f>'Adj 2 Depr-No Int NS or Retire '!S157</f>
        <v>2.8144747051591366</v>
      </c>
      <c r="AA158" s="224">
        <f t="shared" si="181"/>
        <v>220639.33333333334</v>
      </c>
      <c r="AB158" s="225"/>
      <c r="AC158" s="226">
        <f t="shared" si="182"/>
        <v>0</v>
      </c>
      <c r="AD158" s="183"/>
      <c r="AE158" s="187">
        <f t="shared" si="183"/>
        <v>220639.33333333334</v>
      </c>
      <c r="AG158" s="194">
        <f>'Adj 3 Depr-Extend Lifespans'!S157</f>
        <v>2.2026323779506285</v>
      </c>
      <c r="AI158" s="224">
        <f t="shared" si="184"/>
        <v>172674.26086956525</v>
      </c>
      <c r="AJ158" s="225"/>
      <c r="AK158" s="226">
        <f t="shared" si="185"/>
        <v>0</v>
      </c>
      <c r="AL158" s="183"/>
      <c r="AM158" s="187">
        <f t="shared" si="186"/>
        <v>172674.26086956525</v>
      </c>
    </row>
    <row r="159" spans="1:39">
      <c r="A159" s="30"/>
      <c r="C159" s="33" t="s">
        <v>63</v>
      </c>
      <c r="E159" s="157">
        <v>7775759.6900000004</v>
      </c>
      <c r="F159" s="145"/>
      <c r="G159" s="158">
        <v>0</v>
      </c>
      <c r="H159" s="147"/>
      <c r="I159" s="26">
        <v>3.29</v>
      </c>
      <c r="J159" s="26"/>
      <c r="K159" s="147">
        <v>255573</v>
      </c>
      <c r="M159" s="142">
        <f t="shared" si="177"/>
        <v>0</v>
      </c>
      <c r="O159" s="143">
        <f t="shared" si="167"/>
        <v>255573</v>
      </c>
      <c r="Q159" s="194">
        <f>'AG-Nucor 1-43 With Formulas'!S158</f>
        <v>3.2241994351036842</v>
      </c>
      <c r="S159" s="192">
        <f t="shared" si="178"/>
        <v>250706</v>
      </c>
      <c r="T159" s="183"/>
      <c r="U159" s="142">
        <f t="shared" si="179"/>
        <v>0</v>
      </c>
      <c r="V159" s="183"/>
      <c r="W159" s="187">
        <f t="shared" si="180"/>
        <v>250706</v>
      </c>
      <c r="Y159" s="238">
        <f>'Adj 2 Depr-No Int NS or Retire '!S158</f>
        <v>2.8121782428981188</v>
      </c>
      <c r="AA159" s="224">
        <f t="shared" si="181"/>
        <v>218668.22222222222</v>
      </c>
      <c r="AB159" s="225"/>
      <c r="AC159" s="226">
        <f t="shared" si="182"/>
        <v>0</v>
      </c>
      <c r="AD159" s="183"/>
      <c r="AE159" s="187">
        <f t="shared" si="183"/>
        <v>218668.22222222222</v>
      </c>
      <c r="AG159" s="194">
        <f>'Adj 3 Depr-Extend Lifespans'!S158</f>
        <v>2.2008351466159195</v>
      </c>
      <c r="AI159" s="224">
        <f t="shared" si="184"/>
        <v>171131.65217391305</v>
      </c>
      <c r="AJ159" s="225"/>
      <c r="AK159" s="226">
        <f t="shared" si="185"/>
        <v>0</v>
      </c>
      <c r="AL159" s="183"/>
      <c r="AM159" s="187">
        <f t="shared" si="186"/>
        <v>171131.65217391305</v>
      </c>
    </row>
    <row r="160" spans="1:39">
      <c r="A160" s="30"/>
      <c r="C160" s="33" t="s">
        <v>64</v>
      </c>
      <c r="E160" s="157">
        <v>4831725.68</v>
      </c>
      <c r="F160" s="145"/>
      <c r="G160" s="158">
        <v>0</v>
      </c>
      <c r="H160" s="147"/>
      <c r="I160" s="26">
        <v>3.14</v>
      </c>
      <c r="J160" s="26"/>
      <c r="K160" s="147">
        <v>151529</v>
      </c>
      <c r="M160" s="142">
        <f t="shared" si="177"/>
        <v>0</v>
      </c>
      <c r="O160" s="143">
        <f t="shared" si="167"/>
        <v>151529</v>
      </c>
      <c r="Q160" s="194">
        <f>'AG-Nucor 1-43 With Formulas'!S159</f>
        <v>3.0845708111475405</v>
      </c>
      <c r="S160" s="192">
        <f t="shared" si="178"/>
        <v>149038</v>
      </c>
      <c r="T160" s="183"/>
      <c r="U160" s="142">
        <f t="shared" si="179"/>
        <v>0</v>
      </c>
      <c r="V160" s="183"/>
      <c r="W160" s="187">
        <f t="shared" si="180"/>
        <v>149038</v>
      </c>
      <c r="Y160" s="238">
        <f>'Adj 2 Depr-No Int NS or Retire '!S159</f>
        <v>2.6745761323557145</v>
      </c>
      <c r="AA160" s="224">
        <f t="shared" si="181"/>
        <v>129228.18181818184</v>
      </c>
      <c r="AB160" s="225"/>
      <c r="AC160" s="226">
        <f t="shared" si="182"/>
        <v>0</v>
      </c>
      <c r="AD160" s="183"/>
      <c r="AE160" s="187">
        <f t="shared" si="183"/>
        <v>129228.18181818184</v>
      </c>
      <c r="AG160" s="194">
        <f>'Adj 3 Depr-Extend Lifespans'!S159</f>
        <v>2.179284255993545</v>
      </c>
      <c r="AI160" s="224">
        <f t="shared" si="184"/>
        <v>105297.03703703705</v>
      </c>
      <c r="AJ160" s="225"/>
      <c r="AK160" s="226">
        <f t="shared" si="185"/>
        <v>0</v>
      </c>
      <c r="AL160" s="183"/>
      <c r="AM160" s="187">
        <f t="shared" si="186"/>
        <v>105297.03703703705</v>
      </c>
    </row>
    <row r="161" spans="1:39">
      <c r="A161" s="30"/>
      <c r="C161" s="33" t="s">
        <v>65</v>
      </c>
      <c r="E161" s="157">
        <v>4838938.32</v>
      </c>
      <c r="F161" s="145"/>
      <c r="G161" s="158">
        <v>0</v>
      </c>
      <c r="H161" s="147"/>
      <c r="I161" s="26">
        <v>3.13</v>
      </c>
      <c r="J161" s="26"/>
      <c r="K161" s="147">
        <v>151531</v>
      </c>
      <c r="M161" s="142">
        <f t="shared" si="177"/>
        <v>0</v>
      </c>
      <c r="O161" s="143">
        <f t="shared" si="167"/>
        <v>151531</v>
      </c>
      <c r="Q161" s="194">
        <f>'AG-Nucor 1-43 With Formulas'!S160</f>
        <v>3.0799524636222269</v>
      </c>
      <c r="S161" s="192">
        <f t="shared" si="178"/>
        <v>149037</v>
      </c>
      <c r="T161" s="183"/>
      <c r="U161" s="142">
        <f t="shared" si="179"/>
        <v>0</v>
      </c>
      <c r="V161" s="183"/>
      <c r="W161" s="187">
        <f t="shared" si="180"/>
        <v>149037</v>
      </c>
      <c r="Y161" s="238">
        <f>'Adj 2 Depr-No Int NS or Retire '!S160</f>
        <v>2.670497508485028</v>
      </c>
      <c r="AA161" s="224">
        <f t="shared" si="181"/>
        <v>129223.72727272726</v>
      </c>
      <c r="AB161" s="225"/>
      <c r="AC161" s="226">
        <f t="shared" si="182"/>
        <v>0</v>
      </c>
      <c r="AD161" s="183"/>
      <c r="AE161" s="187">
        <f t="shared" si="183"/>
        <v>129223.72727272726</v>
      </c>
      <c r="AG161" s="194">
        <f>'Adj 3 Depr-Extend Lifespans'!S160</f>
        <v>2.1759609328396521</v>
      </c>
      <c r="AI161" s="224">
        <f t="shared" si="184"/>
        <v>105293.4074074074</v>
      </c>
      <c r="AJ161" s="225"/>
      <c r="AK161" s="226">
        <f t="shared" si="185"/>
        <v>0</v>
      </c>
      <c r="AL161" s="183"/>
      <c r="AM161" s="187">
        <f t="shared" si="186"/>
        <v>105293.4074074074</v>
      </c>
    </row>
    <row r="162" spans="1:39">
      <c r="A162" s="30"/>
      <c r="C162" s="33" t="s">
        <v>66</v>
      </c>
      <c r="E162" s="157">
        <v>4442193.82</v>
      </c>
      <c r="F162" s="145"/>
      <c r="G162" s="158">
        <v>0</v>
      </c>
      <c r="H162" s="147"/>
      <c r="I162" s="26">
        <v>3.27</v>
      </c>
      <c r="J162" s="26"/>
      <c r="K162" s="147">
        <v>145333</v>
      </c>
      <c r="M162" s="142">
        <f t="shared" si="177"/>
        <v>0</v>
      </c>
      <c r="O162" s="143">
        <f t="shared" si="167"/>
        <v>145333</v>
      </c>
      <c r="Q162" s="194">
        <f>'AG-Nucor 1-43 With Formulas'!S161</f>
        <v>3.1878167801332</v>
      </c>
      <c r="S162" s="192">
        <f t="shared" si="178"/>
        <v>141609</v>
      </c>
      <c r="T162" s="183"/>
      <c r="U162" s="142">
        <f t="shared" si="179"/>
        <v>0</v>
      </c>
      <c r="V162" s="183"/>
      <c r="W162" s="187">
        <f t="shared" si="180"/>
        <v>141609</v>
      </c>
      <c r="Y162" s="238">
        <f>'Adj 2 Depr-No Int NS or Retire '!S161</f>
        <v>2.8170923821532781</v>
      </c>
      <c r="AA162" s="224">
        <f t="shared" si="181"/>
        <v>125140.70370370371</v>
      </c>
      <c r="AB162" s="225"/>
      <c r="AC162" s="226">
        <f t="shared" si="182"/>
        <v>0</v>
      </c>
      <c r="AD162" s="183"/>
      <c r="AE162" s="187">
        <f t="shared" si="183"/>
        <v>125140.70370370371</v>
      </c>
      <c r="AG162" s="194">
        <f>'Adj 3 Depr-Extend Lifespans'!S161</f>
        <v>2.3769216974418281</v>
      </c>
      <c r="AI162" s="224">
        <f t="shared" si="184"/>
        <v>105587.46875</v>
      </c>
      <c r="AJ162" s="225"/>
      <c r="AK162" s="226">
        <f t="shared" si="185"/>
        <v>0</v>
      </c>
      <c r="AL162" s="183"/>
      <c r="AM162" s="187">
        <f t="shared" si="186"/>
        <v>105587.46875</v>
      </c>
    </row>
    <row r="163" spans="1:39">
      <c r="A163" s="30"/>
      <c r="C163" s="33" t="s">
        <v>67</v>
      </c>
      <c r="E163" s="157">
        <v>4442193.82</v>
      </c>
      <c r="F163" s="145"/>
      <c r="G163" s="158">
        <v>0</v>
      </c>
      <c r="H163" s="147"/>
      <c r="I163" s="26">
        <v>2.91</v>
      </c>
      <c r="J163" s="26"/>
      <c r="K163" s="147">
        <v>129177</v>
      </c>
      <c r="M163" s="142">
        <f t="shared" si="177"/>
        <v>0</v>
      </c>
      <c r="O163" s="143">
        <f t="shared" si="167"/>
        <v>129177</v>
      </c>
      <c r="Q163" s="194">
        <f>'AG-Nucor 1-43 With Formulas'!S162</f>
        <v>2.8660388348385935</v>
      </c>
      <c r="S163" s="192">
        <f t="shared" si="178"/>
        <v>127315.00000000001</v>
      </c>
      <c r="T163" s="183"/>
      <c r="U163" s="142">
        <f t="shared" si="179"/>
        <v>0</v>
      </c>
      <c r="V163" s="183"/>
      <c r="W163" s="187">
        <f t="shared" si="180"/>
        <v>127315.00000000001</v>
      </c>
      <c r="Y163" s="238">
        <f>'Adj 2 Depr-No Int NS or Retire '!S162</f>
        <v>2.4956987981622505</v>
      </c>
      <c r="AA163" s="224">
        <f t="shared" si="181"/>
        <v>110863.77777777778</v>
      </c>
      <c r="AB163" s="225"/>
      <c r="AC163" s="226">
        <f t="shared" si="182"/>
        <v>0</v>
      </c>
      <c r="AD163" s="183"/>
      <c r="AE163" s="187">
        <f t="shared" si="183"/>
        <v>110863.77777777778</v>
      </c>
      <c r="AG163" s="194">
        <f>'Adj 3 Depr-Extend Lifespans'!S162</f>
        <v>2.1057458609493991</v>
      </c>
      <c r="AI163" s="224">
        <f t="shared" si="184"/>
        <v>93541.3125</v>
      </c>
      <c r="AJ163" s="225"/>
      <c r="AK163" s="226">
        <f t="shared" si="185"/>
        <v>0</v>
      </c>
      <c r="AL163" s="183"/>
      <c r="AM163" s="187">
        <f t="shared" si="186"/>
        <v>93541.3125</v>
      </c>
    </row>
    <row r="164" spans="1:39">
      <c r="A164" s="30"/>
      <c r="C164" s="33" t="s">
        <v>68</v>
      </c>
      <c r="E164" s="157">
        <v>1098205.33</v>
      </c>
      <c r="F164" s="145"/>
      <c r="G164" s="158">
        <v>0</v>
      </c>
      <c r="H164" s="147"/>
      <c r="I164" s="26">
        <v>4.6100000000000003</v>
      </c>
      <c r="J164" s="26"/>
      <c r="K164" s="147">
        <v>50606</v>
      </c>
      <c r="M164" s="142">
        <f t="shared" si="177"/>
        <v>0</v>
      </c>
      <c r="O164" s="143">
        <f t="shared" si="167"/>
        <v>50606</v>
      </c>
      <c r="Q164" s="194">
        <f>'AG-Nucor 1-43 With Formulas'!S163</f>
        <v>4.5335784338253031</v>
      </c>
      <c r="S164" s="192">
        <f t="shared" si="178"/>
        <v>49788.000000000007</v>
      </c>
      <c r="T164" s="183"/>
      <c r="U164" s="142">
        <f t="shared" si="179"/>
        <v>0</v>
      </c>
      <c r="V164" s="183"/>
      <c r="W164" s="187">
        <f t="shared" si="180"/>
        <v>49788.000000000007</v>
      </c>
      <c r="Y164" s="238">
        <f>'Adj 2 Depr-No Int NS or Retire '!S163</f>
        <v>4.1958926971679613</v>
      </c>
      <c r="AA164" s="224">
        <f t="shared" si="181"/>
        <v>46079.517241379312</v>
      </c>
      <c r="AB164" s="225"/>
      <c r="AC164" s="226">
        <f t="shared" si="182"/>
        <v>0</v>
      </c>
      <c r="AD164" s="183"/>
      <c r="AE164" s="187">
        <f t="shared" si="183"/>
        <v>46079.517241379312</v>
      </c>
      <c r="AG164" s="194">
        <f>'Adj 3 Depr-Extend Lifespans'!S163</f>
        <v>4.1958926971679613</v>
      </c>
      <c r="AI164" s="224">
        <f t="shared" si="184"/>
        <v>46079.517241379312</v>
      </c>
      <c r="AJ164" s="225"/>
      <c r="AK164" s="226">
        <f t="shared" si="185"/>
        <v>0</v>
      </c>
      <c r="AL164" s="183"/>
      <c r="AM164" s="187">
        <f t="shared" si="186"/>
        <v>46079.517241379312</v>
      </c>
    </row>
    <row r="165" spans="1:39">
      <c r="A165" s="30"/>
      <c r="C165" s="33" t="s">
        <v>70</v>
      </c>
      <c r="E165" s="157">
        <v>4525028.84</v>
      </c>
      <c r="F165" s="145"/>
      <c r="G165" s="158">
        <v>0</v>
      </c>
      <c r="H165" s="147"/>
      <c r="I165" s="26">
        <v>5.12</v>
      </c>
      <c r="J165" s="26"/>
      <c r="K165" s="147">
        <v>231537</v>
      </c>
      <c r="M165" s="142">
        <f t="shared" si="177"/>
        <v>0</v>
      </c>
      <c r="O165" s="143">
        <f t="shared" si="167"/>
        <v>231537</v>
      </c>
      <c r="Q165" s="194">
        <f>'AG-Nucor 1-43 With Formulas'!S164</f>
        <v>5.0445203350350365</v>
      </c>
      <c r="S165" s="192">
        <f t="shared" si="178"/>
        <v>228266.00000000003</v>
      </c>
      <c r="T165" s="183"/>
      <c r="U165" s="142">
        <f t="shared" si="179"/>
        <v>0</v>
      </c>
      <c r="V165" s="183"/>
      <c r="W165" s="187">
        <f t="shared" si="180"/>
        <v>228266.00000000003</v>
      </c>
      <c r="Y165" s="238">
        <f>'Adj 2 Depr-No Int NS or Retire '!S164</f>
        <v>4.8219345942220064</v>
      </c>
      <c r="AA165" s="224">
        <f t="shared" si="181"/>
        <v>218193.93103448275</v>
      </c>
      <c r="AB165" s="225"/>
      <c r="AC165" s="226">
        <f t="shared" si="182"/>
        <v>0</v>
      </c>
      <c r="AD165" s="183"/>
      <c r="AE165" s="187">
        <f t="shared" si="183"/>
        <v>218193.93103448275</v>
      </c>
      <c r="AG165" s="194">
        <f>'Adj 3 Depr-Extend Lifespans'!S164</f>
        <v>4.8219345942220064</v>
      </c>
      <c r="AI165" s="224">
        <f t="shared" si="184"/>
        <v>218193.93103448275</v>
      </c>
      <c r="AJ165" s="225"/>
      <c r="AK165" s="226">
        <f t="shared" si="185"/>
        <v>0</v>
      </c>
      <c r="AL165" s="183"/>
      <c r="AM165" s="187">
        <f t="shared" si="186"/>
        <v>218193.93103448275</v>
      </c>
    </row>
    <row r="166" spans="1:39">
      <c r="A166" s="30"/>
      <c r="C166" s="33" t="s">
        <v>71</v>
      </c>
      <c r="E166" s="157">
        <v>3171144.21</v>
      </c>
      <c r="F166" s="145"/>
      <c r="G166" s="158">
        <v>0</v>
      </c>
      <c r="H166" s="147"/>
      <c r="I166" s="26">
        <v>4.1100000000000003</v>
      </c>
      <c r="J166" s="26"/>
      <c r="K166" s="147">
        <v>130246</v>
      </c>
      <c r="M166" s="142">
        <f t="shared" si="177"/>
        <v>0</v>
      </c>
      <c r="O166" s="143">
        <f t="shared" si="167"/>
        <v>130246</v>
      </c>
      <c r="Q166" s="194">
        <f>'AG-Nucor 1-43 With Formulas'!S165</f>
        <v>4.1072241240016014</v>
      </c>
      <c r="S166" s="192">
        <f t="shared" si="178"/>
        <v>130246.00000000001</v>
      </c>
      <c r="T166" s="183"/>
      <c r="U166" s="142">
        <f t="shared" si="179"/>
        <v>0</v>
      </c>
      <c r="V166" s="183"/>
      <c r="W166" s="187">
        <f t="shared" si="180"/>
        <v>130246.00000000001</v>
      </c>
      <c r="Y166" s="238">
        <f>'Adj 2 Depr-No Int NS or Retire '!S165</f>
        <v>3.6342447780746889</v>
      </c>
      <c r="AA166" s="224">
        <f t="shared" si="181"/>
        <v>115247.14285714286</v>
      </c>
      <c r="AB166" s="225"/>
      <c r="AC166" s="226">
        <f t="shared" si="182"/>
        <v>0</v>
      </c>
      <c r="AD166" s="183"/>
      <c r="AE166" s="187">
        <f t="shared" si="183"/>
        <v>115247.14285714286</v>
      </c>
      <c r="AG166" s="194">
        <f>'Adj 3 Depr-Extend Lifespans'!S165</f>
        <v>3.6342447780746889</v>
      </c>
      <c r="AI166" s="224">
        <f t="shared" si="184"/>
        <v>115247.14285714286</v>
      </c>
      <c r="AJ166" s="225"/>
      <c r="AK166" s="226">
        <f t="shared" si="185"/>
        <v>0</v>
      </c>
      <c r="AL166" s="183"/>
      <c r="AM166" s="187">
        <f t="shared" si="186"/>
        <v>115247.14285714286</v>
      </c>
    </row>
    <row r="167" spans="1:39">
      <c r="A167" s="30"/>
      <c r="C167" s="33" t="s">
        <v>72</v>
      </c>
      <c r="E167" s="157">
        <v>1684823.61</v>
      </c>
      <c r="F167" s="145"/>
      <c r="G167" s="158">
        <v>0</v>
      </c>
      <c r="H167" s="147"/>
      <c r="I167" s="26">
        <v>4.0599999999999996</v>
      </c>
      <c r="J167" s="26"/>
      <c r="K167" s="147">
        <v>68466</v>
      </c>
      <c r="M167" s="142">
        <f t="shared" si="177"/>
        <v>0</v>
      </c>
      <c r="O167" s="143">
        <f t="shared" si="167"/>
        <v>68466</v>
      </c>
      <c r="Q167" s="194">
        <f>'AG-Nucor 1-43 With Formulas'!S166</f>
        <v>4.0050483385616849</v>
      </c>
      <c r="S167" s="192">
        <f t="shared" si="178"/>
        <v>67478</v>
      </c>
      <c r="T167" s="183"/>
      <c r="U167" s="142">
        <f t="shared" si="179"/>
        <v>0</v>
      </c>
      <c r="V167" s="183"/>
      <c r="W167" s="187">
        <f t="shared" si="180"/>
        <v>67478</v>
      </c>
      <c r="Y167" s="238">
        <f>'Adj 2 Depr-No Int NS or Retire '!S166</f>
        <v>3.691149090162106</v>
      </c>
      <c r="AA167" s="224">
        <f t="shared" si="181"/>
        <v>62189.351351351354</v>
      </c>
      <c r="AB167" s="225"/>
      <c r="AC167" s="226">
        <f t="shared" si="182"/>
        <v>0</v>
      </c>
      <c r="AD167" s="183"/>
      <c r="AE167" s="187">
        <f t="shared" si="183"/>
        <v>62189.351351351354</v>
      </c>
      <c r="AG167" s="194">
        <f>'Adj 3 Depr-Extend Lifespans'!S166</f>
        <v>3.691149090162106</v>
      </c>
      <c r="AI167" s="224">
        <f t="shared" si="184"/>
        <v>62189.351351351354</v>
      </c>
      <c r="AJ167" s="225"/>
      <c r="AK167" s="226">
        <f t="shared" si="185"/>
        <v>0</v>
      </c>
      <c r="AL167" s="183"/>
      <c r="AM167" s="187">
        <f t="shared" si="186"/>
        <v>62189.351351351354</v>
      </c>
    </row>
    <row r="168" spans="1:39">
      <c r="A168" s="30"/>
      <c r="C168" s="33" t="s">
        <v>83</v>
      </c>
      <c r="E168" s="157">
        <v>2993753.87</v>
      </c>
      <c r="F168" s="145"/>
      <c r="G168" s="158">
        <v>0</v>
      </c>
      <c r="H168" s="147"/>
      <c r="I168" s="26">
        <v>3.87</v>
      </c>
      <c r="J168" s="26"/>
      <c r="K168" s="147">
        <v>115787</v>
      </c>
      <c r="M168" s="142">
        <f t="shared" si="177"/>
        <v>0</v>
      </c>
      <c r="O168" s="143">
        <f t="shared" si="167"/>
        <v>115787</v>
      </c>
      <c r="Q168" s="194">
        <f>'AG-Nucor 1-43 With Formulas'!S167</f>
        <v>3.8202539342354154</v>
      </c>
      <c r="S168" s="192">
        <f t="shared" si="178"/>
        <v>114369</v>
      </c>
      <c r="T168" s="183"/>
      <c r="U168" s="142">
        <f t="shared" si="179"/>
        <v>0</v>
      </c>
      <c r="V168" s="183"/>
      <c r="W168" s="187">
        <f t="shared" si="180"/>
        <v>114369</v>
      </c>
      <c r="Y168" s="238">
        <f>'Adj 2 Depr-No Int NS or Retire '!S167</f>
        <v>3.586873952927125</v>
      </c>
      <c r="AA168" s="224">
        <f t="shared" si="181"/>
        <v>107382.17777777779</v>
      </c>
      <c r="AB168" s="225"/>
      <c r="AC168" s="226">
        <f t="shared" si="182"/>
        <v>0</v>
      </c>
      <c r="AD168" s="183"/>
      <c r="AE168" s="187">
        <f t="shared" si="183"/>
        <v>107382.17777777779</v>
      </c>
      <c r="AG168" s="194">
        <f>'Adj 3 Depr-Extend Lifespans'!S167</f>
        <v>3.586873952927125</v>
      </c>
      <c r="AI168" s="224">
        <f t="shared" si="184"/>
        <v>107382.17777777779</v>
      </c>
      <c r="AJ168" s="225"/>
      <c r="AK168" s="226">
        <f t="shared" si="185"/>
        <v>0</v>
      </c>
      <c r="AL168" s="183"/>
      <c r="AM168" s="187">
        <f t="shared" si="186"/>
        <v>107382.17777777779</v>
      </c>
    </row>
    <row r="169" spans="1:39">
      <c r="A169" s="30"/>
      <c r="C169" s="33" t="s">
        <v>73</v>
      </c>
      <c r="E169" s="157">
        <v>17086.14</v>
      </c>
      <c r="F169" s="145"/>
      <c r="G169" s="158">
        <v>0</v>
      </c>
      <c r="H169" s="147"/>
      <c r="I169" s="26">
        <v>3.75</v>
      </c>
      <c r="J169" s="26"/>
      <c r="K169" s="147">
        <v>640</v>
      </c>
      <c r="M169" s="142">
        <f t="shared" si="177"/>
        <v>0</v>
      </c>
      <c r="O169" s="143">
        <f t="shared" si="167"/>
        <v>640</v>
      </c>
      <c r="Q169" s="194">
        <f>'AG-Nucor 1-43 With Formulas'!S168</f>
        <v>3.6462302193473772</v>
      </c>
      <c r="S169" s="192">
        <f t="shared" si="178"/>
        <v>623</v>
      </c>
      <c r="T169" s="183"/>
      <c r="U169" s="142">
        <f t="shared" si="179"/>
        <v>0</v>
      </c>
      <c r="V169" s="183"/>
      <c r="W169" s="187">
        <f t="shared" si="180"/>
        <v>623</v>
      </c>
      <c r="Y169" s="238">
        <f>'Adj 2 Depr-No Int NS or Retire '!S168</f>
        <v>3.4720428091897597</v>
      </c>
      <c r="AA169" s="224">
        <f t="shared" si="181"/>
        <v>593.23809523809518</v>
      </c>
      <c r="AB169" s="225"/>
      <c r="AC169" s="226">
        <f t="shared" si="182"/>
        <v>0</v>
      </c>
      <c r="AD169" s="183"/>
      <c r="AE169" s="187">
        <f t="shared" si="183"/>
        <v>593.23809523809518</v>
      </c>
      <c r="AG169" s="194">
        <f>'Adj 3 Depr-Extend Lifespans'!S168</f>
        <v>3.4720428091897597</v>
      </c>
      <c r="AI169" s="224">
        <f t="shared" si="184"/>
        <v>593.23809523809518</v>
      </c>
      <c r="AJ169" s="225"/>
      <c r="AK169" s="226">
        <f t="shared" si="185"/>
        <v>0</v>
      </c>
      <c r="AL169" s="183"/>
      <c r="AM169" s="187">
        <f t="shared" si="186"/>
        <v>593.23809523809518</v>
      </c>
    </row>
    <row r="170" spans="1:39">
      <c r="A170" s="30"/>
      <c r="C170" s="33" t="s">
        <v>74</v>
      </c>
      <c r="E170" s="157">
        <v>12907984.9</v>
      </c>
      <c r="F170" s="145"/>
      <c r="G170" s="158">
        <v>0</v>
      </c>
      <c r="H170" s="147"/>
      <c r="I170" s="26">
        <v>3.81</v>
      </c>
      <c r="J170" s="26"/>
      <c r="K170" s="147">
        <v>492333</v>
      </c>
      <c r="M170" s="142">
        <f t="shared" si="177"/>
        <v>0</v>
      </c>
      <c r="O170" s="143">
        <f t="shared" si="167"/>
        <v>492333</v>
      </c>
      <c r="Q170" s="194">
        <f>'AG-Nucor 1-43 With Formulas'!S169</f>
        <v>3.7148246121670003</v>
      </c>
      <c r="S170" s="192">
        <f t="shared" si="178"/>
        <v>479509</v>
      </c>
      <c r="T170" s="183"/>
      <c r="U170" s="142">
        <f t="shared" si="179"/>
        <v>0</v>
      </c>
      <c r="V170" s="183"/>
      <c r="W170" s="187">
        <f t="shared" si="180"/>
        <v>479509</v>
      </c>
      <c r="Y170" s="238">
        <f>'Adj 2 Depr-No Int NS or Retire '!S169</f>
        <v>3.5724605369399418</v>
      </c>
      <c r="AA170" s="224">
        <f t="shared" si="181"/>
        <v>461132.66666666663</v>
      </c>
      <c r="AB170" s="225"/>
      <c r="AC170" s="226">
        <f t="shared" si="182"/>
        <v>0</v>
      </c>
      <c r="AD170" s="183"/>
      <c r="AE170" s="187">
        <f t="shared" si="183"/>
        <v>461132.66666666663</v>
      </c>
      <c r="AG170" s="194">
        <f>'Adj 3 Depr-Extend Lifespans'!S169</f>
        <v>3.5724605369399418</v>
      </c>
      <c r="AI170" s="224">
        <f t="shared" si="184"/>
        <v>461132.66666666663</v>
      </c>
      <c r="AJ170" s="225"/>
      <c r="AK170" s="226">
        <f t="shared" si="185"/>
        <v>0</v>
      </c>
      <c r="AL170" s="183"/>
      <c r="AM170" s="187">
        <f t="shared" si="186"/>
        <v>461132.66666666663</v>
      </c>
    </row>
    <row r="171" spans="1:39">
      <c r="A171" s="30"/>
      <c r="C171" s="33" t="s">
        <v>75</v>
      </c>
      <c r="E171" s="157">
        <v>7457690.5700000003</v>
      </c>
      <c r="F171" s="145"/>
      <c r="G171" s="158">
        <v>0</v>
      </c>
      <c r="H171" s="147"/>
      <c r="I171" s="26">
        <v>2.69</v>
      </c>
      <c r="J171" s="26"/>
      <c r="K171" s="147">
        <v>200400</v>
      </c>
      <c r="M171" s="142">
        <f t="shared" si="177"/>
        <v>0</v>
      </c>
      <c r="O171" s="143">
        <f t="shared" si="167"/>
        <v>200400</v>
      </c>
      <c r="Q171" s="194">
        <f>'AG-Nucor 1-43 With Formulas'!S170</f>
        <v>2.5866989008099859</v>
      </c>
      <c r="S171" s="192">
        <f t="shared" si="178"/>
        <v>192907.99999999997</v>
      </c>
      <c r="T171" s="183"/>
      <c r="U171" s="142">
        <f t="shared" si="179"/>
        <v>0</v>
      </c>
      <c r="V171" s="183"/>
      <c r="W171" s="187">
        <f t="shared" si="180"/>
        <v>192907.99999999997</v>
      </c>
      <c r="Y171" s="238">
        <f>'Adj 2 Depr-No Int NS or Retire '!S170</f>
        <v>2.4524392855486004</v>
      </c>
      <c r="AA171" s="224">
        <f t="shared" si="181"/>
        <v>182895.33333333334</v>
      </c>
      <c r="AB171" s="225"/>
      <c r="AC171" s="226">
        <f t="shared" si="182"/>
        <v>0</v>
      </c>
      <c r="AD171" s="183"/>
      <c r="AE171" s="187">
        <f t="shared" si="183"/>
        <v>182895.33333333334</v>
      </c>
      <c r="AG171" s="194">
        <f>'Adj 3 Depr-Extend Lifespans'!S170</f>
        <v>2.4524392855486004</v>
      </c>
      <c r="AI171" s="224">
        <f t="shared" si="184"/>
        <v>182895.33333333334</v>
      </c>
      <c r="AJ171" s="225"/>
      <c r="AK171" s="226">
        <f t="shared" si="185"/>
        <v>0</v>
      </c>
      <c r="AL171" s="183"/>
      <c r="AM171" s="187">
        <f t="shared" si="186"/>
        <v>182895.33333333334</v>
      </c>
    </row>
    <row r="172" spans="1:39">
      <c r="A172" s="30"/>
      <c r="C172" s="33" t="s">
        <v>76</v>
      </c>
      <c r="E172" s="157">
        <v>7457690.5700000003</v>
      </c>
      <c r="F172" s="145"/>
      <c r="G172" s="158">
        <v>0</v>
      </c>
      <c r="H172" s="147"/>
      <c r="I172" s="26">
        <v>2.3199999999999998</v>
      </c>
      <c r="J172" s="26"/>
      <c r="K172" s="147">
        <v>173032</v>
      </c>
      <c r="M172" s="142">
        <f t="shared" si="177"/>
        <v>0</v>
      </c>
      <c r="O172" s="143">
        <f t="shared" si="167"/>
        <v>173032</v>
      </c>
      <c r="Q172" s="194">
        <f>'AG-Nucor 1-43 With Formulas'!S171</f>
        <v>2.2197220231410055</v>
      </c>
      <c r="S172" s="192">
        <f t="shared" si="178"/>
        <v>165540</v>
      </c>
      <c r="T172" s="183"/>
      <c r="U172" s="142">
        <f t="shared" si="179"/>
        <v>0</v>
      </c>
      <c r="V172" s="183"/>
      <c r="W172" s="187">
        <f t="shared" si="180"/>
        <v>165540</v>
      </c>
      <c r="Y172" s="238">
        <f>'Adj 2 Depr-No Int NS or Retire '!S171</f>
        <v>2.1045120942849738</v>
      </c>
      <c r="AA172" s="224">
        <f t="shared" si="181"/>
        <v>156948</v>
      </c>
      <c r="AB172" s="225"/>
      <c r="AC172" s="226">
        <f t="shared" si="182"/>
        <v>0</v>
      </c>
      <c r="AD172" s="183"/>
      <c r="AE172" s="187">
        <f t="shared" si="183"/>
        <v>156948</v>
      </c>
      <c r="AG172" s="194">
        <f>'Adj 3 Depr-Extend Lifespans'!S171</f>
        <v>2.1045120942849738</v>
      </c>
      <c r="AI172" s="224">
        <f t="shared" si="184"/>
        <v>156948</v>
      </c>
      <c r="AJ172" s="225"/>
      <c r="AK172" s="226">
        <f t="shared" si="185"/>
        <v>0</v>
      </c>
      <c r="AL172" s="183"/>
      <c r="AM172" s="187">
        <f t="shared" si="186"/>
        <v>156948</v>
      </c>
    </row>
    <row r="173" spans="1:39">
      <c r="A173" s="30"/>
      <c r="C173" s="33" t="s">
        <v>77</v>
      </c>
      <c r="E173" s="144">
        <v>15810305.550000001</v>
      </c>
      <c r="F173" s="145"/>
      <c r="G173" s="146">
        <v>0</v>
      </c>
      <c r="H173" s="147"/>
      <c r="I173" s="26">
        <v>3.36</v>
      </c>
      <c r="J173" s="26"/>
      <c r="K173" s="148">
        <v>531990</v>
      </c>
      <c r="M173" s="149">
        <f t="shared" si="177"/>
        <v>0</v>
      </c>
      <c r="O173" s="150">
        <f t="shared" si="167"/>
        <v>531990</v>
      </c>
      <c r="Q173" s="26">
        <v>3.36</v>
      </c>
      <c r="S173" s="177">
        <f t="shared" si="178"/>
        <v>531226.26647999999</v>
      </c>
      <c r="T173" s="183"/>
      <c r="U173" s="149">
        <f t="shared" si="179"/>
        <v>0</v>
      </c>
      <c r="V173" s="183"/>
      <c r="W173" s="188">
        <f t="shared" si="180"/>
        <v>531226.26647999999</v>
      </c>
      <c r="Y173" s="227">
        <f>'Adj 2 Depr-No Int NS or Retire '!S172</f>
        <v>3.1844206723624784</v>
      </c>
      <c r="AA173" s="177">
        <f t="shared" si="181"/>
        <v>503466.63829787227</v>
      </c>
      <c r="AB173" s="225"/>
      <c r="AC173" s="149">
        <f t="shared" si="182"/>
        <v>0</v>
      </c>
      <c r="AD173" s="183"/>
      <c r="AE173" s="188">
        <f t="shared" si="183"/>
        <v>503466.63829787227</v>
      </c>
      <c r="AG173" s="194">
        <f>'Adj 3 Depr-Extend Lifespans'!S172</f>
        <v>3.1844206723624784</v>
      </c>
      <c r="AI173" s="177">
        <f t="shared" si="184"/>
        <v>503466.63829787227</v>
      </c>
      <c r="AJ173" s="225"/>
      <c r="AK173" s="149">
        <f t="shared" si="185"/>
        <v>0</v>
      </c>
      <c r="AL173" s="183"/>
      <c r="AM173" s="188">
        <f t="shared" si="186"/>
        <v>503466.63829787227</v>
      </c>
    </row>
    <row r="174" spans="1:39">
      <c r="A174" s="30"/>
      <c r="E174" s="157"/>
      <c r="F174" s="145"/>
      <c r="G174" s="158"/>
      <c r="H174" s="147"/>
      <c r="I174" s="26"/>
      <c r="J174" s="26"/>
      <c r="K174" s="147"/>
      <c r="M174" s="142"/>
      <c r="O174" s="143"/>
      <c r="Q174" s="194"/>
      <c r="S174" s="192"/>
      <c r="T174" s="183"/>
      <c r="U174" s="142"/>
      <c r="V174" s="183"/>
      <c r="W174" s="187"/>
      <c r="Y174" s="194"/>
      <c r="AA174" s="192"/>
      <c r="AB174" s="183"/>
      <c r="AC174" s="142"/>
      <c r="AD174" s="183"/>
      <c r="AE174" s="187"/>
      <c r="AG174" s="194"/>
      <c r="AI174" s="192"/>
      <c r="AJ174" s="183"/>
      <c r="AK174" s="142"/>
      <c r="AL174" s="183"/>
      <c r="AM174" s="187"/>
    </row>
    <row r="175" spans="1:39" ht="15.75">
      <c r="A175" s="30"/>
      <c r="C175" s="13" t="s">
        <v>84</v>
      </c>
      <c r="E175" s="157">
        <f>SUBTOTAL(9,E154:E174)</f>
        <v>104006114.77999999</v>
      </c>
      <c r="F175" s="145"/>
      <c r="G175" s="158">
        <f t="shared" ref="G175" si="187">SUBTOTAL(9,G154:G174)</f>
        <v>0</v>
      </c>
      <c r="H175" s="147"/>
      <c r="I175" s="26">
        <f>+ROUND(K175/E175*100,2)</f>
        <v>3.42</v>
      </c>
      <c r="J175" s="26"/>
      <c r="K175" s="147">
        <f>SUBTOTAL(9,K154:K174)</f>
        <v>3558164</v>
      </c>
      <c r="M175" s="160">
        <f t="shared" ref="M175" si="188">SUBTOTAL(9,M154:M174)</f>
        <v>0</v>
      </c>
      <c r="O175" s="147">
        <f t="shared" ref="O175" si="189">SUBTOTAL(9,O154:O174)</f>
        <v>3558164</v>
      </c>
      <c r="Q175" s="194">
        <f>+ROUND(S175/E175*100,2)</f>
        <v>3.35</v>
      </c>
      <c r="S175" s="192">
        <f>SUBTOTAL(9,S154:S174)</f>
        <v>3482040.3497358114</v>
      </c>
      <c r="T175" s="183"/>
      <c r="U175" s="160">
        <f t="shared" ref="U175" si="190">SUBTOTAL(9,U154:U174)</f>
        <v>0</v>
      </c>
      <c r="V175" s="183"/>
      <c r="W175" s="192">
        <f t="shared" ref="W175" si="191">SUBTOTAL(9,W154:W174)</f>
        <v>3482040.3497358114</v>
      </c>
      <c r="Y175" s="195">
        <f>+ROUND(AA175/E175*100,2)</f>
        <v>3.08</v>
      </c>
      <c r="AA175" s="192">
        <f>SUBTOTAL(9,AA154:AA174)</f>
        <v>3206794.3188515669</v>
      </c>
      <c r="AB175" s="183"/>
      <c r="AC175" s="160">
        <f t="shared" ref="AC175" si="192">SUBTOTAL(9,AC154:AC174)</f>
        <v>0</v>
      </c>
      <c r="AD175" s="183"/>
      <c r="AE175" s="192">
        <f t="shared" ref="AE175" si="193">SUBTOTAL(9,AE154:AE174)</f>
        <v>3206794.3188515669</v>
      </c>
      <c r="AG175" s="195">
        <f>+ROUND(AI175/E175*100,2)</f>
        <v>2.76</v>
      </c>
      <c r="AI175" s="192">
        <f>SUBTOTAL(9,AI154:AI174)</f>
        <v>2869243.8720003101</v>
      </c>
      <c r="AJ175" s="183"/>
      <c r="AK175" s="160">
        <f t="shared" ref="AK175" si="194">SUBTOTAL(9,AK154:AK174)</f>
        <v>0</v>
      </c>
      <c r="AL175" s="183"/>
      <c r="AM175" s="192">
        <f t="shared" ref="AM175" si="195">SUBTOTAL(9,AM154:AM174)</f>
        <v>2869243.8720003101</v>
      </c>
    </row>
    <row r="176" spans="1:39">
      <c r="A176" s="30"/>
      <c r="E176" s="157"/>
      <c r="F176" s="145"/>
      <c r="G176" s="158"/>
      <c r="H176" s="147"/>
      <c r="I176" s="26"/>
      <c r="J176" s="26"/>
      <c r="K176" s="147"/>
      <c r="M176" s="142"/>
      <c r="O176" s="143"/>
      <c r="Q176" s="194"/>
      <c r="S176" s="192"/>
      <c r="T176" s="183"/>
      <c r="U176" s="142"/>
      <c r="V176" s="183"/>
      <c r="W176" s="187"/>
      <c r="Y176" s="194"/>
      <c r="AA176" s="192"/>
      <c r="AB176" s="183"/>
      <c r="AC176" s="142"/>
      <c r="AD176" s="183"/>
      <c r="AE176" s="187"/>
      <c r="AG176" s="194"/>
      <c r="AI176" s="192"/>
      <c r="AJ176" s="183"/>
      <c r="AK176" s="142"/>
      <c r="AL176" s="183"/>
      <c r="AM176" s="187"/>
    </row>
    <row r="177" spans="1:39">
      <c r="A177" s="30">
        <v>345</v>
      </c>
      <c r="C177" s="13" t="s">
        <v>52</v>
      </c>
      <c r="G177" s="156"/>
      <c r="I177" s="26"/>
      <c r="J177" s="26"/>
      <c r="M177" s="142"/>
      <c r="O177" s="143"/>
      <c r="Q177" s="194"/>
      <c r="S177" s="191"/>
      <c r="T177" s="183"/>
      <c r="U177" s="142"/>
      <c r="V177" s="183"/>
      <c r="W177" s="187"/>
      <c r="Y177" s="194"/>
      <c r="AA177" s="191"/>
      <c r="AB177" s="183"/>
      <c r="AC177" s="142"/>
      <c r="AD177" s="183"/>
      <c r="AE177" s="187"/>
      <c r="AG177" s="194"/>
      <c r="AI177" s="191"/>
      <c r="AJ177" s="183"/>
      <c r="AK177" s="142"/>
      <c r="AL177" s="183"/>
      <c r="AM177" s="187"/>
    </row>
    <row r="178" spans="1:39">
      <c r="A178" s="30"/>
      <c r="C178" s="33" t="s">
        <v>58</v>
      </c>
      <c r="E178" s="157">
        <v>9906844.2300000004</v>
      </c>
      <c r="F178" s="145"/>
      <c r="G178" s="158">
        <v>0</v>
      </c>
      <c r="H178" s="147"/>
      <c r="I178" s="26">
        <v>2.95</v>
      </c>
      <c r="J178" s="26"/>
      <c r="K178" s="147">
        <v>291986</v>
      </c>
      <c r="M178" s="142">
        <f t="shared" si="177"/>
        <v>0</v>
      </c>
      <c r="O178" s="143">
        <f t="shared" si="167"/>
        <v>291986</v>
      </c>
      <c r="Q178" s="194">
        <f>'AG-Nucor 1-43 With Formulas'!S177</f>
        <v>2.9007521802934413</v>
      </c>
      <c r="S178" s="192">
        <f t="shared" ref="S178:S196" si="196">E178*(Q178/100)</f>
        <v>287373</v>
      </c>
      <c r="T178" s="183"/>
      <c r="U178" s="142">
        <f t="shared" ref="U178:U196" si="197">G178*(Q178/100)</f>
        <v>0</v>
      </c>
      <c r="V178" s="183"/>
      <c r="W178" s="187">
        <f t="shared" ref="W178:W196" si="198">S178-U178</f>
        <v>287373</v>
      </c>
      <c r="Y178" s="194">
        <f>'Adj 2 Depr-No Int NS or Retire '!S177</f>
        <v>2.2812137856365213</v>
      </c>
      <c r="AA178" s="224">
        <f t="shared" ref="AA178:AA196" si="199">E178*(Y178/100)</f>
        <v>225996.29629629629</v>
      </c>
      <c r="AB178" s="225"/>
      <c r="AC178" s="226">
        <f t="shared" ref="AC178:AC196" si="200">G178*(Y178/100)</f>
        <v>0</v>
      </c>
      <c r="AD178" s="183"/>
      <c r="AE178" s="187">
        <f t="shared" ref="AE178:AE196" si="201">AA178-AC178</f>
        <v>225996.29629629629</v>
      </c>
      <c r="AG178" s="194">
        <f>'Adj 3 Depr-Extend Lifespans'!S177</f>
        <v>1.9247741316308149</v>
      </c>
      <c r="AI178" s="224">
        <f t="shared" ref="AI178:AI196" si="202">E178*(AG178/100)</f>
        <v>190684.375</v>
      </c>
      <c r="AJ178" s="225"/>
      <c r="AK178" s="226">
        <f t="shared" ref="AK178:AK196" si="203">G178*(AG178/100)</f>
        <v>0</v>
      </c>
      <c r="AL178" s="183"/>
      <c r="AM178" s="187">
        <f t="shared" ref="AM178:AM196" si="204">AI178-AK178</f>
        <v>190684.375</v>
      </c>
    </row>
    <row r="179" spans="1:39">
      <c r="A179" s="30"/>
      <c r="C179" s="33" t="s">
        <v>59</v>
      </c>
      <c r="E179" s="157">
        <v>881261.16</v>
      </c>
      <c r="F179" s="145"/>
      <c r="G179" s="158">
        <v>0</v>
      </c>
      <c r="H179" s="147"/>
      <c r="I179" s="26">
        <v>3.72</v>
      </c>
      <c r="J179" s="26"/>
      <c r="K179" s="147">
        <v>32801</v>
      </c>
      <c r="M179" s="142">
        <f t="shared" si="177"/>
        <v>0</v>
      </c>
      <c r="O179" s="143">
        <f t="shared" si="167"/>
        <v>32801</v>
      </c>
      <c r="Q179" s="194">
        <f>'AG-Nucor 1-43 With Formulas'!S178</f>
        <v>3.5526358610879889</v>
      </c>
      <c r="S179" s="192">
        <f t="shared" si="196"/>
        <v>31308</v>
      </c>
      <c r="T179" s="183"/>
      <c r="U179" s="142">
        <f t="shared" si="197"/>
        <v>0</v>
      </c>
      <c r="V179" s="183"/>
      <c r="W179" s="187">
        <f t="shared" si="198"/>
        <v>31308</v>
      </c>
      <c r="Y179" s="238">
        <f>'Adj 2 Depr-No Int NS or Retire '!S178</f>
        <v>3.2274637651549982</v>
      </c>
      <c r="AA179" s="224">
        <f t="shared" si="199"/>
        <v>28442.384615384613</v>
      </c>
      <c r="AB179" s="225"/>
      <c r="AC179" s="226">
        <f t="shared" si="200"/>
        <v>0</v>
      </c>
      <c r="AD179" s="183"/>
      <c r="AE179" s="187">
        <f t="shared" si="201"/>
        <v>28442.384615384613</v>
      </c>
      <c r="AG179" s="194">
        <f>'Adj 3 Depr-Extend Lifespans'!S178</f>
        <v>1.9979537593816659</v>
      </c>
      <c r="AI179" s="224">
        <f t="shared" si="202"/>
        <v>17607.190476190477</v>
      </c>
      <c r="AJ179" s="225"/>
      <c r="AK179" s="226">
        <f t="shared" si="203"/>
        <v>0</v>
      </c>
      <c r="AL179" s="183"/>
      <c r="AM179" s="187">
        <f t="shared" si="204"/>
        <v>17607.190476190477</v>
      </c>
    </row>
    <row r="180" spans="1:39">
      <c r="A180" s="30"/>
      <c r="C180" s="33" t="s">
        <v>60</v>
      </c>
      <c r="E180" s="157">
        <v>881262.26</v>
      </c>
      <c r="F180" s="145"/>
      <c r="G180" s="158">
        <v>0</v>
      </c>
      <c r="H180" s="147"/>
      <c r="I180" s="26">
        <v>3.65</v>
      </c>
      <c r="J180" s="26"/>
      <c r="K180" s="147">
        <v>32191</v>
      </c>
      <c r="M180" s="142">
        <f t="shared" si="177"/>
        <v>0</v>
      </c>
      <c r="O180" s="143">
        <f t="shared" si="167"/>
        <v>32191</v>
      </c>
      <c r="Q180" s="194">
        <f>'AG-Nucor 1-43 With Formulas'!S179</f>
        <v>3.4835260050736769</v>
      </c>
      <c r="S180" s="192">
        <f t="shared" si="196"/>
        <v>30699</v>
      </c>
      <c r="T180" s="183"/>
      <c r="U180" s="142">
        <f t="shared" si="197"/>
        <v>0</v>
      </c>
      <c r="V180" s="183"/>
      <c r="W180" s="187">
        <f t="shared" si="198"/>
        <v>30699</v>
      </c>
      <c r="Y180" s="238">
        <f>'Adj 2 Depr-No Int NS or Retire '!S179</f>
        <v>3.1646040916879317</v>
      </c>
      <c r="AA180" s="224">
        <f t="shared" si="199"/>
        <v>27888.461538461539</v>
      </c>
      <c r="AB180" s="225"/>
      <c r="AC180" s="226">
        <f t="shared" si="200"/>
        <v>0</v>
      </c>
      <c r="AD180" s="183"/>
      <c r="AE180" s="187">
        <f t="shared" si="201"/>
        <v>27888.461538461539</v>
      </c>
      <c r="AG180" s="194">
        <f>'Adj 3 Depr-Extend Lifespans'!S179</f>
        <v>1.9590406281877673</v>
      </c>
      <c r="AI180" s="224">
        <f t="shared" si="202"/>
        <v>17264.285714285714</v>
      </c>
      <c r="AJ180" s="225"/>
      <c r="AK180" s="226">
        <f t="shared" si="203"/>
        <v>0</v>
      </c>
      <c r="AL180" s="183"/>
      <c r="AM180" s="187">
        <f t="shared" si="204"/>
        <v>17264.285714285714</v>
      </c>
    </row>
    <row r="181" spans="1:39">
      <c r="A181" s="30"/>
      <c r="C181" s="33" t="s">
        <v>61</v>
      </c>
      <c r="E181" s="157">
        <v>881262.26</v>
      </c>
      <c r="F181" s="145"/>
      <c r="G181" s="158">
        <v>0</v>
      </c>
      <c r="H181" s="147"/>
      <c r="I181" s="26">
        <v>3.82</v>
      </c>
      <c r="J181" s="26"/>
      <c r="K181" s="147">
        <v>33684</v>
      </c>
      <c r="M181" s="142">
        <f t="shared" si="177"/>
        <v>0</v>
      </c>
      <c r="O181" s="143">
        <f t="shared" si="167"/>
        <v>33684</v>
      </c>
      <c r="Q181" s="194">
        <f>'AG-Nucor 1-43 With Formulas'!S180</f>
        <v>3.652942087863833</v>
      </c>
      <c r="S181" s="192">
        <f t="shared" si="196"/>
        <v>32192</v>
      </c>
      <c r="T181" s="183"/>
      <c r="U181" s="142">
        <f t="shared" si="197"/>
        <v>0</v>
      </c>
      <c r="V181" s="183"/>
      <c r="W181" s="187">
        <f t="shared" si="198"/>
        <v>32192</v>
      </c>
      <c r="Y181" s="238">
        <f>'Adj 2 Depr-No Int NS or Retire '!S180</f>
        <v>3.3185353926310195</v>
      </c>
      <c r="AA181" s="224">
        <f t="shared" si="199"/>
        <v>29244.999999999996</v>
      </c>
      <c r="AB181" s="225"/>
      <c r="AC181" s="226">
        <f t="shared" si="200"/>
        <v>0</v>
      </c>
      <c r="AD181" s="183"/>
      <c r="AE181" s="187">
        <f t="shared" si="201"/>
        <v>29244.999999999996</v>
      </c>
      <c r="AG181" s="194">
        <f>'Adj 3 Depr-Extend Lifespans'!S180</f>
        <v>2.0543314335334886</v>
      </c>
      <c r="AI181" s="224">
        <f t="shared" si="202"/>
        <v>18104.047619047618</v>
      </c>
      <c r="AJ181" s="225"/>
      <c r="AK181" s="226">
        <f t="shared" si="203"/>
        <v>0</v>
      </c>
      <c r="AL181" s="183"/>
      <c r="AM181" s="187">
        <f t="shared" si="204"/>
        <v>18104.047619047618</v>
      </c>
    </row>
    <row r="182" spans="1:39">
      <c r="A182" s="30"/>
      <c r="C182" s="33" t="s">
        <v>62</v>
      </c>
      <c r="E182" s="157">
        <v>993996.86</v>
      </c>
      <c r="F182" s="145"/>
      <c r="G182" s="158">
        <v>0</v>
      </c>
      <c r="H182" s="147"/>
      <c r="I182" s="26">
        <v>3.42</v>
      </c>
      <c r="J182" s="26"/>
      <c r="K182" s="147">
        <v>34021</v>
      </c>
      <c r="M182" s="142">
        <f t="shared" si="177"/>
        <v>0</v>
      </c>
      <c r="O182" s="143">
        <f t="shared" si="167"/>
        <v>34021</v>
      </c>
      <c r="Q182" s="194">
        <f>'AG-Nucor 1-43 With Formulas'!S181</f>
        <v>3.3592661449654879</v>
      </c>
      <c r="S182" s="192">
        <f t="shared" si="196"/>
        <v>33391</v>
      </c>
      <c r="T182" s="183"/>
      <c r="U182" s="142">
        <f t="shared" si="197"/>
        <v>0</v>
      </c>
      <c r="V182" s="183"/>
      <c r="W182" s="187">
        <f t="shared" si="198"/>
        <v>33391</v>
      </c>
      <c r="Y182" s="238">
        <f>'Adj 2 Depr-No Int NS or Retire '!S181</f>
        <v>2.889367499835183</v>
      </c>
      <c r="AA182" s="224">
        <f t="shared" si="199"/>
        <v>28720.222222222223</v>
      </c>
      <c r="AB182" s="225"/>
      <c r="AC182" s="226">
        <f t="shared" si="200"/>
        <v>0</v>
      </c>
      <c r="AD182" s="183"/>
      <c r="AE182" s="187">
        <f t="shared" si="201"/>
        <v>28720.222222222223</v>
      </c>
      <c r="AG182" s="194">
        <f>'Adj 3 Depr-Extend Lifespans'!S181</f>
        <v>2.2612441303057951</v>
      </c>
      <c r="AI182" s="224">
        <f t="shared" si="202"/>
        <v>22476.695652173912</v>
      </c>
      <c r="AJ182" s="225"/>
      <c r="AK182" s="226">
        <f t="shared" si="203"/>
        <v>0</v>
      </c>
      <c r="AL182" s="183"/>
      <c r="AM182" s="187">
        <f t="shared" si="204"/>
        <v>22476.695652173912</v>
      </c>
    </row>
    <row r="183" spans="1:39">
      <c r="A183" s="30"/>
      <c r="C183" s="33" t="s">
        <v>63</v>
      </c>
      <c r="E183" s="157">
        <v>993996.86</v>
      </c>
      <c r="F183" s="145"/>
      <c r="G183" s="158">
        <v>0</v>
      </c>
      <c r="H183" s="147"/>
      <c r="I183" s="26">
        <v>3.43</v>
      </c>
      <c r="J183" s="26"/>
      <c r="K183" s="147">
        <v>34088</v>
      </c>
      <c r="M183" s="142">
        <f t="shared" si="177"/>
        <v>0</v>
      </c>
      <c r="O183" s="143">
        <f t="shared" si="167"/>
        <v>34088</v>
      </c>
      <c r="Q183" s="194">
        <f>'AG-Nucor 1-43 With Formulas'!S182</f>
        <v>3.3660066089142378</v>
      </c>
      <c r="S183" s="192">
        <f t="shared" si="196"/>
        <v>33458</v>
      </c>
      <c r="T183" s="183"/>
      <c r="U183" s="142">
        <f t="shared" si="197"/>
        <v>0</v>
      </c>
      <c r="V183" s="183"/>
      <c r="W183" s="187">
        <f t="shared" si="198"/>
        <v>33458</v>
      </c>
      <c r="Y183" s="238">
        <f>'Adj 2 Depr-No Int NS or Retire '!S182</f>
        <v>2.8953198995909193</v>
      </c>
      <c r="AA183" s="224">
        <f t="shared" si="199"/>
        <v>28779.388888888887</v>
      </c>
      <c r="AB183" s="225"/>
      <c r="AC183" s="226">
        <f t="shared" si="200"/>
        <v>0</v>
      </c>
      <c r="AD183" s="183"/>
      <c r="AE183" s="187">
        <f t="shared" si="201"/>
        <v>28779.388888888887</v>
      </c>
      <c r="AG183" s="194">
        <f>'Adj 3 Depr-Extend Lifespans'!S182</f>
        <v>2.2659025301146323</v>
      </c>
      <c r="AI183" s="224">
        <f t="shared" si="202"/>
        <v>22523</v>
      </c>
      <c r="AJ183" s="225"/>
      <c r="AK183" s="226">
        <f t="shared" si="203"/>
        <v>0</v>
      </c>
      <c r="AL183" s="183"/>
      <c r="AM183" s="187">
        <f t="shared" si="204"/>
        <v>22523</v>
      </c>
    </row>
    <row r="184" spans="1:39">
      <c r="A184" s="30"/>
      <c r="C184" s="33" t="s">
        <v>64</v>
      </c>
      <c r="E184" s="157">
        <v>1251472.92</v>
      </c>
      <c r="F184" s="145"/>
      <c r="G184" s="158">
        <v>0</v>
      </c>
      <c r="H184" s="147"/>
      <c r="I184" s="26">
        <v>3.3</v>
      </c>
      <c r="J184" s="26"/>
      <c r="K184" s="147">
        <v>41265</v>
      </c>
      <c r="M184" s="142">
        <f t="shared" si="177"/>
        <v>0</v>
      </c>
      <c r="O184" s="143">
        <f t="shared" si="167"/>
        <v>41265</v>
      </c>
      <c r="Q184" s="194">
        <f>'AG-Nucor 1-43 With Formulas'!S183</f>
        <v>3.2451361392622067</v>
      </c>
      <c r="S184" s="192">
        <f t="shared" si="196"/>
        <v>40612</v>
      </c>
      <c r="T184" s="183"/>
      <c r="U184" s="142">
        <f t="shared" si="197"/>
        <v>0</v>
      </c>
      <c r="V184" s="183"/>
      <c r="W184" s="187">
        <f t="shared" si="198"/>
        <v>40612</v>
      </c>
      <c r="Y184" s="238">
        <f>'Adj 2 Depr-No Int NS or Retire '!S183</f>
        <v>2.7822488487478347</v>
      </c>
      <c r="AA184" s="224">
        <f t="shared" si="199"/>
        <v>34819.090909090912</v>
      </c>
      <c r="AB184" s="225"/>
      <c r="AC184" s="226">
        <f t="shared" si="200"/>
        <v>0</v>
      </c>
      <c r="AD184" s="183"/>
      <c r="AE184" s="187">
        <f t="shared" si="201"/>
        <v>34819.090909090912</v>
      </c>
      <c r="AG184" s="194">
        <f>'Adj 3 Depr-Extend Lifespans'!S183</f>
        <v>2.2670175804611987</v>
      </c>
      <c r="AI184" s="224">
        <f t="shared" si="202"/>
        <v>28371.111111111113</v>
      </c>
      <c r="AJ184" s="225"/>
      <c r="AK184" s="226">
        <f t="shared" si="203"/>
        <v>0</v>
      </c>
      <c r="AL184" s="183"/>
      <c r="AM184" s="187">
        <f t="shared" si="204"/>
        <v>28371.111111111113</v>
      </c>
    </row>
    <row r="185" spans="1:39">
      <c r="A185" s="30"/>
      <c r="C185" s="33" t="s">
        <v>65</v>
      </c>
      <c r="E185" s="157">
        <v>1220275.5900000001</v>
      </c>
      <c r="F185" s="145"/>
      <c r="G185" s="158">
        <v>0</v>
      </c>
      <c r="H185" s="147"/>
      <c r="I185" s="26">
        <v>3.29</v>
      </c>
      <c r="J185" s="26"/>
      <c r="K185" s="147">
        <v>40182</v>
      </c>
      <c r="M185" s="142">
        <f t="shared" si="177"/>
        <v>0</v>
      </c>
      <c r="O185" s="143">
        <f t="shared" si="167"/>
        <v>40182</v>
      </c>
      <c r="Q185" s="194">
        <f>'AG-Nucor 1-43 With Formulas'!S184</f>
        <v>3.2407433471647171</v>
      </c>
      <c r="S185" s="192">
        <f t="shared" si="196"/>
        <v>39546.000000000007</v>
      </c>
      <c r="T185" s="183"/>
      <c r="U185" s="142">
        <f t="shared" si="197"/>
        <v>0</v>
      </c>
      <c r="V185" s="183"/>
      <c r="W185" s="187">
        <f t="shared" si="198"/>
        <v>39546.000000000007</v>
      </c>
      <c r="Y185" s="238">
        <f>'Adj 2 Depr-No Int NS or Retire '!S184</f>
        <v>2.778403673401499</v>
      </c>
      <c r="AA185" s="224">
        <f t="shared" si="199"/>
        <v>33904.181818181816</v>
      </c>
      <c r="AB185" s="225"/>
      <c r="AC185" s="226">
        <f t="shared" si="200"/>
        <v>0</v>
      </c>
      <c r="AD185" s="183"/>
      <c r="AE185" s="187">
        <f t="shared" si="201"/>
        <v>33904.181818181816</v>
      </c>
      <c r="AG185" s="194">
        <f>'Adj 3 Depr-Extend Lifespans'!S184</f>
        <v>2.2638844746234437</v>
      </c>
      <c r="AI185" s="224">
        <f t="shared" si="202"/>
        <v>27625.629629629631</v>
      </c>
      <c r="AJ185" s="225"/>
      <c r="AK185" s="226">
        <f t="shared" si="203"/>
        <v>0</v>
      </c>
      <c r="AL185" s="183"/>
      <c r="AM185" s="187">
        <f t="shared" si="204"/>
        <v>27625.629629629631</v>
      </c>
    </row>
    <row r="186" spans="1:39">
      <c r="A186" s="30"/>
      <c r="C186" s="33" t="s">
        <v>66</v>
      </c>
      <c r="E186" s="157">
        <v>11825999.57</v>
      </c>
      <c r="F186" s="145"/>
      <c r="G186" s="158">
        <v>0</v>
      </c>
      <c r="H186" s="147"/>
      <c r="I186" s="26">
        <v>3.4</v>
      </c>
      <c r="J186" s="26"/>
      <c r="K186" s="147">
        <v>402367</v>
      </c>
      <c r="M186" s="142">
        <f t="shared" si="177"/>
        <v>0</v>
      </c>
      <c r="O186" s="143">
        <f t="shared" si="167"/>
        <v>402367</v>
      </c>
      <c r="Q186" s="194">
        <f>'AG-Nucor 1-43 With Formulas'!S185</f>
        <v>3.3175631174151987</v>
      </c>
      <c r="S186" s="192">
        <f t="shared" si="196"/>
        <v>392335</v>
      </c>
      <c r="T186" s="183"/>
      <c r="U186" s="142">
        <f t="shared" si="197"/>
        <v>0</v>
      </c>
      <c r="V186" s="183"/>
      <c r="W186" s="187">
        <f t="shared" si="198"/>
        <v>392335</v>
      </c>
      <c r="Y186" s="238">
        <f>'Adj 2 Depr-No Int NS or Retire '!S185</f>
        <v>2.8981848959540706</v>
      </c>
      <c r="AA186" s="224">
        <f t="shared" si="199"/>
        <v>342739.33333333331</v>
      </c>
      <c r="AB186" s="225"/>
      <c r="AC186" s="226">
        <f t="shared" si="200"/>
        <v>0</v>
      </c>
      <c r="AD186" s="183"/>
      <c r="AE186" s="187">
        <f t="shared" si="201"/>
        <v>342739.33333333331</v>
      </c>
      <c r="AG186" s="194">
        <f>'Adj 3 Depr-Extend Lifespans'!S185</f>
        <v>2.4453435059612469</v>
      </c>
      <c r="AI186" s="224">
        <f t="shared" si="202"/>
        <v>289186.3125</v>
      </c>
      <c r="AJ186" s="225"/>
      <c r="AK186" s="226">
        <f t="shared" si="203"/>
        <v>0</v>
      </c>
      <c r="AL186" s="183"/>
      <c r="AM186" s="187">
        <f t="shared" si="204"/>
        <v>289186.3125</v>
      </c>
    </row>
    <row r="187" spans="1:39">
      <c r="A187" s="30"/>
      <c r="C187" s="33" t="s">
        <v>67</v>
      </c>
      <c r="E187" s="157">
        <v>2021825.43</v>
      </c>
      <c r="F187" s="145"/>
      <c r="G187" s="158">
        <v>0</v>
      </c>
      <c r="H187" s="147"/>
      <c r="I187" s="26">
        <v>3.07</v>
      </c>
      <c r="J187" s="26"/>
      <c r="K187" s="147">
        <v>62122</v>
      </c>
      <c r="M187" s="142">
        <f t="shared" si="177"/>
        <v>0</v>
      </c>
      <c r="O187" s="143">
        <f t="shared" si="167"/>
        <v>62122</v>
      </c>
      <c r="Q187" s="194">
        <f>'AG-Nucor 1-43 With Formulas'!S186</f>
        <v>3.0301824821740415</v>
      </c>
      <c r="S187" s="192">
        <f t="shared" si="196"/>
        <v>61264.999999999993</v>
      </c>
      <c r="T187" s="183"/>
      <c r="U187" s="142">
        <f t="shared" si="197"/>
        <v>0</v>
      </c>
      <c r="V187" s="183"/>
      <c r="W187" s="187">
        <f t="shared" si="198"/>
        <v>61264.999999999993</v>
      </c>
      <c r="Y187" s="238">
        <f>'Adj 2 Depr-No Int NS or Retire '!S186</f>
        <v>2.6127122894819599</v>
      </c>
      <c r="AA187" s="224">
        <f t="shared" si="199"/>
        <v>52824.481481481482</v>
      </c>
      <c r="AB187" s="225"/>
      <c r="AC187" s="226">
        <f t="shared" si="200"/>
        <v>0</v>
      </c>
      <c r="AD187" s="183"/>
      <c r="AE187" s="187">
        <f t="shared" si="201"/>
        <v>52824.481481481482</v>
      </c>
      <c r="AG187" s="194">
        <f>'Adj 3 Depr-Extend Lifespans'!S186</f>
        <v>2.2044759942504037</v>
      </c>
      <c r="AI187" s="224">
        <f t="shared" si="202"/>
        <v>44570.65625</v>
      </c>
      <c r="AJ187" s="225"/>
      <c r="AK187" s="226">
        <f t="shared" si="203"/>
        <v>0</v>
      </c>
      <c r="AL187" s="183"/>
      <c r="AM187" s="187">
        <f t="shared" si="204"/>
        <v>44570.65625</v>
      </c>
    </row>
    <row r="188" spans="1:39">
      <c r="A188" s="30"/>
      <c r="C188" s="33" t="s">
        <v>68</v>
      </c>
      <c r="E188" s="157">
        <v>344891.29</v>
      </c>
      <c r="F188" s="145"/>
      <c r="G188" s="158">
        <v>0</v>
      </c>
      <c r="H188" s="147"/>
      <c r="I188" s="26">
        <v>4.8099999999999996</v>
      </c>
      <c r="J188" s="26"/>
      <c r="K188" s="147">
        <v>16584</v>
      </c>
      <c r="M188" s="142">
        <f t="shared" si="177"/>
        <v>0</v>
      </c>
      <c r="O188" s="143">
        <f t="shared" si="167"/>
        <v>16584</v>
      </c>
      <c r="Q188" s="194">
        <f>'AG-Nucor 1-43 With Formulas'!S187</f>
        <v>4.7330856050322412</v>
      </c>
      <c r="S188" s="192">
        <f t="shared" si="196"/>
        <v>16324</v>
      </c>
      <c r="T188" s="183"/>
      <c r="U188" s="142">
        <f t="shared" si="197"/>
        <v>0</v>
      </c>
      <c r="V188" s="183"/>
      <c r="W188" s="187">
        <f t="shared" si="198"/>
        <v>16324</v>
      </c>
      <c r="Y188" s="238">
        <f>'Adj 2 Depr-No Int NS or Retire '!S187</f>
        <v>4.3414779510218509</v>
      </c>
      <c r="AA188" s="224">
        <f t="shared" si="199"/>
        <v>14973.379310344828</v>
      </c>
      <c r="AB188" s="225"/>
      <c r="AC188" s="226">
        <f t="shared" si="200"/>
        <v>0</v>
      </c>
      <c r="AD188" s="183"/>
      <c r="AE188" s="187">
        <f t="shared" si="201"/>
        <v>14973.379310344828</v>
      </c>
      <c r="AG188" s="194">
        <f>'Adj 3 Depr-Extend Lifespans'!S187</f>
        <v>4.3414779510218509</v>
      </c>
      <c r="AI188" s="224">
        <f t="shared" si="202"/>
        <v>14973.379310344828</v>
      </c>
      <c r="AJ188" s="225"/>
      <c r="AK188" s="226">
        <f t="shared" si="203"/>
        <v>0</v>
      </c>
      <c r="AL188" s="183"/>
      <c r="AM188" s="187">
        <f t="shared" si="204"/>
        <v>14973.379310344828</v>
      </c>
    </row>
    <row r="189" spans="1:39">
      <c r="A189" s="30"/>
      <c r="C189" s="33" t="s">
        <v>70</v>
      </c>
      <c r="E189" s="157">
        <v>380225.22</v>
      </c>
      <c r="F189" s="145"/>
      <c r="G189" s="158">
        <v>0</v>
      </c>
      <c r="H189" s="147"/>
      <c r="I189" s="26">
        <v>4.9000000000000004</v>
      </c>
      <c r="J189" s="26"/>
      <c r="K189" s="147">
        <v>18622</v>
      </c>
      <c r="M189" s="142">
        <f t="shared" si="177"/>
        <v>0</v>
      </c>
      <c r="O189" s="143">
        <f t="shared" si="167"/>
        <v>18622</v>
      </c>
      <c r="Q189" s="194">
        <f>'AG-Nucor 1-43 With Formulas'!S188</f>
        <v>4.8226679966152695</v>
      </c>
      <c r="S189" s="192">
        <f t="shared" si="196"/>
        <v>18337</v>
      </c>
      <c r="T189" s="183"/>
      <c r="U189" s="142">
        <f t="shared" si="197"/>
        <v>0</v>
      </c>
      <c r="V189" s="183"/>
      <c r="W189" s="187">
        <f t="shared" si="198"/>
        <v>18337</v>
      </c>
      <c r="Y189" s="238">
        <f>'Adj 2 Depr-No Int NS or Retire '!S188</f>
        <v>4.4437727796136741</v>
      </c>
      <c r="AA189" s="224">
        <f t="shared" si="199"/>
        <v>16896.344827586207</v>
      </c>
      <c r="AB189" s="225"/>
      <c r="AC189" s="226">
        <f t="shared" si="200"/>
        <v>0</v>
      </c>
      <c r="AD189" s="183"/>
      <c r="AE189" s="187">
        <f t="shared" si="201"/>
        <v>16896.344827586207</v>
      </c>
      <c r="AG189" s="194">
        <f>'Adj 3 Depr-Extend Lifespans'!S188</f>
        <v>4.4437727796136741</v>
      </c>
      <c r="AI189" s="224">
        <f t="shared" si="202"/>
        <v>16896.344827586207</v>
      </c>
      <c r="AJ189" s="225"/>
      <c r="AK189" s="226">
        <f t="shared" si="203"/>
        <v>0</v>
      </c>
      <c r="AL189" s="183"/>
      <c r="AM189" s="187">
        <f t="shared" si="204"/>
        <v>16896.344827586207</v>
      </c>
    </row>
    <row r="190" spans="1:39">
      <c r="A190" s="30"/>
      <c r="C190" s="33" t="s">
        <v>71</v>
      </c>
      <c r="E190" s="157">
        <v>452676.95</v>
      </c>
      <c r="F190" s="145"/>
      <c r="G190" s="158">
        <v>0</v>
      </c>
      <c r="H190" s="147"/>
      <c r="I190" s="26">
        <v>4.34</v>
      </c>
      <c r="J190" s="26"/>
      <c r="K190" s="147">
        <v>19654</v>
      </c>
      <c r="M190" s="142">
        <f t="shared" si="177"/>
        <v>0</v>
      </c>
      <c r="O190" s="143">
        <f t="shared" si="167"/>
        <v>19654</v>
      </c>
      <c r="Q190" s="194">
        <f>'AG-Nucor 1-43 With Formulas'!S189</f>
        <v>4.341727582992684</v>
      </c>
      <c r="S190" s="192">
        <f t="shared" si="196"/>
        <v>19654</v>
      </c>
      <c r="T190" s="183"/>
      <c r="U190" s="142">
        <f t="shared" si="197"/>
        <v>0</v>
      </c>
      <c r="V190" s="183"/>
      <c r="W190" s="187">
        <f t="shared" si="198"/>
        <v>19654</v>
      </c>
      <c r="Y190" s="238">
        <f>'Adj 2 Depr-No Int NS or Retire '!S189</f>
        <v>3.8999997680465066</v>
      </c>
      <c r="AA190" s="224">
        <f t="shared" si="199"/>
        <v>17654.400000000001</v>
      </c>
      <c r="AB190" s="225"/>
      <c r="AC190" s="226">
        <f t="shared" si="200"/>
        <v>0</v>
      </c>
      <c r="AD190" s="183"/>
      <c r="AE190" s="187">
        <f t="shared" si="201"/>
        <v>17654.400000000001</v>
      </c>
      <c r="AG190" s="194">
        <f>'Adj 3 Depr-Extend Lifespans'!S189</f>
        <v>3.8999997680465066</v>
      </c>
      <c r="AI190" s="224">
        <f t="shared" si="202"/>
        <v>17654.400000000001</v>
      </c>
      <c r="AJ190" s="225"/>
      <c r="AK190" s="226">
        <f t="shared" si="203"/>
        <v>0</v>
      </c>
      <c r="AL190" s="183"/>
      <c r="AM190" s="187">
        <f t="shared" si="204"/>
        <v>17654.400000000001</v>
      </c>
    </row>
    <row r="191" spans="1:39">
      <c r="A191" s="30"/>
      <c r="C191" s="33" t="s">
        <v>72</v>
      </c>
      <c r="E191" s="157">
        <v>406784.25</v>
      </c>
      <c r="F191" s="145"/>
      <c r="G191" s="158">
        <v>0</v>
      </c>
      <c r="H191" s="147"/>
      <c r="I191" s="26">
        <v>4.22</v>
      </c>
      <c r="J191" s="26"/>
      <c r="K191" s="147">
        <v>17158</v>
      </c>
      <c r="M191" s="142">
        <f t="shared" si="177"/>
        <v>0</v>
      </c>
      <c r="O191" s="143">
        <f t="shared" si="167"/>
        <v>17158</v>
      </c>
      <c r="Q191" s="194">
        <f>'AG-Nucor 1-43 With Formulas'!S190</f>
        <v>4.1584697539297553</v>
      </c>
      <c r="S191" s="192">
        <f t="shared" si="196"/>
        <v>16916</v>
      </c>
      <c r="T191" s="183"/>
      <c r="U191" s="142">
        <f t="shared" si="197"/>
        <v>0</v>
      </c>
      <c r="V191" s="183"/>
      <c r="W191" s="187">
        <f t="shared" si="198"/>
        <v>16916</v>
      </c>
      <c r="Y191" s="238">
        <f>'Adj 2 Depr-No Int NS or Retire '!S190</f>
        <v>3.7853786925930208</v>
      </c>
      <c r="AA191" s="224">
        <f t="shared" si="199"/>
        <v>15398.324324324325</v>
      </c>
      <c r="AB191" s="225"/>
      <c r="AC191" s="226">
        <f t="shared" si="200"/>
        <v>0</v>
      </c>
      <c r="AD191" s="183"/>
      <c r="AE191" s="187">
        <f t="shared" si="201"/>
        <v>15398.324324324325</v>
      </c>
      <c r="AG191" s="194">
        <f>'Adj 3 Depr-Extend Lifespans'!S190</f>
        <v>3.7853786925930208</v>
      </c>
      <c r="AI191" s="224">
        <f t="shared" si="202"/>
        <v>15398.324324324325</v>
      </c>
      <c r="AJ191" s="225"/>
      <c r="AK191" s="226">
        <f t="shared" si="203"/>
        <v>0</v>
      </c>
      <c r="AL191" s="183"/>
      <c r="AM191" s="187">
        <f t="shared" si="204"/>
        <v>15398.324324324325</v>
      </c>
    </row>
    <row r="192" spans="1:39">
      <c r="A192" s="30"/>
      <c r="C192" s="33" t="s">
        <v>73</v>
      </c>
      <c r="E192" s="157">
        <v>3028262.11</v>
      </c>
      <c r="F192" s="145"/>
      <c r="G192" s="158">
        <v>0</v>
      </c>
      <c r="H192" s="147"/>
      <c r="I192" s="26">
        <v>3.77</v>
      </c>
      <c r="J192" s="26"/>
      <c r="K192" s="147">
        <v>114142</v>
      </c>
      <c r="M192" s="142">
        <f t="shared" si="177"/>
        <v>0</v>
      </c>
      <c r="O192" s="143">
        <f t="shared" si="167"/>
        <v>114142</v>
      </c>
      <c r="Q192" s="194">
        <f>'AG-Nucor 1-43 With Formulas'!S191</f>
        <v>3.6672849299692887</v>
      </c>
      <c r="S192" s="192">
        <f t="shared" si="196"/>
        <v>111055</v>
      </c>
      <c r="T192" s="183"/>
      <c r="U192" s="142">
        <f t="shared" si="197"/>
        <v>0</v>
      </c>
      <c r="V192" s="183"/>
      <c r="W192" s="187">
        <f t="shared" si="198"/>
        <v>111055</v>
      </c>
      <c r="Y192" s="238">
        <f>'Adj 2 Depr-No Int NS or Retire '!S191</f>
        <v>3.426593680665182</v>
      </c>
      <c r="AA192" s="224">
        <f t="shared" si="199"/>
        <v>103766.23809523809</v>
      </c>
      <c r="AB192" s="225"/>
      <c r="AC192" s="226">
        <f t="shared" si="200"/>
        <v>0</v>
      </c>
      <c r="AD192" s="183"/>
      <c r="AE192" s="187">
        <f t="shared" si="201"/>
        <v>103766.23809523809</v>
      </c>
      <c r="AG192" s="194">
        <f>'Adj 3 Depr-Extend Lifespans'!S191</f>
        <v>3.426593680665182</v>
      </c>
      <c r="AI192" s="224">
        <f t="shared" si="202"/>
        <v>103766.23809523809</v>
      </c>
      <c r="AJ192" s="225"/>
      <c r="AK192" s="226">
        <f t="shared" si="203"/>
        <v>0</v>
      </c>
      <c r="AL192" s="183"/>
      <c r="AM192" s="187">
        <f t="shared" si="204"/>
        <v>103766.23809523809</v>
      </c>
    </row>
    <row r="193" spans="1:39">
      <c r="A193" s="30"/>
      <c r="C193" s="33" t="s">
        <v>74</v>
      </c>
      <c r="E193" s="157">
        <v>386034.41</v>
      </c>
      <c r="F193" s="145"/>
      <c r="G193" s="158">
        <v>0</v>
      </c>
      <c r="H193" s="147"/>
      <c r="I193" s="26">
        <v>3.23</v>
      </c>
      <c r="J193" s="26"/>
      <c r="K193" s="147">
        <v>12457</v>
      </c>
      <c r="M193" s="142">
        <f t="shared" si="177"/>
        <v>0</v>
      </c>
      <c r="O193" s="143">
        <f t="shared" si="167"/>
        <v>12457</v>
      </c>
      <c r="Q193" s="194">
        <f>'AG-Nucor 1-43 With Formulas'!S192</f>
        <v>3.1251100128612888</v>
      </c>
      <c r="S193" s="192">
        <f t="shared" si="196"/>
        <v>12064</v>
      </c>
      <c r="T193" s="183"/>
      <c r="U193" s="142">
        <f t="shared" si="197"/>
        <v>0</v>
      </c>
      <c r="V193" s="183"/>
      <c r="W193" s="187">
        <f t="shared" si="198"/>
        <v>12064</v>
      </c>
      <c r="Y193" s="238">
        <f>'Adj 2 Depr-No Int NS or Retire '!S192</f>
        <v>2.9197125816051579</v>
      </c>
      <c r="AA193" s="224">
        <f t="shared" si="199"/>
        <v>11271.095238095239</v>
      </c>
      <c r="AB193" s="225"/>
      <c r="AC193" s="226">
        <f t="shared" si="200"/>
        <v>0</v>
      </c>
      <c r="AD193" s="183"/>
      <c r="AE193" s="187">
        <f t="shared" si="201"/>
        <v>11271.095238095239</v>
      </c>
      <c r="AG193" s="194">
        <f>'Adj 3 Depr-Extend Lifespans'!S192</f>
        <v>2.9197125816051579</v>
      </c>
      <c r="AI193" s="224">
        <f t="shared" si="202"/>
        <v>11271.095238095239</v>
      </c>
      <c r="AJ193" s="225"/>
      <c r="AK193" s="226">
        <f t="shared" si="203"/>
        <v>0</v>
      </c>
      <c r="AL193" s="183"/>
      <c r="AM193" s="187">
        <f t="shared" si="204"/>
        <v>11271.095238095239</v>
      </c>
    </row>
    <row r="194" spans="1:39">
      <c r="A194" s="30"/>
      <c r="C194" s="33" t="s">
        <v>75</v>
      </c>
      <c r="E194" s="157">
        <v>386034.41</v>
      </c>
      <c r="F194" s="145"/>
      <c r="G194" s="158">
        <v>0</v>
      </c>
      <c r="H194" s="147"/>
      <c r="I194" s="26">
        <v>2.86</v>
      </c>
      <c r="J194" s="26"/>
      <c r="K194" s="147">
        <v>11037</v>
      </c>
      <c r="M194" s="142">
        <f t="shared" si="177"/>
        <v>0</v>
      </c>
      <c r="O194" s="143">
        <f t="shared" si="167"/>
        <v>11037</v>
      </c>
      <c r="Q194" s="194">
        <f>'AG-Nucor 1-43 With Formulas'!S193</f>
        <v>2.7572671565729077</v>
      </c>
      <c r="S194" s="192">
        <f t="shared" si="196"/>
        <v>10644</v>
      </c>
      <c r="T194" s="183"/>
      <c r="U194" s="142">
        <f t="shared" si="197"/>
        <v>0</v>
      </c>
      <c r="V194" s="183"/>
      <c r="W194" s="187">
        <f t="shared" si="198"/>
        <v>10644</v>
      </c>
      <c r="Y194" s="238">
        <f>'Adj 2 Depr-No Int NS or Retire '!S193</f>
        <v>2.5759608419610154</v>
      </c>
      <c r="AA194" s="224">
        <f t="shared" si="199"/>
        <v>9944.0952380952385</v>
      </c>
      <c r="AB194" s="225"/>
      <c r="AC194" s="226">
        <f t="shared" si="200"/>
        <v>0</v>
      </c>
      <c r="AD194" s="183"/>
      <c r="AE194" s="187">
        <f t="shared" si="201"/>
        <v>9944.0952380952385</v>
      </c>
      <c r="AG194" s="194">
        <f>'Adj 3 Depr-Extend Lifespans'!S193</f>
        <v>2.5759608419610154</v>
      </c>
      <c r="AI194" s="224">
        <f t="shared" si="202"/>
        <v>9944.0952380952385</v>
      </c>
      <c r="AJ194" s="225"/>
      <c r="AK194" s="226">
        <f t="shared" si="203"/>
        <v>0</v>
      </c>
      <c r="AL194" s="183"/>
      <c r="AM194" s="187">
        <f t="shared" si="204"/>
        <v>9944.0952380952385</v>
      </c>
    </row>
    <row r="195" spans="1:39">
      <c r="A195" s="30"/>
      <c r="C195" s="33" t="s">
        <v>76</v>
      </c>
      <c r="E195" s="157">
        <v>386034.41</v>
      </c>
      <c r="F195" s="145"/>
      <c r="G195" s="158">
        <v>0</v>
      </c>
      <c r="H195" s="147"/>
      <c r="I195" s="26">
        <v>2.5099999999999998</v>
      </c>
      <c r="J195" s="26"/>
      <c r="K195" s="147">
        <v>9676</v>
      </c>
      <c r="M195" s="142">
        <f t="shared" si="177"/>
        <v>0</v>
      </c>
      <c r="O195" s="143">
        <f t="shared" si="167"/>
        <v>9676</v>
      </c>
      <c r="Q195" s="194">
        <f>'AG-Nucor 1-43 With Formulas'!S194</f>
        <v>2.404707911919044</v>
      </c>
      <c r="S195" s="192">
        <f t="shared" si="196"/>
        <v>9283.0000000000018</v>
      </c>
      <c r="T195" s="183"/>
      <c r="U195" s="142">
        <f t="shared" si="197"/>
        <v>0</v>
      </c>
      <c r="V195" s="183"/>
      <c r="W195" s="187">
        <f t="shared" si="198"/>
        <v>9283.0000000000018</v>
      </c>
      <c r="Y195" s="238">
        <f>'Adj 2 Depr-No Int NS or Retire '!S194</f>
        <v>2.2466292330680848</v>
      </c>
      <c r="AA195" s="224">
        <f t="shared" si="199"/>
        <v>8672.7619047619064</v>
      </c>
      <c r="AB195" s="225"/>
      <c r="AC195" s="226">
        <f t="shared" si="200"/>
        <v>0</v>
      </c>
      <c r="AD195" s="183"/>
      <c r="AE195" s="187">
        <f t="shared" si="201"/>
        <v>8672.7619047619064</v>
      </c>
      <c r="AG195" s="194">
        <f>'Adj 3 Depr-Extend Lifespans'!S194</f>
        <v>2.2466292330680848</v>
      </c>
      <c r="AI195" s="224">
        <f t="shared" si="202"/>
        <v>8672.7619047619064</v>
      </c>
      <c r="AJ195" s="225"/>
      <c r="AK195" s="226">
        <f t="shared" si="203"/>
        <v>0</v>
      </c>
      <c r="AL195" s="183"/>
      <c r="AM195" s="187">
        <f t="shared" si="204"/>
        <v>8672.7619047619064</v>
      </c>
    </row>
    <row r="196" spans="1:39">
      <c r="A196" s="30"/>
      <c r="C196" s="33" t="s">
        <v>77</v>
      </c>
      <c r="E196" s="144">
        <v>779800</v>
      </c>
      <c r="F196" s="145"/>
      <c r="G196" s="146">
        <v>0</v>
      </c>
      <c r="H196" s="147"/>
      <c r="I196" s="26">
        <v>3.48</v>
      </c>
      <c r="J196" s="26"/>
      <c r="K196" s="148">
        <v>27155</v>
      </c>
      <c r="M196" s="149">
        <f t="shared" si="177"/>
        <v>0</v>
      </c>
      <c r="O196" s="150">
        <f t="shared" si="167"/>
        <v>27155</v>
      </c>
      <c r="Q196" s="26">
        <v>3.48</v>
      </c>
      <c r="S196" s="177">
        <f t="shared" si="196"/>
        <v>27137.039999999997</v>
      </c>
      <c r="T196" s="183"/>
      <c r="U196" s="149">
        <f t="shared" si="197"/>
        <v>0</v>
      </c>
      <c r="V196" s="183"/>
      <c r="W196" s="188">
        <f t="shared" si="198"/>
        <v>27137.039999999997</v>
      </c>
      <c r="Y196" s="227">
        <f>'Adj 2 Depr-No Int NS or Retire '!S195</f>
        <v>3.2437177017565886</v>
      </c>
      <c r="AA196" s="177">
        <f t="shared" si="199"/>
        <v>25294.510638297877</v>
      </c>
      <c r="AB196" s="225"/>
      <c r="AC196" s="149">
        <f t="shared" si="200"/>
        <v>0</v>
      </c>
      <c r="AD196" s="183"/>
      <c r="AE196" s="188">
        <f t="shared" si="201"/>
        <v>25294.510638297877</v>
      </c>
      <c r="AG196" s="194">
        <f>'Adj 3 Depr-Extend Lifespans'!S195</f>
        <v>3.2437177017565886</v>
      </c>
      <c r="AI196" s="177">
        <f t="shared" si="202"/>
        <v>25294.510638297877</v>
      </c>
      <c r="AJ196" s="225"/>
      <c r="AK196" s="149">
        <f t="shared" si="203"/>
        <v>0</v>
      </c>
      <c r="AL196" s="183"/>
      <c r="AM196" s="188">
        <f t="shared" si="204"/>
        <v>25294.510638297877</v>
      </c>
    </row>
    <row r="197" spans="1:39">
      <c r="A197" s="30"/>
      <c r="E197" s="157"/>
      <c r="F197" s="145"/>
      <c r="G197" s="158"/>
      <c r="H197" s="147"/>
      <c r="I197" s="26"/>
      <c r="J197" s="26"/>
      <c r="K197" s="147"/>
      <c r="M197" s="142"/>
      <c r="O197" s="143"/>
      <c r="Q197" s="194"/>
      <c r="S197" s="192"/>
      <c r="T197" s="183"/>
      <c r="U197" s="142"/>
      <c r="V197" s="183"/>
      <c r="W197" s="187"/>
      <c r="Y197" s="194"/>
      <c r="AA197" s="192"/>
      <c r="AB197" s="183"/>
      <c r="AC197" s="142"/>
      <c r="AD197" s="183"/>
      <c r="AE197" s="187"/>
      <c r="AG197" s="194"/>
      <c r="AI197" s="192"/>
      <c r="AJ197" s="183"/>
      <c r="AK197" s="142"/>
      <c r="AL197" s="183"/>
      <c r="AM197" s="187"/>
    </row>
    <row r="198" spans="1:39" ht="15.75">
      <c r="A198" s="30"/>
      <c r="C198" s="13" t="s">
        <v>53</v>
      </c>
      <c r="E198" s="157">
        <f>SUBTOTAL(9,E178:E197)</f>
        <v>37408940.18999999</v>
      </c>
      <c r="F198" s="145"/>
      <c r="G198" s="158">
        <f t="shared" ref="G198" si="205">SUBTOTAL(9,G178:G197)</f>
        <v>0</v>
      </c>
      <c r="H198" s="147"/>
      <c r="I198" s="26">
        <f>+ROUND(K198/E198*100,2)</f>
        <v>3.34</v>
      </c>
      <c r="J198" s="26"/>
      <c r="K198" s="147">
        <f>SUBTOTAL(9,K178:K197)</f>
        <v>1251192</v>
      </c>
      <c r="M198" s="160">
        <f t="shared" ref="M198" si="206">SUBTOTAL(9,M178:M197)</f>
        <v>0</v>
      </c>
      <c r="O198" s="147">
        <f t="shared" ref="O198" si="207">SUBTOTAL(9,O178:O197)</f>
        <v>1251192</v>
      </c>
      <c r="Q198" s="194">
        <f>+ROUND(S198/E198*100,2)</f>
        <v>3.27</v>
      </c>
      <c r="S198" s="192">
        <f>SUBTOTAL(9,S178:S197)</f>
        <v>1223593.04</v>
      </c>
      <c r="T198" s="183"/>
      <c r="U198" s="160">
        <f t="shared" ref="U198" si="208">SUBTOTAL(9,U178:U197)</f>
        <v>0</v>
      </c>
      <c r="V198" s="183"/>
      <c r="W198" s="192">
        <f t="shared" ref="W198" si="209">SUBTOTAL(9,W178:W197)</f>
        <v>1223593.04</v>
      </c>
      <c r="Y198" s="195">
        <f>+ROUND(AA198/E198*100,2)</f>
        <v>2.83</v>
      </c>
      <c r="AA198" s="192">
        <f>SUBTOTAL(9,AA178:AA197)</f>
        <v>1057229.9906800848</v>
      </c>
      <c r="AB198" s="183"/>
      <c r="AC198" s="160">
        <f t="shared" ref="AC198" si="210">SUBTOTAL(9,AC178:AC197)</f>
        <v>0</v>
      </c>
      <c r="AD198" s="183"/>
      <c r="AE198" s="192">
        <f t="shared" ref="AE198" si="211">SUBTOTAL(9,AE178:AE197)</f>
        <v>1057229.9906800848</v>
      </c>
      <c r="AG198" s="195">
        <f>+ROUND(AI198/E198*100,2)</f>
        <v>2.41</v>
      </c>
      <c r="AI198" s="192">
        <f>SUBTOTAL(9,AI178:AI197)</f>
        <v>902284.45352918224</v>
      </c>
      <c r="AJ198" s="183"/>
      <c r="AK198" s="160">
        <f t="shared" ref="AK198" si="212">SUBTOTAL(9,AK178:AK197)</f>
        <v>0</v>
      </c>
      <c r="AL198" s="183"/>
      <c r="AM198" s="192">
        <f t="shared" ref="AM198" si="213">SUBTOTAL(9,AM178:AM197)</f>
        <v>902284.45352918224</v>
      </c>
    </row>
    <row r="199" spans="1:39">
      <c r="A199" s="30"/>
      <c r="E199" s="157"/>
      <c r="F199" s="145"/>
      <c r="G199" s="158"/>
      <c r="H199" s="147"/>
      <c r="I199" s="26"/>
      <c r="J199" s="26"/>
      <c r="K199" s="147"/>
      <c r="M199" s="142"/>
      <c r="O199" s="143"/>
      <c r="Q199" s="194"/>
      <c r="S199" s="192"/>
      <c r="T199" s="183"/>
      <c r="U199" s="142"/>
      <c r="V199" s="183"/>
      <c r="W199" s="187"/>
      <c r="Y199" s="194"/>
      <c r="AA199" s="192"/>
      <c r="AB199" s="183"/>
      <c r="AC199" s="142"/>
      <c r="AD199" s="183"/>
      <c r="AE199" s="187"/>
      <c r="AG199" s="194"/>
      <c r="AI199" s="192"/>
      <c r="AJ199" s="183"/>
      <c r="AK199" s="142"/>
      <c r="AL199" s="183"/>
      <c r="AM199" s="187"/>
    </row>
    <row r="200" spans="1:39">
      <c r="A200" s="30">
        <v>346</v>
      </c>
      <c r="C200" s="13" t="s">
        <v>54</v>
      </c>
      <c r="G200" s="156"/>
      <c r="I200" s="26"/>
      <c r="J200" s="26"/>
      <c r="M200" s="142"/>
      <c r="O200" s="143"/>
      <c r="Q200" s="194"/>
      <c r="S200" s="191"/>
      <c r="T200" s="183"/>
      <c r="U200" s="142"/>
      <c r="V200" s="183"/>
      <c r="W200" s="187"/>
      <c r="Y200" s="194"/>
      <c r="AA200" s="191"/>
      <c r="AB200" s="183"/>
      <c r="AC200" s="142"/>
      <c r="AD200" s="183"/>
      <c r="AE200" s="187"/>
      <c r="AG200" s="194"/>
      <c r="AI200" s="191"/>
      <c r="AJ200" s="183"/>
      <c r="AK200" s="142"/>
      <c r="AL200" s="183"/>
      <c r="AM200" s="187"/>
    </row>
    <row r="201" spans="1:39">
      <c r="A201" s="30"/>
      <c r="C201" s="33" t="s">
        <v>58</v>
      </c>
      <c r="E201" s="157">
        <v>15806989.609999999</v>
      </c>
      <c r="F201" s="145"/>
      <c r="G201" s="158">
        <v>0</v>
      </c>
      <c r="H201" s="147"/>
      <c r="I201" s="26">
        <v>3.03</v>
      </c>
      <c r="J201" s="26"/>
      <c r="K201" s="147">
        <v>479639</v>
      </c>
      <c r="M201" s="142">
        <f t="shared" si="177"/>
        <v>0</v>
      </c>
      <c r="O201" s="143">
        <f t="shared" si="167"/>
        <v>479639</v>
      </c>
      <c r="Q201" s="194">
        <f>'AG-Nucor 1-43 With Formulas'!S200</f>
        <v>2.9923091725243443</v>
      </c>
      <c r="S201" s="192">
        <f t="shared" ref="S201:S208" si="214">E201*(Q201/100)</f>
        <v>472994.00000000006</v>
      </c>
      <c r="T201" s="183"/>
      <c r="U201" s="142">
        <f t="shared" ref="U201:U208" si="215">G201*(Q201/100)</f>
        <v>0</v>
      </c>
      <c r="V201" s="183"/>
      <c r="W201" s="187">
        <f t="shared" ref="W201:W208" si="216">S201-U201</f>
        <v>472994.00000000006</v>
      </c>
      <c r="Y201" s="194">
        <f>'Adj 2 Depr-No Int NS or Retire '!S200</f>
        <v>2.6191741932358528</v>
      </c>
      <c r="AA201" s="224">
        <f t="shared" ref="AA201:AA208" si="217">E201*(Y201/100)</f>
        <v>414012.59259259258</v>
      </c>
      <c r="AB201" s="225"/>
      <c r="AC201" s="226">
        <f t="shared" ref="AC201:AC208" si="218">G201*(Y201/100)</f>
        <v>0</v>
      </c>
      <c r="AD201" s="183"/>
      <c r="AE201" s="187">
        <f t="shared" ref="AE201:AE208" si="219">AA201-AC201</f>
        <v>414012.59259259258</v>
      </c>
      <c r="AG201" s="194">
        <f>'Adj 3 Depr-Extend Lifespans'!S200</f>
        <v>2.2099282255427513</v>
      </c>
      <c r="AI201" s="224">
        <f t="shared" ref="AI201:AI208" si="220">E201*(AG201/100)</f>
        <v>349323.12500000006</v>
      </c>
      <c r="AJ201" s="225"/>
      <c r="AK201" s="226">
        <f t="shared" ref="AK201:AK208" si="221">G201*(AG201/100)</f>
        <v>0</v>
      </c>
      <c r="AL201" s="183"/>
      <c r="AM201" s="187">
        <f t="shared" ref="AM201:AM208" si="222">AI201-AK201</f>
        <v>349323.12500000006</v>
      </c>
    </row>
    <row r="202" spans="1:39">
      <c r="A202" s="30"/>
      <c r="C202" s="33" t="s">
        <v>61</v>
      </c>
      <c r="E202" s="157">
        <v>35097.11</v>
      </c>
      <c r="F202" s="145"/>
      <c r="G202" s="158">
        <v>0</v>
      </c>
      <c r="H202" s="147"/>
      <c r="I202" s="26">
        <v>7.15</v>
      </c>
      <c r="J202" s="26"/>
      <c r="K202" s="147">
        <v>2511</v>
      </c>
      <c r="M202" s="142">
        <f t="shared" si="177"/>
        <v>0</v>
      </c>
      <c r="O202" s="143">
        <f t="shared" si="167"/>
        <v>2511</v>
      </c>
      <c r="Q202" s="194">
        <f>'AG-Nucor 1-43 With Formulas'!S201</f>
        <v>7.0005764007349898</v>
      </c>
      <c r="S202" s="192">
        <f t="shared" si="214"/>
        <v>2457</v>
      </c>
      <c r="T202" s="183"/>
      <c r="U202" s="142">
        <f t="shared" si="215"/>
        <v>0</v>
      </c>
      <c r="V202" s="183"/>
      <c r="W202" s="187">
        <f t="shared" si="216"/>
        <v>2457</v>
      </c>
      <c r="Y202" s="238">
        <f>'Adj 2 Depr-No Int NS or Retire '!S201</f>
        <v>6.9944395816241105</v>
      </c>
      <c r="AA202" s="224">
        <f t="shared" si="217"/>
        <v>2454.8461538461538</v>
      </c>
      <c r="AB202" s="225"/>
      <c r="AC202" s="226">
        <f t="shared" si="218"/>
        <v>0</v>
      </c>
      <c r="AD202" s="183"/>
      <c r="AE202" s="187">
        <f t="shared" si="219"/>
        <v>2454.8461538461538</v>
      </c>
      <c r="AG202" s="194">
        <f>'Adj 3 Depr-Extend Lifespans'!S201</f>
        <v>4.3298911695768307</v>
      </c>
      <c r="AI202" s="224">
        <f t="shared" si="220"/>
        <v>1519.6666666666667</v>
      </c>
      <c r="AJ202" s="225"/>
      <c r="AK202" s="226">
        <f t="shared" si="221"/>
        <v>0</v>
      </c>
      <c r="AL202" s="183"/>
      <c r="AM202" s="187">
        <f t="shared" si="222"/>
        <v>1519.6666666666667</v>
      </c>
    </row>
    <row r="203" spans="1:39">
      <c r="A203" s="30"/>
      <c r="C203" s="33" t="s">
        <v>68</v>
      </c>
      <c r="E203" s="157">
        <v>104001.15</v>
      </c>
      <c r="F203" s="145"/>
      <c r="G203" s="158">
        <v>0</v>
      </c>
      <c r="H203" s="147"/>
      <c r="I203" s="26">
        <v>4.8600000000000003</v>
      </c>
      <c r="J203" s="26"/>
      <c r="K203" s="147">
        <v>5051</v>
      </c>
      <c r="M203" s="142">
        <f t="shared" si="177"/>
        <v>0</v>
      </c>
      <c r="O203" s="143">
        <f t="shared" si="167"/>
        <v>5051</v>
      </c>
      <c r="Q203" s="194">
        <f>'AG-Nucor 1-43 With Formulas'!S202</f>
        <v>4.7836009505664121</v>
      </c>
      <c r="S203" s="192">
        <f t="shared" si="214"/>
        <v>4975</v>
      </c>
      <c r="T203" s="183"/>
      <c r="U203" s="142">
        <f t="shared" si="215"/>
        <v>0</v>
      </c>
      <c r="V203" s="183"/>
      <c r="W203" s="187">
        <f t="shared" si="216"/>
        <v>4975</v>
      </c>
      <c r="Y203" s="238">
        <f>'Adj 2 Depr-No Int NS or Retire '!S202</f>
        <v>4.5109580767732558</v>
      </c>
      <c r="AA203" s="224">
        <f t="shared" si="217"/>
        <v>4691.4482758620679</v>
      </c>
      <c r="AB203" s="225"/>
      <c r="AC203" s="226">
        <f t="shared" si="218"/>
        <v>0</v>
      </c>
      <c r="AD203" s="183"/>
      <c r="AE203" s="187">
        <f t="shared" si="219"/>
        <v>4691.4482758620679</v>
      </c>
      <c r="AG203" s="194">
        <f>'Adj 3 Depr-Extend Lifespans'!S202</f>
        <v>4.5109580767732558</v>
      </c>
      <c r="AI203" s="224">
        <f t="shared" si="220"/>
        <v>4691.4482758620679</v>
      </c>
      <c r="AJ203" s="225"/>
      <c r="AK203" s="226">
        <f t="shared" si="221"/>
        <v>0</v>
      </c>
      <c r="AL203" s="183"/>
      <c r="AM203" s="187">
        <f t="shared" si="222"/>
        <v>4691.4482758620679</v>
      </c>
    </row>
    <row r="204" spans="1:39">
      <c r="A204" s="30"/>
      <c r="C204" s="33" t="s">
        <v>69</v>
      </c>
      <c r="E204" s="157">
        <v>64992.35</v>
      </c>
      <c r="F204" s="145"/>
      <c r="G204" s="158">
        <v>0</v>
      </c>
      <c r="H204" s="147"/>
      <c r="I204" s="26">
        <v>43.62</v>
      </c>
      <c r="J204" s="26"/>
      <c r="K204" s="147">
        <v>28352</v>
      </c>
      <c r="M204" s="142">
        <f t="shared" si="177"/>
        <v>0</v>
      </c>
      <c r="O204" s="143">
        <f t="shared" si="167"/>
        <v>28352</v>
      </c>
      <c r="Q204" s="194">
        <f>'AG-Nucor 1-43 With Formulas'!S203</f>
        <v>43.62359570010932</v>
      </c>
      <c r="S204" s="192">
        <f t="shared" si="214"/>
        <v>28352</v>
      </c>
      <c r="T204" s="183"/>
      <c r="U204" s="142">
        <f t="shared" si="215"/>
        <v>0</v>
      </c>
      <c r="V204" s="183"/>
      <c r="W204" s="187">
        <f t="shared" si="216"/>
        <v>28352</v>
      </c>
      <c r="Y204" s="238">
        <f>'Adj 2 Depr-No Int NS or Retire '!S203</f>
        <v>43.62359570010932</v>
      </c>
      <c r="AA204" s="224">
        <f t="shared" si="217"/>
        <v>28352</v>
      </c>
      <c r="AB204" s="225"/>
      <c r="AC204" s="226">
        <f t="shared" si="218"/>
        <v>0</v>
      </c>
      <c r="AD204" s="183"/>
      <c r="AE204" s="187">
        <f t="shared" si="219"/>
        <v>28352</v>
      </c>
      <c r="AG204" s="194">
        <f>'Adj 3 Depr-Extend Lifespans'!S203</f>
        <v>43.62359570010932</v>
      </c>
      <c r="AI204" s="224">
        <f t="shared" si="220"/>
        <v>28352</v>
      </c>
      <c r="AJ204" s="225"/>
      <c r="AK204" s="226">
        <f t="shared" si="221"/>
        <v>0</v>
      </c>
      <c r="AL204" s="183"/>
      <c r="AM204" s="187">
        <f t="shared" si="222"/>
        <v>28352</v>
      </c>
    </row>
    <row r="205" spans="1:39">
      <c r="A205" s="30"/>
      <c r="C205" s="33" t="s">
        <v>70</v>
      </c>
      <c r="E205" s="157">
        <v>60998.54</v>
      </c>
      <c r="F205" s="145"/>
      <c r="G205" s="158">
        <v>0</v>
      </c>
      <c r="H205" s="147"/>
      <c r="I205" s="26">
        <v>4.6900000000000004</v>
      </c>
      <c r="J205" s="26"/>
      <c r="K205" s="147">
        <v>2863</v>
      </c>
      <c r="M205" s="142">
        <f t="shared" si="177"/>
        <v>0</v>
      </c>
      <c r="O205" s="143">
        <f t="shared" si="167"/>
        <v>2863</v>
      </c>
      <c r="Q205" s="194">
        <f>'AG-Nucor 1-43 With Formulas'!S204</f>
        <v>4.6197827029958418</v>
      </c>
      <c r="S205" s="192">
        <f t="shared" si="214"/>
        <v>2818</v>
      </c>
      <c r="T205" s="183"/>
      <c r="U205" s="142">
        <f t="shared" si="215"/>
        <v>0</v>
      </c>
      <c r="V205" s="183"/>
      <c r="W205" s="187">
        <f t="shared" si="216"/>
        <v>2818</v>
      </c>
      <c r="Y205" s="238">
        <f>'Adj 2 Depr-No Int NS or Retire '!S204</f>
        <v>4.2626232218582327</v>
      </c>
      <c r="AA205" s="224">
        <f t="shared" si="217"/>
        <v>2600.1379310344828</v>
      </c>
      <c r="AB205" s="225"/>
      <c r="AC205" s="226">
        <f t="shared" si="218"/>
        <v>0</v>
      </c>
      <c r="AD205" s="183"/>
      <c r="AE205" s="187">
        <f t="shared" si="219"/>
        <v>2600.1379310344828</v>
      </c>
      <c r="AG205" s="194">
        <f>'Adj 3 Depr-Extend Lifespans'!S204</f>
        <v>4.2626232218582327</v>
      </c>
      <c r="AI205" s="224">
        <f t="shared" si="220"/>
        <v>2600.1379310344828</v>
      </c>
      <c r="AJ205" s="225"/>
      <c r="AK205" s="226">
        <f t="shared" si="221"/>
        <v>0</v>
      </c>
      <c r="AL205" s="183"/>
      <c r="AM205" s="187">
        <f t="shared" si="222"/>
        <v>2600.1379310344828</v>
      </c>
    </row>
    <row r="206" spans="1:39">
      <c r="A206" s="30"/>
      <c r="C206" s="33" t="s">
        <v>71</v>
      </c>
      <c r="E206" s="157">
        <v>494973.87</v>
      </c>
      <c r="F206" s="145"/>
      <c r="G206" s="158">
        <v>0</v>
      </c>
      <c r="H206" s="147"/>
      <c r="I206" s="26">
        <v>5.5</v>
      </c>
      <c r="J206" s="26"/>
      <c r="K206" s="147">
        <v>27202</v>
      </c>
      <c r="M206" s="142">
        <f t="shared" si="177"/>
        <v>0</v>
      </c>
      <c r="O206" s="143">
        <f t="shared" si="167"/>
        <v>27202</v>
      </c>
      <c r="Q206" s="194">
        <f>'AG-Nucor 1-43 With Formulas'!S205</f>
        <v>5.4956436387237968</v>
      </c>
      <c r="S206" s="192">
        <f t="shared" si="214"/>
        <v>27201.999999999996</v>
      </c>
      <c r="T206" s="183"/>
      <c r="U206" s="142">
        <f t="shared" si="215"/>
        <v>0</v>
      </c>
      <c r="V206" s="183"/>
      <c r="W206" s="187">
        <f t="shared" si="216"/>
        <v>27201.999999999996</v>
      </c>
      <c r="Y206" s="238">
        <f>'Adj 2 Depr-No Int NS or Retire '!S205</f>
        <v>5.3838917078303838</v>
      </c>
      <c r="AA206" s="224">
        <f t="shared" si="217"/>
        <v>26648.857142857141</v>
      </c>
      <c r="AB206" s="225"/>
      <c r="AC206" s="226">
        <f t="shared" si="218"/>
        <v>0</v>
      </c>
      <c r="AD206" s="183"/>
      <c r="AE206" s="187">
        <f t="shared" si="219"/>
        <v>26648.857142857141</v>
      </c>
      <c r="AG206" s="194">
        <f>'Adj 3 Depr-Extend Lifespans'!S205</f>
        <v>5.3838917078303838</v>
      </c>
      <c r="AI206" s="224">
        <f t="shared" si="220"/>
        <v>26648.857142857141</v>
      </c>
      <c r="AJ206" s="225"/>
      <c r="AK206" s="226">
        <f t="shared" si="221"/>
        <v>0</v>
      </c>
      <c r="AL206" s="183"/>
      <c r="AM206" s="187">
        <f t="shared" si="222"/>
        <v>26648.857142857141</v>
      </c>
    </row>
    <row r="207" spans="1:39">
      <c r="A207" s="30"/>
      <c r="C207" s="33" t="s">
        <v>72</v>
      </c>
      <c r="E207" s="157">
        <v>50361.67</v>
      </c>
      <c r="F207" s="145"/>
      <c r="G207" s="158">
        <v>0</v>
      </c>
      <c r="H207" s="147"/>
      <c r="I207" s="26">
        <v>4.08</v>
      </c>
      <c r="J207" s="26"/>
      <c r="K207" s="147">
        <v>2055</v>
      </c>
      <c r="M207" s="142">
        <f t="shared" si="177"/>
        <v>0</v>
      </c>
      <c r="O207" s="143">
        <f t="shared" si="167"/>
        <v>2055</v>
      </c>
      <c r="Q207" s="194">
        <f>'AG-Nucor 1-43 With Formulas'!S206</f>
        <v>4.0229007497169977</v>
      </c>
      <c r="S207" s="192">
        <f t="shared" si="214"/>
        <v>2026.0000000000002</v>
      </c>
      <c r="T207" s="183"/>
      <c r="U207" s="142">
        <f t="shared" si="215"/>
        <v>0</v>
      </c>
      <c r="V207" s="183"/>
      <c r="W207" s="187">
        <f t="shared" si="216"/>
        <v>2026.0000000000002</v>
      </c>
      <c r="Y207" s="238">
        <f>'Adj 2 Depr-No Int NS or Retire '!S206</f>
        <v>3.7285971330652536</v>
      </c>
      <c r="AA207" s="224">
        <f t="shared" si="217"/>
        <v>1877.7837837837837</v>
      </c>
      <c r="AB207" s="225"/>
      <c r="AC207" s="226">
        <f t="shared" si="218"/>
        <v>0</v>
      </c>
      <c r="AD207" s="183"/>
      <c r="AE207" s="187">
        <f t="shared" si="219"/>
        <v>1877.7837837837837</v>
      </c>
      <c r="AG207" s="194">
        <f>'Adj 3 Depr-Extend Lifespans'!S206</f>
        <v>3.7285971330652536</v>
      </c>
      <c r="AI207" s="224">
        <f t="shared" si="220"/>
        <v>1877.7837837837837</v>
      </c>
      <c r="AJ207" s="225"/>
      <c r="AK207" s="226">
        <f t="shared" si="221"/>
        <v>0</v>
      </c>
      <c r="AL207" s="183"/>
      <c r="AM207" s="187">
        <f t="shared" si="222"/>
        <v>1877.7837837837837</v>
      </c>
    </row>
    <row r="208" spans="1:39">
      <c r="A208" s="30"/>
      <c r="C208" s="33" t="s">
        <v>73</v>
      </c>
      <c r="E208" s="144">
        <v>245217.08</v>
      </c>
      <c r="F208" s="145"/>
      <c r="G208" s="146">
        <v>0</v>
      </c>
      <c r="H208" s="147"/>
      <c r="I208" s="26">
        <v>3.92</v>
      </c>
      <c r="J208" s="26"/>
      <c r="K208" s="148">
        <v>9603</v>
      </c>
      <c r="M208" s="149">
        <f t="shared" si="177"/>
        <v>0</v>
      </c>
      <c r="O208" s="150">
        <f t="shared" si="167"/>
        <v>9603</v>
      </c>
      <c r="Q208" s="194">
        <f>'AG-Nucor 1-43 With Formulas'!S207</f>
        <v>3.8190651320046709</v>
      </c>
      <c r="S208" s="177">
        <f t="shared" si="214"/>
        <v>9365</v>
      </c>
      <c r="T208" s="183"/>
      <c r="U208" s="149">
        <f t="shared" si="215"/>
        <v>0</v>
      </c>
      <c r="V208" s="183"/>
      <c r="W208" s="188">
        <f t="shared" si="216"/>
        <v>9365</v>
      </c>
      <c r="Y208" s="227">
        <f>'Adj 2 Depr-No Int NS or Retire '!S207</f>
        <v>3.7481658525347656</v>
      </c>
      <c r="AA208" s="177">
        <f t="shared" si="217"/>
        <v>9191.1428571428569</v>
      </c>
      <c r="AB208" s="225"/>
      <c r="AC208" s="149">
        <f t="shared" si="218"/>
        <v>0</v>
      </c>
      <c r="AD208" s="183"/>
      <c r="AE208" s="188">
        <f t="shared" si="219"/>
        <v>9191.1428571428569</v>
      </c>
      <c r="AG208" s="194">
        <f>'Adj 3 Depr-Extend Lifespans'!S207</f>
        <v>3.7481658525347656</v>
      </c>
      <c r="AI208" s="177">
        <f t="shared" si="220"/>
        <v>9191.1428571428569</v>
      </c>
      <c r="AJ208" s="225"/>
      <c r="AK208" s="149">
        <f t="shared" si="221"/>
        <v>0</v>
      </c>
      <c r="AL208" s="183"/>
      <c r="AM208" s="188">
        <f t="shared" si="222"/>
        <v>9191.1428571428569</v>
      </c>
    </row>
    <row r="209" spans="1:43">
      <c r="A209" s="30"/>
      <c r="E209" s="157"/>
      <c r="F209" s="145"/>
      <c r="G209" s="158"/>
      <c r="H209" s="147"/>
      <c r="I209" s="26"/>
      <c r="J209" s="26"/>
      <c r="K209" s="147"/>
      <c r="M209" s="142"/>
      <c r="O209" s="143"/>
      <c r="Q209" s="194"/>
      <c r="S209" s="192"/>
      <c r="T209" s="183"/>
      <c r="U209" s="142"/>
      <c r="V209" s="183"/>
      <c r="W209" s="187"/>
      <c r="Y209" s="194"/>
      <c r="AA209" s="192"/>
      <c r="AB209" s="183"/>
      <c r="AC209" s="142"/>
      <c r="AD209" s="183"/>
      <c r="AE209" s="187"/>
      <c r="AG209" s="194"/>
      <c r="AI209" s="192"/>
      <c r="AJ209" s="183"/>
      <c r="AK209" s="142"/>
      <c r="AL209" s="183"/>
      <c r="AM209" s="187"/>
    </row>
    <row r="210" spans="1:43" ht="15.75">
      <c r="A210" s="30"/>
      <c r="C210" s="13" t="s">
        <v>55</v>
      </c>
      <c r="E210" s="144">
        <f>SUBTOTAL(9,E201:E209)</f>
        <v>16862631.379999995</v>
      </c>
      <c r="F210" s="145"/>
      <c r="G210" s="146">
        <f t="shared" ref="G210" si="223">SUBTOTAL(9,G201:G209)</f>
        <v>0</v>
      </c>
      <c r="H210" s="147"/>
      <c r="I210" s="26">
        <f>+ROUND(K210/E210*100,2)</f>
        <v>3.3</v>
      </c>
      <c r="J210" s="26"/>
      <c r="K210" s="148">
        <f>SUBTOTAL(9,K201:K209)</f>
        <v>557276</v>
      </c>
      <c r="M210" s="162">
        <f t="shared" ref="M210" si="224">SUBTOTAL(9,M201:M209)</f>
        <v>0</v>
      </c>
      <c r="O210" s="148">
        <f t="shared" ref="O210" si="225">SUBTOTAL(9,O201:O209)</f>
        <v>557276</v>
      </c>
      <c r="Q210" s="194">
        <f>+ROUND(S210/E210*100,2)</f>
        <v>3.26</v>
      </c>
      <c r="S210" s="177">
        <f>SUBTOTAL(9,S201:S209)</f>
        <v>550189</v>
      </c>
      <c r="T210" s="183"/>
      <c r="U210" s="162">
        <f t="shared" ref="U210" si="226">SUBTOTAL(9,U201:U209)</f>
        <v>0</v>
      </c>
      <c r="V210" s="183"/>
      <c r="W210" s="177">
        <f t="shared" ref="W210" si="227">SUBTOTAL(9,W201:W209)</f>
        <v>550189</v>
      </c>
      <c r="Y210" s="195">
        <f>+ROUND(AA210/E210*100,2)</f>
        <v>2.9</v>
      </c>
      <c r="AA210" s="177">
        <f>SUBTOTAL(9,AA201:AA209)</f>
        <v>489828.80873711908</v>
      </c>
      <c r="AB210" s="183"/>
      <c r="AC210" s="162">
        <f t="shared" ref="AC210" si="228">SUBTOTAL(9,AC201:AC209)</f>
        <v>0</v>
      </c>
      <c r="AD210" s="183"/>
      <c r="AE210" s="177">
        <f t="shared" ref="AE210" si="229">SUBTOTAL(9,AE201:AE209)</f>
        <v>489828.80873711908</v>
      </c>
      <c r="AG210" s="195">
        <f>+ROUND(AI210/E210*100,2)</f>
        <v>2.52</v>
      </c>
      <c r="AI210" s="177">
        <f>SUBTOTAL(9,AI201:AI209)</f>
        <v>424204.16165734711</v>
      </c>
      <c r="AJ210" s="183"/>
      <c r="AK210" s="162">
        <f t="shared" ref="AK210" si="230">SUBTOTAL(9,AK201:AK209)</f>
        <v>0</v>
      </c>
      <c r="AL210" s="183"/>
      <c r="AM210" s="177">
        <f t="shared" ref="AM210" si="231">SUBTOTAL(9,AM201:AM209)</f>
        <v>424204.16165734711</v>
      </c>
    </row>
    <row r="211" spans="1:43" ht="15.75">
      <c r="C211" s="18"/>
      <c r="E211" s="157"/>
      <c r="F211" s="145"/>
      <c r="G211" s="158"/>
      <c r="H211" s="147"/>
      <c r="I211" s="26"/>
      <c r="J211" s="26"/>
      <c r="K211" s="147"/>
      <c r="M211" s="142"/>
      <c r="O211" s="143"/>
      <c r="Q211" s="194"/>
      <c r="S211" s="192"/>
      <c r="T211" s="183"/>
      <c r="U211" s="142"/>
      <c r="V211" s="183"/>
      <c r="W211" s="187"/>
      <c r="Y211" s="194"/>
      <c r="AA211" s="192"/>
      <c r="AB211" s="183"/>
      <c r="AC211" s="142"/>
      <c r="AD211" s="183"/>
      <c r="AE211" s="187"/>
      <c r="AG211" s="194"/>
      <c r="AI211" s="192"/>
      <c r="AJ211" s="183"/>
      <c r="AK211" s="142"/>
      <c r="AL211" s="183"/>
      <c r="AM211" s="187"/>
    </row>
    <row r="212" spans="1:43" ht="15.75">
      <c r="A212" s="30"/>
      <c r="C212" s="31" t="s">
        <v>85</v>
      </c>
      <c r="E212" s="151">
        <f>SUBTOTAL(9,E98:E211)</f>
        <v>659783698.71000016</v>
      </c>
      <c r="F212" s="22"/>
      <c r="G212" s="164">
        <f t="shared" ref="G212" si="232">SUBTOTAL(9,G98:G211)</f>
        <v>0</v>
      </c>
      <c r="H212" s="35"/>
      <c r="I212" s="23">
        <f>+ROUND(K212/E212*100,2)</f>
        <v>3.37</v>
      </c>
      <c r="J212" s="23"/>
      <c r="K212" s="35">
        <f>SUBTOTAL(9,K98:K211)</f>
        <v>22220183</v>
      </c>
      <c r="M212" s="163">
        <f t="shared" ref="M212" si="233">SUBTOTAL(9,M98:M211)</f>
        <v>0</v>
      </c>
      <c r="O212" s="35">
        <f t="shared" ref="O212" si="234">SUBTOTAL(9,O98:O211)</f>
        <v>22220183</v>
      </c>
      <c r="Q212" s="195">
        <f>+ROUND(S212/E212*100,2)</f>
        <v>3.28</v>
      </c>
      <c r="S212" s="180">
        <f>SUBTOTAL(9,S98:S211)</f>
        <v>21673680.083335809</v>
      </c>
      <c r="T212" s="183"/>
      <c r="U212" s="163">
        <f t="shared" ref="U212" si="235">SUBTOTAL(9,U98:U211)</f>
        <v>0</v>
      </c>
      <c r="V212" s="183"/>
      <c r="W212" s="180">
        <f t="shared" ref="W212" si="236">SUBTOTAL(9,W98:W211)</f>
        <v>21673680.083335809</v>
      </c>
      <c r="Y212" s="195">
        <f>+ROUND(AA212/E212*100,2)</f>
        <v>3.03</v>
      </c>
      <c r="AA212" s="180">
        <f>SUBTOTAL(9,AA98:AA211)</f>
        <v>19979786.730001006</v>
      </c>
      <c r="AB212" s="183"/>
      <c r="AC212" s="163">
        <f t="shared" ref="AC212" si="237">SUBTOTAL(9,AC98:AC211)</f>
        <v>0</v>
      </c>
      <c r="AD212" s="183"/>
      <c r="AE212" s="180">
        <f t="shared" ref="AE212" si="238">SUBTOTAL(9,AE98:AE211)</f>
        <v>19979786.730001006</v>
      </c>
      <c r="AG212" s="195">
        <f>+ROUND(AI212/E212*100,2)</f>
        <v>2.64</v>
      </c>
      <c r="AI212" s="180">
        <f>SUBTOTAL(9,AI98:AI211)</f>
        <v>17425766.232347198</v>
      </c>
      <c r="AJ212" s="183"/>
      <c r="AK212" s="163">
        <f t="shared" ref="AK212" si="239">SUBTOTAL(9,AK98:AK211)</f>
        <v>0</v>
      </c>
      <c r="AL212" s="183"/>
      <c r="AM212" s="180">
        <f t="shared" ref="AM212" si="240">SUBTOTAL(9,AM98:AM211)</f>
        <v>17425766.232347198</v>
      </c>
      <c r="AP212" s="15"/>
      <c r="AQ212" s="15"/>
    </row>
    <row r="213" spans="1:43">
      <c r="A213" s="30"/>
      <c r="C213" s="34"/>
      <c r="E213" s="157"/>
      <c r="G213" s="156"/>
      <c r="I213" s="26"/>
      <c r="J213" s="26"/>
      <c r="M213" s="142"/>
      <c r="O213" s="143"/>
      <c r="Q213" s="221"/>
      <c r="S213" s="241"/>
      <c r="T213" s="242"/>
      <c r="U213" s="142"/>
      <c r="V213" s="242"/>
      <c r="W213" s="243"/>
      <c r="X213" s="242"/>
      <c r="Y213" s="221"/>
      <c r="Z213" s="242"/>
      <c r="AA213" s="241"/>
      <c r="AB213" s="242"/>
      <c r="AC213" s="142"/>
      <c r="AD213" s="242"/>
      <c r="AE213" s="243"/>
      <c r="AF213" s="242"/>
      <c r="AG213" s="221"/>
      <c r="AH213" s="242"/>
      <c r="AI213" s="241"/>
      <c r="AJ213" s="242"/>
      <c r="AK213" s="243"/>
      <c r="AL213" s="242"/>
      <c r="AM213" s="243"/>
    </row>
    <row r="214" spans="1:43" ht="15.75">
      <c r="A214" s="30"/>
      <c r="C214" s="18" t="s">
        <v>86</v>
      </c>
      <c r="E214" s="157"/>
      <c r="G214" s="156"/>
      <c r="I214" s="26"/>
      <c r="J214" s="26"/>
      <c r="M214" s="142"/>
      <c r="O214" s="143"/>
      <c r="Q214" s="221"/>
      <c r="S214" s="241"/>
      <c r="T214" s="242"/>
      <c r="U214" s="142"/>
      <c r="V214" s="242"/>
      <c r="W214" s="243"/>
      <c r="X214" s="242"/>
      <c r="Y214" s="221"/>
      <c r="Z214" s="242"/>
      <c r="AA214" s="241"/>
      <c r="AB214" s="242"/>
      <c r="AC214" s="142"/>
      <c r="AD214" s="242"/>
      <c r="AE214" s="243"/>
      <c r="AF214" s="242"/>
      <c r="AG214" s="221"/>
      <c r="AH214" s="242"/>
      <c r="AI214" s="241"/>
      <c r="AJ214" s="242"/>
      <c r="AK214" s="243"/>
      <c r="AL214" s="242"/>
      <c r="AM214" s="243"/>
    </row>
    <row r="215" spans="1:43" ht="15.75">
      <c r="A215" s="30"/>
      <c r="C215" s="25"/>
      <c r="E215" s="157"/>
      <c r="G215" s="156"/>
      <c r="I215" s="26"/>
      <c r="J215" s="26"/>
      <c r="M215" s="142"/>
      <c r="O215" s="143"/>
      <c r="Q215" s="221"/>
      <c r="S215" s="241"/>
      <c r="T215" s="242"/>
      <c r="U215" s="142"/>
      <c r="V215" s="242"/>
      <c r="W215" s="243"/>
      <c r="X215" s="242"/>
      <c r="Y215" s="221"/>
      <c r="Z215" s="242"/>
      <c r="AA215" s="241"/>
      <c r="AB215" s="242"/>
      <c r="AC215" s="142"/>
      <c r="AD215" s="242"/>
      <c r="AE215" s="243"/>
      <c r="AF215" s="242"/>
      <c r="AG215" s="221"/>
      <c r="AH215" s="242"/>
      <c r="AI215" s="241"/>
      <c r="AJ215" s="242"/>
      <c r="AK215" s="243"/>
      <c r="AL215" s="242"/>
      <c r="AM215" s="243"/>
    </row>
    <row r="216" spans="1:43">
      <c r="A216" s="30">
        <v>353</v>
      </c>
      <c r="C216" s="13" t="s">
        <v>87</v>
      </c>
      <c r="E216" s="157">
        <v>309555391</v>
      </c>
      <c r="F216" s="145"/>
      <c r="G216" s="158">
        <f>18347740.69+9803586.81</f>
        <v>28151327.5</v>
      </c>
      <c r="H216" s="147"/>
      <c r="I216" s="26">
        <v>2.85</v>
      </c>
      <c r="J216" s="26"/>
      <c r="K216" s="147">
        <v>8829790</v>
      </c>
      <c r="M216" s="142">
        <f t="shared" ref="M216:M244" si="241">ROUND(G216*(I216/100),0)</f>
        <v>802313</v>
      </c>
      <c r="O216" s="143">
        <f t="shared" ref="O216:O244" si="242">K216-M216</f>
        <v>8027477</v>
      </c>
      <c r="Q216" s="221">
        <v>2.85</v>
      </c>
      <c r="S216" s="244">
        <f>$K216</f>
        <v>8829790</v>
      </c>
      <c r="T216" s="242"/>
      <c r="U216" s="142">
        <f>$M216</f>
        <v>802313</v>
      </c>
      <c r="V216" s="242"/>
      <c r="W216" s="243">
        <f t="shared" ref="W216:W221" si="243">S216-U216</f>
        <v>8027477</v>
      </c>
      <c r="X216" s="242"/>
      <c r="Y216" s="221">
        <v>2.85</v>
      </c>
      <c r="Z216" s="242"/>
      <c r="AA216" s="244">
        <f t="shared" ref="AA216:AA221" si="244">$K216</f>
        <v>8829790</v>
      </c>
      <c r="AB216" s="242"/>
      <c r="AC216" s="142">
        <f t="shared" ref="AC216:AC221" si="245">$M216</f>
        <v>802313</v>
      </c>
      <c r="AD216" s="242"/>
      <c r="AE216" s="243">
        <f t="shared" ref="AE216:AE221" si="246">AA216-AC216</f>
        <v>8027477</v>
      </c>
      <c r="AF216" s="242"/>
      <c r="AG216" s="221">
        <f>'Adj 1 Response to AG-Nucor 1-43'!AI215</f>
        <v>0</v>
      </c>
      <c r="AH216" s="242"/>
      <c r="AI216" s="244">
        <f t="shared" ref="AI216:AI221" si="247">$K216</f>
        <v>8829790</v>
      </c>
      <c r="AJ216" s="242"/>
      <c r="AK216" s="142">
        <f t="shared" ref="AK216:AK221" si="248">$M216</f>
        <v>802313</v>
      </c>
      <c r="AL216" s="242"/>
      <c r="AM216" s="243">
        <f t="shared" ref="AM216:AM221" si="249">AI216-AK216</f>
        <v>8027477</v>
      </c>
    </row>
    <row r="217" spans="1:43">
      <c r="A217" s="30">
        <v>353.1</v>
      </c>
      <c r="C217" s="13" t="s">
        <v>88</v>
      </c>
      <c r="E217" s="157">
        <v>9834245.3499999996</v>
      </c>
      <c r="F217" s="145"/>
      <c r="G217" s="158">
        <v>0</v>
      </c>
      <c r="H217" s="147"/>
      <c r="I217" s="26">
        <v>13.14</v>
      </c>
      <c r="J217" s="26"/>
      <c r="K217" s="147">
        <v>1292108</v>
      </c>
      <c r="M217" s="142">
        <f t="shared" si="241"/>
        <v>0</v>
      </c>
      <c r="O217" s="143">
        <f t="shared" si="242"/>
        <v>1292108</v>
      </c>
      <c r="Q217" s="221">
        <v>13.14</v>
      </c>
      <c r="S217" s="244">
        <f t="shared" ref="S217:S221" si="250">$K217</f>
        <v>1292108</v>
      </c>
      <c r="T217" s="242"/>
      <c r="U217" s="142">
        <f t="shared" ref="U217:U221" si="251">$M217</f>
        <v>0</v>
      </c>
      <c r="V217" s="242"/>
      <c r="W217" s="243">
        <f t="shared" si="243"/>
        <v>1292108</v>
      </c>
      <c r="X217" s="242"/>
      <c r="Y217" s="221">
        <v>13.14</v>
      </c>
      <c r="Z217" s="242"/>
      <c r="AA217" s="244">
        <f t="shared" si="244"/>
        <v>1292108</v>
      </c>
      <c r="AB217" s="242"/>
      <c r="AC217" s="142">
        <f t="shared" si="245"/>
        <v>0</v>
      </c>
      <c r="AD217" s="242"/>
      <c r="AE217" s="243">
        <f t="shared" si="246"/>
        <v>1292108</v>
      </c>
      <c r="AF217" s="242"/>
      <c r="AG217" s="221">
        <f>'Adj 1 Response to AG-Nucor 1-43'!AI216</f>
        <v>0</v>
      </c>
      <c r="AH217" s="242"/>
      <c r="AI217" s="244">
        <f t="shared" si="247"/>
        <v>1292108</v>
      </c>
      <c r="AJ217" s="242"/>
      <c r="AK217" s="142">
        <f t="shared" si="248"/>
        <v>0</v>
      </c>
      <c r="AL217" s="242"/>
      <c r="AM217" s="243">
        <f t="shared" si="249"/>
        <v>1292108</v>
      </c>
    </row>
    <row r="218" spans="1:43">
      <c r="A218" s="30">
        <v>354</v>
      </c>
      <c r="C218" s="13" t="s">
        <v>89</v>
      </c>
      <c r="E218" s="157">
        <v>3853520.91</v>
      </c>
      <c r="F218" s="145"/>
      <c r="G218" s="158">
        <v>0</v>
      </c>
      <c r="H218" s="147"/>
      <c r="I218" s="26">
        <v>1.87</v>
      </c>
      <c r="J218" s="26"/>
      <c r="K218" s="147">
        <v>72129</v>
      </c>
      <c r="M218" s="142">
        <f t="shared" si="241"/>
        <v>0</v>
      </c>
      <c r="O218" s="143">
        <f t="shared" si="242"/>
        <v>72129</v>
      </c>
      <c r="Q218" s="221">
        <v>1.87</v>
      </c>
      <c r="S218" s="244">
        <f t="shared" si="250"/>
        <v>72129</v>
      </c>
      <c r="T218" s="242"/>
      <c r="U218" s="142">
        <f t="shared" si="251"/>
        <v>0</v>
      </c>
      <c r="V218" s="242"/>
      <c r="W218" s="243">
        <f t="shared" si="243"/>
        <v>72129</v>
      </c>
      <c r="X218" s="242"/>
      <c r="Y218" s="221">
        <v>1.87</v>
      </c>
      <c r="Z218" s="242"/>
      <c r="AA218" s="244">
        <f t="shared" si="244"/>
        <v>72129</v>
      </c>
      <c r="AB218" s="242"/>
      <c r="AC218" s="142">
        <f t="shared" si="245"/>
        <v>0</v>
      </c>
      <c r="AD218" s="242"/>
      <c r="AE218" s="243">
        <f t="shared" si="246"/>
        <v>72129</v>
      </c>
      <c r="AF218" s="242"/>
      <c r="AG218" s="221">
        <f>'Adj 1 Response to AG-Nucor 1-43'!AI217</f>
        <v>0</v>
      </c>
      <c r="AH218" s="242"/>
      <c r="AI218" s="244">
        <f t="shared" si="247"/>
        <v>72129</v>
      </c>
      <c r="AJ218" s="242"/>
      <c r="AK218" s="142">
        <f t="shared" si="248"/>
        <v>0</v>
      </c>
      <c r="AL218" s="242"/>
      <c r="AM218" s="243">
        <f t="shared" si="249"/>
        <v>72129</v>
      </c>
    </row>
    <row r="219" spans="1:43">
      <c r="A219" s="30">
        <v>355</v>
      </c>
      <c r="C219" s="13" t="s">
        <v>90</v>
      </c>
      <c r="E219" s="157">
        <v>240192196.53</v>
      </c>
      <c r="F219" s="145"/>
      <c r="G219" s="158">
        <v>0</v>
      </c>
      <c r="H219" s="147"/>
      <c r="I219" s="26">
        <v>3.24</v>
      </c>
      <c r="J219" s="26"/>
      <c r="K219" s="147">
        <v>7790779</v>
      </c>
      <c r="M219" s="142">
        <f t="shared" si="241"/>
        <v>0</v>
      </c>
      <c r="O219" s="143">
        <f t="shared" si="242"/>
        <v>7790779</v>
      </c>
      <c r="Q219" s="221">
        <v>3.24</v>
      </c>
      <c r="S219" s="244">
        <f t="shared" si="250"/>
        <v>7790779</v>
      </c>
      <c r="T219" s="242"/>
      <c r="U219" s="142">
        <f t="shared" si="251"/>
        <v>0</v>
      </c>
      <c r="V219" s="242"/>
      <c r="W219" s="243">
        <f t="shared" si="243"/>
        <v>7790779</v>
      </c>
      <c r="X219" s="242"/>
      <c r="Y219" s="221">
        <v>3.24</v>
      </c>
      <c r="Z219" s="242"/>
      <c r="AA219" s="244">
        <f t="shared" si="244"/>
        <v>7790779</v>
      </c>
      <c r="AB219" s="242"/>
      <c r="AC219" s="142">
        <f t="shared" si="245"/>
        <v>0</v>
      </c>
      <c r="AD219" s="242"/>
      <c r="AE219" s="243">
        <f t="shared" si="246"/>
        <v>7790779</v>
      </c>
      <c r="AF219" s="242"/>
      <c r="AG219" s="221">
        <f>'Adj 1 Response to AG-Nucor 1-43'!AI218</f>
        <v>0</v>
      </c>
      <c r="AH219" s="242"/>
      <c r="AI219" s="244">
        <f t="shared" si="247"/>
        <v>7790779</v>
      </c>
      <c r="AJ219" s="242"/>
      <c r="AK219" s="142">
        <f t="shared" si="248"/>
        <v>0</v>
      </c>
      <c r="AL219" s="242"/>
      <c r="AM219" s="243">
        <f t="shared" si="249"/>
        <v>7790779</v>
      </c>
    </row>
    <row r="220" spans="1:43">
      <c r="A220" s="30">
        <v>356</v>
      </c>
      <c r="C220" s="13" t="s">
        <v>91</v>
      </c>
      <c r="E220" s="157">
        <v>141259051.86000001</v>
      </c>
      <c r="F220" s="145"/>
      <c r="G220" s="158">
        <v>0</v>
      </c>
      <c r="H220" s="147"/>
      <c r="I220" s="26">
        <v>3.62</v>
      </c>
      <c r="J220" s="26"/>
      <c r="K220" s="147">
        <v>5110882</v>
      </c>
      <c r="M220" s="142">
        <f t="shared" si="241"/>
        <v>0</v>
      </c>
      <c r="O220" s="143">
        <f t="shared" si="242"/>
        <v>5110882</v>
      </c>
      <c r="Q220" s="221">
        <v>3.62</v>
      </c>
      <c r="S220" s="244">
        <f t="shared" si="250"/>
        <v>5110882</v>
      </c>
      <c r="T220" s="242"/>
      <c r="U220" s="142">
        <f t="shared" si="251"/>
        <v>0</v>
      </c>
      <c r="V220" s="242"/>
      <c r="W220" s="243">
        <f t="shared" si="243"/>
        <v>5110882</v>
      </c>
      <c r="X220" s="242"/>
      <c r="Y220" s="221">
        <v>3.62</v>
      </c>
      <c r="Z220" s="242"/>
      <c r="AA220" s="244">
        <f t="shared" si="244"/>
        <v>5110882</v>
      </c>
      <c r="AB220" s="242"/>
      <c r="AC220" s="142">
        <f t="shared" si="245"/>
        <v>0</v>
      </c>
      <c r="AD220" s="242"/>
      <c r="AE220" s="243">
        <f t="shared" si="246"/>
        <v>5110882</v>
      </c>
      <c r="AF220" s="242"/>
      <c r="AG220" s="221">
        <f>'Adj 1 Response to AG-Nucor 1-43'!AI219</f>
        <v>0</v>
      </c>
      <c r="AH220" s="242"/>
      <c r="AI220" s="244">
        <f t="shared" si="247"/>
        <v>5110882</v>
      </c>
      <c r="AJ220" s="242"/>
      <c r="AK220" s="142">
        <f t="shared" si="248"/>
        <v>0</v>
      </c>
      <c r="AL220" s="242"/>
      <c r="AM220" s="243">
        <f t="shared" si="249"/>
        <v>5110882</v>
      </c>
    </row>
    <row r="221" spans="1:43">
      <c r="A221" s="30">
        <v>359</v>
      </c>
      <c r="C221" s="13" t="s">
        <v>92</v>
      </c>
      <c r="E221" s="157">
        <v>22927.11</v>
      </c>
      <c r="F221" s="145"/>
      <c r="G221" s="146">
        <v>0</v>
      </c>
      <c r="H221" s="147"/>
      <c r="I221" s="26">
        <v>2.4300000000000002</v>
      </c>
      <c r="J221" s="26"/>
      <c r="K221" s="147">
        <v>557</v>
      </c>
      <c r="M221" s="149">
        <f t="shared" si="241"/>
        <v>0</v>
      </c>
      <c r="O221" s="150">
        <f t="shared" si="242"/>
        <v>557</v>
      </c>
      <c r="Q221" s="221">
        <v>2.4300000000000002</v>
      </c>
      <c r="S221" s="244">
        <f t="shared" si="250"/>
        <v>557</v>
      </c>
      <c r="T221" s="242"/>
      <c r="U221" s="142">
        <f t="shared" si="251"/>
        <v>0</v>
      </c>
      <c r="V221" s="242"/>
      <c r="W221" s="237">
        <f t="shared" si="243"/>
        <v>557</v>
      </c>
      <c r="X221" s="242"/>
      <c r="Y221" s="221">
        <v>2.4300000000000002</v>
      </c>
      <c r="Z221" s="242"/>
      <c r="AA221" s="244">
        <f t="shared" si="244"/>
        <v>557</v>
      </c>
      <c r="AB221" s="242"/>
      <c r="AC221" s="142">
        <f t="shared" si="245"/>
        <v>0</v>
      </c>
      <c r="AD221" s="242"/>
      <c r="AE221" s="237">
        <f t="shared" si="246"/>
        <v>557</v>
      </c>
      <c r="AF221" s="242"/>
      <c r="AG221" s="221">
        <f>'Adj 1 Response to AG-Nucor 1-43'!AI220</f>
        <v>0</v>
      </c>
      <c r="AH221" s="242"/>
      <c r="AI221" s="244">
        <f t="shared" si="247"/>
        <v>557</v>
      </c>
      <c r="AJ221" s="242"/>
      <c r="AK221" s="142">
        <f t="shared" si="248"/>
        <v>0</v>
      </c>
      <c r="AL221" s="242"/>
      <c r="AM221" s="237">
        <f t="shared" si="249"/>
        <v>557</v>
      </c>
    </row>
    <row r="222" spans="1:43">
      <c r="A222" s="30"/>
      <c r="E222" s="165"/>
      <c r="G222" s="156"/>
      <c r="I222" s="26"/>
      <c r="J222" s="26"/>
      <c r="K222" s="32"/>
      <c r="M222" s="142"/>
      <c r="O222" s="143"/>
      <c r="Q222" s="221"/>
      <c r="S222" s="245"/>
      <c r="T222" s="242"/>
      <c r="U222" s="142"/>
      <c r="V222" s="242"/>
      <c r="W222" s="243"/>
      <c r="X222" s="242"/>
      <c r="Y222" s="221"/>
      <c r="Z222" s="242"/>
      <c r="AA222" s="245"/>
      <c r="AB222" s="242"/>
      <c r="AC222" s="142"/>
      <c r="AD222" s="242"/>
      <c r="AE222" s="243"/>
      <c r="AF222" s="242"/>
      <c r="AG222" s="221"/>
      <c r="AH222" s="242"/>
      <c r="AI222" s="245"/>
      <c r="AJ222" s="242"/>
      <c r="AK222" s="142"/>
      <c r="AL222" s="242"/>
      <c r="AM222" s="243"/>
    </row>
    <row r="223" spans="1:43" ht="15.75">
      <c r="A223" s="30"/>
      <c r="C223" s="31" t="s">
        <v>93</v>
      </c>
      <c r="E223" s="151">
        <f>SUBTOTAL(9,E216:E222)</f>
        <v>704717332.76000011</v>
      </c>
      <c r="F223" s="22"/>
      <c r="G223" s="153">
        <f t="shared" ref="G223" si="252">SUBTOTAL(9,G216:G222)</f>
        <v>28151327.5</v>
      </c>
      <c r="H223" s="35"/>
      <c r="I223" s="23">
        <f>+ROUND(K223/E223*100,2)</f>
        <v>3.28</v>
      </c>
      <c r="J223" s="23"/>
      <c r="K223" s="35">
        <f>SUBTOTAL(9,K216:K222)</f>
        <v>23096245</v>
      </c>
      <c r="M223" s="163">
        <f t="shared" ref="M223" si="253">SUBTOTAL(9,M216:M222)</f>
        <v>802313</v>
      </c>
      <c r="O223" s="35">
        <f t="shared" ref="O223" si="254">SUBTOTAL(9,O216:O222)</f>
        <v>22293932</v>
      </c>
      <c r="Q223" s="222">
        <f>+ROUND(S223/E223*100,2)</f>
        <v>3.28</v>
      </c>
      <c r="S223" s="246">
        <f>SUBTOTAL(9,S216:S222)</f>
        <v>23096245</v>
      </c>
      <c r="T223" s="242"/>
      <c r="U223" s="163">
        <f t="shared" ref="U223" si="255">SUBTOTAL(9,U216:U222)</f>
        <v>802313</v>
      </c>
      <c r="V223" s="242"/>
      <c r="W223" s="246">
        <f t="shared" ref="W223" si="256">SUBTOTAL(9,W216:W222)</f>
        <v>22293932</v>
      </c>
      <c r="X223" s="242"/>
      <c r="Y223" s="222">
        <f>+ROUND(AA223/E223*100,2)</f>
        <v>3.28</v>
      </c>
      <c r="Z223" s="242"/>
      <c r="AA223" s="246">
        <f>SUBTOTAL(9,AA216:AA222)</f>
        <v>23096245</v>
      </c>
      <c r="AB223" s="242"/>
      <c r="AC223" s="163">
        <f t="shared" ref="AC223" si="257">SUBTOTAL(9,AC216:AC222)</f>
        <v>802313</v>
      </c>
      <c r="AD223" s="242"/>
      <c r="AE223" s="246">
        <f t="shared" ref="AE223" si="258">SUBTOTAL(9,AE216:AE222)</f>
        <v>22293932</v>
      </c>
      <c r="AF223" s="242"/>
      <c r="AG223" s="222">
        <f>+ROUND(AI223/E223*100,2)</f>
        <v>3.28</v>
      </c>
      <c r="AH223" s="242"/>
      <c r="AI223" s="246">
        <f>SUBTOTAL(9,AI216:AI222)</f>
        <v>23096245</v>
      </c>
      <c r="AJ223" s="242"/>
      <c r="AK223" s="163">
        <f t="shared" ref="AK223" si="259">SUBTOTAL(9,AK216:AK222)</f>
        <v>802313</v>
      </c>
      <c r="AL223" s="242"/>
      <c r="AM223" s="246">
        <f t="shared" ref="AM223" si="260">SUBTOTAL(9,AM216:AM222)</f>
        <v>22293932</v>
      </c>
      <c r="AP223" s="15"/>
    </row>
    <row r="224" spans="1:43">
      <c r="A224" s="30"/>
      <c r="E224" s="157"/>
      <c r="G224" s="156"/>
      <c r="I224" s="26"/>
      <c r="J224" s="26"/>
      <c r="M224" s="142"/>
      <c r="O224" s="143"/>
      <c r="Q224" s="221"/>
      <c r="S224" s="241"/>
      <c r="T224" s="242"/>
      <c r="U224" s="142"/>
      <c r="V224" s="242"/>
      <c r="W224" s="243"/>
      <c r="X224" s="242"/>
      <c r="Y224" s="221"/>
      <c r="Z224" s="242"/>
      <c r="AA224" s="241"/>
      <c r="AB224" s="242"/>
      <c r="AC224" s="142"/>
      <c r="AD224" s="242"/>
      <c r="AE224" s="243"/>
      <c r="AF224" s="242"/>
      <c r="AG224" s="221"/>
      <c r="AH224" s="242"/>
      <c r="AI224" s="241"/>
      <c r="AJ224" s="242"/>
      <c r="AK224" s="142"/>
      <c r="AL224" s="242"/>
      <c r="AM224" s="243"/>
    </row>
    <row r="225" spans="1:42" ht="15.75">
      <c r="A225" s="30"/>
      <c r="C225" s="18" t="s">
        <v>94</v>
      </c>
      <c r="E225" s="157"/>
      <c r="G225" s="156"/>
      <c r="I225" s="26"/>
      <c r="J225" s="26"/>
      <c r="M225" s="142"/>
      <c r="O225" s="143"/>
      <c r="Q225" s="221"/>
      <c r="S225" s="241"/>
      <c r="T225" s="242"/>
      <c r="U225" s="142"/>
      <c r="V225" s="242"/>
      <c r="W225" s="243"/>
      <c r="X225" s="242"/>
      <c r="Y225" s="221"/>
      <c r="Z225" s="242"/>
      <c r="AA225" s="241"/>
      <c r="AB225" s="242"/>
      <c r="AC225" s="142"/>
      <c r="AD225" s="242"/>
      <c r="AE225" s="243"/>
      <c r="AF225" s="242"/>
      <c r="AG225" s="221"/>
      <c r="AH225" s="242"/>
      <c r="AI225" s="241"/>
      <c r="AJ225" s="242"/>
      <c r="AK225" s="142"/>
      <c r="AL225" s="242"/>
      <c r="AM225" s="243"/>
    </row>
    <row r="226" spans="1:42" ht="15.75">
      <c r="A226" s="30"/>
      <c r="C226" s="25"/>
      <c r="E226" s="157"/>
      <c r="G226" s="156"/>
      <c r="I226" s="26"/>
      <c r="J226" s="26"/>
      <c r="M226" s="142"/>
      <c r="O226" s="143"/>
      <c r="Q226" s="221"/>
      <c r="S226" s="241"/>
      <c r="T226" s="242"/>
      <c r="U226" s="142"/>
      <c r="V226" s="242"/>
      <c r="W226" s="243"/>
      <c r="X226" s="242"/>
      <c r="Y226" s="221"/>
      <c r="Z226" s="242"/>
      <c r="AA226" s="241"/>
      <c r="AB226" s="242"/>
      <c r="AC226" s="142"/>
      <c r="AD226" s="242"/>
      <c r="AE226" s="243"/>
      <c r="AF226" s="242"/>
      <c r="AG226" s="221"/>
      <c r="AH226" s="242"/>
      <c r="AI226" s="241"/>
      <c r="AJ226" s="242"/>
      <c r="AK226" s="142"/>
      <c r="AL226" s="242"/>
      <c r="AM226" s="243"/>
    </row>
    <row r="227" spans="1:42">
      <c r="A227" s="30">
        <v>362</v>
      </c>
      <c r="C227" s="13" t="s">
        <v>87</v>
      </c>
      <c r="E227" s="157">
        <v>325863839.04000002</v>
      </c>
      <c r="F227" s="145"/>
      <c r="G227" s="158">
        <v>0</v>
      </c>
      <c r="H227" s="147"/>
      <c r="I227" s="26">
        <v>2.58</v>
      </c>
      <c r="J227" s="26"/>
      <c r="K227" s="147">
        <v>8410892</v>
      </c>
      <c r="M227" s="142">
        <f t="shared" si="241"/>
        <v>0</v>
      </c>
      <c r="O227" s="143">
        <f t="shared" si="242"/>
        <v>8410892</v>
      </c>
      <c r="Q227" s="221">
        <v>2.58</v>
      </c>
      <c r="S227" s="244">
        <f t="shared" ref="S227:S229" si="261">$K227</f>
        <v>8410892</v>
      </c>
      <c r="T227" s="242"/>
      <c r="U227" s="142">
        <f t="shared" ref="U227:U229" si="262">$M227</f>
        <v>0</v>
      </c>
      <c r="V227" s="242"/>
      <c r="W227" s="243">
        <f t="shared" ref="W227:W229" si="263">S227-U227</f>
        <v>8410892</v>
      </c>
      <c r="X227" s="242"/>
      <c r="Y227" s="221">
        <v>2.58</v>
      </c>
      <c r="Z227" s="242"/>
      <c r="AA227" s="244">
        <f t="shared" ref="AA227:AA229" si="264">$K227</f>
        <v>8410892</v>
      </c>
      <c r="AB227" s="242"/>
      <c r="AC227" s="142">
        <f t="shared" ref="AC227:AC229" si="265">$M227</f>
        <v>0</v>
      </c>
      <c r="AD227" s="242"/>
      <c r="AE227" s="243">
        <f t="shared" ref="AE227:AE229" si="266">AA227-AC227</f>
        <v>8410892</v>
      </c>
      <c r="AF227" s="242"/>
      <c r="AG227" s="221">
        <f>'Adj 1 Response to AG-Nucor 1-43'!AI226</f>
        <v>0</v>
      </c>
      <c r="AH227" s="242"/>
      <c r="AI227" s="244">
        <f t="shared" ref="AI227:AI229" si="267">$K227</f>
        <v>8410892</v>
      </c>
      <c r="AJ227" s="242"/>
      <c r="AK227" s="142">
        <f t="shared" ref="AK227:AK229" si="268">$M227</f>
        <v>0</v>
      </c>
      <c r="AL227" s="242"/>
      <c r="AM227" s="243">
        <f t="shared" ref="AM227:AM230" si="269">AI227-AK227</f>
        <v>8410892</v>
      </c>
    </row>
    <row r="228" spans="1:42">
      <c r="A228" s="30">
        <v>362.1</v>
      </c>
      <c r="C228" s="13" t="s">
        <v>95</v>
      </c>
      <c r="E228" s="157">
        <v>7799614.71</v>
      </c>
      <c r="F228" s="145"/>
      <c r="G228" s="158">
        <v>0</v>
      </c>
      <c r="H228" s="147"/>
      <c r="I228" s="26">
        <v>1.92</v>
      </c>
      <c r="J228" s="26"/>
      <c r="K228" s="147">
        <v>149696</v>
      </c>
      <c r="M228" s="142">
        <f t="shared" si="241"/>
        <v>0</v>
      </c>
      <c r="O228" s="143">
        <f t="shared" si="242"/>
        <v>149696</v>
      </c>
      <c r="Q228" s="221">
        <v>1.92</v>
      </c>
      <c r="S228" s="244">
        <f t="shared" si="261"/>
        <v>149696</v>
      </c>
      <c r="T228" s="242"/>
      <c r="U228" s="142">
        <f t="shared" si="262"/>
        <v>0</v>
      </c>
      <c r="V228" s="242"/>
      <c r="W228" s="243">
        <f t="shared" si="263"/>
        <v>149696</v>
      </c>
      <c r="X228" s="242"/>
      <c r="Y228" s="221">
        <v>1.92</v>
      </c>
      <c r="Z228" s="242"/>
      <c r="AA228" s="244">
        <f t="shared" si="264"/>
        <v>149696</v>
      </c>
      <c r="AB228" s="242"/>
      <c r="AC228" s="142">
        <f t="shared" si="265"/>
        <v>0</v>
      </c>
      <c r="AD228" s="242"/>
      <c r="AE228" s="243">
        <f t="shared" si="266"/>
        <v>149696</v>
      </c>
      <c r="AF228" s="242"/>
      <c r="AG228" s="221">
        <f>'Adj 1 Response to AG-Nucor 1-43'!AI227</f>
        <v>0</v>
      </c>
      <c r="AH228" s="242"/>
      <c r="AI228" s="244">
        <f t="shared" si="267"/>
        <v>149696</v>
      </c>
      <c r="AJ228" s="242"/>
      <c r="AK228" s="142">
        <f t="shared" si="268"/>
        <v>0</v>
      </c>
      <c r="AL228" s="242"/>
      <c r="AM228" s="243">
        <f t="shared" si="269"/>
        <v>149696</v>
      </c>
    </row>
    <row r="229" spans="1:42">
      <c r="A229" s="30">
        <v>368</v>
      </c>
      <c r="C229" s="13" t="s">
        <v>96</v>
      </c>
      <c r="E229" s="157">
        <v>2409681</v>
      </c>
      <c r="F229" s="145"/>
      <c r="G229" s="146">
        <v>0</v>
      </c>
      <c r="H229" s="147"/>
      <c r="I229" s="26">
        <v>1.08</v>
      </c>
      <c r="J229" s="26"/>
      <c r="K229" s="147">
        <v>26019</v>
      </c>
      <c r="M229" s="149">
        <f t="shared" si="241"/>
        <v>0</v>
      </c>
      <c r="O229" s="150">
        <f t="shared" si="242"/>
        <v>26019</v>
      </c>
      <c r="Q229" s="221">
        <v>1.08</v>
      </c>
      <c r="S229" s="244">
        <f t="shared" si="261"/>
        <v>26019</v>
      </c>
      <c r="T229" s="242"/>
      <c r="U229" s="142">
        <f t="shared" si="262"/>
        <v>0</v>
      </c>
      <c r="V229" s="242"/>
      <c r="W229" s="237">
        <f t="shared" si="263"/>
        <v>26019</v>
      </c>
      <c r="X229" s="242"/>
      <c r="Y229" s="221">
        <v>1.08</v>
      </c>
      <c r="Z229" s="242"/>
      <c r="AA229" s="244">
        <f t="shared" si="264"/>
        <v>26019</v>
      </c>
      <c r="AB229" s="242"/>
      <c r="AC229" s="142">
        <f t="shared" si="265"/>
        <v>0</v>
      </c>
      <c r="AD229" s="242"/>
      <c r="AE229" s="237">
        <f t="shared" si="266"/>
        <v>26019</v>
      </c>
      <c r="AF229" s="242"/>
      <c r="AG229" s="221">
        <f>'Adj 1 Response to AG-Nucor 1-43'!AI228</f>
        <v>0</v>
      </c>
      <c r="AH229" s="242"/>
      <c r="AI229" s="244">
        <f t="shared" si="267"/>
        <v>26019</v>
      </c>
      <c r="AJ229" s="242"/>
      <c r="AK229" s="142">
        <f t="shared" si="268"/>
        <v>0</v>
      </c>
      <c r="AL229" s="242"/>
      <c r="AM229" s="237">
        <f t="shared" si="269"/>
        <v>26019</v>
      </c>
    </row>
    <row r="230" spans="1:42">
      <c r="A230" s="30"/>
      <c r="E230" s="165"/>
      <c r="G230" s="156"/>
      <c r="I230" s="26"/>
      <c r="J230" s="26"/>
      <c r="K230" s="32"/>
      <c r="M230" s="142">
        <f t="shared" si="241"/>
        <v>0</v>
      </c>
      <c r="O230" s="143">
        <f t="shared" si="242"/>
        <v>0</v>
      </c>
      <c r="Q230" s="221"/>
      <c r="S230" s="245"/>
      <c r="T230" s="242"/>
      <c r="U230" s="142"/>
      <c r="V230" s="242"/>
      <c r="W230" s="243"/>
      <c r="X230" s="242"/>
      <c r="Y230" s="221"/>
      <c r="Z230" s="242"/>
      <c r="AA230" s="245"/>
      <c r="AB230" s="242"/>
      <c r="AC230" s="142">
        <f t="shared" ref="AC230" si="270">ROUND(W230*(Y230/100),0)</f>
        <v>0</v>
      </c>
      <c r="AD230" s="242"/>
      <c r="AE230" s="243">
        <f t="shared" ref="AE230" si="271">AA230-AC230</f>
        <v>0</v>
      </c>
      <c r="AF230" s="242"/>
      <c r="AG230" s="221"/>
      <c r="AH230" s="242"/>
      <c r="AI230" s="245"/>
      <c r="AJ230" s="242"/>
      <c r="AK230" s="142">
        <f t="shared" ref="AK230" si="272">ROUND(AE230*(AG230/100),0)</f>
        <v>0</v>
      </c>
      <c r="AL230" s="242"/>
      <c r="AM230" s="243">
        <f t="shared" si="269"/>
        <v>0</v>
      </c>
    </row>
    <row r="231" spans="1:42" ht="15.75">
      <c r="A231" s="30"/>
      <c r="C231" s="31" t="s">
        <v>97</v>
      </c>
      <c r="E231" s="151">
        <f>SUBTOTAL(9,E227:E230)</f>
        <v>336073134.75</v>
      </c>
      <c r="F231" s="22"/>
      <c r="G231" s="164">
        <f t="shared" ref="G231" si="273">SUBTOTAL(9,G227:G230)</f>
        <v>0</v>
      </c>
      <c r="H231" s="35"/>
      <c r="I231" s="23">
        <f>+ROUND(K231/E231*100,2)</f>
        <v>2.5499999999999998</v>
      </c>
      <c r="J231" s="23"/>
      <c r="K231" s="35">
        <f>SUBTOTAL(9,K227:K230)</f>
        <v>8586607</v>
      </c>
      <c r="L231" s="22"/>
      <c r="M231" s="163">
        <f t="shared" ref="M231" si="274">SUBTOTAL(9,M227:M230)</f>
        <v>0</v>
      </c>
      <c r="O231" s="35">
        <f t="shared" ref="O231" si="275">SUBTOTAL(9,O227:O230)</f>
        <v>8586607</v>
      </c>
      <c r="Q231" s="222">
        <f>+ROUND(S231/E231*100,2)</f>
        <v>2.5499999999999998</v>
      </c>
      <c r="S231" s="246">
        <f>SUBTOTAL(9,S227:S230)</f>
        <v>8586607</v>
      </c>
      <c r="T231" s="247"/>
      <c r="U231" s="163">
        <f t="shared" ref="U231" si="276">SUBTOTAL(9,U227:U230)</f>
        <v>0</v>
      </c>
      <c r="V231" s="242"/>
      <c r="W231" s="246">
        <f t="shared" ref="W231" si="277">SUBTOTAL(9,W227:W230)</f>
        <v>8586607</v>
      </c>
      <c r="X231" s="242"/>
      <c r="Y231" s="222">
        <f>+ROUND(AA231/E231*100,2)</f>
        <v>2.5499999999999998</v>
      </c>
      <c r="Z231" s="242"/>
      <c r="AA231" s="246">
        <f>SUBTOTAL(9,AA227:AA230)</f>
        <v>8586607</v>
      </c>
      <c r="AB231" s="247"/>
      <c r="AC231" s="163">
        <f t="shared" ref="AC231" si="278">SUBTOTAL(9,AC227:AC230)</f>
        <v>0</v>
      </c>
      <c r="AD231" s="242"/>
      <c r="AE231" s="246">
        <f t="shared" ref="AE231" si="279">SUBTOTAL(9,AE227:AE230)</f>
        <v>8586607</v>
      </c>
      <c r="AF231" s="242"/>
      <c r="AG231" s="222">
        <f>+ROUND(AI231/E231*100,2)</f>
        <v>2.5499999999999998</v>
      </c>
      <c r="AH231" s="242"/>
      <c r="AI231" s="246">
        <f>SUBTOTAL(9,AI227:AI230)</f>
        <v>8586607</v>
      </c>
      <c r="AJ231" s="247"/>
      <c r="AK231" s="163">
        <f t="shared" ref="AK231" si="280">SUBTOTAL(9,AK227:AK230)</f>
        <v>0</v>
      </c>
      <c r="AL231" s="242"/>
      <c r="AM231" s="246">
        <f t="shared" ref="AM231" si="281">SUBTOTAL(9,AM227:AM230)</f>
        <v>8586607</v>
      </c>
      <c r="AP231" s="15"/>
    </row>
    <row r="232" spans="1:42">
      <c r="A232" s="30"/>
      <c r="E232" s="157"/>
      <c r="G232" s="156"/>
      <c r="I232" s="26"/>
      <c r="J232" s="26"/>
      <c r="M232" s="142"/>
      <c r="O232" s="143"/>
      <c r="Q232" s="221"/>
      <c r="S232" s="241"/>
      <c r="T232" s="242"/>
      <c r="U232" s="142"/>
      <c r="V232" s="242"/>
      <c r="W232" s="243"/>
      <c r="X232" s="242"/>
      <c r="Y232" s="221"/>
      <c r="Z232" s="242"/>
      <c r="AA232" s="241"/>
      <c r="AB232" s="242"/>
      <c r="AC232" s="142"/>
      <c r="AD232" s="242"/>
      <c r="AE232" s="243"/>
      <c r="AF232" s="242"/>
      <c r="AG232" s="221"/>
      <c r="AH232" s="242"/>
      <c r="AI232" s="241"/>
      <c r="AJ232" s="242"/>
      <c r="AK232" s="142"/>
      <c r="AL232" s="242"/>
      <c r="AM232" s="243"/>
    </row>
    <row r="233" spans="1:42" ht="15.75">
      <c r="A233" s="30"/>
      <c r="C233" s="18" t="s">
        <v>98</v>
      </c>
      <c r="E233" s="157"/>
      <c r="G233" s="156"/>
      <c r="I233" s="26"/>
      <c r="J233" s="26"/>
      <c r="M233" s="142"/>
      <c r="O233" s="143"/>
      <c r="Q233" s="221"/>
      <c r="S233" s="241"/>
      <c r="T233" s="242"/>
      <c r="U233" s="142"/>
      <c r="V233" s="242"/>
      <c r="W233" s="243"/>
      <c r="X233" s="242"/>
      <c r="Y233" s="221"/>
      <c r="Z233" s="242"/>
      <c r="AA233" s="241"/>
      <c r="AB233" s="242"/>
      <c r="AC233" s="142"/>
      <c r="AD233" s="242"/>
      <c r="AE233" s="243"/>
      <c r="AF233" s="242"/>
      <c r="AG233" s="221"/>
      <c r="AH233" s="242"/>
      <c r="AI233" s="241"/>
      <c r="AJ233" s="242"/>
      <c r="AK233" s="142"/>
      <c r="AL233" s="242"/>
      <c r="AM233" s="243"/>
    </row>
    <row r="234" spans="1:42" ht="15.75">
      <c r="A234" s="30"/>
      <c r="C234" s="25"/>
      <c r="E234" s="157"/>
      <c r="G234" s="156"/>
      <c r="I234" s="26"/>
      <c r="J234" s="26"/>
      <c r="M234" s="142"/>
      <c r="O234" s="143"/>
      <c r="Q234" s="221"/>
      <c r="S234" s="241"/>
      <c r="T234" s="242"/>
      <c r="U234" s="142"/>
      <c r="V234" s="242"/>
      <c r="W234" s="243"/>
      <c r="X234" s="242"/>
      <c r="Y234" s="221"/>
      <c r="Z234" s="242"/>
      <c r="AA234" s="241"/>
      <c r="AB234" s="242"/>
      <c r="AC234" s="142"/>
      <c r="AD234" s="242"/>
      <c r="AE234" s="243"/>
      <c r="AF234" s="242"/>
      <c r="AG234" s="221"/>
      <c r="AH234" s="242"/>
      <c r="AI234" s="241"/>
      <c r="AJ234" s="242"/>
      <c r="AK234" s="142"/>
      <c r="AL234" s="242"/>
      <c r="AM234" s="243"/>
    </row>
    <row r="235" spans="1:42">
      <c r="A235" s="30">
        <v>390</v>
      </c>
      <c r="C235" s="34" t="s">
        <v>99</v>
      </c>
      <c r="E235" s="157">
        <v>19910932.050000001</v>
      </c>
      <c r="F235" s="145"/>
      <c r="G235" s="158">
        <v>0</v>
      </c>
      <c r="H235" s="147"/>
      <c r="I235" s="26">
        <v>1.63</v>
      </c>
      <c r="J235" s="26"/>
      <c r="K235" s="147">
        <v>325154</v>
      </c>
      <c r="M235" s="142">
        <f t="shared" si="241"/>
        <v>0</v>
      </c>
      <c r="O235" s="143">
        <f t="shared" si="242"/>
        <v>325154</v>
      </c>
      <c r="Q235" s="221">
        <v>1.63</v>
      </c>
      <c r="S235" s="244">
        <f t="shared" ref="S235:S244" si="282">$K235</f>
        <v>325154</v>
      </c>
      <c r="T235" s="242"/>
      <c r="U235" s="142">
        <f t="shared" ref="U235:U244" si="283">$M235</f>
        <v>0</v>
      </c>
      <c r="V235" s="242"/>
      <c r="W235" s="243">
        <f t="shared" ref="W235:W244" si="284">S235-U235</f>
        <v>325154</v>
      </c>
      <c r="X235" s="242"/>
      <c r="Y235" s="221">
        <v>1.63</v>
      </c>
      <c r="Z235" s="242"/>
      <c r="AA235" s="244">
        <f t="shared" ref="AA235:AA244" si="285">$K235</f>
        <v>325154</v>
      </c>
      <c r="AB235" s="242"/>
      <c r="AC235" s="142">
        <f t="shared" ref="AC235:AC244" si="286">$M235</f>
        <v>0</v>
      </c>
      <c r="AD235" s="242"/>
      <c r="AE235" s="243">
        <f t="shared" ref="AE235:AE244" si="287">AA235-AC235</f>
        <v>325154</v>
      </c>
      <c r="AF235" s="242"/>
      <c r="AG235" s="221">
        <f>'Adj 1 Response to AG-Nucor 1-43'!AI234</f>
        <v>0</v>
      </c>
      <c r="AH235" s="242"/>
      <c r="AI235" s="244">
        <f t="shared" ref="AI235:AI244" si="288">$K235</f>
        <v>325154</v>
      </c>
      <c r="AJ235" s="242"/>
      <c r="AK235" s="142">
        <f t="shared" ref="AK235:AK244" si="289">$M235</f>
        <v>0</v>
      </c>
      <c r="AL235" s="242"/>
      <c r="AM235" s="243">
        <f t="shared" ref="AM235:AM244" si="290">AI235-AK235</f>
        <v>325154</v>
      </c>
    </row>
    <row r="236" spans="1:42">
      <c r="A236" s="30">
        <v>391</v>
      </c>
      <c r="C236" s="13" t="s">
        <v>100</v>
      </c>
      <c r="E236" s="157">
        <v>13849222.77</v>
      </c>
      <c r="F236" s="145"/>
      <c r="G236" s="158">
        <v>0</v>
      </c>
      <c r="H236" s="147"/>
      <c r="I236" s="26">
        <v>5</v>
      </c>
      <c r="J236" s="26"/>
      <c r="K236" s="147">
        <v>692290</v>
      </c>
      <c r="M236" s="142">
        <f t="shared" si="241"/>
        <v>0</v>
      </c>
      <c r="O236" s="143">
        <f t="shared" si="242"/>
        <v>692290</v>
      </c>
      <c r="Q236" s="221">
        <v>5</v>
      </c>
      <c r="S236" s="244">
        <f t="shared" si="282"/>
        <v>692290</v>
      </c>
      <c r="T236" s="242"/>
      <c r="U236" s="142">
        <f t="shared" si="283"/>
        <v>0</v>
      </c>
      <c r="V236" s="242"/>
      <c r="W236" s="243">
        <f t="shared" si="284"/>
        <v>692290</v>
      </c>
      <c r="X236" s="242"/>
      <c r="Y236" s="221">
        <v>5</v>
      </c>
      <c r="Z236" s="242"/>
      <c r="AA236" s="244">
        <f t="shared" si="285"/>
        <v>692290</v>
      </c>
      <c r="AB236" s="242"/>
      <c r="AC236" s="142">
        <f t="shared" si="286"/>
        <v>0</v>
      </c>
      <c r="AD236" s="242"/>
      <c r="AE236" s="243">
        <f t="shared" si="287"/>
        <v>692290</v>
      </c>
      <c r="AF236" s="242"/>
      <c r="AG236" s="221">
        <f>'Adj 1 Response to AG-Nucor 1-43'!AI235</f>
        <v>0</v>
      </c>
      <c r="AH236" s="242"/>
      <c r="AI236" s="244">
        <f t="shared" si="288"/>
        <v>692290</v>
      </c>
      <c r="AJ236" s="242"/>
      <c r="AK236" s="142">
        <f t="shared" si="289"/>
        <v>0</v>
      </c>
      <c r="AL236" s="242"/>
      <c r="AM236" s="243">
        <f t="shared" si="290"/>
        <v>692290</v>
      </c>
    </row>
    <row r="237" spans="1:42">
      <c r="A237" s="30">
        <v>391.1</v>
      </c>
      <c r="C237" s="13" t="s">
        <v>101</v>
      </c>
      <c r="E237" s="157">
        <v>21265400.890000001</v>
      </c>
      <c r="F237" s="145"/>
      <c r="G237" s="158">
        <v>0</v>
      </c>
      <c r="H237" s="147"/>
      <c r="I237" s="26">
        <v>6.67</v>
      </c>
      <c r="J237" s="26"/>
      <c r="K237" s="147">
        <v>1417691</v>
      </c>
      <c r="M237" s="142">
        <f t="shared" si="241"/>
        <v>0</v>
      </c>
      <c r="O237" s="143">
        <f t="shared" si="242"/>
        <v>1417691</v>
      </c>
      <c r="Q237" s="221">
        <v>6.67</v>
      </c>
      <c r="S237" s="244">
        <f t="shared" si="282"/>
        <v>1417691</v>
      </c>
      <c r="T237" s="242"/>
      <c r="U237" s="142">
        <f t="shared" si="283"/>
        <v>0</v>
      </c>
      <c r="V237" s="242"/>
      <c r="W237" s="243">
        <f t="shared" si="284"/>
        <v>1417691</v>
      </c>
      <c r="X237" s="242"/>
      <c r="Y237" s="221">
        <v>6.67</v>
      </c>
      <c r="Z237" s="242"/>
      <c r="AA237" s="244">
        <f t="shared" si="285"/>
        <v>1417691</v>
      </c>
      <c r="AB237" s="242"/>
      <c r="AC237" s="142">
        <f t="shared" si="286"/>
        <v>0</v>
      </c>
      <c r="AD237" s="242"/>
      <c r="AE237" s="243">
        <f t="shared" si="287"/>
        <v>1417691</v>
      </c>
      <c r="AF237" s="242"/>
      <c r="AG237" s="221">
        <f>'Adj 1 Response to AG-Nucor 1-43'!AI236</f>
        <v>0</v>
      </c>
      <c r="AH237" s="242"/>
      <c r="AI237" s="244">
        <f t="shared" si="288"/>
        <v>1417691</v>
      </c>
      <c r="AJ237" s="242"/>
      <c r="AK237" s="142">
        <f t="shared" si="289"/>
        <v>0</v>
      </c>
      <c r="AL237" s="242"/>
      <c r="AM237" s="243">
        <f t="shared" si="290"/>
        <v>1417691</v>
      </c>
    </row>
    <row r="238" spans="1:42">
      <c r="A238" s="30">
        <v>392</v>
      </c>
      <c r="C238" s="13" t="s">
        <v>102</v>
      </c>
      <c r="E238" s="157">
        <v>21791109.350000001</v>
      </c>
      <c r="F238" s="145"/>
      <c r="G238" s="158">
        <v>0</v>
      </c>
      <c r="H238" s="147"/>
      <c r="I238" s="26">
        <v>8.0500000000000007</v>
      </c>
      <c r="J238" s="26"/>
      <c r="K238" s="147">
        <v>1753581</v>
      </c>
      <c r="M238" s="142">
        <f t="shared" si="241"/>
        <v>0</v>
      </c>
      <c r="O238" s="143">
        <f t="shared" si="242"/>
        <v>1753581</v>
      </c>
      <c r="Q238" s="221">
        <v>8.0500000000000007</v>
      </c>
      <c r="S238" s="244">
        <f t="shared" si="282"/>
        <v>1753581</v>
      </c>
      <c r="T238" s="242"/>
      <c r="U238" s="142">
        <f t="shared" si="283"/>
        <v>0</v>
      </c>
      <c r="V238" s="242"/>
      <c r="W238" s="243">
        <f t="shared" si="284"/>
        <v>1753581</v>
      </c>
      <c r="X238" s="242"/>
      <c r="Y238" s="221">
        <v>8.0500000000000007</v>
      </c>
      <c r="Z238" s="242"/>
      <c r="AA238" s="244">
        <f t="shared" si="285"/>
        <v>1753581</v>
      </c>
      <c r="AB238" s="242"/>
      <c r="AC238" s="142">
        <f t="shared" si="286"/>
        <v>0</v>
      </c>
      <c r="AD238" s="242"/>
      <c r="AE238" s="243">
        <f t="shared" si="287"/>
        <v>1753581</v>
      </c>
      <c r="AF238" s="242"/>
      <c r="AG238" s="221">
        <f>'Adj 1 Response to AG-Nucor 1-43'!AI237</f>
        <v>0</v>
      </c>
      <c r="AH238" s="242"/>
      <c r="AI238" s="244">
        <f t="shared" si="288"/>
        <v>1753581</v>
      </c>
      <c r="AJ238" s="242"/>
      <c r="AK238" s="142">
        <f t="shared" si="289"/>
        <v>0</v>
      </c>
      <c r="AL238" s="242"/>
      <c r="AM238" s="243">
        <f t="shared" si="290"/>
        <v>1753581</v>
      </c>
    </row>
    <row r="239" spans="1:42">
      <c r="A239" s="30">
        <v>393</v>
      </c>
      <c r="C239" s="34" t="s">
        <v>103</v>
      </c>
      <c r="E239" s="157">
        <v>80885.399999999994</v>
      </c>
      <c r="F239" s="145"/>
      <c r="G239" s="158">
        <v>0</v>
      </c>
      <c r="H239" s="147"/>
      <c r="I239" s="26">
        <v>4</v>
      </c>
      <c r="J239" s="26"/>
      <c r="K239" s="147">
        <v>3236</v>
      </c>
      <c r="M239" s="142">
        <f t="shared" si="241"/>
        <v>0</v>
      </c>
      <c r="O239" s="143">
        <f t="shared" si="242"/>
        <v>3236</v>
      </c>
      <c r="Q239" s="221">
        <v>4</v>
      </c>
      <c r="S239" s="244">
        <f t="shared" si="282"/>
        <v>3236</v>
      </c>
      <c r="T239" s="242"/>
      <c r="U239" s="142">
        <f t="shared" si="283"/>
        <v>0</v>
      </c>
      <c r="V239" s="242"/>
      <c r="W239" s="243">
        <f t="shared" si="284"/>
        <v>3236</v>
      </c>
      <c r="X239" s="242"/>
      <c r="Y239" s="221">
        <v>4</v>
      </c>
      <c r="Z239" s="242"/>
      <c r="AA239" s="244">
        <f t="shared" si="285"/>
        <v>3236</v>
      </c>
      <c r="AB239" s="242"/>
      <c r="AC239" s="142">
        <f t="shared" si="286"/>
        <v>0</v>
      </c>
      <c r="AD239" s="242"/>
      <c r="AE239" s="243">
        <f t="shared" si="287"/>
        <v>3236</v>
      </c>
      <c r="AF239" s="242"/>
      <c r="AG239" s="221">
        <f>'Adj 1 Response to AG-Nucor 1-43'!AI238</f>
        <v>0</v>
      </c>
      <c r="AH239" s="242"/>
      <c r="AI239" s="244">
        <f t="shared" si="288"/>
        <v>3236</v>
      </c>
      <c r="AJ239" s="242"/>
      <c r="AK239" s="142">
        <f t="shared" si="289"/>
        <v>0</v>
      </c>
      <c r="AL239" s="242"/>
      <c r="AM239" s="243">
        <f t="shared" si="290"/>
        <v>3236</v>
      </c>
    </row>
    <row r="240" spans="1:42">
      <c r="A240" s="30">
        <v>394</v>
      </c>
      <c r="C240" s="34" t="s">
        <v>104</v>
      </c>
      <c r="E240" s="157">
        <v>2014232.77</v>
      </c>
      <c r="F240" s="145"/>
      <c r="G240" s="158">
        <v>0</v>
      </c>
      <c r="H240" s="147"/>
      <c r="I240" s="26">
        <v>5</v>
      </c>
      <c r="J240" s="26"/>
      <c r="K240" s="147">
        <v>100716</v>
      </c>
      <c r="M240" s="142">
        <f t="shared" si="241"/>
        <v>0</v>
      </c>
      <c r="O240" s="143">
        <f t="shared" si="242"/>
        <v>100716</v>
      </c>
      <c r="Q240" s="221">
        <v>5</v>
      </c>
      <c r="S240" s="244">
        <f t="shared" si="282"/>
        <v>100716</v>
      </c>
      <c r="T240" s="242"/>
      <c r="U240" s="142">
        <f t="shared" si="283"/>
        <v>0</v>
      </c>
      <c r="V240" s="242"/>
      <c r="W240" s="243">
        <f t="shared" si="284"/>
        <v>100716</v>
      </c>
      <c r="X240" s="242"/>
      <c r="Y240" s="221">
        <v>5</v>
      </c>
      <c r="Z240" s="242"/>
      <c r="AA240" s="244">
        <f t="shared" si="285"/>
        <v>100716</v>
      </c>
      <c r="AB240" s="242"/>
      <c r="AC240" s="142">
        <f t="shared" si="286"/>
        <v>0</v>
      </c>
      <c r="AD240" s="242"/>
      <c r="AE240" s="243">
        <f t="shared" si="287"/>
        <v>100716</v>
      </c>
      <c r="AF240" s="242"/>
      <c r="AG240" s="221">
        <f>'Adj 1 Response to AG-Nucor 1-43'!AI239</f>
        <v>0</v>
      </c>
      <c r="AH240" s="242"/>
      <c r="AI240" s="244">
        <f t="shared" si="288"/>
        <v>100716</v>
      </c>
      <c r="AJ240" s="242"/>
      <c r="AK240" s="142">
        <f t="shared" si="289"/>
        <v>0</v>
      </c>
      <c r="AL240" s="242"/>
      <c r="AM240" s="243">
        <f t="shared" si="290"/>
        <v>100716</v>
      </c>
    </row>
    <row r="241" spans="1:42">
      <c r="A241" s="30">
        <v>395</v>
      </c>
      <c r="C241" s="34" t="s">
        <v>105</v>
      </c>
      <c r="E241" s="157">
        <v>4366162.6500000004</v>
      </c>
      <c r="F241" s="145"/>
      <c r="G241" s="158">
        <v>0</v>
      </c>
      <c r="H241" s="147"/>
      <c r="I241" s="26">
        <v>5</v>
      </c>
      <c r="J241" s="26"/>
      <c r="K241" s="147">
        <v>218492</v>
      </c>
      <c r="M241" s="142">
        <f t="shared" si="241"/>
        <v>0</v>
      </c>
      <c r="O241" s="143">
        <f t="shared" si="242"/>
        <v>218492</v>
      </c>
      <c r="Q241" s="221">
        <v>5</v>
      </c>
      <c r="S241" s="244">
        <f t="shared" si="282"/>
        <v>218492</v>
      </c>
      <c r="T241" s="242"/>
      <c r="U241" s="142">
        <f t="shared" si="283"/>
        <v>0</v>
      </c>
      <c r="V241" s="242"/>
      <c r="W241" s="243">
        <f t="shared" si="284"/>
        <v>218492</v>
      </c>
      <c r="X241" s="242"/>
      <c r="Y241" s="221">
        <v>5</v>
      </c>
      <c r="Z241" s="242"/>
      <c r="AA241" s="244">
        <f t="shared" si="285"/>
        <v>218492</v>
      </c>
      <c r="AB241" s="242"/>
      <c r="AC241" s="142">
        <f t="shared" si="286"/>
        <v>0</v>
      </c>
      <c r="AD241" s="242"/>
      <c r="AE241" s="243">
        <f t="shared" si="287"/>
        <v>218492</v>
      </c>
      <c r="AF241" s="242"/>
      <c r="AG241" s="221">
        <f>'Adj 1 Response to AG-Nucor 1-43'!AI240</f>
        <v>0</v>
      </c>
      <c r="AH241" s="242"/>
      <c r="AI241" s="244">
        <f t="shared" si="288"/>
        <v>218492</v>
      </c>
      <c r="AJ241" s="242"/>
      <c r="AK241" s="142">
        <f t="shared" si="289"/>
        <v>0</v>
      </c>
      <c r="AL241" s="242"/>
      <c r="AM241" s="243">
        <f t="shared" si="290"/>
        <v>218492</v>
      </c>
    </row>
    <row r="242" spans="1:42">
      <c r="A242" s="30">
        <v>396</v>
      </c>
      <c r="C242" s="13" t="s">
        <v>106</v>
      </c>
      <c r="E242" s="157">
        <v>24030802.09</v>
      </c>
      <c r="F242" s="145"/>
      <c r="G242" s="158">
        <v>0</v>
      </c>
      <c r="H242" s="147"/>
      <c r="I242" s="26">
        <v>4.83</v>
      </c>
      <c r="J242" s="26"/>
      <c r="K242" s="147">
        <v>1159617</v>
      </c>
      <c r="M242" s="142">
        <f t="shared" si="241"/>
        <v>0</v>
      </c>
      <c r="O242" s="143">
        <f t="shared" si="242"/>
        <v>1159617</v>
      </c>
      <c r="Q242" s="221">
        <v>4.83</v>
      </c>
      <c r="S242" s="244">
        <f t="shared" si="282"/>
        <v>1159617</v>
      </c>
      <c r="T242" s="242"/>
      <c r="U242" s="142">
        <f t="shared" si="283"/>
        <v>0</v>
      </c>
      <c r="V242" s="242"/>
      <c r="W242" s="243">
        <f t="shared" si="284"/>
        <v>1159617</v>
      </c>
      <c r="X242" s="242"/>
      <c r="Y242" s="221">
        <v>4.83</v>
      </c>
      <c r="Z242" s="242"/>
      <c r="AA242" s="244">
        <f t="shared" si="285"/>
        <v>1159617</v>
      </c>
      <c r="AB242" s="242"/>
      <c r="AC242" s="142">
        <f t="shared" si="286"/>
        <v>0</v>
      </c>
      <c r="AD242" s="242"/>
      <c r="AE242" s="243">
        <f t="shared" si="287"/>
        <v>1159617</v>
      </c>
      <c r="AF242" s="242"/>
      <c r="AG242" s="221">
        <f>'Adj 1 Response to AG-Nucor 1-43'!AI241</f>
        <v>0</v>
      </c>
      <c r="AH242" s="242"/>
      <c r="AI242" s="244">
        <f t="shared" si="288"/>
        <v>1159617</v>
      </c>
      <c r="AJ242" s="242"/>
      <c r="AK242" s="142">
        <f t="shared" si="289"/>
        <v>0</v>
      </c>
      <c r="AL242" s="242"/>
      <c r="AM242" s="243">
        <f t="shared" si="290"/>
        <v>1159617</v>
      </c>
    </row>
    <row r="243" spans="1:42">
      <c r="A243" s="30">
        <v>397</v>
      </c>
      <c r="C243" s="13" t="s">
        <v>107</v>
      </c>
      <c r="E243" s="157">
        <v>22301164.09</v>
      </c>
      <c r="F243" s="145"/>
      <c r="G243" s="158">
        <v>0</v>
      </c>
      <c r="H243" s="147"/>
      <c r="I243" s="26">
        <v>6.67</v>
      </c>
      <c r="J243" s="26"/>
      <c r="K243" s="147">
        <v>1487391</v>
      </c>
      <c r="M243" s="142">
        <f t="shared" si="241"/>
        <v>0</v>
      </c>
      <c r="O243" s="143">
        <f t="shared" si="242"/>
        <v>1487391</v>
      </c>
      <c r="Q243" s="221">
        <v>6.67</v>
      </c>
      <c r="S243" s="244">
        <f t="shared" si="282"/>
        <v>1487391</v>
      </c>
      <c r="T243" s="242"/>
      <c r="U243" s="142">
        <f t="shared" si="283"/>
        <v>0</v>
      </c>
      <c r="V243" s="242"/>
      <c r="W243" s="243">
        <f t="shared" si="284"/>
        <v>1487391</v>
      </c>
      <c r="X243" s="242"/>
      <c r="Y243" s="221">
        <v>6.67</v>
      </c>
      <c r="Z243" s="242"/>
      <c r="AA243" s="244">
        <f t="shared" si="285"/>
        <v>1487391</v>
      </c>
      <c r="AB243" s="242"/>
      <c r="AC243" s="142">
        <f t="shared" si="286"/>
        <v>0</v>
      </c>
      <c r="AD243" s="242"/>
      <c r="AE243" s="243">
        <f t="shared" si="287"/>
        <v>1487391</v>
      </c>
      <c r="AF243" s="242"/>
      <c r="AG243" s="221">
        <f>'Adj 1 Response to AG-Nucor 1-43'!AI242</f>
        <v>0</v>
      </c>
      <c r="AH243" s="242"/>
      <c r="AI243" s="244">
        <f t="shared" si="288"/>
        <v>1487391</v>
      </c>
      <c r="AJ243" s="242"/>
      <c r="AK243" s="142">
        <f t="shared" si="289"/>
        <v>0</v>
      </c>
      <c r="AL243" s="242"/>
      <c r="AM243" s="243">
        <f t="shared" si="290"/>
        <v>1487391</v>
      </c>
    </row>
    <row r="244" spans="1:42">
      <c r="A244" s="30">
        <v>398</v>
      </c>
      <c r="C244" s="13" t="s">
        <v>108</v>
      </c>
      <c r="E244" s="157">
        <v>2513134.77</v>
      </c>
      <c r="F244" s="145"/>
      <c r="G244" s="146">
        <v>0</v>
      </c>
      <c r="H244" s="147"/>
      <c r="I244" s="26">
        <v>5</v>
      </c>
      <c r="J244" s="26"/>
      <c r="K244" s="147">
        <v>125661</v>
      </c>
      <c r="M244" s="149">
        <f t="shared" si="241"/>
        <v>0</v>
      </c>
      <c r="O244" s="150">
        <f t="shared" si="242"/>
        <v>125661</v>
      </c>
      <c r="Q244" s="221">
        <v>5</v>
      </c>
      <c r="S244" s="244">
        <f t="shared" si="282"/>
        <v>125661</v>
      </c>
      <c r="T244" s="242"/>
      <c r="U244" s="142">
        <f t="shared" si="283"/>
        <v>0</v>
      </c>
      <c r="V244" s="242"/>
      <c r="W244" s="237">
        <f t="shared" si="284"/>
        <v>125661</v>
      </c>
      <c r="X244" s="242"/>
      <c r="Y244" s="221">
        <v>5</v>
      </c>
      <c r="Z244" s="242"/>
      <c r="AA244" s="244">
        <f t="shared" si="285"/>
        <v>125661</v>
      </c>
      <c r="AB244" s="242"/>
      <c r="AC244" s="142">
        <f t="shared" si="286"/>
        <v>0</v>
      </c>
      <c r="AD244" s="242"/>
      <c r="AE244" s="237">
        <f t="shared" si="287"/>
        <v>125661</v>
      </c>
      <c r="AF244" s="242"/>
      <c r="AG244" s="221">
        <f>'Adj 1 Response to AG-Nucor 1-43'!AI243</f>
        <v>0</v>
      </c>
      <c r="AH244" s="242"/>
      <c r="AI244" s="244">
        <f t="shared" si="288"/>
        <v>125661</v>
      </c>
      <c r="AJ244" s="242"/>
      <c r="AK244" s="142">
        <f t="shared" si="289"/>
        <v>0</v>
      </c>
      <c r="AL244" s="242"/>
      <c r="AM244" s="237">
        <f t="shared" si="290"/>
        <v>125661</v>
      </c>
    </row>
    <row r="245" spans="1:42">
      <c r="A245" s="30"/>
      <c r="E245" s="165"/>
      <c r="G245" s="156"/>
      <c r="I245" s="26"/>
      <c r="J245" s="26"/>
      <c r="K245" s="166"/>
      <c r="M245" s="142"/>
      <c r="O245" s="143"/>
      <c r="Q245" s="221"/>
      <c r="S245" s="248"/>
      <c r="T245" s="242"/>
      <c r="U245" s="142"/>
      <c r="V245" s="242"/>
      <c r="W245" s="243"/>
      <c r="X245" s="242"/>
      <c r="Y245" s="221"/>
      <c r="Z245" s="242"/>
      <c r="AA245" s="248"/>
      <c r="AB245" s="242"/>
      <c r="AC245" s="142"/>
      <c r="AD245" s="242"/>
      <c r="AE245" s="243"/>
      <c r="AF245" s="242"/>
      <c r="AG245" s="221"/>
      <c r="AH245" s="242"/>
      <c r="AI245" s="248"/>
      <c r="AJ245" s="242"/>
      <c r="AK245" s="142"/>
      <c r="AL245" s="242"/>
      <c r="AM245" s="243"/>
    </row>
    <row r="246" spans="1:42" ht="15.75">
      <c r="C246" s="31" t="s">
        <v>109</v>
      </c>
      <c r="E246" s="151">
        <f>SUBTOTAL(9,E235:E245)</f>
        <v>132123046.83000001</v>
      </c>
      <c r="F246" s="22"/>
      <c r="G246" s="164">
        <f t="shared" ref="G246" si="291">SUBTOTAL(9,G235:G245)</f>
        <v>0</v>
      </c>
      <c r="H246" s="35"/>
      <c r="I246" s="23">
        <f>+ROUND(K246/E246*100,2)</f>
        <v>5.51</v>
      </c>
      <c r="J246" s="23"/>
      <c r="K246" s="35">
        <f>SUBTOTAL(9,K235:K245)</f>
        <v>7283829</v>
      </c>
      <c r="L246" s="22"/>
      <c r="M246" s="163">
        <f t="shared" ref="M246" si="292">SUBTOTAL(9,M235:M245)</f>
        <v>0</v>
      </c>
      <c r="O246" s="35">
        <f t="shared" ref="O246" si="293">SUBTOTAL(9,O235:O245)</f>
        <v>7283829</v>
      </c>
      <c r="Q246" s="222">
        <f>+ROUND(S246/E246*100,2)</f>
        <v>5.51</v>
      </c>
      <c r="S246" s="246">
        <f>SUBTOTAL(9,S235:S245)</f>
        <v>7283829</v>
      </c>
      <c r="T246" s="247"/>
      <c r="U246" s="163">
        <f t="shared" ref="U246" si="294">SUBTOTAL(9,U235:U245)</f>
        <v>0</v>
      </c>
      <c r="V246" s="242"/>
      <c r="W246" s="246">
        <f t="shared" ref="W246" si="295">SUBTOTAL(9,W235:W245)</f>
        <v>7283829</v>
      </c>
      <c r="X246" s="242"/>
      <c r="Y246" s="222">
        <f>+ROUND(AA246/E246*100,2)</f>
        <v>5.51</v>
      </c>
      <c r="Z246" s="242"/>
      <c r="AA246" s="246">
        <f>SUBTOTAL(9,AA235:AA245)</f>
        <v>7283829</v>
      </c>
      <c r="AB246" s="247"/>
      <c r="AC246" s="163">
        <f t="shared" ref="AC246" si="296">SUBTOTAL(9,AC235:AC245)</f>
        <v>0</v>
      </c>
      <c r="AD246" s="242"/>
      <c r="AE246" s="246">
        <f t="shared" ref="AE246" si="297">SUBTOTAL(9,AE235:AE245)</f>
        <v>7283829</v>
      </c>
      <c r="AF246" s="242"/>
      <c r="AG246" s="222">
        <f>+ROUND(AI246/E246*100,2)</f>
        <v>5.51</v>
      </c>
      <c r="AH246" s="242"/>
      <c r="AI246" s="246">
        <f>SUBTOTAL(9,AI235:AI245)</f>
        <v>7283829</v>
      </c>
      <c r="AJ246" s="247"/>
      <c r="AK246" s="163">
        <f t="shared" ref="AK246" si="298">SUBTOTAL(9,AK235:AK245)</f>
        <v>0</v>
      </c>
      <c r="AL246" s="242"/>
      <c r="AM246" s="246">
        <f t="shared" ref="AM246" si="299">SUBTOTAL(9,AM235:AM245)</f>
        <v>7283829</v>
      </c>
      <c r="AP246" s="15"/>
    </row>
    <row r="247" spans="1:42" ht="15.75">
      <c r="C247" s="31"/>
      <c r="E247" s="151"/>
      <c r="F247" s="22"/>
      <c r="G247" s="167"/>
      <c r="H247" s="35"/>
      <c r="I247" s="23"/>
      <c r="J247" s="23"/>
      <c r="K247" s="35"/>
      <c r="L247" s="22"/>
      <c r="M247" s="142"/>
      <c r="O247" s="143"/>
      <c r="Q247" s="222"/>
      <c r="S247" s="246"/>
      <c r="T247" s="247"/>
      <c r="U247" s="142"/>
      <c r="V247" s="242"/>
      <c r="W247" s="243"/>
      <c r="X247" s="242"/>
      <c r="Y247" s="222"/>
      <c r="Z247" s="242"/>
      <c r="AA247" s="246"/>
      <c r="AB247" s="247"/>
      <c r="AC247" s="142"/>
      <c r="AD247" s="242"/>
      <c r="AE247" s="243"/>
      <c r="AF247" s="242"/>
      <c r="AG247" s="222"/>
      <c r="AH247" s="242"/>
      <c r="AI247" s="246"/>
      <c r="AJ247" s="247"/>
      <c r="AK247" s="142"/>
      <c r="AL247" s="242"/>
      <c r="AM247" s="243"/>
    </row>
    <row r="248" spans="1:42" ht="15.75">
      <c r="C248" s="21" t="s">
        <v>154</v>
      </c>
      <c r="E248" s="151"/>
      <c r="F248" s="22"/>
      <c r="G248" s="167"/>
      <c r="H248" s="35"/>
      <c r="I248" s="23"/>
      <c r="J248" s="23"/>
      <c r="K248" s="35"/>
      <c r="L248" s="22"/>
      <c r="M248" s="142"/>
      <c r="O248" s="143"/>
      <c r="Q248" s="222"/>
      <c r="S248" s="246"/>
      <c r="T248" s="247"/>
      <c r="U248" s="142"/>
      <c r="V248" s="242"/>
      <c r="W248" s="243"/>
      <c r="X248" s="242"/>
      <c r="Y248" s="222"/>
      <c r="Z248" s="242"/>
      <c r="AA248" s="246"/>
      <c r="AB248" s="247"/>
      <c r="AC248" s="142"/>
      <c r="AD248" s="242"/>
      <c r="AE248" s="243"/>
      <c r="AF248" s="242"/>
      <c r="AG248" s="222"/>
      <c r="AH248" s="242"/>
      <c r="AI248" s="246"/>
      <c r="AJ248" s="247"/>
      <c r="AK248" s="142"/>
      <c r="AL248" s="242"/>
      <c r="AM248" s="243"/>
    </row>
    <row r="249" spans="1:42" ht="15.75">
      <c r="C249" s="31"/>
      <c r="E249" s="151"/>
      <c r="F249" s="22"/>
      <c r="G249" s="167"/>
      <c r="H249" s="35"/>
      <c r="I249" s="23"/>
      <c r="J249" s="23"/>
      <c r="K249" s="35"/>
      <c r="L249" s="22"/>
      <c r="M249" s="142"/>
      <c r="O249" s="143"/>
      <c r="Q249" s="222"/>
      <c r="S249" s="246"/>
      <c r="T249" s="247"/>
      <c r="U249" s="142"/>
      <c r="V249" s="242"/>
      <c r="W249" s="243"/>
      <c r="X249" s="242"/>
      <c r="Y249" s="222"/>
      <c r="Z249" s="242"/>
      <c r="AA249" s="246"/>
      <c r="AB249" s="247"/>
      <c r="AC249" s="142"/>
      <c r="AD249" s="242"/>
      <c r="AE249" s="243"/>
      <c r="AF249" s="242"/>
      <c r="AG249" s="222"/>
      <c r="AH249" s="242"/>
      <c r="AI249" s="246"/>
      <c r="AJ249" s="247"/>
      <c r="AK249" s="142"/>
      <c r="AL249" s="242"/>
      <c r="AM249" s="243"/>
    </row>
    <row r="250" spans="1:42" ht="15.75">
      <c r="A250" s="30">
        <v>391</v>
      </c>
      <c r="C250" s="13" t="s">
        <v>100</v>
      </c>
      <c r="E250" s="151"/>
      <c r="F250" s="22"/>
      <c r="G250" s="167"/>
      <c r="H250" s="35"/>
      <c r="I250" s="23"/>
      <c r="J250" s="23"/>
      <c r="K250" s="15">
        <v>-36612.199999999997</v>
      </c>
      <c r="L250" s="22"/>
      <c r="M250" s="142"/>
      <c r="O250" s="143">
        <f t="shared" ref="O250:O256" si="300">K250-M250</f>
        <v>-36612.199999999997</v>
      </c>
      <c r="Q250" s="222"/>
      <c r="S250" s="241">
        <v>-36612.199999999997</v>
      </c>
      <c r="T250" s="247"/>
      <c r="U250" s="142"/>
      <c r="V250" s="242"/>
      <c r="W250" s="243">
        <f t="shared" ref="W250:W256" si="301">S250-U250</f>
        <v>-36612.199999999997</v>
      </c>
      <c r="X250" s="242"/>
      <c r="Y250" s="222"/>
      <c r="Z250" s="242"/>
      <c r="AA250" s="241">
        <v>-36612.199999999997</v>
      </c>
      <c r="AB250" s="247"/>
      <c r="AC250" s="142"/>
      <c r="AD250" s="242"/>
      <c r="AE250" s="243">
        <f t="shared" ref="AE250:AE256" si="302">AA250-AC250</f>
        <v>-36612.199999999997</v>
      </c>
      <c r="AF250" s="242"/>
      <c r="AG250" s="222"/>
      <c r="AH250" s="242"/>
      <c r="AI250" s="241">
        <v>-36612.199999999997</v>
      </c>
      <c r="AJ250" s="247"/>
      <c r="AK250" s="142"/>
      <c r="AL250" s="242"/>
      <c r="AM250" s="243">
        <f t="shared" ref="AM250:AM256" si="303">AI250-AK250</f>
        <v>-36612.199999999997</v>
      </c>
      <c r="AP250" s="15"/>
    </row>
    <row r="251" spans="1:42" ht="15.75">
      <c r="A251" s="30">
        <v>391.1</v>
      </c>
      <c r="C251" s="13" t="s">
        <v>101</v>
      </c>
      <c r="E251" s="151"/>
      <c r="F251" s="22"/>
      <c r="G251" s="167"/>
      <c r="H251" s="35"/>
      <c r="I251" s="23"/>
      <c r="J251" s="23"/>
      <c r="K251" s="15">
        <v>-3130870.9899999993</v>
      </c>
      <c r="L251" s="22"/>
      <c r="M251" s="142"/>
      <c r="O251" s="143">
        <f t="shared" si="300"/>
        <v>-3130870.9899999993</v>
      </c>
      <c r="Q251" s="222"/>
      <c r="S251" s="241">
        <v>-3130870.9899999993</v>
      </c>
      <c r="T251" s="247"/>
      <c r="U251" s="142"/>
      <c r="V251" s="242"/>
      <c r="W251" s="243">
        <f t="shared" si="301"/>
        <v>-3130870.9899999993</v>
      </c>
      <c r="X251" s="242"/>
      <c r="Y251" s="222"/>
      <c r="Z251" s="242"/>
      <c r="AA251" s="241">
        <v>-3130870.9899999993</v>
      </c>
      <c r="AB251" s="247"/>
      <c r="AC251" s="142"/>
      <c r="AD251" s="242"/>
      <c r="AE251" s="243">
        <f t="shared" si="302"/>
        <v>-3130870.9899999993</v>
      </c>
      <c r="AF251" s="242"/>
      <c r="AG251" s="222"/>
      <c r="AH251" s="242"/>
      <c r="AI251" s="241">
        <v>-3130870.9899999993</v>
      </c>
      <c r="AJ251" s="247"/>
      <c r="AK251" s="142"/>
      <c r="AL251" s="242"/>
      <c r="AM251" s="243">
        <f t="shared" si="303"/>
        <v>-3130870.9899999993</v>
      </c>
      <c r="AP251" s="15"/>
    </row>
    <row r="252" spans="1:42" ht="15.75">
      <c r="A252" s="30">
        <v>393</v>
      </c>
      <c r="C252" s="34" t="s">
        <v>103</v>
      </c>
      <c r="E252" s="151"/>
      <c r="F252" s="22"/>
      <c r="G252" s="167"/>
      <c r="H252" s="35"/>
      <c r="I252" s="23"/>
      <c r="J252" s="23"/>
      <c r="K252" s="15">
        <v>-460.8</v>
      </c>
      <c r="L252" s="22"/>
      <c r="M252" s="142"/>
      <c r="O252" s="143">
        <f t="shared" si="300"/>
        <v>-460.8</v>
      </c>
      <c r="Q252" s="222"/>
      <c r="S252" s="241">
        <v>-460.8</v>
      </c>
      <c r="T252" s="247"/>
      <c r="U252" s="142"/>
      <c r="V252" s="242"/>
      <c r="W252" s="243">
        <f t="shared" si="301"/>
        <v>-460.8</v>
      </c>
      <c r="X252" s="242"/>
      <c r="Y252" s="222"/>
      <c r="Z252" s="242"/>
      <c r="AA252" s="241">
        <v>-460.8</v>
      </c>
      <c r="AB252" s="247"/>
      <c r="AC252" s="142"/>
      <c r="AD252" s="242"/>
      <c r="AE252" s="243">
        <f t="shared" si="302"/>
        <v>-460.8</v>
      </c>
      <c r="AF252" s="242"/>
      <c r="AG252" s="222"/>
      <c r="AH252" s="242"/>
      <c r="AI252" s="241">
        <v>-460.8</v>
      </c>
      <c r="AJ252" s="247"/>
      <c r="AK252" s="142"/>
      <c r="AL252" s="242"/>
      <c r="AM252" s="243">
        <f t="shared" si="303"/>
        <v>-460.8</v>
      </c>
      <c r="AP252" s="15"/>
    </row>
    <row r="253" spans="1:42" ht="15.75">
      <c r="A253" s="30">
        <v>394</v>
      </c>
      <c r="C253" s="34" t="s">
        <v>104</v>
      </c>
      <c r="E253" s="151"/>
      <c r="F253" s="22"/>
      <c r="G253" s="167"/>
      <c r="H253" s="35"/>
      <c r="I253" s="23"/>
      <c r="J253" s="23"/>
      <c r="K253" s="15">
        <v>-8558.2000000000007</v>
      </c>
      <c r="L253" s="22"/>
      <c r="M253" s="142"/>
      <c r="O253" s="143">
        <f t="shared" si="300"/>
        <v>-8558.2000000000007</v>
      </c>
      <c r="Q253" s="222"/>
      <c r="S253" s="241">
        <v>-8558.2000000000007</v>
      </c>
      <c r="T253" s="247"/>
      <c r="U253" s="142"/>
      <c r="V253" s="242"/>
      <c r="W253" s="243">
        <f t="shared" si="301"/>
        <v>-8558.2000000000007</v>
      </c>
      <c r="X253" s="242"/>
      <c r="Y253" s="222"/>
      <c r="Z253" s="242"/>
      <c r="AA253" s="241">
        <v>-8558.2000000000007</v>
      </c>
      <c r="AB253" s="247"/>
      <c r="AC253" s="142"/>
      <c r="AD253" s="242"/>
      <c r="AE253" s="243">
        <f t="shared" si="302"/>
        <v>-8558.2000000000007</v>
      </c>
      <c r="AF253" s="242"/>
      <c r="AG253" s="222"/>
      <c r="AH253" s="242"/>
      <c r="AI253" s="241">
        <v>-8558.2000000000007</v>
      </c>
      <c r="AJ253" s="247"/>
      <c r="AK253" s="142"/>
      <c r="AL253" s="242"/>
      <c r="AM253" s="243">
        <f t="shared" si="303"/>
        <v>-8558.2000000000007</v>
      </c>
      <c r="AP253" s="15"/>
    </row>
    <row r="254" spans="1:42" ht="15.75">
      <c r="A254" s="30">
        <v>395</v>
      </c>
      <c r="C254" s="34" t="s">
        <v>105</v>
      </c>
      <c r="E254" s="151"/>
      <c r="F254" s="22"/>
      <c r="G254" s="167"/>
      <c r="H254" s="35"/>
      <c r="I254" s="23"/>
      <c r="J254" s="23"/>
      <c r="K254" s="15">
        <v>-17353.599999999999</v>
      </c>
      <c r="L254" s="22"/>
      <c r="M254" s="142"/>
      <c r="O254" s="143">
        <f t="shared" si="300"/>
        <v>-17353.599999999999</v>
      </c>
      <c r="Q254" s="222"/>
      <c r="S254" s="241">
        <v>-17353.599999999999</v>
      </c>
      <c r="T254" s="247"/>
      <c r="U254" s="142"/>
      <c r="V254" s="242"/>
      <c r="W254" s="243">
        <f t="shared" si="301"/>
        <v>-17353.599999999999</v>
      </c>
      <c r="X254" s="242"/>
      <c r="Y254" s="222"/>
      <c r="Z254" s="242"/>
      <c r="AA254" s="241">
        <v>-17353.599999999999</v>
      </c>
      <c r="AB254" s="247"/>
      <c r="AC254" s="142"/>
      <c r="AD254" s="242"/>
      <c r="AE254" s="243">
        <f t="shared" si="302"/>
        <v>-17353.599999999999</v>
      </c>
      <c r="AF254" s="242"/>
      <c r="AG254" s="222"/>
      <c r="AH254" s="242"/>
      <c r="AI254" s="241">
        <v>-17353.599999999999</v>
      </c>
      <c r="AJ254" s="247"/>
      <c r="AK254" s="142"/>
      <c r="AL254" s="242"/>
      <c r="AM254" s="243">
        <f t="shared" si="303"/>
        <v>-17353.599999999999</v>
      </c>
      <c r="AP254" s="15"/>
    </row>
    <row r="255" spans="1:42" ht="15.75">
      <c r="A255" s="30">
        <v>397</v>
      </c>
      <c r="C255" s="13" t="s">
        <v>107</v>
      </c>
      <c r="E255" s="151"/>
      <c r="F255" s="22"/>
      <c r="G255" s="167"/>
      <c r="H255" s="35"/>
      <c r="I255" s="23"/>
      <c r="J255" s="23"/>
      <c r="K255" s="15">
        <v>-75552</v>
      </c>
      <c r="L255" s="22"/>
      <c r="M255" s="142"/>
      <c r="O255" s="143">
        <f t="shared" si="300"/>
        <v>-75552</v>
      </c>
      <c r="Q255" s="222"/>
      <c r="S255" s="241">
        <v>-75552</v>
      </c>
      <c r="T255" s="247"/>
      <c r="U255" s="142"/>
      <c r="V255" s="242"/>
      <c r="W255" s="243">
        <f t="shared" si="301"/>
        <v>-75552</v>
      </c>
      <c r="X255" s="242"/>
      <c r="Y255" s="222"/>
      <c r="Z255" s="242"/>
      <c r="AA255" s="241">
        <v>-75552</v>
      </c>
      <c r="AB255" s="247"/>
      <c r="AC255" s="142"/>
      <c r="AD255" s="242"/>
      <c r="AE255" s="243">
        <f t="shared" si="302"/>
        <v>-75552</v>
      </c>
      <c r="AF255" s="242"/>
      <c r="AG255" s="222"/>
      <c r="AH255" s="242"/>
      <c r="AI255" s="241">
        <v>-75552</v>
      </c>
      <c r="AJ255" s="247"/>
      <c r="AK255" s="142"/>
      <c r="AL255" s="242"/>
      <c r="AM255" s="243">
        <f t="shared" si="303"/>
        <v>-75552</v>
      </c>
      <c r="AP255" s="15"/>
    </row>
    <row r="256" spans="1:42" ht="15.75">
      <c r="A256" s="30">
        <v>398</v>
      </c>
      <c r="C256" s="13" t="s">
        <v>108</v>
      </c>
      <c r="E256" s="151"/>
      <c r="F256" s="22"/>
      <c r="G256" s="168"/>
      <c r="H256" s="35"/>
      <c r="I256" s="23"/>
      <c r="J256" s="23"/>
      <c r="K256" s="15">
        <v>-8623.4</v>
      </c>
      <c r="L256" s="22"/>
      <c r="M256" s="149"/>
      <c r="O256" s="150">
        <f t="shared" si="300"/>
        <v>-8623.4</v>
      </c>
      <c r="Q256" s="222"/>
      <c r="S256" s="241">
        <v>-8623.4</v>
      </c>
      <c r="T256" s="247"/>
      <c r="U256" s="149"/>
      <c r="V256" s="242"/>
      <c r="W256" s="237">
        <f t="shared" si="301"/>
        <v>-8623.4</v>
      </c>
      <c r="X256" s="242"/>
      <c r="Y256" s="222"/>
      <c r="Z256" s="242"/>
      <c r="AA256" s="241">
        <v>-8623.4</v>
      </c>
      <c r="AB256" s="247"/>
      <c r="AC256" s="149"/>
      <c r="AD256" s="242"/>
      <c r="AE256" s="237">
        <f t="shared" si="302"/>
        <v>-8623.4</v>
      </c>
      <c r="AF256" s="242"/>
      <c r="AG256" s="222"/>
      <c r="AH256" s="242"/>
      <c r="AI256" s="241">
        <v>-8623.4</v>
      </c>
      <c r="AJ256" s="247"/>
      <c r="AK256" s="149"/>
      <c r="AL256" s="242"/>
      <c r="AM256" s="237">
        <f t="shared" si="303"/>
        <v>-8623.4</v>
      </c>
      <c r="AP256" s="15"/>
    </row>
    <row r="257" spans="1:42" ht="15.75">
      <c r="C257" s="31"/>
      <c r="E257" s="151"/>
      <c r="F257" s="22"/>
      <c r="G257" s="167"/>
      <c r="H257" s="35"/>
      <c r="I257" s="23"/>
      <c r="J257" s="23"/>
      <c r="K257" s="169"/>
      <c r="L257" s="22"/>
      <c r="M257" s="142"/>
      <c r="O257" s="143"/>
      <c r="Q257" s="222"/>
      <c r="S257" s="249"/>
      <c r="T257" s="247"/>
      <c r="U257" s="142"/>
      <c r="V257" s="242"/>
      <c r="W257" s="243"/>
      <c r="X257" s="242"/>
      <c r="Y257" s="222"/>
      <c r="Z257" s="242"/>
      <c r="AA257" s="249"/>
      <c r="AB257" s="247"/>
      <c r="AC257" s="142"/>
      <c r="AD257" s="242"/>
      <c r="AE257" s="243"/>
      <c r="AF257" s="242"/>
      <c r="AG257" s="222"/>
      <c r="AH257" s="242"/>
      <c r="AI257" s="249"/>
      <c r="AJ257" s="247"/>
      <c r="AK257" s="142"/>
      <c r="AL257" s="242"/>
      <c r="AM257" s="243"/>
    </row>
    <row r="258" spans="1:42" ht="15.75">
      <c r="C258" s="31" t="s">
        <v>110</v>
      </c>
      <c r="E258" s="151"/>
      <c r="F258" s="22"/>
      <c r="G258" s="168">
        <f t="shared" ref="G258" si="304">SUBTOTAL(9,G250:G257)</f>
        <v>0</v>
      </c>
      <c r="H258" s="35"/>
      <c r="I258" s="23"/>
      <c r="J258" s="23"/>
      <c r="K258" s="36">
        <f>SUBTOTAL(9,K250:K257)</f>
        <v>-3278031.1899999995</v>
      </c>
      <c r="L258" s="22"/>
      <c r="M258" s="170">
        <f t="shared" ref="M258" si="305">SUBTOTAL(9,M250:M257)</f>
        <v>0</v>
      </c>
      <c r="O258" s="36">
        <f t="shared" ref="O258" si="306">SUBTOTAL(9,O250:O257)</f>
        <v>-3278031.1899999995</v>
      </c>
      <c r="Q258" s="222"/>
      <c r="S258" s="250">
        <f>SUBTOTAL(9,S250:S257)</f>
        <v>-3278031.1899999995</v>
      </c>
      <c r="T258" s="247"/>
      <c r="U258" s="170">
        <f t="shared" ref="U258" si="307">SUBTOTAL(9,U250:U257)</f>
        <v>0</v>
      </c>
      <c r="V258" s="242"/>
      <c r="W258" s="250">
        <f t="shared" ref="W258" si="308">SUBTOTAL(9,W250:W257)</f>
        <v>-3278031.1899999995</v>
      </c>
      <c r="X258" s="242"/>
      <c r="Y258" s="222"/>
      <c r="Z258" s="242"/>
      <c r="AA258" s="250">
        <f>SUBTOTAL(9,AA250:AA257)</f>
        <v>-3278031.1899999995</v>
      </c>
      <c r="AB258" s="247"/>
      <c r="AC258" s="170">
        <f t="shared" ref="AC258" si="309">SUBTOTAL(9,AC250:AC257)</f>
        <v>0</v>
      </c>
      <c r="AD258" s="242"/>
      <c r="AE258" s="250">
        <f t="shared" ref="AE258" si="310">SUBTOTAL(9,AE250:AE257)</f>
        <v>-3278031.1899999995</v>
      </c>
      <c r="AF258" s="242"/>
      <c r="AG258" s="222"/>
      <c r="AH258" s="242"/>
      <c r="AI258" s="250">
        <f>SUBTOTAL(9,AI250:AI257)</f>
        <v>-3278031.1899999995</v>
      </c>
      <c r="AJ258" s="247"/>
      <c r="AK258" s="170">
        <f t="shared" ref="AK258" si="311">SUBTOTAL(9,AK250:AK257)</f>
        <v>0</v>
      </c>
      <c r="AL258" s="242"/>
      <c r="AM258" s="250">
        <f t="shared" ref="AM258" si="312">SUBTOTAL(9,AM250:AM257)</f>
        <v>-3278031.1899999995</v>
      </c>
      <c r="AP258" s="15"/>
    </row>
    <row r="259" spans="1:42" ht="15.75">
      <c r="C259" s="31"/>
      <c r="E259" s="151"/>
      <c r="F259" s="22"/>
      <c r="G259" s="167"/>
      <c r="H259" s="35"/>
      <c r="I259" s="26"/>
      <c r="J259" s="26"/>
      <c r="K259" s="35"/>
      <c r="L259" s="22"/>
      <c r="M259" s="142"/>
      <c r="O259" s="143"/>
      <c r="Q259" s="221"/>
      <c r="S259" s="246"/>
      <c r="T259" s="247"/>
      <c r="U259" s="142"/>
      <c r="V259" s="242"/>
      <c r="W259" s="243"/>
      <c r="X259" s="242"/>
      <c r="Y259" s="221"/>
      <c r="Z259" s="242"/>
      <c r="AA259" s="246"/>
      <c r="AB259" s="247"/>
      <c r="AC259" s="142"/>
      <c r="AD259" s="242"/>
      <c r="AE259" s="243"/>
      <c r="AF259" s="242"/>
      <c r="AG259" s="221"/>
      <c r="AH259" s="242"/>
      <c r="AI259" s="246"/>
      <c r="AJ259" s="247"/>
      <c r="AK259" s="142"/>
      <c r="AL259" s="242"/>
      <c r="AM259" s="243"/>
    </row>
    <row r="260" spans="1:42" ht="16.5" thickBot="1">
      <c r="C260" s="31" t="s">
        <v>111</v>
      </c>
      <c r="E260" s="197">
        <f>SUBTOTAL(9,E14:E259)</f>
        <v>4654637456.0800037</v>
      </c>
      <c r="F260" s="198"/>
      <c r="G260" s="199">
        <f t="shared" ref="G260" si="313">SUBTOTAL(9,G14:G259)</f>
        <v>1248118649.3500001</v>
      </c>
      <c r="H260" s="198"/>
      <c r="I260" s="203">
        <v>3.1</v>
      </c>
      <c r="J260" s="200"/>
      <c r="K260" s="197">
        <f>SUBTOTAL(9,K14:K259)</f>
        <v>142718647.81</v>
      </c>
      <c r="L260" s="198"/>
      <c r="M260" s="199">
        <f t="shared" ref="M260" si="314">SUBTOTAL(9,M14:M259)</f>
        <v>39558275</v>
      </c>
      <c r="N260" s="201"/>
      <c r="O260" s="197">
        <f t="shared" ref="O260" si="315">SUBTOTAL(9,O14:O259)</f>
        <v>103160372.81</v>
      </c>
      <c r="P260" s="201"/>
      <c r="Q260" s="221"/>
      <c r="R260" s="201"/>
      <c r="S260" s="251">
        <f>SUBTOTAL(9,S14:S259)</f>
        <v>138542704.89333582</v>
      </c>
      <c r="T260" s="252"/>
      <c r="U260" s="199">
        <f t="shared" ref="U260" si="316">SUBTOTAL(9,U14:U259)</f>
        <v>37915592.798855878</v>
      </c>
      <c r="V260" s="253"/>
      <c r="W260" s="251">
        <f t="shared" ref="W260" si="317">SUBTOTAL(9,W14:W259)</f>
        <v>100627112.09447993</v>
      </c>
      <c r="X260" s="242"/>
      <c r="Y260" s="223"/>
      <c r="Z260" s="253"/>
      <c r="AA260" s="251">
        <f>SUBTOTAL(9,AA14:AA259)</f>
        <v>129552029.98264608</v>
      </c>
      <c r="AB260" s="252"/>
      <c r="AC260" s="199">
        <f t="shared" ref="AC260" si="318">SUBTOTAL(9,AC14:AC259)</f>
        <v>35171093.795875706</v>
      </c>
      <c r="AD260" s="253"/>
      <c r="AE260" s="251">
        <f t="shared" ref="AE260" si="319">SUBTOTAL(9,AE14:AE259)</f>
        <v>94380936.18677035</v>
      </c>
      <c r="AF260" s="242"/>
      <c r="AG260" s="223"/>
      <c r="AH260" s="253"/>
      <c r="AI260" s="251">
        <f>SUBTOTAL(9,AI14:AI259)</f>
        <v>108660519.7090138</v>
      </c>
      <c r="AJ260" s="252"/>
      <c r="AK260" s="199">
        <f t="shared" ref="AK260" si="320">SUBTOTAL(9,AK14:AK259)</f>
        <v>28457614.436592914</v>
      </c>
      <c r="AL260" s="253"/>
      <c r="AM260" s="251">
        <f t="shared" ref="AM260" si="321">SUBTOTAL(9,AM14:AM259)</f>
        <v>80202905.272420943</v>
      </c>
      <c r="AP260" s="15"/>
    </row>
    <row r="261" spans="1:42" ht="16.5" thickTop="1">
      <c r="C261" s="22"/>
      <c r="E261" s="151"/>
      <c r="F261" s="22"/>
      <c r="G261" s="167"/>
      <c r="H261" s="35"/>
      <c r="I261" s="26"/>
      <c r="J261" s="26"/>
      <c r="K261" s="35"/>
      <c r="L261" s="22"/>
      <c r="M261" s="22"/>
      <c r="S261" s="35"/>
      <c r="T261" s="22"/>
      <c r="U261" s="22"/>
      <c r="AA261" s="35"/>
      <c r="AB261" s="22"/>
      <c r="AC261" s="22"/>
      <c r="AI261" s="35"/>
      <c r="AJ261" s="22"/>
      <c r="AK261" s="22"/>
    </row>
    <row r="262" spans="1:42" ht="15.75">
      <c r="C262" s="21" t="s">
        <v>112</v>
      </c>
      <c r="E262" s="151"/>
      <c r="F262" s="22"/>
      <c r="G262" s="167"/>
      <c r="H262" s="35"/>
      <c r="I262" s="26"/>
      <c r="J262" s="26"/>
      <c r="K262" s="35"/>
      <c r="L262" s="22"/>
      <c r="M262" s="22"/>
    </row>
    <row r="263" spans="1:42" ht="16.5" thickBot="1">
      <c r="C263" s="22"/>
      <c r="E263" s="151"/>
      <c r="F263" s="22"/>
      <c r="G263" s="167"/>
      <c r="H263" s="35"/>
      <c r="I263" s="26"/>
      <c r="J263" s="26"/>
      <c r="K263" s="35"/>
      <c r="L263" s="22"/>
      <c r="M263" s="22"/>
      <c r="Q263" s="13" t="s">
        <v>257</v>
      </c>
      <c r="W263" s="204">
        <f>W260-O260</f>
        <v>-2533260.715520069</v>
      </c>
      <c r="Y263" s="13" t="s">
        <v>314</v>
      </c>
      <c r="AE263" s="204">
        <f>AE260-W260</f>
        <v>-6246175.9077095836</v>
      </c>
      <c r="AG263" s="13" t="s">
        <v>316</v>
      </c>
      <c r="AM263" s="204">
        <f>AM260-AE260</f>
        <v>-14178030.914349407</v>
      </c>
    </row>
    <row r="264" spans="1:42" ht="16.5" thickTop="1">
      <c r="A264" s="30">
        <v>301</v>
      </c>
      <c r="C264" s="13" t="s">
        <v>113</v>
      </c>
      <c r="E264" s="157">
        <v>5040.43</v>
      </c>
      <c r="G264" s="156"/>
      <c r="H264" s="35"/>
      <c r="I264" s="26"/>
      <c r="J264" s="26"/>
      <c r="K264" s="35"/>
      <c r="L264" s="22"/>
      <c r="M264" s="22"/>
      <c r="Q264" s="13" t="s">
        <v>280</v>
      </c>
      <c r="U264" s="202"/>
      <c r="Y264" s="13" t="s">
        <v>315</v>
      </c>
      <c r="AC264" s="202"/>
      <c r="AG264" s="13" t="s">
        <v>317</v>
      </c>
      <c r="AK264" s="202"/>
    </row>
    <row r="265" spans="1:42" ht="15.75">
      <c r="A265" s="30">
        <v>310</v>
      </c>
      <c r="C265" s="13" t="s">
        <v>114</v>
      </c>
      <c r="E265" s="157">
        <v>7074844.4300000006</v>
      </c>
      <c r="G265" s="156"/>
      <c r="H265" s="35"/>
      <c r="I265" s="26"/>
      <c r="J265" s="26"/>
      <c r="K265" s="35"/>
      <c r="L265" s="22"/>
      <c r="M265" s="22"/>
      <c r="Q265" s="13" t="s">
        <v>281</v>
      </c>
      <c r="Y265" s="13" t="s">
        <v>281</v>
      </c>
    </row>
    <row r="266" spans="1:42" ht="15.75">
      <c r="A266" s="30">
        <v>340</v>
      </c>
      <c r="C266" s="13" t="s">
        <v>114</v>
      </c>
      <c r="E266" s="157">
        <v>5964035.6900000004</v>
      </c>
      <c r="G266" s="156"/>
      <c r="H266" s="35"/>
      <c r="I266" s="26"/>
      <c r="J266" s="26"/>
      <c r="K266" s="35"/>
      <c r="L266" s="22"/>
      <c r="M266" s="22"/>
      <c r="U266" s="202"/>
      <c r="AC266" s="202"/>
      <c r="AK266" s="202"/>
    </row>
    <row r="267" spans="1:42" ht="15.75">
      <c r="A267" s="30">
        <v>350</v>
      </c>
      <c r="C267" s="13" t="s">
        <v>114</v>
      </c>
      <c r="E267" s="157">
        <v>4673025.2200000007</v>
      </c>
      <c r="G267" s="156"/>
      <c r="H267" s="35"/>
      <c r="I267" s="26"/>
      <c r="J267" s="26"/>
      <c r="K267" s="35"/>
      <c r="L267" s="22"/>
      <c r="M267" s="22"/>
    </row>
    <row r="268" spans="1:42" ht="15.75">
      <c r="A268" s="30">
        <v>350.1</v>
      </c>
      <c r="C268" s="13" t="s">
        <v>27</v>
      </c>
      <c r="E268" s="157">
        <v>58324160.971999988</v>
      </c>
      <c r="G268" s="156"/>
      <c r="H268" s="35"/>
      <c r="I268" s="26"/>
      <c r="J268" s="26"/>
      <c r="K268" s="35"/>
      <c r="L268" s="22"/>
      <c r="M268" s="22"/>
    </row>
    <row r="269" spans="1:42" ht="15.75">
      <c r="A269" s="30">
        <v>354.1</v>
      </c>
      <c r="C269" s="13" t="s">
        <v>251</v>
      </c>
      <c r="E269" s="157">
        <v>564962.57000000007</v>
      </c>
      <c r="G269" s="156"/>
      <c r="H269" s="35"/>
      <c r="I269" s="26"/>
      <c r="J269" s="26"/>
      <c r="K269" s="35"/>
      <c r="L269" s="22"/>
      <c r="M269" s="22"/>
    </row>
    <row r="270" spans="1:42" ht="15.75">
      <c r="A270" s="30">
        <v>360</v>
      </c>
      <c r="C270" s="13" t="s">
        <v>114</v>
      </c>
      <c r="E270" s="157">
        <v>13132104.219999999</v>
      </c>
      <c r="G270" s="156"/>
      <c r="H270" s="35"/>
      <c r="I270" s="26"/>
      <c r="J270" s="26"/>
      <c r="K270" s="35"/>
      <c r="L270" s="22"/>
      <c r="M270" s="22"/>
    </row>
    <row r="271" spans="1:42" ht="15.75">
      <c r="A271" s="30">
        <v>389</v>
      </c>
      <c r="C271" s="13" t="s">
        <v>114</v>
      </c>
      <c r="E271" s="157">
        <v>1587642.56</v>
      </c>
      <c r="G271" s="156"/>
      <c r="H271" s="35"/>
      <c r="I271" s="26"/>
      <c r="J271" s="26"/>
      <c r="K271" s="35"/>
      <c r="L271" s="22"/>
      <c r="M271" s="22"/>
    </row>
    <row r="272" spans="1:42" ht="15.75">
      <c r="A272" s="30">
        <v>389.1</v>
      </c>
      <c r="C272" s="13" t="s">
        <v>27</v>
      </c>
      <c r="E272" s="157">
        <v>244222.03</v>
      </c>
      <c r="G272" s="156"/>
      <c r="H272" s="35"/>
      <c r="I272" s="26"/>
      <c r="J272" s="26"/>
      <c r="K272" s="35"/>
      <c r="L272" s="22"/>
      <c r="M272" s="22"/>
    </row>
    <row r="273" spans="1:13" ht="15.75">
      <c r="A273" s="30">
        <v>398.1</v>
      </c>
      <c r="C273" s="13" t="s">
        <v>252</v>
      </c>
      <c r="E273" s="157">
        <v>448268.6</v>
      </c>
      <c r="G273" s="173"/>
      <c r="H273" s="35"/>
      <c r="I273" s="26"/>
      <c r="J273" s="26"/>
      <c r="K273" s="35"/>
      <c r="L273" s="22"/>
      <c r="M273" s="22"/>
    </row>
    <row r="274" spans="1:13" ht="15.75">
      <c r="C274" s="22"/>
      <c r="E274" s="174"/>
      <c r="F274" s="22"/>
      <c r="G274" s="167"/>
      <c r="H274" s="35"/>
      <c r="I274" s="26"/>
      <c r="J274" s="26"/>
      <c r="K274" s="35"/>
      <c r="L274" s="22"/>
      <c r="M274" s="22"/>
    </row>
    <row r="275" spans="1:13" ht="15.75">
      <c r="C275" s="31" t="s">
        <v>115</v>
      </c>
      <c r="E275" s="175">
        <f>SUBTOTAL(9,E264:E274)</f>
        <v>92018306.721999973</v>
      </c>
      <c r="F275" s="22"/>
      <c r="G275" s="168"/>
      <c r="H275" s="35"/>
      <c r="I275" s="26"/>
      <c r="J275" s="26"/>
      <c r="K275" s="35"/>
      <c r="L275" s="22"/>
      <c r="M275" s="22"/>
    </row>
    <row r="276" spans="1:13" ht="15.75">
      <c r="C276" s="22"/>
      <c r="E276" s="151"/>
      <c r="F276" s="22"/>
      <c r="G276" s="167"/>
      <c r="H276" s="35"/>
      <c r="I276" s="26"/>
      <c r="J276" s="26"/>
      <c r="K276" s="35"/>
      <c r="L276" s="22"/>
      <c r="M276" s="22"/>
    </row>
    <row r="277" spans="1:13" ht="16.5" thickBot="1">
      <c r="C277" s="31" t="s">
        <v>116</v>
      </c>
      <c r="E277" s="171">
        <f>SUBTOTAL(9,E14:E276)</f>
        <v>4746655762.8020048</v>
      </c>
      <c r="F277" s="22"/>
      <c r="G277" s="172">
        <f>SUBTOTAL(9,G14:G276)</f>
        <v>1248118649.3500001</v>
      </c>
      <c r="H277" s="35"/>
      <c r="I277" s="26"/>
      <c r="J277" s="26"/>
      <c r="K277" s="35"/>
      <c r="L277" s="22"/>
      <c r="M277" s="22"/>
    </row>
    <row r="278" spans="1:13" ht="16.5" thickTop="1">
      <c r="C278" s="31"/>
      <c r="E278" s="157"/>
      <c r="F278" s="22"/>
      <c r="G278" s="35"/>
      <c r="H278" s="35"/>
      <c r="I278" s="26"/>
      <c r="J278" s="26"/>
      <c r="K278" s="35"/>
      <c r="L278" s="22"/>
      <c r="M278" s="22"/>
    </row>
    <row r="279" spans="1:13">
      <c r="B279" s="176"/>
    </row>
    <row r="280" spans="1:13">
      <c r="B280" s="176"/>
      <c r="C280" s="34"/>
    </row>
    <row r="281" spans="1:13">
      <c r="B281" s="176"/>
    </row>
  </sheetData>
  <mergeCells count="7">
    <mergeCell ref="AI4:AM4"/>
    <mergeCell ref="AI5:AM5"/>
    <mergeCell ref="K5:O5"/>
    <mergeCell ref="S5:W5"/>
    <mergeCell ref="S4:W4"/>
    <mergeCell ref="AA4:AE4"/>
    <mergeCell ref="AA5:AE5"/>
  </mergeCells>
  <printOptions horizontalCentered="1"/>
  <pageMargins left="0.45" right="0.45" top="0.75" bottom="0.5" header="0.3" footer="0.3"/>
  <pageSetup scale="56" fitToHeight="0" orientation="landscape" r:id="rId1"/>
  <rowBreaks count="6" manualBreakCount="6">
    <brk id="57" max="14" man="1"/>
    <brk id="94" max="14" man="1"/>
    <brk id="130" max="14" man="1"/>
    <brk id="176" max="14" man="1"/>
    <brk id="213" max="20" man="1"/>
    <brk id="261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0"/>
  <sheetViews>
    <sheetView zoomScale="70" zoomScaleNormal="70" workbookViewId="0">
      <selection activeCell="O13" sqref="O13:U13"/>
    </sheetView>
  </sheetViews>
  <sheetFormatPr defaultColWidth="12.5703125" defaultRowHeight="15"/>
  <cols>
    <col min="1" max="1" width="10" style="13" customWidth="1"/>
    <col min="2" max="2" width="3.7109375" style="13" customWidth="1"/>
    <col min="3" max="3" width="74" style="13" customWidth="1"/>
    <col min="4" max="4" width="3.5703125" style="13" customWidth="1"/>
    <col min="5" max="5" width="18.28515625" style="13" customWidth="1"/>
    <col min="6" max="6" width="3.5703125" style="13" customWidth="1"/>
    <col min="7" max="7" width="18.140625" style="13" customWidth="1"/>
    <col min="8" max="8" width="3.7109375" style="13" customWidth="1"/>
    <col min="9" max="9" width="19" style="48" customWidth="1"/>
    <col min="10" max="10" width="3.5703125" style="13" customWidth="1"/>
    <col min="11" max="11" width="31.140625" style="13" customWidth="1"/>
    <col min="12" max="12" width="3.5703125" style="13" customWidth="1"/>
    <col min="13" max="13" width="23.85546875" style="15" bestFit="1" customWidth="1"/>
    <col min="14" max="14" width="3.5703125" style="15" customWidth="1"/>
    <col min="15" max="15" width="25" style="15" customWidth="1"/>
    <col min="16" max="16" width="3.5703125" style="15" customWidth="1"/>
    <col min="17" max="17" width="22.140625" style="15" customWidth="1"/>
    <col min="18" max="18" width="3.5703125" style="13" customWidth="1"/>
    <col min="19" max="19" width="16.28515625" style="13" customWidth="1"/>
    <col min="20" max="20" width="3.5703125" style="13" customWidth="1"/>
    <col min="21" max="21" width="19.5703125" style="13" customWidth="1"/>
    <col min="22" max="16384" width="12.5703125" style="13"/>
  </cols>
  <sheetData>
    <row r="1" spans="1:21" ht="15.75">
      <c r="A1" s="16" t="s">
        <v>258</v>
      </c>
      <c r="B1" s="16"/>
      <c r="C1" s="16"/>
      <c r="D1" s="16"/>
      <c r="E1" s="16"/>
      <c r="F1" s="16"/>
      <c r="G1" s="16"/>
      <c r="H1" s="16"/>
      <c r="I1" s="3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.75">
      <c r="A2" s="16"/>
      <c r="B2" s="16"/>
      <c r="C2" s="16"/>
      <c r="D2" s="16"/>
      <c r="E2" s="16"/>
      <c r="F2" s="16"/>
      <c r="G2" s="16"/>
      <c r="H2" s="16"/>
      <c r="I2" s="3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5.75">
      <c r="A3" s="16" t="s">
        <v>259</v>
      </c>
      <c r="B3" s="16"/>
      <c r="C3" s="16"/>
      <c r="D3" s="16"/>
      <c r="E3" s="16"/>
      <c r="F3" s="16"/>
      <c r="G3" s="16"/>
      <c r="H3" s="16"/>
      <c r="I3" s="3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5.75">
      <c r="A4" s="16" t="s">
        <v>260</v>
      </c>
      <c r="B4" s="16"/>
      <c r="C4" s="16"/>
      <c r="D4" s="16"/>
      <c r="E4" s="16"/>
      <c r="F4" s="16"/>
      <c r="G4" s="16"/>
      <c r="H4" s="16"/>
      <c r="I4" s="3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5.75">
      <c r="A5" s="16"/>
      <c r="B5" s="17"/>
      <c r="C5" s="17"/>
      <c r="D5" s="17"/>
      <c r="E5" s="17"/>
      <c r="F5" s="17"/>
      <c r="G5" s="17"/>
      <c r="H5" s="17"/>
      <c r="I5" s="38"/>
      <c r="J5" s="17"/>
      <c r="K5" s="17"/>
      <c r="L5" s="17"/>
      <c r="M5" s="39"/>
      <c r="N5" s="39"/>
      <c r="O5" s="39"/>
      <c r="P5" s="39"/>
    </row>
    <row r="6" spans="1:21" ht="15.75">
      <c r="B6" s="22"/>
      <c r="C6" s="18"/>
      <c r="D6" s="18"/>
      <c r="E6" s="40" t="s">
        <v>117</v>
      </c>
      <c r="F6" s="18"/>
      <c r="G6" s="18"/>
      <c r="H6" s="18"/>
      <c r="I6" s="41" t="s">
        <v>118</v>
      </c>
      <c r="J6" s="18"/>
      <c r="K6" s="18" t="s">
        <v>119</v>
      </c>
      <c r="L6" s="18"/>
      <c r="M6" s="20" t="s">
        <v>120</v>
      </c>
      <c r="N6" s="20"/>
      <c r="O6" s="20"/>
      <c r="P6" s="20"/>
      <c r="Q6" s="42" t="s">
        <v>245</v>
      </c>
      <c r="R6" s="17"/>
      <c r="S6" s="17"/>
      <c r="T6" s="205"/>
      <c r="U6" s="18" t="s">
        <v>121</v>
      </c>
    </row>
    <row r="7" spans="1:21" ht="15.75">
      <c r="B7" s="22"/>
      <c r="C7" s="18"/>
      <c r="D7" s="18"/>
      <c r="E7" s="40" t="s">
        <v>122</v>
      </c>
      <c r="F7" s="18"/>
      <c r="G7" s="18" t="s">
        <v>123</v>
      </c>
      <c r="H7" s="18"/>
      <c r="I7" s="41" t="s">
        <v>124</v>
      </c>
      <c r="J7" s="18"/>
      <c r="K7" s="18" t="s">
        <v>125</v>
      </c>
      <c r="L7" s="18"/>
      <c r="M7" s="20" t="s">
        <v>126</v>
      </c>
      <c r="N7" s="20"/>
      <c r="O7" s="20" t="s">
        <v>127</v>
      </c>
      <c r="P7" s="20"/>
      <c r="Q7" s="45" t="s">
        <v>261</v>
      </c>
      <c r="R7" s="25"/>
      <c r="S7" s="25" t="s">
        <v>246</v>
      </c>
      <c r="T7" s="205"/>
      <c r="U7" s="18" t="s">
        <v>128</v>
      </c>
    </row>
    <row r="8" spans="1:21" ht="15.75">
      <c r="B8" s="22"/>
      <c r="C8" s="18" t="s">
        <v>23</v>
      </c>
      <c r="D8" s="18"/>
      <c r="E8" s="43" t="s">
        <v>129</v>
      </c>
      <c r="F8" s="18"/>
      <c r="G8" s="18" t="s">
        <v>130</v>
      </c>
      <c r="H8" s="18"/>
      <c r="I8" s="41" t="s">
        <v>131</v>
      </c>
      <c r="J8" s="18"/>
      <c r="K8" s="44" t="s">
        <v>250</v>
      </c>
      <c r="L8" s="18"/>
      <c r="M8" s="20" t="s">
        <v>132</v>
      </c>
      <c r="N8" s="20"/>
      <c r="O8" s="20" t="s">
        <v>133</v>
      </c>
      <c r="P8" s="20"/>
      <c r="Q8" s="20" t="s">
        <v>134</v>
      </c>
      <c r="R8" s="18"/>
      <c r="S8" s="18" t="s">
        <v>135</v>
      </c>
      <c r="T8" s="205"/>
      <c r="U8" s="18" t="s">
        <v>136</v>
      </c>
    </row>
    <row r="9" spans="1:21" ht="15.75">
      <c r="B9" s="22"/>
      <c r="C9" s="45">
        <v>-1</v>
      </c>
      <c r="D9" s="19"/>
      <c r="E9" s="45">
        <v>-2</v>
      </c>
      <c r="F9" s="19"/>
      <c r="G9" s="46">
        <v>-3</v>
      </c>
      <c r="H9" s="19"/>
      <c r="I9" s="45">
        <v>-4</v>
      </c>
      <c r="J9" s="19"/>
      <c r="K9" s="45">
        <v>-5</v>
      </c>
      <c r="L9" s="20"/>
      <c r="M9" s="45">
        <v>-6</v>
      </c>
      <c r="N9" s="20"/>
      <c r="O9" s="45">
        <v>-7</v>
      </c>
      <c r="P9" s="20"/>
      <c r="Q9" s="45">
        <v>-8</v>
      </c>
      <c r="R9" s="19"/>
      <c r="S9" s="47" t="s">
        <v>137</v>
      </c>
      <c r="U9" s="47" t="s">
        <v>138</v>
      </c>
    </row>
    <row r="10" spans="1:21" ht="15.75">
      <c r="B10" s="22"/>
      <c r="C10" s="19"/>
      <c r="D10" s="19"/>
      <c r="E10" s="19"/>
      <c r="F10" s="19"/>
      <c r="G10" s="19"/>
      <c r="H10" s="19"/>
      <c r="I10" s="41"/>
      <c r="J10" s="19"/>
      <c r="K10" s="19"/>
      <c r="L10" s="19"/>
      <c r="M10" s="20"/>
      <c r="N10" s="20"/>
      <c r="O10" s="20"/>
      <c r="P10" s="20"/>
      <c r="Q10" s="20"/>
      <c r="R10" s="19"/>
      <c r="S10" s="19"/>
      <c r="U10" s="19"/>
    </row>
    <row r="11" spans="1:21" ht="15.75">
      <c r="B11" s="22"/>
      <c r="C11" s="21" t="s">
        <v>24</v>
      </c>
      <c r="D11" s="19"/>
      <c r="E11" s="19"/>
      <c r="F11" s="19"/>
      <c r="G11" s="19"/>
      <c r="H11" s="19"/>
      <c r="I11" s="41"/>
      <c r="J11" s="19"/>
      <c r="K11" s="19"/>
      <c r="L11" s="19"/>
      <c r="M11" s="20"/>
      <c r="N11" s="20"/>
      <c r="O11" s="20"/>
      <c r="P11" s="20"/>
      <c r="Q11" s="20"/>
      <c r="R11" s="19"/>
      <c r="S11" s="19"/>
      <c r="U11" s="19"/>
    </row>
    <row r="12" spans="1:21" ht="15.75">
      <c r="B12" s="22"/>
      <c r="C12" s="19"/>
      <c r="D12" s="19"/>
      <c r="E12" s="19"/>
      <c r="F12" s="19"/>
      <c r="G12" s="19"/>
      <c r="H12" s="19"/>
      <c r="I12" s="41"/>
      <c r="J12" s="19"/>
      <c r="K12" s="19"/>
      <c r="L12" s="19"/>
      <c r="M12" s="20"/>
      <c r="N12" s="20"/>
      <c r="O12" s="20"/>
      <c r="P12" s="20"/>
      <c r="Q12" s="20"/>
      <c r="R12" s="19"/>
      <c r="S12" s="19"/>
      <c r="U12" s="19"/>
    </row>
    <row r="13" spans="1:21" ht="15.75">
      <c r="A13" s="30">
        <v>303</v>
      </c>
      <c r="C13" s="13" t="s">
        <v>25</v>
      </c>
      <c r="D13" s="19"/>
      <c r="E13" s="205"/>
      <c r="G13" s="205" t="s">
        <v>152</v>
      </c>
      <c r="H13" s="205"/>
      <c r="I13" s="206">
        <v>0</v>
      </c>
      <c r="K13" s="144">
        <v>20095177.920000002</v>
      </c>
      <c r="L13" s="145"/>
      <c r="M13" s="148">
        <v>3406872.3</v>
      </c>
      <c r="N13" s="147"/>
      <c r="O13" s="148">
        <v>16688306</v>
      </c>
      <c r="P13" s="147"/>
      <c r="Q13" s="148">
        <v>735656</v>
      </c>
      <c r="S13" s="26">
        <v>3.66</v>
      </c>
      <c r="U13" s="49">
        <v>22.7</v>
      </c>
    </row>
    <row r="14" spans="1:21" ht="15.75">
      <c r="B14" s="22"/>
      <c r="C14" s="19"/>
      <c r="D14" s="19"/>
      <c r="E14" s="19"/>
      <c r="F14" s="19"/>
      <c r="G14" s="19"/>
      <c r="H14" s="19"/>
      <c r="I14" s="41"/>
      <c r="J14" s="19"/>
      <c r="K14" s="19"/>
      <c r="L14" s="19"/>
      <c r="M14" s="20"/>
      <c r="N14" s="20"/>
      <c r="O14" s="20"/>
      <c r="P14" s="20"/>
      <c r="Q14" s="20"/>
      <c r="R14" s="19"/>
      <c r="S14" s="19"/>
      <c r="U14" s="19"/>
    </row>
    <row r="15" spans="1:21" ht="15.75">
      <c r="B15" s="22"/>
      <c r="C15" s="31" t="s">
        <v>139</v>
      </c>
      <c r="D15" s="19"/>
      <c r="E15" s="19"/>
      <c r="F15" s="19"/>
      <c r="G15" s="19"/>
      <c r="H15" s="19"/>
      <c r="I15" s="41"/>
      <c r="J15" s="19"/>
      <c r="K15" s="151">
        <f>SUBTOTAL(9,K13:K14)</f>
        <v>20095177.920000002</v>
      </c>
      <c r="L15" s="152"/>
      <c r="M15" s="154">
        <f>SUBTOTAL(9,M13:M14)</f>
        <v>3406872.3</v>
      </c>
      <c r="N15" s="154"/>
      <c r="O15" s="154">
        <f>SUBTOTAL(9,O13:O14)</f>
        <v>16688306</v>
      </c>
      <c r="P15" s="154"/>
      <c r="Q15" s="154">
        <f>SUBTOTAL(9,Q13:Q14)</f>
        <v>735656</v>
      </c>
      <c r="R15" s="22"/>
      <c r="S15" s="23">
        <f>+ROUND(Q15/K15*100,2)</f>
        <v>3.66</v>
      </c>
      <c r="U15" s="19"/>
    </row>
    <row r="16" spans="1:21" ht="15.75">
      <c r="B16" s="22"/>
      <c r="C16" s="19"/>
      <c r="D16" s="19"/>
      <c r="E16" s="19"/>
      <c r="F16" s="19"/>
      <c r="G16" s="19"/>
      <c r="H16" s="19"/>
      <c r="I16" s="41"/>
      <c r="J16" s="19"/>
      <c r="K16" s="19"/>
      <c r="L16" s="19"/>
      <c r="M16" s="20"/>
      <c r="N16" s="20"/>
      <c r="O16" s="20"/>
      <c r="P16" s="20"/>
      <c r="Q16" s="20"/>
      <c r="R16" s="19"/>
      <c r="S16" s="19"/>
      <c r="U16" s="19"/>
    </row>
    <row r="17" spans="1:21" ht="15.75">
      <c r="C17" s="18" t="s">
        <v>26</v>
      </c>
      <c r="S17" s="24"/>
      <c r="U17" s="30"/>
    </row>
    <row r="18" spans="1:21" ht="15.75">
      <c r="C18" s="25"/>
      <c r="S18" s="26"/>
      <c r="U18" s="49"/>
    </row>
    <row r="19" spans="1:21">
      <c r="A19" s="30">
        <v>310.10000000000002</v>
      </c>
      <c r="C19" s="13" t="s">
        <v>27</v>
      </c>
      <c r="S19" s="26"/>
      <c r="U19" s="49"/>
    </row>
    <row r="20" spans="1:21">
      <c r="C20" s="33" t="s">
        <v>28</v>
      </c>
      <c r="E20" s="207">
        <v>50770</v>
      </c>
      <c r="G20" s="205" t="s">
        <v>140</v>
      </c>
      <c r="H20" s="205" t="s">
        <v>141</v>
      </c>
      <c r="I20" s="206">
        <v>0</v>
      </c>
      <c r="K20" s="157">
        <v>5325571.5599999996</v>
      </c>
      <c r="L20" s="145"/>
      <c r="M20" s="147">
        <v>2634053.77</v>
      </c>
      <c r="N20" s="147"/>
      <c r="O20" s="147">
        <v>2691518</v>
      </c>
      <c r="P20" s="147"/>
      <c r="Q20" s="147">
        <v>179435</v>
      </c>
      <c r="S20" s="26">
        <v>3.37</v>
      </c>
      <c r="U20" s="49">
        <v>15</v>
      </c>
    </row>
    <row r="21" spans="1:21">
      <c r="C21" s="33" t="s">
        <v>29</v>
      </c>
      <c r="E21" s="207">
        <v>50770</v>
      </c>
      <c r="G21" s="205" t="s">
        <v>140</v>
      </c>
      <c r="H21" s="205" t="s">
        <v>141</v>
      </c>
      <c r="I21" s="206">
        <v>0</v>
      </c>
      <c r="K21" s="157">
        <v>480134.08</v>
      </c>
      <c r="L21" s="145"/>
      <c r="M21" s="147">
        <v>322717</v>
      </c>
      <c r="N21" s="147"/>
      <c r="O21" s="147">
        <v>157417</v>
      </c>
      <c r="P21" s="147"/>
      <c r="Q21" s="147">
        <v>10494</v>
      </c>
      <c r="S21" s="26">
        <v>2.19</v>
      </c>
      <c r="U21" s="49">
        <v>15</v>
      </c>
    </row>
    <row r="22" spans="1:21">
      <c r="C22" s="33" t="s">
        <v>30</v>
      </c>
      <c r="E22" s="207">
        <v>54788</v>
      </c>
      <c r="G22" s="205" t="s">
        <v>140</v>
      </c>
      <c r="H22" s="205" t="s">
        <v>141</v>
      </c>
      <c r="I22" s="206">
        <v>0</v>
      </c>
      <c r="K22" s="157">
        <v>54040615.270000003</v>
      </c>
      <c r="L22" s="145"/>
      <c r="M22" s="147">
        <v>6181596.7400000002</v>
      </c>
      <c r="N22" s="147"/>
      <c r="O22" s="147">
        <v>47859019</v>
      </c>
      <c r="P22" s="147"/>
      <c r="Q22" s="147">
        <v>1840731</v>
      </c>
      <c r="S22" s="26">
        <v>3.41</v>
      </c>
      <c r="U22" s="49">
        <v>26</v>
      </c>
    </row>
    <row r="23" spans="1:21">
      <c r="C23" s="33" t="s">
        <v>31</v>
      </c>
      <c r="E23" s="207">
        <v>54788</v>
      </c>
      <c r="G23" s="205" t="s">
        <v>140</v>
      </c>
      <c r="H23" s="205" t="s">
        <v>141</v>
      </c>
      <c r="I23" s="206">
        <v>0</v>
      </c>
      <c r="K23" s="157">
        <v>1050779.8600000001</v>
      </c>
      <c r="L23" s="145"/>
      <c r="M23" s="147">
        <v>159403</v>
      </c>
      <c r="N23" s="147"/>
      <c r="O23" s="147">
        <v>891377</v>
      </c>
      <c r="P23" s="147"/>
      <c r="Q23" s="147">
        <v>34284</v>
      </c>
      <c r="S23" s="26">
        <v>3.26</v>
      </c>
      <c r="U23" s="49">
        <v>26</v>
      </c>
    </row>
    <row r="24" spans="1:21">
      <c r="C24" s="33" t="s">
        <v>32</v>
      </c>
      <c r="E24" s="207">
        <v>46387</v>
      </c>
      <c r="G24" s="205" t="s">
        <v>140</v>
      </c>
      <c r="H24" s="205" t="s">
        <v>141</v>
      </c>
      <c r="I24" s="206">
        <v>0</v>
      </c>
      <c r="K24" s="144">
        <v>6050424.8700000001</v>
      </c>
      <c r="L24" s="145"/>
      <c r="M24" s="148">
        <v>3611585.76</v>
      </c>
      <c r="N24" s="147"/>
      <c r="O24" s="148">
        <v>2438839</v>
      </c>
      <c r="P24" s="147"/>
      <c r="Q24" s="148">
        <v>812946</v>
      </c>
      <c r="S24" s="26">
        <v>13.44</v>
      </c>
      <c r="U24" s="49">
        <v>3</v>
      </c>
    </row>
    <row r="25" spans="1:21">
      <c r="G25" s="205"/>
      <c r="H25" s="205"/>
      <c r="I25" s="206"/>
      <c r="K25" s="157"/>
      <c r="L25" s="145"/>
      <c r="M25" s="147"/>
      <c r="N25" s="147"/>
      <c r="O25" s="147"/>
      <c r="P25" s="147"/>
      <c r="Q25" s="147"/>
      <c r="S25" s="26"/>
      <c r="U25" s="49"/>
    </row>
    <row r="26" spans="1:21">
      <c r="C26" s="13" t="s">
        <v>33</v>
      </c>
      <c r="G26" s="205"/>
      <c r="H26" s="205"/>
      <c r="I26" s="206"/>
      <c r="K26" s="157">
        <f>SUBTOTAL(9,K20:K25)</f>
        <v>66947525.640000001</v>
      </c>
      <c r="L26" s="145"/>
      <c r="M26" s="147">
        <f>SUBTOTAL(9,M20:M25)</f>
        <v>12909356.27</v>
      </c>
      <c r="N26" s="147"/>
      <c r="O26" s="147">
        <f>SUBTOTAL(9,O20:O25)</f>
        <v>54038170</v>
      </c>
      <c r="P26" s="147"/>
      <c r="Q26" s="147">
        <f>SUBTOTAL(9,Q20:Q25)</f>
        <v>2877890</v>
      </c>
      <c r="S26" s="26">
        <f>+ROUND(Q26/K26*100,2)</f>
        <v>4.3</v>
      </c>
      <c r="U26" s="49"/>
    </row>
    <row r="27" spans="1:21" ht="15.75">
      <c r="C27" s="18"/>
      <c r="S27" s="26"/>
      <c r="U27" s="49"/>
    </row>
    <row r="28" spans="1:21">
      <c r="A28" s="30">
        <v>311</v>
      </c>
      <c r="C28" s="13" t="s">
        <v>34</v>
      </c>
      <c r="S28" s="26"/>
      <c r="U28" s="49"/>
    </row>
    <row r="29" spans="1:21">
      <c r="A29" s="30"/>
      <c r="C29" s="33" t="s">
        <v>35</v>
      </c>
      <c r="E29" s="207">
        <v>47848</v>
      </c>
      <c r="G29" s="205" t="s">
        <v>142</v>
      </c>
      <c r="H29" s="205" t="s">
        <v>141</v>
      </c>
      <c r="I29" s="206">
        <v>0</v>
      </c>
      <c r="K29" s="157">
        <v>619445.56000000006</v>
      </c>
      <c r="L29" s="145"/>
      <c r="M29" s="147">
        <v>546724.53</v>
      </c>
      <c r="N29" s="147"/>
      <c r="O29" s="147">
        <v>72721</v>
      </c>
      <c r="P29" s="147"/>
      <c r="Q29" s="147">
        <v>10555</v>
      </c>
      <c r="S29" s="26">
        <v>1.7</v>
      </c>
      <c r="U29" s="49">
        <v>6.9</v>
      </c>
    </row>
    <row r="30" spans="1:21">
      <c r="A30" s="30"/>
      <c r="C30" s="33" t="s">
        <v>36</v>
      </c>
      <c r="E30" s="207">
        <v>50770</v>
      </c>
      <c r="G30" s="205" t="s">
        <v>142</v>
      </c>
      <c r="H30" s="205" t="s">
        <v>141</v>
      </c>
      <c r="I30" s="206">
        <v>-2</v>
      </c>
      <c r="K30" s="157">
        <v>11594469.07</v>
      </c>
      <c r="L30" s="145"/>
      <c r="M30" s="147">
        <v>10886217.75</v>
      </c>
      <c r="N30" s="147"/>
      <c r="O30" s="147">
        <v>940141</v>
      </c>
      <c r="P30" s="147"/>
      <c r="Q30" s="147">
        <v>63021</v>
      </c>
      <c r="S30" s="26">
        <v>0.54</v>
      </c>
      <c r="U30" s="49">
        <v>14.9</v>
      </c>
    </row>
    <row r="31" spans="1:21">
      <c r="A31" s="30"/>
      <c r="C31" s="33" t="s">
        <v>37</v>
      </c>
      <c r="E31" s="207">
        <v>50770</v>
      </c>
      <c r="G31" s="205" t="s">
        <v>142</v>
      </c>
      <c r="H31" s="205" t="s">
        <v>141</v>
      </c>
      <c r="I31" s="206">
        <v>-1</v>
      </c>
      <c r="K31" s="157">
        <v>16839214.859999999</v>
      </c>
      <c r="L31" s="145"/>
      <c r="M31" s="147">
        <v>10420392.59</v>
      </c>
      <c r="N31" s="147"/>
      <c r="O31" s="147">
        <v>6587214</v>
      </c>
      <c r="P31" s="147"/>
      <c r="Q31" s="147">
        <v>442392</v>
      </c>
      <c r="S31" s="26">
        <v>2.63</v>
      </c>
      <c r="U31" s="49">
        <v>14.9</v>
      </c>
    </row>
    <row r="32" spans="1:21">
      <c r="A32" s="30"/>
      <c r="C32" s="33" t="s">
        <v>38</v>
      </c>
      <c r="E32" s="207">
        <v>54788</v>
      </c>
      <c r="G32" s="205" t="s">
        <v>142</v>
      </c>
      <c r="H32" s="205" t="s">
        <v>141</v>
      </c>
      <c r="I32" s="206">
        <v>-1</v>
      </c>
      <c r="K32" s="157">
        <v>71702335.620000005</v>
      </c>
      <c r="L32" s="145"/>
      <c r="M32" s="147">
        <v>10053669.310000001</v>
      </c>
      <c r="N32" s="147"/>
      <c r="O32" s="147">
        <v>62365690</v>
      </c>
      <c r="P32" s="147"/>
      <c r="Q32" s="147">
        <v>2424830</v>
      </c>
      <c r="S32" s="26">
        <v>3.38</v>
      </c>
      <c r="U32" s="49">
        <v>25.7</v>
      </c>
    </row>
    <row r="33" spans="1:21">
      <c r="A33" s="30"/>
      <c r="C33" s="33" t="s">
        <v>39</v>
      </c>
      <c r="E33" s="207">
        <v>52231</v>
      </c>
      <c r="G33" s="205" t="s">
        <v>142</v>
      </c>
      <c r="H33" s="205" t="s">
        <v>141</v>
      </c>
      <c r="I33" s="206">
        <v>-2</v>
      </c>
      <c r="K33" s="157">
        <v>27725671.460000001</v>
      </c>
      <c r="L33" s="145"/>
      <c r="M33" s="147">
        <v>20154585.920000002</v>
      </c>
      <c r="N33" s="147"/>
      <c r="O33" s="147">
        <v>8125599</v>
      </c>
      <c r="P33" s="147"/>
      <c r="Q33" s="147">
        <v>455270</v>
      </c>
      <c r="S33" s="26">
        <v>1.64</v>
      </c>
      <c r="U33" s="49">
        <v>17.8</v>
      </c>
    </row>
    <row r="34" spans="1:21">
      <c r="A34" s="30"/>
      <c r="C34" s="33" t="s">
        <v>40</v>
      </c>
      <c r="E34" s="207">
        <v>52231</v>
      </c>
      <c r="G34" s="205" t="s">
        <v>142</v>
      </c>
      <c r="H34" s="205" t="s">
        <v>141</v>
      </c>
      <c r="I34" s="206">
        <v>-2</v>
      </c>
      <c r="K34" s="157">
        <v>33813856.219999999</v>
      </c>
      <c r="L34" s="145"/>
      <c r="M34" s="147">
        <v>24929129.039999999</v>
      </c>
      <c r="N34" s="147"/>
      <c r="O34" s="147">
        <v>9561004</v>
      </c>
      <c r="P34" s="147"/>
      <c r="Q34" s="147">
        <v>538072</v>
      </c>
      <c r="S34" s="26">
        <v>1.59</v>
      </c>
      <c r="U34" s="49">
        <v>17.8</v>
      </c>
    </row>
    <row r="35" spans="1:21">
      <c r="A35" s="30"/>
      <c r="C35" s="33" t="s">
        <v>41</v>
      </c>
      <c r="E35" s="207">
        <v>54788</v>
      </c>
      <c r="G35" s="205" t="s">
        <v>142</v>
      </c>
      <c r="H35" s="205" t="s">
        <v>141</v>
      </c>
      <c r="I35" s="206">
        <v>-1</v>
      </c>
      <c r="K35" s="157">
        <v>135449284.44</v>
      </c>
      <c r="L35" s="145"/>
      <c r="M35" s="147">
        <v>46960727.109999999</v>
      </c>
      <c r="N35" s="147"/>
      <c r="O35" s="147">
        <v>89843050</v>
      </c>
      <c r="P35" s="147"/>
      <c r="Q35" s="147">
        <v>3572886</v>
      </c>
      <c r="S35" s="26">
        <v>2.64</v>
      </c>
      <c r="U35" s="49">
        <v>25.1</v>
      </c>
    </row>
    <row r="36" spans="1:21">
      <c r="A36" s="30"/>
      <c r="C36" s="33" t="s">
        <v>42</v>
      </c>
      <c r="E36" s="207">
        <v>54788</v>
      </c>
      <c r="G36" s="205" t="s">
        <v>142</v>
      </c>
      <c r="H36" s="205" t="s">
        <v>141</v>
      </c>
      <c r="I36" s="206">
        <v>-1</v>
      </c>
      <c r="K36" s="157">
        <v>91570829.790000007</v>
      </c>
      <c r="L36" s="145"/>
      <c r="M36" s="147">
        <v>25565458.120000001</v>
      </c>
      <c r="N36" s="147"/>
      <c r="O36" s="147">
        <v>66921080</v>
      </c>
      <c r="P36" s="147"/>
      <c r="Q36" s="147">
        <v>2637385</v>
      </c>
      <c r="S36" s="26">
        <v>2.88</v>
      </c>
      <c r="U36" s="49">
        <v>25.4</v>
      </c>
    </row>
    <row r="37" spans="1:21">
      <c r="A37" s="30"/>
      <c r="C37" s="33" t="s">
        <v>43</v>
      </c>
      <c r="E37" s="207">
        <v>52231</v>
      </c>
      <c r="G37" s="205" t="s">
        <v>142</v>
      </c>
      <c r="H37" s="205" t="s">
        <v>141</v>
      </c>
      <c r="I37" s="206">
        <v>-1</v>
      </c>
      <c r="K37" s="157">
        <v>25327525.350000001</v>
      </c>
      <c r="L37" s="145"/>
      <c r="M37" s="147">
        <v>11932283.550000001</v>
      </c>
      <c r="N37" s="147"/>
      <c r="O37" s="147">
        <v>13648517</v>
      </c>
      <c r="P37" s="147"/>
      <c r="Q37" s="147">
        <v>728698</v>
      </c>
      <c r="S37" s="26">
        <v>2.88</v>
      </c>
      <c r="U37" s="49">
        <v>18.7</v>
      </c>
    </row>
    <row r="38" spans="1:21">
      <c r="A38" s="30"/>
      <c r="C38" s="33" t="s">
        <v>44</v>
      </c>
      <c r="E38" s="207">
        <v>52231</v>
      </c>
      <c r="G38" s="205" t="s">
        <v>142</v>
      </c>
      <c r="H38" s="205" t="s">
        <v>141</v>
      </c>
      <c r="I38" s="206">
        <v>-1</v>
      </c>
      <c r="K38" s="144">
        <v>22295947.370000001</v>
      </c>
      <c r="L38" s="145"/>
      <c r="M38" s="148">
        <v>10551317.82</v>
      </c>
      <c r="N38" s="147"/>
      <c r="O38" s="148">
        <v>11967589</v>
      </c>
      <c r="P38" s="147"/>
      <c r="Q38" s="148">
        <v>638953</v>
      </c>
      <c r="S38" s="26">
        <v>2.87</v>
      </c>
      <c r="U38" s="49">
        <v>18.7</v>
      </c>
    </row>
    <row r="39" spans="1:21">
      <c r="A39" s="30"/>
      <c r="G39" s="205"/>
      <c r="H39" s="205"/>
      <c r="I39" s="206"/>
      <c r="K39" s="157"/>
      <c r="L39" s="145"/>
      <c r="M39" s="147"/>
      <c r="N39" s="147"/>
      <c r="O39" s="147"/>
      <c r="P39" s="147"/>
      <c r="Q39" s="147"/>
      <c r="S39" s="26"/>
      <c r="U39" s="49"/>
    </row>
    <row r="40" spans="1:21">
      <c r="A40" s="30"/>
      <c r="C40" s="13" t="s">
        <v>45</v>
      </c>
      <c r="G40" s="205"/>
      <c r="H40" s="205"/>
      <c r="I40" s="206"/>
      <c r="K40" s="157">
        <f>SUBTOTAL(9,K29:K39)</f>
        <v>436938579.74000007</v>
      </c>
      <c r="L40" s="145"/>
      <c r="M40" s="147">
        <f>SUBTOTAL(9,M29:M39)</f>
        <v>172000505.74000001</v>
      </c>
      <c r="N40" s="147"/>
      <c r="O40" s="147">
        <f>SUBTOTAL(9,O29:O39)</f>
        <v>270032605</v>
      </c>
      <c r="P40" s="147"/>
      <c r="Q40" s="147">
        <f>SUBTOTAL(9,Q29:Q39)</f>
        <v>11512062</v>
      </c>
      <c r="S40" s="26">
        <f>+ROUND(Q40/K40*100,2)</f>
        <v>2.63</v>
      </c>
      <c r="U40" s="49"/>
    </row>
    <row r="41" spans="1:21">
      <c r="A41" s="30"/>
      <c r="G41" s="205"/>
      <c r="H41" s="205"/>
      <c r="I41" s="206"/>
      <c r="K41" s="157"/>
      <c r="L41" s="145"/>
      <c r="M41" s="147"/>
      <c r="N41" s="147"/>
      <c r="O41" s="147"/>
      <c r="P41" s="147"/>
      <c r="Q41" s="147"/>
      <c r="S41" s="26"/>
      <c r="U41" s="49"/>
    </row>
    <row r="42" spans="1:21">
      <c r="A42" s="30">
        <v>312</v>
      </c>
      <c r="C42" s="13" t="s">
        <v>46</v>
      </c>
      <c r="G42" s="205"/>
      <c r="H42" s="205"/>
      <c r="I42" s="206"/>
      <c r="K42" s="157"/>
      <c r="L42" s="145"/>
      <c r="M42" s="147"/>
      <c r="N42" s="147"/>
      <c r="O42" s="147"/>
      <c r="P42" s="147"/>
      <c r="Q42" s="147"/>
      <c r="S42" s="26"/>
      <c r="U42" s="49"/>
    </row>
    <row r="43" spans="1:21">
      <c r="A43" s="30"/>
      <c r="C43" s="33" t="s">
        <v>36</v>
      </c>
      <c r="E43" s="207">
        <v>50770</v>
      </c>
      <c r="G43" s="205" t="s">
        <v>262</v>
      </c>
      <c r="H43" s="205" t="s">
        <v>141</v>
      </c>
      <c r="I43" s="206">
        <v>-2</v>
      </c>
      <c r="K43" s="157">
        <v>101123705.05</v>
      </c>
      <c r="L43" s="145"/>
      <c r="M43" s="147">
        <v>79902414.879999995</v>
      </c>
      <c r="N43" s="147"/>
      <c r="O43" s="147">
        <v>23243764</v>
      </c>
      <c r="P43" s="147"/>
      <c r="Q43" s="147">
        <v>1620046</v>
      </c>
      <c r="S43" s="26">
        <v>1.6</v>
      </c>
      <c r="U43" s="49">
        <v>14.3</v>
      </c>
    </row>
    <row r="44" spans="1:21">
      <c r="A44" s="30"/>
      <c r="C44" s="33" t="s">
        <v>47</v>
      </c>
      <c r="E44" s="207">
        <v>47848</v>
      </c>
      <c r="G44" s="205" t="s">
        <v>262</v>
      </c>
      <c r="H44" s="205" t="s">
        <v>141</v>
      </c>
      <c r="I44" s="206">
        <v>-1</v>
      </c>
      <c r="K44" s="157">
        <v>7772878.4500000002</v>
      </c>
      <c r="L44" s="145"/>
      <c r="M44" s="147">
        <v>7964995.1399999997</v>
      </c>
      <c r="N44" s="147"/>
      <c r="O44" s="147">
        <v>-114388</v>
      </c>
      <c r="P44" s="147"/>
      <c r="Q44" s="147">
        <v>0</v>
      </c>
      <c r="S44" s="26">
        <v>0</v>
      </c>
      <c r="U44" s="49">
        <v>0</v>
      </c>
    </row>
    <row r="45" spans="1:21">
      <c r="A45" s="30"/>
      <c r="C45" s="33" t="s">
        <v>48</v>
      </c>
      <c r="E45" s="207">
        <v>50770</v>
      </c>
      <c r="G45" s="205" t="s">
        <v>262</v>
      </c>
      <c r="H45" s="205" t="s">
        <v>141</v>
      </c>
      <c r="I45" s="206">
        <v>-2</v>
      </c>
      <c r="K45" s="157">
        <v>10041434.960000001</v>
      </c>
      <c r="L45" s="145"/>
      <c r="M45" s="147">
        <v>7985989.9900000002</v>
      </c>
      <c r="N45" s="147"/>
      <c r="O45" s="147">
        <v>2256274</v>
      </c>
      <c r="P45" s="147"/>
      <c r="Q45" s="147">
        <v>156621</v>
      </c>
      <c r="S45" s="26">
        <v>1.56</v>
      </c>
      <c r="U45" s="49">
        <v>14.4</v>
      </c>
    </row>
    <row r="46" spans="1:21">
      <c r="A46" s="30"/>
      <c r="C46" s="33" t="s">
        <v>37</v>
      </c>
      <c r="E46" s="207">
        <v>50770</v>
      </c>
      <c r="G46" s="205" t="s">
        <v>262</v>
      </c>
      <c r="H46" s="205" t="s">
        <v>141</v>
      </c>
      <c r="I46" s="206">
        <v>-1</v>
      </c>
      <c r="K46" s="157">
        <v>193947398</v>
      </c>
      <c r="L46" s="145"/>
      <c r="M46" s="147">
        <v>120251809.87</v>
      </c>
      <c r="N46" s="147"/>
      <c r="O46" s="147">
        <v>75635062</v>
      </c>
      <c r="P46" s="147"/>
      <c r="Q46" s="147">
        <v>5252435</v>
      </c>
      <c r="S46" s="26">
        <v>2.71</v>
      </c>
      <c r="U46" s="49">
        <v>14.4</v>
      </c>
    </row>
    <row r="47" spans="1:21">
      <c r="A47" s="30"/>
      <c r="C47" s="33" t="s">
        <v>38</v>
      </c>
      <c r="E47" s="207">
        <v>54788</v>
      </c>
      <c r="G47" s="205" t="s">
        <v>262</v>
      </c>
      <c r="H47" s="205" t="s">
        <v>141</v>
      </c>
      <c r="I47" s="206">
        <v>-1</v>
      </c>
      <c r="K47" s="157">
        <v>242346947.83000001</v>
      </c>
      <c r="L47" s="145"/>
      <c r="M47" s="147">
        <v>28417369.07</v>
      </c>
      <c r="N47" s="147"/>
      <c r="O47" s="147">
        <v>216353048</v>
      </c>
      <c r="P47" s="147"/>
      <c r="Q47" s="147">
        <v>8786058</v>
      </c>
      <c r="S47" s="26">
        <v>3.63</v>
      </c>
      <c r="U47" s="49">
        <v>24.6</v>
      </c>
    </row>
    <row r="48" spans="1:21">
      <c r="A48" s="30"/>
      <c r="C48" s="33" t="s">
        <v>39</v>
      </c>
      <c r="E48" s="207">
        <v>52231</v>
      </c>
      <c r="G48" s="205" t="s">
        <v>262</v>
      </c>
      <c r="H48" s="205" t="s">
        <v>141</v>
      </c>
      <c r="I48" s="206">
        <v>-2</v>
      </c>
      <c r="K48" s="157">
        <v>234286878.19</v>
      </c>
      <c r="L48" s="145"/>
      <c r="M48" s="147">
        <v>124550728.67</v>
      </c>
      <c r="N48" s="147"/>
      <c r="O48" s="147">
        <v>114421887</v>
      </c>
      <c r="P48" s="147"/>
      <c r="Q48" s="147">
        <v>6530395</v>
      </c>
      <c r="S48" s="26">
        <v>2.79</v>
      </c>
      <c r="U48" s="49">
        <v>17.5</v>
      </c>
    </row>
    <row r="49" spans="1:21">
      <c r="A49" s="30"/>
      <c r="C49" s="33" t="s">
        <v>40</v>
      </c>
      <c r="E49" s="207">
        <v>52231</v>
      </c>
      <c r="G49" s="205" t="s">
        <v>262</v>
      </c>
      <c r="H49" s="205" t="s">
        <v>141</v>
      </c>
      <c r="I49" s="206">
        <v>-2</v>
      </c>
      <c r="K49" s="157">
        <v>298973833.27999997</v>
      </c>
      <c r="L49" s="145"/>
      <c r="M49" s="147">
        <v>167717075.88</v>
      </c>
      <c r="N49" s="147"/>
      <c r="O49" s="147">
        <v>137236234</v>
      </c>
      <c r="P49" s="147"/>
      <c r="Q49" s="147">
        <v>7916470</v>
      </c>
      <c r="S49" s="26">
        <v>2.65</v>
      </c>
      <c r="U49" s="49">
        <v>17.3</v>
      </c>
    </row>
    <row r="50" spans="1:21">
      <c r="A50" s="30"/>
      <c r="C50" s="33" t="s">
        <v>41</v>
      </c>
      <c r="E50" s="207">
        <v>54788</v>
      </c>
      <c r="G50" s="205" t="s">
        <v>262</v>
      </c>
      <c r="H50" s="205" t="s">
        <v>141</v>
      </c>
      <c r="I50" s="206">
        <v>-1</v>
      </c>
      <c r="K50" s="157">
        <v>204062486.12</v>
      </c>
      <c r="L50" s="145"/>
      <c r="M50" s="147">
        <v>64111196.75</v>
      </c>
      <c r="N50" s="147"/>
      <c r="O50" s="147">
        <v>141991914</v>
      </c>
      <c r="P50" s="147"/>
      <c r="Q50" s="147">
        <v>6085392</v>
      </c>
      <c r="S50" s="26">
        <v>2.98</v>
      </c>
      <c r="U50" s="49">
        <v>23.3</v>
      </c>
    </row>
    <row r="51" spans="1:21">
      <c r="A51" s="30"/>
      <c r="C51" s="33" t="s">
        <v>42</v>
      </c>
      <c r="E51" s="207">
        <v>54788</v>
      </c>
      <c r="G51" s="205" t="s">
        <v>262</v>
      </c>
      <c r="H51" s="205" t="s">
        <v>141</v>
      </c>
      <c r="I51" s="206">
        <v>-1</v>
      </c>
      <c r="K51" s="157">
        <v>302101587.54000002</v>
      </c>
      <c r="L51" s="145"/>
      <c r="M51" s="147">
        <v>82111423.780000001</v>
      </c>
      <c r="N51" s="147"/>
      <c r="O51" s="147">
        <v>223011180</v>
      </c>
      <c r="P51" s="147"/>
      <c r="Q51" s="147">
        <v>9453316</v>
      </c>
      <c r="S51" s="26">
        <v>3.13</v>
      </c>
      <c r="U51" s="49">
        <v>23.6</v>
      </c>
    </row>
    <row r="52" spans="1:21">
      <c r="A52" s="30"/>
      <c r="C52" s="33" t="s">
        <v>43</v>
      </c>
      <c r="E52" s="207">
        <v>52231</v>
      </c>
      <c r="G52" s="205" t="s">
        <v>262</v>
      </c>
      <c r="H52" s="205" t="s">
        <v>141</v>
      </c>
      <c r="I52" s="206">
        <v>-1</v>
      </c>
      <c r="K52" s="157">
        <v>101115917.65000001</v>
      </c>
      <c r="L52" s="145"/>
      <c r="M52" s="147">
        <v>47632570.479999997</v>
      </c>
      <c r="N52" s="147"/>
      <c r="O52" s="147">
        <v>54494506</v>
      </c>
      <c r="P52" s="147"/>
      <c r="Q52" s="147">
        <v>3064677</v>
      </c>
      <c r="S52" s="26">
        <v>3.03</v>
      </c>
      <c r="U52" s="49">
        <v>17.8</v>
      </c>
    </row>
    <row r="53" spans="1:21">
      <c r="A53" s="30"/>
      <c r="C53" s="33" t="s">
        <v>44</v>
      </c>
      <c r="E53" s="207">
        <v>52231</v>
      </c>
      <c r="G53" s="205" t="s">
        <v>262</v>
      </c>
      <c r="H53" s="205" t="s">
        <v>141</v>
      </c>
      <c r="I53" s="206">
        <v>-1</v>
      </c>
      <c r="K53" s="144">
        <v>156122871.75</v>
      </c>
      <c r="L53" s="145"/>
      <c r="M53" s="148">
        <v>73883789.400000006</v>
      </c>
      <c r="N53" s="147"/>
      <c r="O53" s="148">
        <v>83800311</v>
      </c>
      <c r="P53" s="147"/>
      <c r="Q53" s="148">
        <v>4712829</v>
      </c>
      <c r="S53" s="26">
        <v>3.02</v>
      </c>
      <c r="U53" s="49">
        <v>17.8</v>
      </c>
    </row>
    <row r="54" spans="1:21">
      <c r="A54" s="30"/>
      <c r="E54" s="205"/>
      <c r="G54" s="205"/>
      <c r="H54" s="205"/>
      <c r="I54" s="206"/>
      <c r="K54" s="157"/>
      <c r="L54" s="145"/>
      <c r="M54" s="147"/>
      <c r="N54" s="147"/>
      <c r="O54" s="147"/>
      <c r="P54" s="147"/>
      <c r="Q54" s="147"/>
      <c r="S54" s="26"/>
      <c r="U54" s="49"/>
    </row>
    <row r="55" spans="1:21">
      <c r="A55" s="30"/>
      <c r="C55" s="13" t="s">
        <v>49</v>
      </c>
      <c r="G55" s="205"/>
      <c r="H55" s="205"/>
      <c r="I55" s="206"/>
      <c r="K55" s="157">
        <f>SUBTOTAL(9,K43:K54)</f>
        <v>1851895938.8200002</v>
      </c>
      <c r="L55" s="145"/>
      <c r="M55" s="147">
        <f>SUBTOTAL(9,M43:M54)</f>
        <v>804529363.90999997</v>
      </c>
      <c r="N55" s="147"/>
      <c r="O55" s="147">
        <f>SUBTOTAL(9,O43:O54)</f>
        <v>1072329792</v>
      </c>
      <c r="P55" s="147"/>
      <c r="Q55" s="147">
        <f>SUBTOTAL(9,Q43:Q54)</f>
        <v>53578239</v>
      </c>
      <c r="S55" s="26">
        <f>+ROUND(Q55/K55*100,2)</f>
        <v>2.89</v>
      </c>
      <c r="U55" s="49"/>
    </row>
    <row r="56" spans="1:21">
      <c r="A56" s="30"/>
      <c r="G56" s="205"/>
      <c r="H56" s="205"/>
      <c r="I56" s="206"/>
      <c r="K56" s="157"/>
      <c r="L56" s="145"/>
      <c r="M56" s="147"/>
      <c r="N56" s="147"/>
      <c r="O56" s="147"/>
      <c r="P56" s="147"/>
      <c r="Q56" s="147"/>
      <c r="S56" s="26"/>
      <c r="U56" s="49"/>
    </row>
    <row r="57" spans="1:21">
      <c r="A57" s="30">
        <v>314</v>
      </c>
      <c r="C57" s="13" t="s">
        <v>50</v>
      </c>
      <c r="G57" s="205"/>
      <c r="H57" s="205"/>
      <c r="I57" s="206"/>
      <c r="K57" s="157"/>
      <c r="L57" s="145"/>
      <c r="M57" s="147"/>
      <c r="N57" s="147"/>
      <c r="O57" s="147"/>
      <c r="P57" s="147"/>
      <c r="Q57" s="147"/>
      <c r="S57" s="26"/>
      <c r="U57" s="49"/>
    </row>
    <row r="58" spans="1:21">
      <c r="A58" s="30"/>
      <c r="C58" s="33" t="s">
        <v>36</v>
      </c>
      <c r="E58" s="207">
        <v>50770</v>
      </c>
      <c r="G58" s="205" t="s">
        <v>143</v>
      </c>
      <c r="H58" s="205" t="s">
        <v>141</v>
      </c>
      <c r="I58" s="206">
        <v>-2</v>
      </c>
      <c r="K58" s="157">
        <v>23714956.780000001</v>
      </c>
      <c r="L58" s="145"/>
      <c r="M58" s="147">
        <v>22544706.98</v>
      </c>
      <c r="N58" s="147"/>
      <c r="O58" s="147">
        <v>1644549</v>
      </c>
      <c r="P58" s="147"/>
      <c r="Q58" s="147">
        <v>114101</v>
      </c>
      <c r="S58" s="26">
        <v>0.48</v>
      </c>
      <c r="U58" s="49">
        <v>14.4</v>
      </c>
    </row>
    <row r="59" spans="1:21">
      <c r="A59" s="30"/>
      <c r="C59" s="33" t="s">
        <v>39</v>
      </c>
      <c r="E59" s="207">
        <v>52231</v>
      </c>
      <c r="G59" s="205" t="s">
        <v>143</v>
      </c>
      <c r="H59" s="205" t="s">
        <v>141</v>
      </c>
      <c r="I59" s="206">
        <v>-2</v>
      </c>
      <c r="K59" s="157">
        <v>42923558.049999997</v>
      </c>
      <c r="L59" s="145"/>
      <c r="M59" s="147">
        <v>25989475.84</v>
      </c>
      <c r="N59" s="147"/>
      <c r="O59" s="147">
        <v>17792553</v>
      </c>
      <c r="P59" s="147"/>
      <c r="Q59" s="147">
        <v>1092771</v>
      </c>
      <c r="S59" s="26">
        <v>2.5499999999999998</v>
      </c>
      <c r="U59" s="49">
        <v>16.3</v>
      </c>
    </row>
    <row r="60" spans="1:21">
      <c r="A60" s="30"/>
      <c r="C60" s="33" t="s">
        <v>40</v>
      </c>
      <c r="E60" s="207">
        <v>52231</v>
      </c>
      <c r="G60" s="205" t="s">
        <v>143</v>
      </c>
      <c r="H60" s="205" t="s">
        <v>141</v>
      </c>
      <c r="I60" s="206">
        <v>-2</v>
      </c>
      <c r="K60" s="157">
        <v>78018528.159999996</v>
      </c>
      <c r="L60" s="145"/>
      <c r="M60" s="147">
        <v>40526496.43</v>
      </c>
      <c r="N60" s="147"/>
      <c r="O60" s="147">
        <v>39052402</v>
      </c>
      <c r="P60" s="147"/>
      <c r="Q60" s="147">
        <v>2306220</v>
      </c>
      <c r="S60" s="26">
        <v>2.96</v>
      </c>
      <c r="U60" s="49">
        <v>16.899999999999999</v>
      </c>
    </row>
    <row r="61" spans="1:21">
      <c r="A61" s="30"/>
      <c r="C61" s="33" t="s">
        <v>41</v>
      </c>
      <c r="E61" s="207">
        <v>54788</v>
      </c>
      <c r="G61" s="205" t="s">
        <v>143</v>
      </c>
      <c r="H61" s="205" t="s">
        <v>141</v>
      </c>
      <c r="I61" s="206">
        <v>-1</v>
      </c>
      <c r="K61" s="157">
        <v>81735044.379999995</v>
      </c>
      <c r="L61" s="145"/>
      <c r="M61" s="147">
        <v>27731410.670000002</v>
      </c>
      <c r="N61" s="147"/>
      <c r="O61" s="147">
        <v>54820984</v>
      </c>
      <c r="P61" s="147"/>
      <c r="Q61" s="147">
        <v>2402441</v>
      </c>
      <c r="S61" s="26">
        <v>2.94</v>
      </c>
      <c r="U61" s="49">
        <v>22.8</v>
      </c>
    </row>
    <row r="62" spans="1:21">
      <c r="A62" s="30"/>
      <c r="C62" s="33" t="s">
        <v>42</v>
      </c>
      <c r="E62" s="207">
        <v>54788</v>
      </c>
      <c r="G62" s="205" t="s">
        <v>143</v>
      </c>
      <c r="H62" s="205" t="s">
        <v>141</v>
      </c>
      <c r="I62" s="206">
        <v>-1</v>
      </c>
      <c r="K62" s="144">
        <v>80326528.049999997</v>
      </c>
      <c r="L62" s="145"/>
      <c r="M62" s="148">
        <v>18513388.579999998</v>
      </c>
      <c r="N62" s="147"/>
      <c r="O62" s="148">
        <v>62616405</v>
      </c>
      <c r="P62" s="147"/>
      <c r="Q62" s="148">
        <v>2637586</v>
      </c>
      <c r="S62" s="26">
        <v>3.28</v>
      </c>
      <c r="U62" s="49">
        <v>23.7</v>
      </c>
    </row>
    <row r="63" spans="1:21">
      <c r="A63" s="30"/>
      <c r="E63" s="205"/>
      <c r="G63" s="205"/>
      <c r="H63" s="205"/>
      <c r="I63" s="206"/>
      <c r="K63" s="157"/>
      <c r="L63" s="145"/>
      <c r="M63" s="147"/>
      <c r="N63" s="147"/>
      <c r="O63" s="147"/>
      <c r="P63" s="147"/>
      <c r="Q63" s="147"/>
      <c r="S63" s="26"/>
      <c r="U63" s="49"/>
    </row>
    <row r="64" spans="1:21">
      <c r="A64" s="30"/>
      <c r="C64" s="13" t="s">
        <v>51</v>
      </c>
      <c r="E64" s="205"/>
      <c r="G64" s="205"/>
      <c r="H64" s="205"/>
      <c r="I64" s="206"/>
      <c r="K64" s="157">
        <f>SUBTOTAL(9,K58:K63)</f>
        <v>306718615.42000002</v>
      </c>
      <c r="L64" s="145"/>
      <c r="M64" s="147">
        <f>SUBTOTAL(9,M58:M63)</f>
        <v>135305478.5</v>
      </c>
      <c r="N64" s="147"/>
      <c r="O64" s="147">
        <f>SUBTOTAL(9,O58:O63)</f>
        <v>175926893</v>
      </c>
      <c r="P64" s="147"/>
      <c r="Q64" s="147">
        <f>SUBTOTAL(9,Q58:Q63)</f>
        <v>8553119</v>
      </c>
      <c r="S64" s="26">
        <f>+ROUND(Q64/K64*100,2)</f>
        <v>2.79</v>
      </c>
      <c r="U64" s="49"/>
    </row>
    <row r="65" spans="1:21">
      <c r="A65" s="30"/>
      <c r="E65" s="205"/>
      <c r="G65" s="205"/>
      <c r="H65" s="205"/>
      <c r="I65" s="206"/>
      <c r="K65" s="157"/>
      <c r="L65" s="145"/>
      <c r="M65" s="147"/>
      <c r="N65" s="147"/>
      <c r="O65" s="147"/>
      <c r="P65" s="147"/>
      <c r="Q65" s="147"/>
      <c r="S65" s="26"/>
      <c r="U65" s="49"/>
    </row>
    <row r="66" spans="1:21">
      <c r="A66" s="30">
        <v>315</v>
      </c>
      <c r="C66" s="13" t="s">
        <v>52</v>
      </c>
      <c r="E66" s="205"/>
      <c r="G66" s="205"/>
      <c r="H66" s="205"/>
      <c r="I66" s="206"/>
      <c r="K66" s="157"/>
      <c r="L66" s="145"/>
      <c r="M66" s="147"/>
      <c r="N66" s="147"/>
      <c r="O66" s="147"/>
      <c r="P66" s="147"/>
      <c r="Q66" s="147"/>
      <c r="S66" s="26"/>
      <c r="U66" s="49"/>
    </row>
    <row r="67" spans="1:21">
      <c r="A67" s="30"/>
      <c r="C67" s="33" t="s">
        <v>36</v>
      </c>
      <c r="E67" s="207">
        <v>50770</v>
      </c>
      <c r="G67" s="205" t="s">
        <v>263</v>
      </c>
      <c r="H67" s="205" t="s">
        <v>141</v>
      </c>
      <c r="I67" s="206">
        <v>-2</v>
      </c>
      <c r="K67" s="157">
        <v>3473012</v>
      </c>
      <c r="L67" s="145"/>
      <c r="M67" s="147">
        <v>3440611.86</v>
      </c>
      <c r="N67" s="147"/>
      <c r="O67" s="147">
        <v>101860</v>
      </c>
      <c r="P67" s="147"/>
      <c r="Q67" s="147">
        <v>6829</v>
      </c>
      <c r="S67" s="26">
        <v>0.2</v>
      </c>
      <c r="U67" s="49">
        <v>14.9</v>
      </c>
    </row>
    <row r="68" spans="1:21">
      <c r="A68" s="30"/>
      <c r="C68" s="33" t="s">
        <v>47</v>
      </c>
      <c r="E68" s="207">
        <v>47848</v>
      </c>
      <c r="G68" s="205" t="s">
        <v>263</v>
      </c>
      <c r="H68" s="205" t="s">
        <v>141</v>
      </c>
      <c r="I68" s="206">
        <v>-1</v>
      </c>
      <c r="K68" s="157">
        <v>108139.1</v>
      </c>
      <c r="L68" s="145"/>
      <c r="M68" s="147">
        <v>70330.009999999995</v>
      </c>
      <c r="N68" s="147"/>
      <c r="O68" s="147">
        <v>38890</v>
      </c>
      <c r="P68" s="147"/>
      <c r="Q68" s="147">
        <v>5567</v>
      </c>
      <c r="S68" s="26">
        <v>5.15</v>
      </c>
      <c r="U68" s="49">
        <v>7</v>
      </c>
    </row>
    <row r="69" spans="1:21">
      <c r="A69" s="30"/>
      <c r="C69" s="33" t="s">
        <v>48</v>
      </c>
      <c r="E69" s="207">
        <v>50770</v>
      </c>
      <c r="G69" s="205" t="s">
        <v>263</v>
      </c>
      <c r="H69" s="205" t="s">
        <v>141</v>
      </c>
      <c r="I69" s="206">
        <v>-2</v>
      </c>
      <c r="K69" s="157">
        <v>108269.09</v>
      </c>
      <c r="L69" s="145"/>
      <c r="M69" s="147">
        <v>43937.66</v>
      </c>
      <c r="N69" s="147"/>
      <c r="O69" s="147">
        <v>66497</v>
      </c>
      <c r="P69" s="147"/>
      <c r="Q69" s="147">
        <v>4461</v>
      </c>
      <c r="S69" s="26">
        <v>4.12</v>
      </c>
      <c r="U69" s="49">
        <v>14.9</v>
      </c>
    </row>
    <row r="70" spans="1:21">
      <c r="A70" s="30"/>
      <c r="C70" s="33" t="s">
        <v>37</v>
      </c>
      <c r="E70" s="207">
        <v>50770</v>
      </c>
      <c r="G70" s="205" t="s">
        <v>263</v>
      </c>
      <c r="H70" s="205" t="s">
        <v>141</v>
      </c>
      <c r="I70" s="206">
        <v>-1</v>
      </c>
      <c r="K70" s="157">
        <v>12060627.85</v>
      </c>
      <c r="L70" s="145"/>
      <c r="M70" s="147">
        <v>7467374.21</v>
      </c>
      <c r="N70" s="147"/>
      <c r="O70" s="147">
        <v>4713860</v>
      </c>
      <c r="P70" s="147"/>
      <c r="Q70" s="147">
        <v>317646</v>
      </c>
      <c r="S70" s="26">
        <v>2.63</v>
      </c>
      <c r="U70" s="49">
        <v>14.8</v>
      </c>
    </row>
    <row r="71" spans="1:21">
      <c r="A71" s="30"/>
      <c r="C71" s="33" t="s">
        <v>39</v>
      </c>
      <c r="E71" s="207">
        <v>52231</v>
      </c>
      <c r="G71" s="205" t="s">
        <v>263</v>
      </c>
      <c r="H71" s="205" t="s">
        <v>141</v>
      </c>
      <c r="I71" s="206">
        <v>-2</v>
      </c>
      <c r="K71" s="157">
        <v>10670855.65</v>
      </c>
      <c r="L71" s="145"/>
      <c r="M71" s="147">
        <v>7498394.54</v>
      </c>
      <c r="N71" s="147"/>
      <c r="O71" s="147">
        <v>3385878</v>
      </c>
      <c r="P71" s="147"/>
      <c r="Q71" s="147">
        <v>194864</v>
      </c>
      <c r="S71" s="26">
        <v>1.83</v>
      </c>
      <c r="U71" s="49">
        <v>17.399999999999999</v>
      </c>
    </row>
    <row r="72" spans="1:21">
      <c r="A72" s="30"/>
      <c r="C72" s="33" t="s">
        <v>40</v>
      </c>
      <c r="E72" s="207">
        <v>52231</v>
      </c>
      <c r="G72" s="205" t="s">
        <v>263</v>
      </c>
      <c r="H72" s="205" t="s">
        <v>141</v>
      </c>
      <c r="I72" s="206">
        <v>-2</v>
      </c>
      <c r="K72" s="157">
        <v>23193967.98</v>
      </c>
      <c r="L72" s="145"/>
      <c r="M72" s="147">
        <v>15966785.470000001</v>
      </c>
      <c r="N72" s="147"/>
      <c r="O72" s="147">
        <v>7691062</v>
      </c>
      <c r="P72" s="147"/>
      <c r="Q72" s="147">
        <v>442917</v>
      </c>
      <c r="S72" s="26">
        <v>1.91</v>
      </c>
      <c r="U72" s="49">
        <v>17.399999999999999</v>
      </c>
    </row>
    <row r="73" spans="1:21">
      <c r="A73" s="30"/>
      <c r="C73" s="33" t="s">
        <v>41</v>
      </c>
      <c r="E73" s="207">
        <v>54788</v>
      </c>
      <c r="G73" s="205" t="s">
        <v>263</v>
      </c>
      <c r="H73" s="205" t="s">
        <v>141</v>
      </c>
      <c r="I73" s="206">
        <v>-1</v>
      </c>
      <c r="K73" s="157">
        <v>25044774.100000001</v>
      </c>
      <c r="L73" s="145"/>
      <c r="M73" s="147">
        <v>8072902.6799999997</v>
      </c>
      <c r="N73" s="147"/>
      <c r="O73" s="147">
        <v>17222319</v>
      </c>
      <c r="P73" s="147"/>
      <c r="Q73" s="147">
        <v>690603</v>
      </c>
      <c r="S73" s="26">
        <v>2.76</v>
      </c>
      <c r="U73" s="49">
        <v>24.9</v>
      </c>
    </row>
    <row r="74" spans="1:21">
      <c r="A74" s="30"/>
      <c r="C74" s="33" t="s">
        <v>42</v>
      </c>
      <c r="E74" s="207">
        <v>54788</v>
      </c>
      <c r="G74" s="205" t="s">
        <v>263</v>
      </c>
      <c r="H74" s="205" t="s">
        <v>141</v>
      </c>
      <c r="I74" s="206">
        <v>-1</v>
      </c>
      <c r="K74" s="157">
        <v>12751242.41</v>
      </c>
      <c r="L74" s="145"/>
      <c r="M74" s="147">
        <v>3604702.43</v>
      </c>
      <c r="N74" s="147"/>
      <c r="O74" s="147">
        <v>9274052</v>
      </c>
      <c r="P74" s="147"/>
      <c r="Q74" s="147">
        <v>369190</v>
      </c>
      <c r="S74" s="26">
        <v>2.9</v>
      </c>
      <c r="U74" s="49">
        <v>25.1</v>
      </c>
    </row>
    <row r="75" spans="1:21">
      <c r="A75" s="30"/>
      <c r="C75" s="33" t="s">
        <v>43</v>
      </c>
      <c r="E75" s="207">
        <v>52231</v>
      </c>
      <c r="G75" s="205" t="s">
        <v>263</v>
      </c>
      <c r="H75" s="205" t="s">
        <v>141</v>
      </c>
      <c r="I75" s="206">
        <v>-1</v>
      </c>
      <c r="K75" s="157">
        <v>12513473.779999999</v>
      </c>
      <c r="L75" s="145"/>
      <c r="M75" s="147">
        <v>5887066.6900000004</v>
      </c>
      <c r="N75" s="147"/>
      <c r="O75" s="147">
        <v>6751542</v>
      </c>
      <c r="P75" s="147"/>
      <c r="Q75" s="147">
        <v>362596</v>
      </c>
      <c r="S75" s="26">
        <v>2.9</v>
      </c>
      <c r="U75" s="49">
        <v>18.600000000000001</v>
      </c>
    </row>
    <row r="76" spans="1:21">
      <c r="A76" s="30"/>
      <c r="C76" s="33" t="s">
        <v>44</v>
      </c>
      <c r="E76" s="207">
        <v>52231</v>
      </c>
      <c r="G76" s="205" t="s">
        <v>263</v>
      </c>
      <c r="H76" s="205" t="s">
        <v>141</v>
      </c>
      <c r="I76" s="206">
        <v>-1</v>
      </c>
      <c r="K76" s="144">
        <v>17711668.739999998</v>
      </c>
      <c r="L76" s="145"/>
      <c r="M76" s="148">
        <v>8370097.9800000004</v>
      </c>
      <c r="N76" s="147"/>
      <c r="O76" s="148">
        <v>9518687</v>
      </c>
      <c r="P76" s="147"/>
      <c r="Q76" s="148">
        <v>511208</v>
      </c>
      <c r="S76" s="26">
        <v>2.89</v>
      </c>
      <c r="U76" s="49">
        <v>18.600000000000001</v>
      </c>
    </row>
    <row r="77" spans="1:21">
      <c r="A77" s="30"/>
      <c r="G77" s="205"/>
      <c r="H77" s="205"/>
      <c r="I77" s="206"/>
      <c r="K77" s="157"/>
      <c r="L77" s="145"/>
      <c r="M77" s="147"/>
      <c r="N77" s="147"/>
      <c r="O77" s="147"/>
      <c r="P77" s="147"/>
      <c r="Q77" s="147"/>
      <c r="S77" s="26"/>
      <c r="U77" s="49"/>
    </row>
    <row r="78" spans="1:21">
      <c r="A78" s="30"/>
      <c r="C78" s="13" t="s">
        <v>53</v>
      </c>
      <c r="G78" s="205"/>
      <c r="H78" s="205"/>
      <c r="I78" s="206"/>
      <c r="K78" s="157">
        <f>SUBTOTAL(9,K67:K77)</f>
        <v>117636030.7</v>
      </c>
      <c r="L78" s="145"/>
      <c r="M78" s="147">
        <f>SUBTOTAL(9,M67:M77)</f>
        <v>60422203.530000001</v>
      </c>
      <c r="N78" s="147"/>
      <c r="O78" s="147">
        <f>SUBTOTAL(9,O67:O77)</f>
        <v>58764647</v>
      </c>
      <c r="P78" s="147"/>
      <c r="Q78" s="147">
        <f>SUBTOTAL(9,Q67:Q77)</f>
        <v>2905881</v>
      </c>
      <c r="S78" s="26">
        <f>+ROUND(Q78/K78*100,2)</f>
        <v>2.4700000000000002</v>
      </c>
      <c r="U78" s="49"/>
    </row>
    <row r="79" spans="1:21">
      <c r="A79" s="30"/>
      <c r="G79" s="205"/>
      <c r="H79" s="205"/>
      <c r="I79" s="206"/>
      <c r="K79" s="157"/>
      <c r="L79" s="145"/>
      <c r="M79" s="147"/>
      <c r="N79" s="147"/>
      <c r="O79" s="147"/>
      <c r="P79" s="147"/>
      <c r="Q79" s="147"/>
      <c r="S79" s="26"/>
      <c r="U79" s="49"/>
    </row>
    <row r="80" spans="1:21">
      <c r="A80" s="30">
        <v>316</v>
      </c>
      <c r="C80" s="13" t="s">
        <v>54</v>
      </c>
      <c r="G80" s="205"/>
      <c r="H80" s="205"/>
      <c r="I80" s="206"/>
      <c r="K80" s="157"/>
      <c r="S80" s="26"/>
      <c r="U80" s="49"/>
    </row>
    <row r="81" spans="1:21">
      <c r="A81" s="30"/>
      <c r="C81" s="33" t="s">
        <v>35</v>
      </c>
      <c r="E81" s="207">
        <v>47848</v>
      </c>
      <c r="G81" s="205" t="s">
        <v>264</v>
      </c>
      <c r="H81" s="205" t="s">
        <v>141</v>
      </c>
      <c r="I81" s="206">
        <v>0</v>
      </c>
      <c r="K81" s="157">
        <v>1167329.42</v>
      </c>
      <c r="L81" s="145"/>
      <c r="M81" s="147">
        <v>840184.9</v>
      </c>
      <c r="N81" s="147"/>
      <c r="O81" s="147">
        <v>327145</v>
      </c>
      <c r="P81" s="147"/>
      <c r="Q81" s="147">
        <v>51254</v>
      </c>
      <c r="S81" s="26">
        <v>4.3899999999999997</v>
      </c>
      <c r="U81" s="49">
        <v>6.4</v>
      </c>
    </row>
    <row r="82" spans="1:21">
      <c r="A82" s="30"/>
      <c r="C82" s="33" t="s">
        <v>36</v>
      </c>
      <c r="E82" s="207">
        <v>50770</v>
      </c>
      <c r="G82" s="205" t="s">
        <v>264</v>
      </c>
      <c r="H82" s="205" t="s">
        <v>141</v>
      </c>
      <c r="I82" s="206">
        <v>-2</v>
      </c>
      <c r="K82" s="157">
        <v>2918709.21</v>
      </c>
      <c r="L82" s="145"/>
      <c r="M82" s="147">
        <v>1911960.87</v>
      </c>
      <c r="N82" s="147"/>
      <c r="O82" s="147">
        <v>1065123</v>
      </c>
      <c r="P82" s="147"/>
      <c r="Q82" s="147">
        <v>83487</v>
      </c>
      <c r="S82" s="26">
        <v>2.86</v>
      </c>
      <c r="U82" s="49">
        <v>12.8</v>
      </c>
    </row>
    <row r="83" spans="1:21">
      <c r="A83" s="30"/>
      <c r="C83" s="33" t="s">
        <v>47</v>
      </c>
      <c r="E83" s="207">
        <v>47848</v>
      </c>
      <c r="G83" s="205" t="s">
        <v>264</v>
      </c>
      <c r="H83" s="205" t="s">
        <v>141</v>
      </c>
      <c r="I83" s="206">
        <v>-1</v>
      </c>
      <c r="K83" s="157">
        <v>2010174.77</v>
      </c>
      <c r="L83" s="145"/>
      <c r="M83" s="147">
        <v>190055.3</v>
      </c>
      <c r="N83" s="147"/>
      <c r="O83" s="147">
        <v>1840221</v>
      </c>
      <c r="P83" s="147"/>
      <c r="Q83" s="147">
        <v>266699</v>
      </c>
      <c r="S83" s="26">
        <v>13.27</v>
      </c>
      <c r="U83" s="49">
        <v>6.9</v>
      </c>
    </row>
    <row r="84" spans="1:21">
      <c r="A84" s="30"/>
      <c r="C84" s="33" t="s">
        <v>37</v>
      </c>
      <c r="E84" s="207">
        <v>50770</v>
      </c>
      <c r="G84" s="205" t="s">
        <v>264</v>
      </c>
      <c r="H84" s="205" t="s">
        <v>141</v>
      </c>
      <c r="I84" s="206">
        <v>-1</v>
      </c>
      <c r="K84" s="157">
        <v>2139985.1800000002</v>
      </c>
      <c r="L84" s="145"/>
      <c r="M84" s="147">
        <v>1360219.16</v>
      </c>
      <c r="N84" s="147"/>
      <c r="O84" s="147">
        <v>801166</v>
      </c>
      <c r="P84" s="147"/>
      <c r="Q84" s="147">
        <v>64767</v>
      </c>
      <c r="S84" s="26">
        <v>3.03</v>
      </c>
      <c r="U84" s="49">
        <v>12.4</v>
      </c>
    </row>
    <row r="85" spans="1:21">
      <c r="A85" s="30"/>
      <c r="C85" s="33" t="s">
        <v>38</v>
      </c>
      <c r="E85" s="207">
        <v>54788</v>
      </c>
      <c r="G85" s="205" t="s">
        <v>264</v>
      </c>
      <c r="H85" s="205" t="s">
        <v>141</v>
      </c>
      <c r="I85" s="206">
        <v>-1</v>
      </c>
      <c r="K85" s="157">
        <v>8375944.4500000002</v>
      </c>
      <c r="L85" s="145"/>
      <c r="M85" s="147">
        <v>2161823.14</v>
      </c>
      <c r="N85" s="147"/>
      <c r="O85" s="147">
        <v>6297881</v>
      </c>
      <c r="P85" s="147"/>
      <c r="Q85" s="147">
        <v>341257</v>
      </c>
      <c r="S85" s="26">
        <v>4.07</v>
      </c>
      <c r="U85" s="49">
        <v>18.5</v>
      </c>
    </row>
    <row r="86" spans="1:21">
      <c r="A86" s="30"/>
      <c r="C86" s="33" t="s">
        <v>39</v>
      </c>
      <c r="E86" s="207">
        <v>52231</v>
      </c>
      <c r="G86" s="205" t="s">
        <v>264</v>
      </c>
      <c r="H86" s="205" t="s">
        <v>141</v>
      </c>
      <c r="I86" s="206">
        <v>-2</v>
      </c>
      <c r="K86" s="157">
        <v>182562.7</v>
      </c>
      <c r="L86" s="145"/>
      <c r="M86" s="147">
        <v>138675.63</v>
      </c>
      <c r="N86" s="147"/>
      <c r="O86" s="147">
        <v>47538</v>
      </c>
      <c r="P86" s="147"/>
      <c r="Q86" s="147">
        <v>4895</v>
      </c>
      <c r="S86" s="26">
        <v>2.68</v>
      </c>
      <c r="U86" s="49">
        <v>9.6999999999999993</v>
      </c>
    </row>
    <row r="87" spans="1:21">
      <c r="A87" s="30"/>
      <c r="C87" s="33" t="s">
        <v>41</v>
      </c>
      <c r="E87" s="207">
        <v>54788</v>
      </c>
      <c r="G87" s="205" t="s">
        <v>264</v>
      </c>
      <c r="H87" s="205" t="s">
        <v>141</v>
      </c>
      <c r="I87" s="206">
        <v>-2</v>
      </c>
      <c r="K87" s="157">
        <v>2192469.65</v>
      </c>
      <c r="L87" s="145"/>
      <c r="M87" s="147">
        <v>450040.59</v>
      </c>
      <c r="N87" s="147"/>
      <c r="O87" s="147">
        <v>1786278</v>
      </c>
      <c r="P87" s="147"/>
      <c r="Q87" s="147">
        <v>92596</v>
      </c>
      <c r="S87" s="26">
        <v>4.22</v>
      </c>
      <c r="U87" s="49">
        <v>19.3</v>
      </c>
    </row>
    <row r="88" spans="1:21">
      <c r="A88" s="30"/>
      <c r="C88" s="33" t="s">
        <v>42</v>
      </c>
      <c r="E88" s="207">
        <v>54788</v>
      </c>
      <c r="G88" s="205" t="s">
        <v>264</v>
      </c>
      <c r="H88" s="205" t="s">
        <v>141</v>
      </c>
      <c r="I88" s="206">
        <v>-1</v>
      </c>
      <c r="K88" s="144">
        <v>2721199.41</v>
      </c>
      <c r="L88" s="145"/>
      <c r="M88" s="148">
        <v>730264.02</v>
      </c>
      <c r="N88" s="147"/>
      <c r="O88" s="148">
        <v>2018147</v>
      </c>
      <c r="P88" s="147"/>
      <c r="Q88" s="148">
        <v>112573</v>
      </c>
      <c r="S88" s="26">
        <v>4.1399999999999997</v>
      </c>
      <c r="U88" s="49">
        <v>17.899999999999999</v>
      </c>
    </row>
    <row r="89" spans="1:21">
      <c r="A89" s="30"/>
      <c r="G89" s="205"/>
      <c r="H89" s="205"/>
      <c r="I89" s="206"/>
      <c r="K89" s="157"/>
      <c r="L89" s="145"/>
      <c r="M89" s="147"/>
      <c r="N89" s="147"/>
      <c r="O89" s="147"/>
      <c r="P89" s="147"/>
      <c r="Q89" s="147"/>
      <c r="S89" s="26"/>
      <c r="U89" s="49"/>
    </row>
    <row r="90" spans="1:21">
      <c r="A90" s="30"/>
      <c r="C90" s="13" t="s">
        <v>55</v>
      </c>
      <c r="G90" s="205"/>
      <c r="H90" s="205"/>
      <c r="I90" s="206"/>
      <c r="K90" s="144">
        <f>SUBTOTAL(9,K81:K89)</f>
        <v>21708374.789999999</v>
      </c>
      <c r="L90" s="145"/>
      <c r="M90" s="148">
        <f>SUBTOTAL(9,M81:M89)</f>
        <v>7783223.6099999994</v>
      </c>
      <c r="N90" s="147"/>
      <c r="O90" s="148">
        <f>SUBTOTAL(9,O81:O89)</f>
        <v>14183499</v>
      </c>
      <c r="P90" s="147"/>
      <c r="Q90" s="148">
        <f>SUBTOTAL(9,Q81:Q89)</f>
        <v>1017528</v>
      </c>
      <c r="S90" s="26">
        <f>+ROUND(Q90/K90*100,2)</f>
        <v>4.6900000000000004</v>
      </c>
      <c r="U90" s="49"/>
    </row>
    <row r="91" spans="1:21" ht="15.75">
      <c r="C91" s="18"/>
      <c r="K91" s="157"/>
      <c r="L91" s="145"/>
      <c r="M91" s="147"/>
      <c r="N91" s="147"/>
      <c r="O91" s="147"/>
      <c r="P91" s="147"/>
      <c r="Q91" s="147"/>
      <c r="S91" s="26"/>
      <c r="U91" s="49"/>
    </row>
    <row r="92" spans="1:21" ht="15.75">
      <c r="A92" s="30"/>
      <c r="C92" s="31" t="s">
        <v>56</v>
      </c>
      <c r="G92" s="205"/>
      <c r="H92" s="205"/>
      <c r="I92" s="206"/>
      <c r="K92" s="151">
        <f>SUBTOTAL(9,K20:K91)</f>
        <v>2801845065.1100001</v>
      </c>
      <c r="L92" s="22"/>
      <c r="M92" s="35">
        <f>SUBTOTAL(9,M20:M91)</f>
        <v>1192950131.5600004</v>
      </c>
      <c r="N92" s="35"/>
      <c r="O92" s="35">
        <f>SUBTOTAL(9,O20:O91)</f>
        <v>1645275606</v>
      </c>
      <c r="P92" s="35"/>
      <c r="Q92" s="35">
        <f>SUBTOTAL(9,Q20:Q91)</f>
        <v>80444719</v>
      </c>
      <c r="S92" s="23">
        <f>+ROUND(Q92/K92*100,2)</f>
        <v>2.87</v>
      </c>
      <c r="T92" s="22"/>
      <c r="U92" s="50"/>
    </row>
    <row r="93" spans="1:21">
      <c r="A93" s="30"/>
      <c r="C93" s="34"/>
      <c r="G93" s="205"/>
      <c r="H93" s="205"/>
      <c r="I93" s="206"/>
      <c r="K93" s="157"/>
      <c r="S93" s="26"/>
      <c r="U93" s="49"/>
    </row>
    <row r="94" spans="1:21" ht="15.75">
      <c r="C94" s="18" t="s">
        <v>57</v>
      </c>
      <c r="S94" s="26"/>
      <c r="U94" s="49"/>
    </row>
    <row r="95" spans="1:21" ht="15.75">
      <c r="C95" s="25"/>
      <c r="S95" s="26"/>
      <c r="U95" s="49"/>
    </row>
    <row r="96" spans="1:21">
      <c r="A96" s="30">
        <v>341</v>
      </c>
      <c r="C96" s="13" t="s">
        <v>34</v>
      </c>
      <c r="S96" s="26"/>
      <c r="U96" s="49"/>
    </row>
    <row r="97" spans="1:21">
      <c r="A97" s="30"/>
      <c r="C97" s="33" t="s">
        <v>58</v>
      </c>
      <c r="E97" s="207">
        <v>55153</v>
      </c>
      <c r="G97" s="205" t="s">
        <v>265</v>
      </c>
      <c r="H97" s="205" t="s">
        <v>141</v>
      </c>
      <c r="I97" s="206">
        <v>-1</v>
      </c>
      <c r="K97" s="157">
        <v>18449493.530000001</v>
      </c>
      <c r="L97" s="145"/>
      <c r="M97" s="147">
        <v>7054844.1500000004</v>
      </c>
      <c r="N97" s="147"/>
      <c r="O97" s="147">
        <v>11579144</v>
      </c>
      <c r="P97" s="147"/>
      <c r="Q97" s="147">
        <v>528653</v>
      </c>
      <c r="S97" s="26">
        <v>2.87</v>
      </c>
      <c r="U97" s="49">
        <v>21.9</v>
      </c>
    </row>
    <row r="98" spans="1:21">
      <c r="A98" s="30"/>
      <c r="C98" s="33" t="s">
        <v>59</v>
      </c>
      <c r="E98" s="207">
        <v>50040</v>
      </c>
      <c r="G98" s="205" t="s">
        <v>265</v>
      </c>
      <c r="H98" s="205" t="s">
        <v>141</v>
      </c>
      <c r="I98" s="206">
        <v>0</v>
      </c>
      <c r="K98" s="157">
        <v>2666719.81</v>
      </c>
      <c r="L98" s="145"/>
      <c r="M98" s="147">
        <v>1514239.92</v>
      </c>
      <c r="N98" s="147"/>
      <c r="O98" s="147">
        <v>1152480</v>
      </c>
      <c r="P98" s="147"/>
      <c r="Q98" s="147">
        <v>97121</v>
      </c>
      <c r="S98" s="26">
        <v>3.64</v>
      </c>
      <c r="U98" s="49">
        <v>11.9</v>
      </c>
    </row>
    <row r="99" spans="1:21">
      <c r="A99" s="30"/>
      <c r="C99" s="33" t="s">
        <v>60</v>
      </c>
      <c r="E99" s="207">
        <v>50040</v>
      </c>
      <c r="G99" s="205" t="s">
        <v>265</v>
      </c>
      <c r="H99" s="205" t="s">
        <v>141</v>
      </c>
      <c r="I99" s="206">
        <v>0</v>
      </c>
      <c r="K99" s="157">
        <v>2666719.81</v>
      </c>
      <c r="L99" s="145"/>
      <c r="M99" s="147">
        <v>1535563.88</v>
      </c>
      <c r="N99" s="147"/>
      <c r="O99" s="147">
        <v>1131156</v>
      </c>
      <c r="P99" s="147"/>
      <c r="Q99" s="147">
        <v>95324</v>
      </c>
      <c r="S99" s="26">
        <v>3.57</v>
      </c>
      <c r="U99" s="49">
        <v>11.9</v>
      </c>
    </row>
    <row r="100" spans="1:21">
      <c r="A100" s="30"/>
      <c r="C100" s="33" t="s">
        <v>61</v>
      </c>
      <c r="E100" s="207">
        <v>50040</v>
      </c>
      <c r="G100" s="205" t="s">
        <v>265</v>
      </c>
      <c r="H100" s="205" t="s">
        <v>141</v>
      </c>
      <c r="I100" s="206">
        <v>0</v>
      </c>
      <c r="K100" s="157">
        <v>2666719.81</v>
      </c>
      <c r="L100" s="145"/>
      <c r="M100" s="147">
        <v>1483354.58</v>
      </c>
      <c r="N100" s="147"/>
      <c r="O100" s="147">
        <v>1183365</v>
      </c>
      <c r="P100" s="147"/>
      <c r="Q100" s="147">
        <v>99724</v>
      </c>
      <c r="S100" s="26">
        <v>3.74</v>
      </c>
      <c r="U100" s="49">
        <v>11.9</v>
      </c>
    </row>
    <row r="101" spans="1:21">
      <c r="A101" s="30"/>
      <c r="C101" s="33" t="s">
        <v>62</v>
      </c>
      <c r="E101" s="207">
        <v>51866</v>
      </c>
      <c r="G101" s="205" t="s">
        <v>265</v>
      </c>
      <c r="H101" s="205" t="s">
        <v>141</v>
      </c>
      <c r="I101" s="206">
        <v>-1</v>
      </c>
      <c r="K101" s="157">
        <v>1937757.41</v>
      </c>
      <c r="L101" s="145"/>
      <c r="M101" s="147">
        <v>914665.65</v>
      </c>
      <c r="N101" s="147"/>
      <c r="O101" s="147">
        <v>1042469</v>
      </c>
      <c r="P101" s="147"/>
      <c r="Q101" s="147">
        <v>65789</v>
      </c>
      <c r="S101" s="26">
        <v>3.4</v>
      </c>
      <c r="U101" s="49">
        <v>15.8</v>
      </c>
    </row>
    <row r="102" spans="1:21">
      <c r="A102" s="30"/>
      <c r="C102" s="33" t="s">
        <v>63</v>
      </c>
      <c r="E102" s="207">
        <v>51866</v>
      </c>
      <c r="G102" s="205" t="s">
        <v>265</v>
      </c>
      <c r="H102" s="205" t="s">
        <v>141</v>
      </c>
      <c r="I102" s="206">
        <v>-1</v>
      </c>
      <c r="K102" s="157">
        <v>1599135.43</v>
      </c>
      <c r="L102" s="145"/>
      <c r="M102" s="147">
        <v>750866.73</v>
      </c>
      <c r="N102" s="147"/>
      <c r="O102" s="147">
        <v>864260</v>
      </c>
      <c r="P102" s="147"/>
      <c r="Q102" s="147">
        <v>54498</v>
      </c>
      <c r="S102" s="26">
        <v>3.41</v>
      </c>
      <c r="U102" s="49">
        <v>15.9</v>
      </c>
    </row>
    <row r="103" spans="1:21">
      <c r="A103" s="30"/>
      <c r="C103" s="33" t="s">
        <v>64</v>
      </c>
      <c r="E103" s="207">
        <v>53327</v>
      </c>
      <c r="G103" s="205" t="s">
        <v>265</v>
      </c>
      <c r="H103" s="205" t="s">
        <v>141</v>
      </c>
      <c r="I103" s="206">
        <v>-1</v>
      </c>
      <c r="K103" s="157">
        <v>303524.78000000003</v>
      </c>
      <c r="L103" s="145"/>
      <c r="M103" s="147">
        <v>116602.85</v>
      </c>
      <c r="N103" s="147"/>
      <c r="O103" s="147">
        <v>189957</v>
      </c>
      <c r="P103" s="147"/>
      <c r="Q103" s="147">
        <v>9937</v>
      </c>
      <c r="S103" s="26">
        <v>3.27</v>
      </c>
      <c r="U103" s="49">
        <v>19.100000000000001</v>
      </c>
    </row>
    <row r="104" spans="1:21">
      <c r="A104" s="30"/>
      <c r="C104" s="33" t="s">
        <v>65</v>
      </c>
      <c r="E104" s="207">
        <v>53327</v>
      </c>
      <c r="G104" s="205" t="s">
        <v>265</v>
      </c>
      <c r="H104" s="205" t="s">
        <v>141</v>
      </c>
      <c r="I104" s="206">
        <v>-1</v>
      </c>
      <c r="K104" s="157">
        <v>303524.78000000003</v>
      </c>
      <c r="L104" s="145"/>
      <c r="M104" s="147">
        <v>116857.06</v>
      </c>
      <c r="N104" s="147"/>
      <c r="O104" s="147">
        <v>189703</v>
      </c>
      <c r="P104" s="147"/>
      <c r="Q104" s="147">
        <v>9923</v>
      </c>
      <c r="S104" s="26">
        <v>3.27</v>
      </c>
      <c r="U104" s="49">
        <v>19.100000000000001</v>
      </c>
    </row>
    <row r="105" spans="1:21">
      <c r="A105" s="30"/>
      <c r="C105" s="33" t="s">
        <v>66</v>
      </c>
      <c r="E105" s="207">
        <v>55153</v>
      </c>
      <c r="G105" s="205" t="s">
        <v>265</v>
      </c>
      <c r="H105" s="205" t="s">
        <v>141</v>
      </c>
      <c r="I105" s="206">
        <v>0</v>
      </c>
      <c r="K105" s="157">
        <v>4625823.04</v>
      </c>
      <c r="L105" s="145"/>
      <c r="M105" s="147">
        <v>1039877.1</v>
      </c>
      <c r="N105" s="147"/>
      <c r="O105" s="147">
        <v>3585946</v>
      </c>
      <c r="P105" s="147"/>
      <c r="Q105" s="147">
        <v>153838</v>
      </c>
      <c r="S105" s="26">
        <v>3.33</v>
      </c>
      <c r="U105" s="49">
        <v>23.3</v>
      </c>
    </row>
    <row r="106" spans="1:21">
      <c r="A106" s="30"/>
      <c r="C106" s="33" t="s">
        <v>67</v>
      </c>
      <c r="E106" s="207">
        <v>55153</v>
      </c>
      <c r="G106" s="205" t="s">
        <v>265</v>
      </c>
      <c r="H106" s="205" t="s">
        <v>141</v>
      </c>
      <c r="I106" s="206">
        <v>-1</v>
      </c>
      <c r="K106" s="157">
        <v>224532.24</v>
      </c>
      <c r="L106" s="145"/>
      <c r="M106" s="147">
        <v>45021.49</v>
      </c>
      <c r="N106" s="147"/>
      <c r="O106" s="147">
        <v>181756</v>
      </c>
      <c r="P106" s="147"/>
      <c r="Q106" s="147">
        <v>7494</v>
      </c>
      <c r="S106" s="26">
        <v>3.34</v>
      </c>
      <c r="U106" s="49">
        <v>24.3</v>
      </c>
    </row>
    <row r="107" spans="1:21">
      <c r="A107" s="30"/>
      <c r="C107" s="33" t="s">
        <v>68</v>
      </c>
      <c r="E107" s="207">
        <v>50586</v>
      </c>
      <c r="G107" s="205" t="s">
        <v>265</v>
      </c>
      <c r="H107" s="205" t="s">
        <v>141</v>
      </c>
      <c r="I107" s="206">
        <v>0</v>
      </c>
      <c r="K107" s="157">
        <v>1119860.8</v>
      </c>
      <c r="L107" s="145"/>
      <c r="M107" s="147">
        <v>416160.91</v>
      </c>
      <c r="N107" s="147"/>
      <c r="O107" s="147">
        <v>703700</v>
      </c>
      <c r="P107" s="147"/>
      <c r="Q107" s="147">
        <v>53270</v>
      </c>
      <c r="S107" s="26">
        <v>4.76</v>
      </c>
      <c r="U107" s="49">
        <v>13.2</v>
      </c>
    </row>
    <row r="108" spans="1:21">
      <c r="A108" s="30"/>
      <c r="C108" s="33" t="s">
        <v>70</v>
      </c>
      <c r="E108" s="207">
        <v>50586</v>
      </c>
      <c r="G108" s="205" t="s">
        <v>265</v>
      </c>
      <c r="H108" s="205" t="s">
        <v>141</v>
      </c>
      <c r="I108" s="206">
        <v>0</v>
      </c>
      <c r="K108" s="157">
        <v>1135966.24</v>
      </c>
      <c r="L108" s="145"/>
      <c r="M108" s="147">
        <v>422145.64</v>
      </c>
      <c r="N108" s="147"/>
      <c r="O108" s="147">
        <v>713821</v>
      </c>
      <c r="P108" s="147"/>
      <c r="Q108" s="147">
        <v>54036</v>
      </c>
      <c r="S108" s="26">
        <v>4.76</v>
      </c>
      <c r="U108" s="49">
        <v>13.2</v>
      </c>
    </row>
    <row r="109" spans="1:21">
      <c r="A109" s="30"/>
      <c r="C109" s="33" t="s">
        <v>71</v>
      </c>
      <c r="E109" s="207">
        <v>51682</v>
      </c>
      <c r="G109" s="205" t="s">
        <v>265</v>
      </c>
      <c r="H109" s="205" t="s">
        <v>141</v>
      </c>
      <c r="I109" s="206">
        <v>-1</v>
      </c>
      <c r="K109" s="157">
        <v>1465228.09</v>
      </c>
      <c r="L109" s="145"/>
      <c r="M109" s="147">
        <v>468146.53</v>
      </c>
      <c r="N109" s="147"/>
      <c r="O109" s="147">
        <v>1011734</v>
      </c>
      <c r="P109" s="147"/>
      <c r="Q109" s="147">
        <v>63993</v>
      </c>
      <c r="S109" s="26">
        <v>4.37</v>
      </c>
      <c r="U109" s="49">
        <v>15.8</v>
      </c>
    </row>
    <row r="110" spans="1:21">
      <c r="A110" s="30"/>
      <c r="C110" s="33" t="s">
        <v>72</v>
      </c>
      <c r="E110" s="207">
        <v>52047</v>
      </c>
      <c r="G110" s="205" t="s">
        <v>265</v>
      </c>
      <c r="H110" s="205" t="s">
        <v>141</v>
      </c>
      <c r="I110" s="206">
        <v>0</v>
      </c>
      <c r="K110" s="157">
        <v>2033652.36</v>
      </c>
      <c r="L110" s="145"/>
      <c r="M110" s="147">
        <v>312972.96999999997</v>
      </c>
      <c r="N110" s="147"/>
      <c r="O110" s="147">
        <v>1720679</v>
      </c>
      <c r="P110" s="147"/>
      <c r="Q110" s="147">
        <v>98215</v>
      </c>
      <c r="S110" s="26">
        <v>4.83</v>
      </c>
      <c r="U110" s="49">
        <v>17.5</v>
      </c>
    </row>
    <row r="111" spans="1:21">
      <c r="A111" s="30"/>
      <c r="C111" s="33" t="s">
        <v>73</v>
      </c>
      <c r="E111" s="207">
        <v>52962</v>
      </c>
      <c r="G111" s="205" t="s">
        <v>265</v>
      </c>
      <c r="H111" s="205" t="s">
        <v>141</v>
      </c>
      <c r="I111" s="206">
        <v>0</v>
      </c>
      <c r="K111" s="157">
        <v>7836172.29</v>
      </c>
      <c r="L111" s="145"/>
      <c r="M111" s="147">
        <v>2183825.9700000002</v>
      </c>
      <c r="N111" s="147"/>
      <c r="O111" s="147">
        <v>5652346</v>
      </c>
      <c r="P111" s="147"/>
      <c r="Q111" s="147">
        <v>290527</v>
      </c>
      <c r="S111" s="26">
        <v>3.71</v>
      </c>
      <c r="U111" s="49">
        <v>19.5</v>
      </c>
    </row>
    <row r="112" spans="1:21">
      <c r="A112" s="30"/>
      <c r="C112" s="33" t="s">
        <v>74</v>
      </c>
      <c r="E112" s="207">
        <v>52962</v>
      </c>
      <c r="G112" s="205" t="s">
        <v>265</v>
      </c>
      <c r="H112" s="205" t="s">
        <v>141</v>
      </c>
      <c r="I112" s="206">
        <v>0</v>
      </c>
      <c r="K112" s="157">
        <v>933680.4</v>
      </c>
      <c r="L112" s="145"/>
      <c r="M112" s="147">
        <v>369350.09</v>
      </c>
      <c r="N112" s="147"/>
      <c r="O112" s="147">
        <v>564330</v>
      </c>
      <c r="P112" s="147"/>
      <c r="Q112" s="147">
        <v>29059</v>
      </c>
      <c r="S112" s="26">
        <v>3.11</v>
      </c>
      <c r="U112" s="49">
        <v>19.399999999999999</v>
      </c>
    </row>
    <row r="113" spans="1:21">
      <c r="A113" s="30"/>
      <c r="C113" s="33" t="s">
        <v>75</v>
      </c>
      <c r="E113" s="207">
        <v>52962</v>
      </c>
      <c r="G113" s="205" t="s">
        <v>265</v>
      </c>
      <c r="H113" s="205" t="s">
        <v>141</v>
      </c>
      <c r="I113" s="206">
        <v>0</v>
      </c>
      <c r="K113" s="157">
        <v>933680.4</v>
      </c>
      <c r="L113" s="145"/>
      <c r="M113" s="147">
        <v>438271.13</v>
      </c>
      <c r="N113" s="147"/>
      <c r="O113" s="147">
        <v>495409</v>
      </c>
      <c r="P113" s="147"/>
      <c r="Q113" s="147">
        <v>25510</v>
      </c>
      <c r="S113" s="26">
        <v>2.73</v>
      </c>
      <c r="U113" s="49">
        <v>19.399999999999999</v>
      </c>
    </row>
    <row r="114" spans="1:21">
      <c r="A114" s="30"/>
      <c r="C114" s="33" t="s">
        <v>76</v>
      </c>
      <c r="E114" s="207">
        <v>52962</v>
      </c>
      <c r="G114" s="205" t="s">
        <v>265</v>
      </c>
      <c r="H114" s="205" t="s">
        <v>141</v>
      </c>
      <c r="I114" s="206">
        <v>0</v>
      </c>
      <c r="K114" s="157">
        <v>933680.4</v>
      </c>
      <c r="L114" s="145"/>
      <c r="M114" s="147">
        <v>504298.32</v>
      </c>
      <c r="N114" s="147"/>
      <c r="O114" s="147">
        <v>429382</v>
      </c>
      <c r="P114" s="147"/>
      <c r="Q114" s="147">
        <v>22110</v>
      </c>
      <c r="S114" s="26">
        <v>2.37</v>
      </c>
      <c r="U114" s="49">
        <v>19.399999999999999</v>
      </c>
    </row>
    <row r="115" spans="1:21">
      <c r="A115" s="30"/>
      <c r="C115" s="33" t="s">
        <v>77</v>
      </c>
      <c r="E115" s="207">
        <v>53873</v>
      </c>
      <c r="G115" s="205" t="s">
        <v>265</v>
      </c>
      <c r="H115" s="205" t="s">
        <v>141</v>
      </c>
      <c r="I115" s="206">
        <v>0</v>
      </c>
      <c r="K115" s="144">
        <v>625882</v>
      </c>
      <c r="L115" s="145"/>
      <c r="M115" s="148">
        <v>159616.29999999999</v>
      </c>
      <c r="N115" s="147"/>
      <c r="O115" s="148">
        <v>466266</v>
      </c>
      <c r="P115" s="147"/>
      <c r="Q115" s="148">
        <v>21507</v>
      </c>
      <c r="S115" s="26">
        <v>3.44</v>
      </c>
      <c r="U115" s="49">
        <v>21.7</v>
      </c>
    </row>
    <row r="116" spans="1:21">
      <c r="A116" s="30"/>
      <c r="E116" s="54" t="s">
        <v>320</v>
      </c>
      <c r="F116" s="54"/>
      <c r="G116" s="228"/>
      <c r="H116" s="228"/>
      <c r="I116" s="229"/>
      <c r="K116" s="157"/>
      <c r="L116" s="145"/>
      <c r="M116" s="147"/>
      <c r="N116" s="147"/>
      <c r="O116" s="147"/>
      <c r="P116" s="147"/>
      <c r="Q116" s="147"/>
      <c r="S116" s="26"/>
      <c r="U116" s="49"/>
    </row>
    <row r="117" spans="1:21">
      <c r="A117" s="30"/>
      <c r="C117" s="13" t="s">
        <v>45</v>
      </c>
      <c r="G117" s="205"/>
      <c r="H117" s="205"/>
      <c r="I117" s="206"/>
      <c r="K117" s="157">
        <f>SUBTOTAL(9,K97:K116)</f>
        <v>52461753.619999997</v>
      </c>
      <c r="L117" s="145"/>
      <c r="M117" s="147">
        <f>SUBTOTAL(9,M97:M116)</f>
        <v>19846681.27</v>
      </c>
      <c r="N117" s="147"/>
      <c r="O117" s="147">
        <f>SUBTOTAL(9,O97:O116)</f>
        <v>32857903</v>
      </c>
      <c r="P117" s="147"/>
      <c r="Q117" s="147">
        <f>SUBTOTAL(9,Q97:Q116)</f>
        <v>1780528</v>
      </c>
      <c r="S117" s="26">
        <f>+ROUND(Q117/K117*100,2)</f>
        <v>3.39</v>
      </c>
      <c r="U117" s="49"/>
    </row>
    <row r="118" spans="1:21">
      <c r="A118" s="30"/>
      <c r="G118" s="205"/>
      <c r="H118" s="205"/>
      <c r="I118" s="206"/>
      <c r="K118" s="157"/>
      <c r="L118" s="145"/>
      <c r="M118" s="147"/>
      <c r="N118" s="147"/>
      <c r="O118" s="147"/>
      <c r="P118" s="147"/>
      <c r="Q118" s="147"/>
      <c r="S118" s="26"/>
      <c r="U118" s="49"/>
    </row>
    <row r="119" spans="1:21">
      <c r="A119" s="30">
        <v>342</v>
      </c>
      <c r="C119" s="13" t="s">
        <v>266</v>
      </c>
      <c r="S119" s="26"/>
      <c r="U119" s="49"/>
    </row>
    <row r="120" spans="1:21">
      <c r="A120" s="30"/>
      <c r="C120" s="33" t="s">
        <v>58</v>
      </c>
      <c r="E120" s="207">
        <v>55153</v>
      </c>
      <c r="G120" s="205" t="s">
        <v>145</v>
      </c>
      <c r="H120" s="205" t="s">
        <v>141</v>
      </c>
      <c r="I120" s="206">
        <v>-1</v>
      </c>
      <c r="K120" s="157">
        <v>13766120.51</v>
      </c>
      <c r="L120" s="145"/>
      <c r="M120" s="147">
        <v>5537459.1299999999</v>
      </c>
      <c r="N120" s="147"/>
      <c r="O120" s="147">
        <v>8366323</v>
      </c>
      <c r="P120" s="147"/>
      <c r="Q120" s="147">
        <v>367507</v>
      </c>
      <c r="S120" s="26">
        <v>2.67</v>
      </c>
      <c r="U120" s="49">
        <v>22.8</v>
      </c>
    </row>
    <row r="121" spans="1:21">
      <c r="A121" s="30"/>
      <c r="C121" s="33" t="s">
        <v>64</v>
      </c>
      <c r="E121" s="207">
        <v>53327</v>
      </c>
      <c r="G121" s="205" t="s">
        <v>145</v>
      </c>
      <c r="H121" s="205" t="s">
        <v>141</v>
      </c>
      <c r="I121" s="206">
        <v>-1</v>
      </c>
      <c r="K121" s="157">
        <v>70051.649999999994</v>
      </c>
      <c r="L121" s="145"/>
      <c r="M121" s="147">
        <v>27987.56</v>
      </c>
      <c r="N121" s="147"/>
      <c r="O121" s="147">
        <v>42765</v>
      </c>
      <c r="P121" s="147"/>
      <c r="Q121" s="147">
        <v>2123</v>
      </c>
      <c r="S121" s="26">
        <v>3.03</v>
      </c>
      <c r="U121" s="49">
        <v>20.100000000000001</v>
      </c>
    </row>
    <row r="122" spans="1:21">
      <c r="A122" s="30"/>
      <c r="C122" s="33" t="s">
        <v>65</v>
      </c>
      <c r="E122" s="207">
        <v>53327</v>
      </c>
      <c r="G122" s="205" t="s">
        <v>145</v>
      </c>
      <c r="H122" s="205" t="s">
        <v>141</v>
      </c>
      <c r="I122" s="206">
        <v>-1</v>
      </c>
      <c r="K122" s="157">
        <v>70051.649999999994</v>
      </c>
      <c r="L122" s="145"/>
      <c r="M122" s="147">
        <v>28048.65</v>
      </c>
      <c r="N122" s="147"/>
      <c r="O122" s="147">
        <v>42704</v>
      </c>
      <c r="P122" s="147"/>
      <c r="Q122" s="147">
        <v>2120</v>
      </c>
      <c r="S122" s="26">
        <v>3.03</v>
      </c>
      <c r="U122" s="49">
        <v>20.100000000000001</v>
      </c>
    </row>
    <row r="123" spans="1:21">
      <c r="A123" s="30"/>
      <c r="C123" s="33" t="s">
        <v>66</v>
      </c>
      <c r="E123" s="207">
        <v>55153</v>
      </c>
      <c r="G123" s="205" t="s">
        <v>145</v>
      </c>
      <c r="H123" s="205" t="s">
        <v>141</v>
      </c>
      <c r="I123" s="206">
        <v>0</v>
      </c>
      <c r="K123" s="157">
        <v>2384532.85</v>
      </c>
      <c r="L123" s="145"/>
      <c r="M123" s="147">
        <v>551700.31999999995</v>
      </c>
      <c r="N123" s="147"/>
      <c r="O123" s="147">
        <v>1832833</v>
      </c>
      <c r="P123" s="147"/>
      <c r="Q123" s="147">
        <v>73372</v>
      </c>
      <c r="S123" s="26">
        <v>3.08</v>
      </c>
      <c r="U123" s="49">
        <v>25</v>
      </c>
    </row>
    <row r="124" spans="1:21">
      <c r="A124" s="30"/>
      <c r="C124" s="33" t="s">
        <v>67</v>
      </c>
      <c r="E124" s="207">
        <v>55153</v>
      </c>
      <c r="G124" s="205" t="s">
        <v>145</v>
      </c>
      <c r="H124" s="205" t="s">
        <v>141</v>
      </c>
      <c r="I124" s="206">
        <v>-1</v>
      </c>
      <c r="K124" s="157">
        <v>2116650.59</v>
      </c>
      <c r="L124" s="145"/>
      <c r="M124" s="147">
        <v>667242.99</v>
      </c>
      <c r="N124" s="147"/>
      <c r="O124" s="147">
        <v>1470574</v>
      </c>
      <c r="P124" s="147"/>
      <c r="Q124" s="147">
        <v>58870</v>
      </c>
      <c r="S124" s="26">
        <v>2.78</v>
      </c>
      <c r="U124" s="49">
        <v>25</v>
      </c>
    </row>
    <row r="125" spans="1:21">
      <c r="A125" s="30"/>
      <c r="C125" s="33" t="s">
        <v>70</v>
      </c>
      <c r="E125" s="207">
        <v>50586</v>
      </c>
      <c r="G125" s="205" t="s">
        <v>145</v>
      </c>
      <c r="H125" s="205" t="s">
        <v>141</v>
      </c>
      <c r="I125" s="206">
        <v>0</v>
      </c>
      <c r="K125" s="157">
        <v>357670.24</v>
      </c>
      <c r="L125" s="145"/>
      <c r="M125" s="147">
        <v>135434.97</v>
      </c>
      <c r="N125" s="147"/>
      <c r="O125" s="147">
        <v>222235</v>
      </c>
      <c r="P125" s="147"/>
      <c r="Q125" s="147">
        <v>16139</v>
      </c>
      <c r="S125" s="26">
        <v>4.51</v>
      </c>
      <c r="U125" s="49">
        <v>13.8</v>
      </c>
    </row>
    <row r="126" spans="1:21">
      <c r="A126" s="30"/>
      <c r="C126" s="33" t="s">
        <v>73</v>
      </c>
      <c r="E126" s="207">
        <v>52962</v>
      </c>
      <c r="G126" s="205" t="s">
        <v>145</v>
      </c>
      <c r="H126" s="205" t="s">
        <v>141</v>
      </c>
      <c r="I126" s="206">
        <v>0</v>
      </c>
      <c r="K126" s="144">
        <v>1162203.57</v>
      </c>
      <c r="L126" s="145"/>
      <c r="M126" s="148">
        <v>331031.62</v>
      </c>
      <c r="N126" s="147"/>
      <c r="O126" s="148">
        <v>831172</v>
      </c>
      <c r="P126" s="147"/>
      <c r="Q126" s="148">
        <v>40348</v>
      </c>
      <c r="S126" s="26">
        <v>3.47</v>
      </c>
      <c r="U126" s="49">
        <v>20.6</v>
      </c>
    </row>
    <row r="127" spans="1:21">
      <c r="A127" s="30"/>
      <c r="G127" s="205"/>
      <c r="H127" s="205"/>
      <c r="I127" s="206"/>
      <c r="K127" s="157"/>
      <c r="L127" s="145"/>
      <c r="M127" s="147"/>
      <c r="N127" s="147"/>
      <c r="O127" s="147"/>
      <c r="P127" s="147"/>
      <c r="Q127" s="147"/>
      <c r="S127" s="26"/>
      <c r="U127" s="49"/>
    </row>
    <row r="128" spans="1:21">
      <c r="A128" s="30"/>
      <c r="C128" s="13" t="s">
        <v>79</v>
      </c>
      <c r="G128" s="205"/>
      <c r="H128" s="205"/>
      <c r="I128" s="206"/>
      <c r="K128" s="157">
        <f>SUBTOTAL(9,K120:K127)</f>
        <v>19927281.059999999</v>
      </c>
      <c r="L128" s="145"/>
      <c r="M128" s="147">
        <f>SUBTOTAL(9,M120:M127)</f>
        <v>7278905.2400000002</v>
      </c>
      <c r="N128" s="147"/>
      <c r="O128" s="147">
        <f>SUBTOTAL(9,O120:O127)</f>
        <v>12808606</v>
      </c>
      <c r="P128" s="147"/>
      <c r="Q128" s="147">
        <f>SUBTOTAL(9,Q120:Q127)</f>
        <v>560479</v>
      </c>
      <c r="S128" s="26">
        <f>+ROUND(Q128/K128*100,2)</f>
        <v>2.81</v>
      </c>
      <c r="U128" s="49"/>
    </row>
    <row r="129" spans="1:21">
      <c r="A129" s="30"/>
      <c r="G129" s="205"/>
      <c r="H129" s="205"/>
      <c r="I129" s="206"/>
      <c r="K129" s="157"/>
      <c r="L129" s="145"/>
      <c r="M129" s="147"/>
      <c r="N129" s="147"/>
      <c r="O129" s="147"/>
      <c r="P129" s="147"/>
      <c r="Q129" s="147"/>
      <c r="S129" s="26"/>
      <c r="U129" s="49"/>
    </row>
    <row r="130" spans="1:21">
      <c r="A130" s="30">
        <v>343</v>
      </c>
      <c r="C130" s="13" t="s">
        <v>80</v>
      </c>
      <c r="S130" s="26"/>
      <c r="U130" s="49"/>
    </row>
    <row r="131" spans="1:21">
      <c r="A131" s="30"/>
      <c r="C131" s="33" t="s">
        <v>58</v>
      </c>
      <c r="E131" s="207">
        <v>55153</v>
      </c>
      <c r="G131" s="205" t="s">
        <v>146</v>
      </c>
      <c r="H131" s="205" t="s">
        <v>141</v>
      </c>
      <c r="I131" s="206">
        <v>-1</v>
      </c>
      <c r="K131" s="157">
        <v>21780283.59</v>
      </c>
      <c r="L131" s="145"/>
      <c r="M131" s="147">
        <v>8406987.7799999993</v>
      </c>
      <c r="N131" s="147"/>
      <c r="O131" s="147">
        <v>13591099</v>
      </c>
      <c r="P131" s="147"/>
      <c r="Q131" s="147">
        <v>589033</v>
      </c>
      <c r="S131" s="26">
        <v>2.7</v>
      </c>
      <c r="U131" s="49">
        <v>23.1</v>
      </c>
    </row>
    <row r="132" spans="1:21">
      <c r="A132" s="30"/>
      <c r="C132" s="33" t="s">
        <v>59</v>
      </c>
      <c r="E132" s="207">
        <v>50040</v>
      </c>
      <c r="G132" s="205" t="s">
        <v>146</v>
      </c>
      <c r="H132" s="205" t="s">
        <v>141</v>
      </c>
      <c r="I132" s="206">
        <v>0</v>
      </c>
      <c r="K132" s="157">
        <v>24250302.120000001</v>
      </c>
      <c r="L132" s="145"/>
      <c r="M132" s="147">
        <v>10963902.15</v>
      </c>
      <c r="N132" s="147"/>
      <c r="O132" s="147">
        <v>13286400</v>
      </c>
      <c r="P132" s="147"/>
      <c r="Q132" s="147">
        <v>1065898</v>
      </c>
      <c r="S132" s="26">
        <v>4.4000000000000004</v>
      </c>
      <c r="U132" s="49">
        <v>12.5</v>
      </c>
    </row>
    <row r="133" spans="1:21">
      <c r="A133" s="30"/>
      <c r="C133" s="33" t="s">
        <v>60</v>
      </c>
      <c r="E133" s="207">
        <v>50040</v>
      </c>
      <c r="G133" s="205" t="s">
        <v>146</v>
      </c>
      <c r="H133" s="205" t="s">
        <v>141</v>
      </c>
      <c r="I133" s="206">
        <v>0</v>
      </c>
      <c r="K133" s="157">
        <v>16948244.77</v>
      </c>
      <c r="L133" s="145"/>
      <c r="M133" s="147">
        <v>10018781.130000001</v>
      </c>
      <c r="N133" s="147"/>
      <c r="O133" s="147">
        <v>6929464</v>
      </c>
      <c r="P133" s="147"/>
      <c r="Q133" s="147">
        <v>568787</v>
      </c>
      <c r="S133" s="26">
        <v>3.36</v>
      </c>
      <c r="U133" s="49">
        <v>12.2</v>
      </c>
    </row>
    <row r="134" spans="1:21">
      <c r="A134" s="30"/>
      <c r="C134" s="33" t="s">
        <v>61</v>
      </c>
      <c r="E134" s="207">
        <v>50040</v>
      </c>
      <c r="G134" s="205" t="s">
        <v>146</v>
      </c>
      <c r="H134" s="205" t="s">
        <v>141</v>
      </c>
      <c r="I134" s="206">
        <v>0</v>
      </c>
      <c r="K134" s="157">
        <v>16247189.43</v>
      </c>
      <c r="L134" s="145"/>
      <c r="M134" s="147">
        <v>9231709.7200000007</v>
      </c>
      <c r="N134" s="147"/>
      <c r="O134" s="147">
        <v>7015480</v>
      </c>
      <c r="P134" s="147"/>
      <c r="Q134" s="147">
        <v>575464</v>
      </c>
      <c r="S134" s="26">
        <v>3.54</v>
      </c>
      <c r="U134" s="49">
        <v>12.2</v>
      </c>
    </row>
    <row r="135" spans="1:21">
      <c r="A135" s="30"/>
      <c r="C135" s="33" t="s">
        <v>62</v>
      </c>
      <c r="E135" s="207">
        <v>51866</v>
      </c>
      <c r="G135" s="205" t="s">
        <v>146</v>
      </c>
      <c r="H135" s="205" t="s">
        <v>141</v>
      </c>
      <c r="I135" s="206">
        <v>-1</v>
      </c>
      <c r="K135" s="157">
        <v>25858484.41</v>
      </c>
      <c r="L135" s="145"/>
      <c r="M135" s="147">
        <v>12301096.98</v>
      </c>
      <c r="N135" s="147"/>
      <c r="O135" s="147">
        <v>13815972</v>
      </c>
      <c r="P135" s="147"/>
      <c r="Q135" s="147">
        <v>836947</v>
      </c>
      <c r="S135" s="26">
        <v>3.24</v>
      </c>
      <c r="U135" s="49">
        <v>16.5</v>
      </c>
    </row>
    <row r="136" spans="1:21">
      <c r="A136" s="30"/>
      <c r="C136" s="33" t="s">
        <v>63</v>
      </c>
      <c r="E136" s="207">
        <v>51866</v>
      </c>
      <c r="G136" s="205" t="s">
        <v>146</v>
      </c>
      <c r="H136" s="205" t="s">
        <v>141</v>
      </c>
      <c r="I136" s="206">
        <v>-1</v>
      </c>
      <c r="K136" s="157">
        <v>21295538.73</v>
      </c>
      <c r="L136" s="145"/>
      <c r="M136" s="147">
        <v>10224571</v>
      </c>
      <c r="N136" s="147"/>
      <c r="O136" s="147">
        <v>11283923</v>
      </c>
      <c r="P136" s="147"/>
      <c r="Q136" s="147">
        <v>685392</v>
      </c>
      <c r="S136" s="26">
        <v>3.22</v>
      </c>
      <c r="U136" s="49">
        <v>16.5</v>
      </c>
    </row>
    <row r="137" spans="1:21">
      <c r="A137" s="30"/>
      <c r="C137" s="33" t="s">
        <v>64</v>
      </c>
      <c r="E137" s="207">
        <v>53327</v>
      </c>
      <c r="G137" s="205" t="s">
        <v>146</v>
      </c>
      <c r="H137" s="205" t="s">
        <v>141</v>
      </c>
      <c r="I137" s="206">
        <v>-1</v>
      </c>
      <c r="K137" s="157">
        <v>18332746.16</v>
      </c>
      <c r="L137" s="145"/>
      <c r="M137" s="147">
        <v>6529338.7800000003</v>
      </c>
      <c r="N137" s="147"/>
      <c r="O137" s="147">
        <v>11986735</v>
      </c>
      <c r="P137" s="147"/>
      <c r="Q137" s="147">
        <v>591907</v>
      </c>
      <c r="S137" s="26">
        <v>3.23</v>
      </c>
      <c r="U137" s="49">
        <v>20.3</v>
      </c>
    </row>
    <row r="138" spans="1:21">
      <c r="A138" s="30"/>
      <c r="C138" s="33" t="s">
        <v>65</v>
      </c>
      <c r="E138" s="207">
        <v>53327</v>
      </c>
      <c r="G138" s="205" t="s">
        <v>146</v>
      </c>
      <c r="H138" s="205" t="s">
        <v>141</v>
      </c>
      <c r="I138" s="206">
        <v>-1</v>
      </c>
      <c r="K138" s="157">
        <v>16754183.57</v>
      </c>
      <c r="L138" s="145"/>
      <c r="M138" s="147">
        <v>6428695.0599999996</v>
      </c>
      <c r="N138" s="147"/>
      <c r="O138" s="147">
        <v>10493030</v>
      </c>
      <c r="P138" s="147"/>
      <c r="Q138" s="147">
        <v>521839</v>
      </c>
      <c r="S138" s="26">
        <v>3.11</v>
      </c>
      <c r="U138" s="49">
        <v>20.100000000000001</v>
      </c>
    </row>
    <row r="139" spans="1:21">
      <c r="A139" s="30"/>
      <c r="C139" s="33" t="s">
        <v>66</v>
      </c>
      <c r="E139" s="207">
        <v>55153</v>
      </c>
      <c r="G139" s="205" t="s">
        <v>146</v>
      </c>
      <c r="H139" s="205" t="s">
        <v>141</v>
      </c>
      <c r="I139" s="206">
        <v>0</v>
      </c>
      <c r="K139" s="157">
        <v>41179391.759999998</v>
      </c>
      <c r="L139" s="145"/>
      <c r="M139" s="147">
        <v>7964081</v>
      </c>
      <c r="N139" s="147"/>
      <c r="O139" s="147">
        <v>33215311</v>
      </c>
      <c r="P139" s="147"/>
      <c r="Q139" s="147">
        <v>1334094</v>
      </c>
      <c r="S139" s="26">
        <v>3.24</v>
      </c>
      <c r="U139" s="49">
        <v>24.9</v>
      </c>
    </row>
    <row r="140" spans="1:21">
      <c r="A140" s="30"/>
      <c r="C140" s="33" t="s">
        <v>67</v>
      </c>
      <c r="E140" s="207">
        <v>55153</v>
      </c>
      <c r="G140" s="205" t="s">
        <v>146</v>
      </c>
      <c r="H140" s="205" t="s">
        <v>141</v>
      </c>
      <c r="I140" s="206">
        <v>-1</v>
      </c>
      <c r="K140" s="157">
        <v>38525568.210000001</v>
      </c>
      <c r="L140" s="145"/>
      <c r="M140" s="147">
        <v>10498931.800000001</v>
      </c>
      <c r="N140" s="147"/>
      <c r="O140" s="147">
        <v>28411892</v>
      </c>
      <c r="P140" s="147"/>
      <c r="Q140" s="147">
        <v>1142369</v>
      </c>
      <c r="S140" s="26">
        <v>2.97</v>
      </c>
      <c r="U140" s="49">
        <v>24.9</v>
      </c>
    </row>
    <row r="141" spans="1:21">
      <c r="A141" s="30"/>
      <c r="C141" s="33" t="s">
        <v>68</v>
      </c>
      <c r="E141" s="207">
        <v>50586</v>
      </c>
      <c r="G141" s="205" t="s">
        <v>146</v>
      </c>
      <c r="H141" s="205" t="s">
        <v>141</v>
      </c>
      <c r="I141" s="206">
        <v>0</v>
      </c>
      <c r="K141" s="157">
        <v>354200.3</v>
      </c>
      <c r="L141" s="145"/>
      <c r="M141" s="147">
        <v>124578.89</v>
      </c>
      <c r="N141" s="147"/>
      <c r="O141" s="147">
        <v>229621</v>
      </c>
      <c r="P141" s="147"/>
      <c r="Q141" s="147">
        <v>16660</v>
      </c>
      <c r="S141" s="26">
        <v>4.7</v>
      </c>
      <c r="U141" s="49">
        <v>13.8</v>
      </c>
    </row>
    <row r="142" spans="1:21">
      <c r="A142" s="30"/>
      <c r="C142" s="33" t="s">
        <v>70</v>
      </c>
      <c r="E142" s="207">
        <v>50586</v>
      </c>
      <c r="G142" s="205" t="s">
        <v>146</v>
      </c>
      <c r="H142" s="205" t="s">
        <v>141</v>
      </c>
      <c r="I142" s="206">
        <v>0</v>
      </c>
      <c r="K142" s="157">
        <v>387999.31</v>
      </c>
      <c r="L142" s="145"/>
      <c r="M142" s="147">
        <v>133688.01999999999</v>
      </c>
      <c r="N142" s="147"/>
      <c r="O142" s="147">
        <v>254311</v>
      </c>
      <c r="P142" s="147"/>
      <c r="Q142" s="147">
        <v>18415</v>
      </c>
      <c r="S142" s="26">
        <v>4.75</v>
      </c>
      <c r="U142" s="49">
        <v>13.8</v>
      </c>
    </row>
    <row r="143" spans="1:21">
      <c r="A143" s="30"/>
      <c r="C143" s="33" t="s">
        <v>71</v>
      </c>
      <c r="E143" s="207">
        <v>51682</v>
      </c>
      <c r="G143" s="205" t="s">
        <v>146</v>
      </c>
      <c r="H143" s="205" t="s">
        <v>141</v>
      </c>
      <c r="I143" s="206">
        <v>-1</v>
      </c>
      <c r="K143" s="157">
        <v>201654.6</v>
      </c>
      <c r="L143" s="145"/>
      <c r="M143" s="147">
        <v>64321.63</v>
      </c>
      <c r="N143" s="147"/>
      <c r="O143" s="147">
        <v>139350</v>
      </c>
      <c r="P143" s="147"/>
      <c r="Q143" s="147">
        <v>8461</v>
      </c>
      <c r="S143" s="26">
        <v>4.2</v>
      </c>
      <c r="U143" s="49">
        <v>16.5</v>
      </c>
    </row>
    <row r="144" spans="1:21">
      <c r="A144" s="30"/>
      <c r="C144" s="33" t="s">
        <v>72</v>
      </c>
      <c r="E144" s="207">
        <v>52047</v>
      </c>
      <c r="G144" s="205" t="s">
        <v>146</v>
      </c>
      <c r="H144" s="205" t="s">
        <v>141</v>
      </c>
      <c r="I144" s="206">
        <v>0</v>
      </c>
      <c r="K144" s="157">
        <v>275099.08</v>
      </c>
      <c r="L144" s="145"/>
      <c r="M144" s="147">
        <v>82817.759999999995</v>
      </c>
      <c r="N144" s="147"/>
      <c r="O144" s="147">
        <v>192281</v>
      </c>
      <c r="P144" s="147"/>
      <c r="Q144" s="147">
        <v>11051</v>
      </c>
      <c r="S144" s="26">
        <v>4.0199999999999996</v>
      </c>
      <c r="U144" s="49">
        <v>17.399999999999999</v>
      </c>
    </row>
    <row r="145" spans="1:21">
      <c r="A145" s="30"/>
      <c r="C145" s="33" t="s">
        <v>73</v>
      </c>
      <c r="E145" s="207">
        <v>52962</v>
      </c>
      <c r="G145" s="205" t="s">
        <v>146</v>
      </c>
      <c r="H145" s="205" t="s">
        <v>141</v>
      </c>
      <c r="I145" s="206">
        <v>0</v>
      </c>
      <c r="K145" s="157">
        <v>57861908.030000001</v>
      </c>
      <c r="L145" s="145"/>
      <c r="M145" s="147">
        <v>8136032.75</v>
      </c>
      <c r="N145" s="147"/>
      <c r="O145" s="147">
        <v>49725875</v>
      </c>
      <c r="P145" s="147"/>
      <c r="Q145" s="147">
        <v>2436662</v>
      </c>
      <c r="S145" s="26">
        <v>4.21</v>
      </c>
      <c r="U145" s="49">
        <v>20.399999999999999</v>
      </c>
    </row>
    <row r="146" spans="1:21">
      <c r="A146" s="30"/>
      <c r="C146" s="33" t="s">
        <v>74</v>
      </c>
      <c r="E146" s="207">
        <v>52962</v>
      </c>
      <c r="G146" s="205" t="s">
        <v>146</v>
      </c>
      <c r="H146" s="205" t="s">
        <v>141</v>
      </c>
      <c r="I146" s="206">
        <v>0</v>
      </c>
      <c r="K146" s="157">
        <v>44185201.950000003</v>
      </c>
      <c r="L146" s="145"/>
      <c r="M146" s="147">
        <v>15999848.33</v>
      </c>
      <c r="N146" s="147"/>
      <c r="O146" s="147">
        <v>28185354</v>
      </c>
      <c r="P146" s="147"/>
      <c r="Q146" s="147">
        <v>1396317</v>
      </c>
      <c r="S146" s="26">
        <v>3.16</v>
      </c>
      <c r="U146" s="49">
        <v>20.2</v>
      </c>
    </row>
    <row r="147" spans="1:21">
      <c r="A147" s="30"/>
      <c r="C147" s="33" t="s">
        <v>75</v>
      </c>
      <c r="E147" s="207">
        <v>52962</v>
      </c>
      <c r="G147" s="205" t="s">
        <v>146</v>
      </c>
      <c r="H147" s="205" t="s">
        <v>141</v>
      </c>
      <c r="I147" s="206">
        <v>0</v>
      </c>
      <c r="K147" s="157">
        <v>45507960.020000003</v>
      </c>
      <c r="L147" s="145"/>
      <c r="M147" s="147">
        <v>19640774.829999998</v>
      </c>
      <c r="N147" s="147"/>
      <c r="O147" s="147">
        <v>25867185</v>
      </c>
      <c r="P147" s="147"/>
      <c r="Q147" s="147">
        <v>1281454</v>
      </c>
      <c r="S147" s="26">
        <v>2.82</v>
      </c>
      <c r="U147" s="49">
        <v>20.2</v>
      </c>
    </row>
    <row r="148" spans="1:21">
      <c r="A148" s="30"/>
      <c r="C148" s="33" t="s">
        <v>76</v>
      </c>
      <c r="E148" s="207">
        <v>52962</v>
      </c>
      <c r="G148" s="205" t="s">
        <v>146</v>
      </c>
      <c r="H148" s="205" t="s">
        <v>141</v>
      </c>
      <c r="I148" s="206">
        <v>0</v>
      </c>
      <c r="K148" s="144">
        <v>39171021.640000001</v>
      </c>
      <c r="L148" s="145"/>
      <c r="M148" s="148">
        <v>19052233.73</v>
      </c>
      <c r="N148" s="147"/>
      <c r="O148" s="148">
        <v>20118788</v>
      </c>
      <c r="P148" s="147"/>
      <c r="Q148" s="148">
        <v>995827</v>
      </c>
      <c r="S148" s="26">
        <v>2.54</v>
      </c>
      <c r="U148" s="49">
        <v>20.2</v>
      </c>
    </row>
    <row r="149" spans="1:21">
      <c r="A149" s="30"/>
      <c r="G149" s="205"/>
      <c r="H149" s="205"/>
      <c r="I149" s="206"/>
      <c r="K149" s="157"/>
      <c r="L149" s="145"/>
      <c r="M149" s="147"/>
      <c r="N149" s="147"/>
      <c r="O149" s="147"/>
      <c r="P149" s="147"/>
      <c r="Q149" s="147"/>
      <c r="S149" s="26"/>
      <c r="U149" s="49"/>
    </row>
    <row r="150" spans="1:21">
      <c r="A150" s="30"/>
      <c r="C150" s="13" t="s">
        <v>81</v>
      </c>
      <c r="G150" s="205"/>
      <c r="H150" s="205"/>
      <c r="I150" s="206"/>
      <c r="K150" s="157">
        <f>SUBTOTAL(9,K131:K149)</f>
        <v>429116977.68000001</v>
      </c>
      <c r="L150" s="145"/>
      <c r="M150" s="147">
        <f>SUBTOTAL(9,M131:M149)</f>
        <v>155802391.34</v>
      </c>
      <c r="N150" s="147"/>
      <c r="O150" s="147">
        <f>SUBTOTAL(9,O131:O149)</f>
        <v>274742071</v>
      </c>
      <c r="P150" s="147"/>
      <c r="Q150" s="147">
        <f>SUBTOTAL(9,Q131:Q149)</f>
        <v>14076577</v>
      </c>
      <c r="S150" s="26">
        <f>+ROUND(Q150/K150*100,2)</f>
        <v>3.28</v>
      </c>
      <c r="U150" s="49"/>
    </row>
    <row r="151" spans="1:21">
      <c r="A151" s="30"/>
      <c r="G151" s="205"/>
      <c r="H151" s="205"/>
      <c r="I151" s="206"/>
      <c r="K151" s="157"/>
      <c r="L151" s="145"/>
      <c r="M151" s="147"/>
      <c r="N151" s="147"/>
      <c r="O151" s="147"/>
      <c r="P151" s="147"/>
      <c r="Q151" s="147"/>
      <c r="S151" s="26"/>
      <c r="U151" s="49"/>
    </row>
    <row r="152" spans="1:21">
      <c r="A152" s="30">
        <v>344</v>
      </c>
      <c r="C152" s="13" t="s">
        <v>82</v>
      </c>
      <c r="S152" s="26"/>
      <c r="U152" s="49"/>
    </row>
    <row r="153" spans="1:21">
      <c r="A153" s="30"/>
      <c r="C153" s="33" t="s">
        <v>58</v>
      </c>
      <c r="E153" s="207">
        <v>55153</v>
      </c>
      <c r="G153" s="205" t="s">
        <v>267</v>
      </c>
      <c r="H153" s="205" t="s">
        <v>141</v>
      </c>
      <c r="I153" s="206">
        <v>-1</v>
      </c>
      <c r="K153" s="157">
        <v>385287.95</v>
      </c>
      <c r="L153" s="145"/>
      <c r="M153" s="147">
        <v>112500.83</v>
      </c>
      <c r="N153" s="147"/>
      <c r="O153" s="147">
        <v>276640</v>
      </c>
      <c r="P153" s="147"/>
      <c r="Q153" s="147">
        <v>11699</v>
      </c>
      <c r="S153" s="26">
        <v>3.04</v>
      </c>
      <c r="U153" s="49">
        <v>23.6</v>
      </c>
    </row>
    <row r="154" spans="1:21">
      <c r="A154" s="30"/>
      <c r="C154" s="33" t="s">
        <v>59</v>
      </c>
      <c r="E154" s="207">
        <v>50040</v>
      </c>
      <c r="G154" s="205" t="s">
        <v>267</v>
      </c>
      <c r="H154" s="205" t="s">
        <v>141</v>
      </c>
      <c r="I154" s="206">
        <v>0</v>
      </c>
      <c r="K154" s="157">
        <v>4960295.58</v>
      </c>
      <c r="L154" s="145"/>
      <c r="M154" s="147">
        <v>2938099.42</v>
      </c>
      <c r="N154" s="147"/>
      <c r="O154" s="147">
        <v>2022196</v>
      </c>
      <c r="P154" s="147"/>
      <c r="Q154" s="147">
        <v>168920</v>
      </c>
      <c r="S154" s="26">
        <v>3.41</v>
      </c>
      <c r="U154" s="49">
        <v>12</v>
      </c>
    </row>
    <row r="155" spans="1:21">
      <c r="A155" s="30"/>
      <c r="C155" s="33" t="s">
        <v>60</v>
      </c>
      <c r="E155" s="207">
        <v>50040</v>
      </c>
      <c r="G155" s="205" t="s">
        <v>267</v>
      </c>
      <c r="H155" s="205" t="s">
        <v>141</v>
      </c>
      <c r="I155" s="206">
        <v>0</v>
      </c>
      <c r="K155" s="157">
        <v>5083402.2400000002</v>
      </c>
      <c r="L155" s="145"/>
      <c r="M155" s="147">
        <v>3000111.74</v>
      </c>
      <c r="N155" s="147"/>
      <c r="O155" s="147">
        <v>2083290</v>
      </c>
      <c r="P155" s="147"/>
      <c r="Q155" s="147">
        <v>173446</v>
      </c>
      <c r="S155" s="26">
        <v>3.41</v>
      </c>
      <c r="U155" s="49">
        <v>12</v>
      </c>
    </row>
    <row r="156" spans="1:21">
      <c r="A156" s="30"/>
      <c r="C156" s="33" t="s">
        <v>61</v>
      </c>
      <c r="E156" s="207">
        <v>50040</v>
      </c>
      <c r="G156" s="205" t="s">
        <v>267</v>
      </c>
      <c r="H156" s="205" t="s">
        <v>141</v>
      </c>
      <c r="I156" s="206">
        <v>0</v>
      </c>
      <c r="K156" s="157">
        <v>2283154.23</v>
      </c>
      <c r="L156" s="145"/>
      <c r="M156" s="147">
        <v>1074252.4099999999</v>
      </c>
      <c r="N156" s="147"/>
      <c r="O156" s="147">
        <v>1208902</v>
      </c>
      <c r="P156" s="147"/>
      <c r="Q156" s="147">
        <v>97542</v>
      </c>
      <c r="S156" s="26">
        <v>4.2699999999999996</v>
      </c>
      <c r="U156" s="49">
        <v>12.4</v>
      </c>
    </row>
    <row r="157" spans="1:21">
      <c r="A157" s="30"/>
      <c r="C157" s="33" t="s">
        <v>62</v>
      </c>
      <c r="E157" s="207">
        <v>51866</v>
      </c>
      <c r="G157" s="205" t="s">
        <v>267</v>
      </c>
      <c r="H157" s="205" t="s">
        <v>141</v>
      </c>
      <c r="I157" s="206">
        <v>-1</v>
      </c>
      <c r="K157" s="157">
        <v>7839449.8600000003</v>
      </c>
      <c r="L157" s="145"/>
      <c r="M157" s="147">
        <v>3867941.4</v>
      </c>
      <c r="N157" s="147"/>
      <c r="O157" s="147">
        <v>4049903</v>
      </c>
      <c r="P157" s="147"/>
      <c r="Q157" s="147">
        <v>252775</v>
      </c>
      <c r="S157" s="26">
        <v>3.22</v>
      </c>
      <c r="U157" s="49">
        <v>16</v>
      </c>
    </row>
    <row r="158" spans="1:21">
      <c r="A158" s="30"/>
      <c r="C158" s="33" t="s">
        <v>63</v>
      </c>
      <c r="E158" s="207">
        <v>51866</v>
      </c>
      <c r="G158" s="205" t="s">
        <v>267</v>
      </c>
      <c r="H158" s="205" t="s">
        <v>141</v>
      </c>
      <c r="I158" s="206">
        <v>-1</v>
      </c>
      <c r="K158" s="157">
        <v>7775759.6900000004</v>
      </c>
      <c r="L158" s="145"/>
      <c r="M158" s="147">
        <v>3839731.27</v>
      </c>
      <c r="N158" s="147"/>
      <c r="O158" s="147">
        <v>4013786</v>
      </c>
      <c r="P158" s="147"/>
      <c r="Q158" s="147">
        <v>250706</v>
      </c>
      <c r="S158" s="26">
        <v>3.22</v>
      </c>
      <c r="U158" s="49">
        <v>16</v>
      </c>
    </row>
    <row r="159" spans="1:21">
      <c r="A159" s="30"/>
      <c r="C159" s="33" t="s">
        <v>64</v>
      </c>
      <c r="E159" s="207">
        <v>53327</v>
      </c>
      <c r="G159" s="205" t="s">
        <v>267</v>
      </c>
      <c r="H159" s="205" t="s">
        <v>141</v>
      </c>
      <c r="I159" s="206">
        <v>-1</v>
      </c>
      <c r="K159" s="157">
        <v>4831725.68</v>
      </c>
      <c r="L159" s="145"/>
      <c r="M159" s="147">
        <v>1988705.91</v>
      </c>
      <c r="N159" s="147"/>
      <c r="O159" s="147">
        <v>2891337</v>
      </c>
      <c r="P159" s="147"/>
      <c r="Q159" s="147">
        <v>149038</v>
      </c>
      <c r="S159" s="26">
        <v>3.08</v>
      </c>
      <c r="U159" s="49">
        <v>19.399999999999999</v>
      </c>
    </row>
    <row r="160" spans="1:21">
      <c r="A160" s="30"/>
      <c r="C160" s="33" t="s">
        <v>65</v>
      </c>
      <c r="E160" s="207">
        <v>53327</v>
      </c>
      <c r="G160" s="205" t="s">
        <v>267</v>
      </c>
      <c r="H160" s="205" t="s">
        <v>141</v>
      </c>
      <c r="I160" s="206">
        <v>-1</v>
      </c>
      <c r="K160" s="157">
        <v>4838938.32</v>
      </c>
      <c r="L160" s="145"/>
      <c r="M160" s="147">
        <v>1996016.06</v>
      </c>
      <c r="N160" s="147"/>
      <c r="O160" s="147">
        <v>2891312</v>
      </c>
      <c r="P160" s="147"/>
      <c r="Q160" s="147">
        <v>149037</v>
      </c>
      <c r="S160" s="26">
        <v>3.08</v>
      </c>
      <c r="U160" s="49">
        <v>19.399999999999999</v>
      </c>
    </row>
    <row r="161" spans="1:21">
      <c r="A161" s="30"/>
      <c r="C161" s="33" t="s">
        <v>66</v>
      </c>
      <c r="E161" s="207">
        <v>55153</v>
      </c>
      <c r="G161" s="205" t="s">
        <v>267</v>
      </c>
      <c r="H161" s="205" t="s">
        <v>141</v>
      </c>
      <c r="I161" s="206">
        <v>0</v>
      </c>
      <c r="K161" s="157">
        <v>4442193.82</v>
      </c>
      <c r="L161" s="145"/>
      <c r="M161" s="147">
        <v>1063394.57</v>
      </c>
      <c r="N161" s="147"/>
      <c r="O161" s="147">
        <v>3378799</v>
      </c>
      <c r="P161" s="147"/>
      <c r="Q161" s="147">
        <v>141609</v>
      </c>
      <c r="S161" s="26">
        <v>3.19</v>
      </c>
      <c r="U161" s="49">
        <v>23.9</v>
      </c>
    </row>
    <row r="162" spans="1:21">
      <c r="A162" s="30"/>
      <c r="C162" s="33" t="s">
        <v>67</v>
      </c>
      <c r="E162" s="207">
        <v>55153</v>
      </c>
      <c r="G162" s="205" t="s">
        <v>267</v>
      </c>
      <c r="H162" s="205" t="s">
        <v>141</v>
      </c>
      <c r="I162" s="206">
        <v>-1</v>
      </c>
      <c r="K162" s="157">
        <v>4442193.82</v>
      </c>
      <c r="L162" s="145"/>
      <c r="M162" s="147">
        <v>1448871.44</v>
      </c>
      <c r="N162" s="147"/>
      <c r="O162" s="147">
        <v>3037744</v>
      </c>
      <c r="P162" s="147"/>
      <c r="Q162" s="147">
        <v>127315</v>
      </c>
      <c r="S162" s="26">
        <v>2.87</v>
      </c>
      <c r="U162" s="49">
        <v>23.9</v>
      </c>
    </row>
    <row r="163" spans="1:21">
      <c r="A163" s="30"/>
      <c r="C163" s="33" t="s">
        <v>68</v>
      </c>
      <c r="E163" s="207">
        <v>50586</v>
      </c>
      <c r="G163" s="205" t="s">
        <v>267</v>
      </c>
      <c r="H163" s="205" t="s">
        <v>141</v>
      </c>
      <c r="I163" s="206">
        <v>0</v>
      </c>
      <c r="K163" s="157">
        <v>1098205.33</v>
      </c>
      <c r="L163" s="145"/>
      <c r="M163" s="147">
        <v>430052.22</v>
      </c>
      <c r="N163" s="147"/>
      <c r="O163" s="147">
        <v>668153</v>
      </c>
      <c r="P163" s="147"/>
      <c r="Q163" s="147">
        <v>49788</v>
      </c>
      <c r="S163" s="26">
        <v>4.53</v>
      </c>
      <c r="U163" s="49">
        <v>13.4</v>
      </c>
    </row>
    <row r="164" spans="1:21">
      <c r="A164" s="30"/>
      <c r="C164" s="33" t="s">
        <v>70</v>
      </c>
      <c r="E164" s="207">
        <v>50586</v>
      </c>
      <c r="G164" s="205" t="s">
        <v>267</v>
      </c>
      <c r="H164" s="205" t="s">
        <v>141</v>
      </c>
      <c r="I164" s="206">
        <v>0</v>
      </c>
      <c r="K164" s="157">
        <v>4525028.84</v>
      </c>
      <c r="L164" s="145"/>
      <c r="M164" s="147">
        <v>1361216.87</v>
      </c>
      <c r="N164" s="147"/>
      <c r="O164" s="147">
        <v>3163812</v>
      </c>
      <c r="P164" s="147"/>
      <c r="Q164" s="147">
        <v>228266</v>
      </c>
      <c r="S164" s="26">
        <v>5.04</v>
      </c>
      <c r="U164" s="49">
        <v>13.9</v>
      </c>
    </row>
    <row r="165" spans="1:21">
      <c r="A165" s="30"/>
      <c r="C165" s="33" t="s">
        <v>71</v>
      </c>
      <c r="E165" s="207">
        <v>51682</v>
      </c>
      <c r="G165" s="205" t="s">
        <v>267</v>
      </c>
      <c r="H165" s="205" t="s">
        <v>141</v>
      </c>
      <c r="I165" s="206">
        <v>-1</v>
      </c>
      <c r="K165" s="157">
        <v>3171144.21</v>
      </c>
      <c r="L165" s="145"/>
      <c r="M165" s="147">
        <v>1154319.1299999999</v>
      </c>
      <c r="N165" s="147"/>
      <c r="O165" s="147">
        <v>2048537</v>
      </c>
      <c r="P165" s="147"/>
      <c r="Q165" s="147">
        <v>130246</v>
      </c>
      <c r="S165" s="26">
        <v>4.1100000000000003</v>
      </c>
      <c r="U165" s="49">
        <v>15.7</v>
      </c>
    </row>
    <row r="166" spans="1:21">
      <c r="A166" s="30"/>
      <c r="C166" s="33" t="s">
        <v>72</v>
      </c>
      <c r="E166" s="207">
        <v>52047</v>
      </c>
      <c r="G166" s="205" t="s">
        <v>267</v>
      </c>
      <c r="H166" s="205" t="s">
        <v>141</v>
      </c>
      <c r="I166" s="206">
        <v>0</v>
      </c>
      <c r="K166" s="157">
        <v>1684823.61</v>
      </c>
      <c r="L166" s="145"/>
      <c r="M166" s="147">
        <v>534320.88</v>
      </c>
      <c r="N166" s="147"/>
      <c r="O166" s="147">
        <v>1150503</v>
      </c>
      <c r="P166" s="147"/>
      <c r="Q166" s="147">
        <v>67478</v>
      </c>
      <c r="S166" s="26">
        <v>4.01</v>
      </c>
      <c r="U166" s="49">
        <v>17.100000000000001</v>
      </c>
    </row>
    <row r="167" spans="1:21">
      <c r="A167" s="30"/>
      <c r="C167" s="33" t="s">
        <v>83</v>
      </c>
      <c r="E167" s="207">
        <v>53508</v>
      </c>
      <c r="G167" s="205" t="s">
        <v>267</v>
      </c>
      <c r="H167" s="205" t="s">
        <v>141</v>
      </c>
      <c r="I167" s="206">
        <v>0</v>
      </c>
      <c r="K167" s="157">
        <v>2993753.87</v>
      </c>
      <c r="L167" s="145"/>
      <c r="M167" s="147">
        <v>577655.16</v>
      </c>
      <c r="N167" s="147"/>
      <c r="O167" s="147">
        <v>2416099</v>
      </c>
      <c r="P167" s="147"/>
      <c r="Q167" s="147">
        <v>114369</v>
      </c>
      <c r="S167" s="26">
        <v>3.82</v>
      </c>
      <c r="U167" s="49">
        <v>21.1</v>
      </c>
    </row>
    <row r="168" spans="1:21">
      <c r="A168" s="30"/>
      <c r="C168" s="33" t="s">
        <v>73</v>
      </c>
      <c r="E168" s="207">
        <v>52962</v>
      </c>
      <c r="G168" s="205" t="s">
        <v>267</v>
      </c>
      <c r="H168" s="205" t="s">
        <v>141</v>
      </c>
      <c r="I168" s="206">
        <v>0</v>
      </c>
      <c r="K168" s="157">
        <v>17086.14</v>
      </c>
      <c r="L168" s="145"/>
      <c r="M168" s="147">
        <v>4627.6899999999996</v>
      </c>
      <c r="N168" s="147"/>
      <c r="O168" s="147">
        <v>12458</v>
      </c>
      <c r="P168" s="147"/>
      <c r="Q168" s="147">
        <v>623</v>
      </c>
      <c r="S168" s="26">
        <v>3.65</v>
      </c>
      <c r="U168" s="49">
        <v>20</v>
      </c>
    </row>
    <row r="169" spans="1:21">
      <c r="A169" s="30"/>
      <c r="C169" s="33" t="s">
        <v>74</v>
      </c>
      <c r="E169" s="207">
        <v>52962</v>
      </c>
      <c r="G169" s="205" t="s">
        <v>267</v>
      </c>
      <c r="H169" s="205" t="s">
        <v>141</v>
      </c>
      <c r="I169" s="206">
        <v>0</v>
      </c>
      <c r="K169" s="157">
        <v>12907984.9</v>
      </c>
      <c r="L169" s="145"/>
      <c r="M169" s="147">
        <v>3224198.61</v>
      </c>
      <c r="N169" s="147"/>
      <c r="O169" s="147">
        <v>9683786</v>
      </c>
      <c r="P169" s="147"/>
      <c r="Q169" s="147">
        <v>479509</v>
      </c>
      <c r="S169" s="26">
        <v>3.71</v>
      </c>
      <c r="U169" s="49">
        <v>20.2</v>
      </c>
    </row>
    <row r="170" spans="1:21">
      <c r="A170" s="30"/>
      <c r="C170" s="33" t="s">
        <v>75</v>
      </c>
      <c r="E170" s="207">
        <v>52962</v>
      </c>
      <c r="G170" s="205" t="s">
        <v>267</v>
      </c>
      <c r="H170" s="205" t="s">
        <v>141</v>
      </c>
      <c r="I170" s="206">
        <v>0</v>
      </c>
      <c r="K170" s="157">
        <v>7457690.5700000003</v>
      </c>
      <c r="L170" s="145"/>
      <c r="M170" s="147">
        <v>3616888.57</v>
      </c>
      <c r="N170" s="147"/>
      <c r="O170" s="147">
        <v>3840802</v>
      </c>
      <c r="P170" s="147"/>
      <c r="Q170" s="147">
        <v>192908</v>
      </c>
      <c r="S170" s="26">
        <v>2.59</v>
      </c>
      <c r="U170" s="49">
        <v>19.899999999999999</v>
      </c>
    </row>
    <row r="171" spans="1:21">
      <c r="A171" s="30"/>
      <c r="C171" s="33" t="s">
        <v>76</v>
      </c>
      <c r="E171" s="207">
        <v>52962</v>
      </c>
      <c r="G171" s="205" t="s">
        <v>267</v>
      </c>
      <c r="H171" s="205" t="s">
        <v>141</v>
      </c>
      <c r="I171" s="206">
        <v>0</v>
      </c>
      <c r="K171" s="157">
        <v>7457690.5700000003</v>
      </c>
      <c r="L171" s="145"/>
      <c r="M171" s="147">
        <v>4161782.32</v>
      </c>
      <c r="N171" s="147"/>
      <c r="O171" s="147">
        <v>3295908</v>
      </c>
      <c r="P171" s="147"/>
      <c r="Q171" s="147">
        <v>165540</v>
      </c>
      <c r="S171" s="26">
        <v>2.2200000000000002</v>
      </c>
      <c r="U171" s="49">
        <v>19.899999999999999</v>
      </c>
    </row>
    <row r="172" spans="1:21">
      <c r="A172" s="30"/>
      <c r="C172" s="33" t="s">
        <v>77</v>
      </c>
      <c r="E172" s="207">
        <v>53873</v>
      </c>
      <c r="G172" s="205" t="s">
        <v>267</v>
      </c>
      <c r="H172" s="205" t="s">
        <v>141</v>
      </c>
      <c r="I172" s="206">
        <v>0</v>
      </c>
      <c r="K172" s="144">
        <v>15810305.550000001</v>
      </c>
      <c r="L172" s="145"/>
      <c r="M172" s="148">
        <v>4136942.16</v>
      </c>
      <c r="N172" s="147"/>
      <c r="O172" s="148">
        <v>11673363</v>
      </c>
      <c r="P172" s="147"/>
      <c r="Q172" s="148">
        <v>524881</v>
      </c>
      <c r="S172" s="26">
        <v>3.32</v>
      </c>
      <c r="U172" s="49">
        <v>22.2</v>
      </c>
    </row>
    <row r="173" spans="1:21">
      <c r="A173" s="30"/>
      <c r="E173" s="54" t="s">
        <v>320</v>
      </c>
      <c r="F173" s="54"/>
      <c r="G173" s="228"/>
      <c r="H173" s="228"/>
      <c r="I173" s="229"/>
      <c r="K173" s="157"/>
      <c r="L173" s="145"/>
      <c r="M173" s="147"/>
      <c r="N173" s="147"/>
      <c r="O173" s="147"/>
      <c r="P173" s="147"/>
      <c r="Q173" s="147"/>
      <c r="S173" s="26"/>
      <c r="U173" s="49"/>
    </row>
    <row r="174" spans="1:21">
      <c r="A174" s="30"/>
      <c r="C174" s="13" t="s">
        <v>84</v>
      </c>
      <c r="G174" s="205"/>
      <c r="H174" s="205"/>
      <c r="I174" s="206"/>
      <c r="K174" s="157">
        <f>SUBTOTAL(9,K153:K173)</f>
        <v>104006114.77999999</v>
      </c>
      <c r="L174" s="145"/>
      <c r="M174" s="147">
        <f>SUBTOTAL(9,M153:M173)</f>
        <v>40531628.659999996</v>
      </c>
      <c r="N174" s="147"/>
      <c r="O174" s="147">
        <f>SUBTOTAL(9,O153:O173)</f>
        <v>63807330</v>
      </c>
      <c r="P174" s="147"/>
      <c r="Q174" s="147">
        <f>SUBTOTAL(9,Q153:Q173)</f>
        <v>3475695</v>
      </c>
      <c r="S174" s="26">
        <f>+ROUND(Q174/K174*100,2)</f>
        <v>3.34</v>
      </c>
      <c r="U174" s="49"/>
    </row>
    <row r="175" spans="1:21">
      <c r="A175" s="30"/>
      <c r="G175" s="205"/>
      <c r="H175" s="205"/>
      <c r="I175" s="206"/>
      <c r="K175" s="157"/>
      <c r="L175" s="145"/>
      <c r="M175" s="147"/>
      <c r="N175" s="147"/>
      <c r="O175" s="147"/>
      <c r="P175" s="147"/>
      <c r="Q175" s="147"/>
      <c r="S175" s="26"/>
      <c r="U175" s="49"/>
    </row>
    <row r="176" spans="1:21">
      <c r="A176" s="30">
        <v>345</v>
      </c>
      <c r="C176" s="13" t="s">
        <v>52</v>
      </c>
      <c r="S176" s="26"/>
      <c r="U176" s="49"/>
    </row>
    <row r="177" spans="1:21">
      <c r="A177" s="30"/>
      <c r="C177" s="33" t="s">
        <v>58</v>
      </c>
      <c r="E177" s="207">
        <v>55153</v>
      </c>
      <c r="G177" s="205" t="s">
        <v>268</v>
      </c>
      <c r="H177" s="205" t="s">
        <v>141</v>
      </c>
      <c r="I177" s="206">
        <v>-1</v>
      </c>
      <c r="K177" s="157">
        <v>9906844.2300000004</v>
      </c>
      <c r="L177" s="145"/>
      <c r="M177" s="147">
        <v>3804943.8</v>
      </c>
      <c r="N177" s="147"/>
      <c r="O177" s="147">
        <v>6200969</v>
      </c>
      <c r="P177" s="147"/>
      <c r="Q177" s="147">
        <v>287373</v>
      </c>
      <c r="S177" s="26">
        <v>2.9</v>
      </c>
      <c r="U177" s="49">
        <v>21.6</v>
      </c>
    </row>
    <row r="178" spans="1:21">
      <c r="A178" s="30"/>
      <c r="C178" s="33" t="s">
        <v>59</v>
      </c>
      <c r="E178" s="207">
        <v>50040</v>
      </c>
      <c r="G178" s="205" t="s">
        <v>268</v>
      </c>
      <c r="H178" s="205" t="s">
        <v>141</v>
      </c>
      <c r="I178" s="206">
        <v>0</v>
      </c>
      <c r="K178" s="157">
        <v>881261.16</v>
      </c>
      <c r="L178" s="145"/>
      <c r="M178" s="147">
        <v>511509.77</v>
      </c>
      <c r="N178" s="147"/>
      <c r="O178" s="147">
        <v>369751</v>
      </c>
      <c r="P178" s="147"/>
      <c r="Q178" s="147">
        <v>31308</v>
      </c>
      <c r="S178" s="26">
        <v>3.55</v>
      </c>
      <c r="U178" s="49">
        <v>11.8</v>
      </c>
    </row>
    <row r="179" spans="1:21">
      <c r="A179" s="30"/>
      <c r="C179" s="33" t="s">
        <v>60</v>
      </c>
      <c r="E179" s="207">
        <v>50040</v>
      </c>
      <c r="G179" s="205" t="s">
        <v>268</v>
      </c>
      <c r="H179" s="205" t="s">
        <v>141</v>
      </c>
      <c r="I179" s="206">
        <v>0</v>
      </c>
      <c r="K179" s="157">
        <v>881262.26</v>
      </c>
      <c r="L179" s="145"/>
      <c r="M179" s="147">
        <v>518712.34</v>
      </c>
      <c r="N179" s="147"/>
      <c r="O179" s="147">
        <v>362550</v>
      </c>
      <c r="P179" s="147"/>
      <c r="Q179" s="147">
        <v>30699</v>
      </c>
      <c r="S179" s="26">
        <v>3.48</v>
      </c>
      <c r="U179" s="49">
        <v>11.8</v>
      </c>
    </row>
    <row r="180" spans="1:21">
      <c r="A180" s="30"/>
      <c r="C180" s="33" t="s">
        <v>61</v>
      </c>
      <c r="E180" s="207">
        <v>50040</v>
      </c>
      <c r="G180" s="205" t="s">
        <v>268</v>
      </c>
      <c r="H180" s="205" t="s">
        <v>141</v>
      </c>
      <c r="I180" s="206">
        <v>0</v>
      </c>
      <c r="K180" s="157">
        <v>881262.26</v>
      </c>
      <c r="L180" s="145"/>
      <c r="M180" s="147">
        <v>501077.37</v>
      </c>
      <c r="N180" s="147"/>
      <c r="O180" s="147">
        <v>380185</v>
      </c>
      <c r="P180" s="147"/>
      <c r="Q180" s="147">
        <v>32192</v>
      </c>
      <c r="S180" s="26">
        <v>3.65</v>
      </c>
      <c r="U180" s="49">
        <v>11.8</v>
      </c>
    </row>
    <row r="181" spans="1:21">
      <c r="A181" s="30"/>
      <c r="C181" s="33" t="s">
        <v>62</v>
      </c>
      <c r="E181" s="207">
        <v>51866</v>
      </c>
      <c r="G181" s="205" t="s">
        <v>268</v>
      </c>
      <c r="H181" s="205" t="s">
        <v>141</v>
      </c>
      <c r="I181" s="206">
        <v>-1</v>
      </c>
      <c r="K181" s="157">
        <v>993996.86</v>
      </c>
      <c r="L181" s="145"/>
      <c r="M181" s="147">
        <v>477032.99</v>
      </c>
      <c r="N181" s="147"/>
      <c r="O181" s="147">
        <v>526904</v>
      </c>
      <c r="P181" s="147"/>
      <c r="Q181" s="147">
        <v>33391</v>
      </c>
      <c r="S181" s="26">
        <v>3.36</v>
      </c>
      <c r="U181" s="49">
        <v>15.8</v>
      </c>
    </row>
    <row r="182" spans="1:21">
      <c r="A182" s="30"/>
      <c r="C182" s="33" t="s">
        <v>63</v>
      </c>
      <c r="E182" s="207">
        <v>51866</v>
      </c>
      <c r="G182" s="205" t="s">
        <v>268</v>
      </c>
      <c r="H182" s="205" t="s">
        <v>141</v>
      </c>
      <c r="I182" s="206">
        <v>-1</v>
      </c>
      <c r="K182" s="157">
        <v>993996.86</v>
      </c>
      <c r="L182" s="145"/>
      <c r="M182" s="147">
        <v>475967.88</v>
      </c>
      <c r="N182" s="147"/>
      <c r="O182" s="147">
        <v>527969</v>
      </c>
      <c r="P182" s="147"/>
      <c r="Q182" s="147">
        <v>33458</v>
      </c>
      <c r="S182" s="26">
        <v>3.37</v>
      </c>
      <c r="U182" s="49">
        <v>15.8</v>
      </c>
    </row>
    <row r="183" spans="1:21">
      <c r="A183" s="30"/>
      <c r="C183" s="33" t="s">
        <v>64</v>
      </c>
      <c r="E183" s="207">
        <v>53327</v>
      </c>
      <c r="G183" s="205" t="s">
        <v>268</v>
      </c>
      <c r="H183" s="205" t="s">
        <v>141</v>
      </c>
      <c r="I183" s="206">
        <v>-1</v>
      </c>
      <c r="K183" s="157">
        <v>1251472.92</v>
      </c>
      <c r="L183" s="145"/>
      <c r="M183" s="147">
        <v>485453.4</v>
      </c>
      <c r="N183" s="147"/>
      <c r="O183" s="147">
        <v>778534</v>
      </c>
      <c r="P183" s="147"/>
      <c r="Q183" s="147">
        <v>40612</v>
      </c>
      <c r="S183" s="26">
        <v>3.25</v>
      </c>
      <c r="U183" s="49">
        <v>19.2</v>
      </c>
    </row>
    <row r="184" spans="1:21">
      <c r="A184" s="30"/>
      <c r="C184" s="33" t="s">
        <v>65</v>
      </c>
      <c r="E184" s="207">
        <v>53327</v>
      </c>
      <c r="G184" s="205" t="s">
        <v>268</v>
      </c>
      <c r="H184" s="205" t="s">
        <v>141</v>
      </c>
      <c r="I184" s="206">
        <v>-1</v>
      </c>
      <c r="K184" s="157">
        <v>1220275.5900000001</v>
      </c>
      <c r="L184" s="145"/>
      <c r="M184" s="147">
        <v>474383.51</v>
      </c>
      <c r="N184" s="147"/>
      <c r="O184" s="147">
        <v>758095</v>
      </c>
      <c r="P184" s="147"/>
      <c r="Q184" s="147">
        <v>39546</v>
      </c>
      <c r="S184" s="26">
        <v>3.24</v>
      </c>
      <c r="U184" s="49">
        <v>19.2</v>
      </c>
    </row>
    <row r="185" spans="1:21">
      <c r="A185" s="30"/>
      <c r="C185" s="33" t="s">
        <v>66</v>
      </c>
      <c r="E185" s="207">
        <v>55153</v>
      </c>
      <c r="G185" s="205" t="s">
        <v>268</v>
      </c>
      <c r="H185" s="205" t="s">
        <v>141</v>
      </c>
      <c r="I185" s="206">
        <v>0</v>
      </c>
      <c r="K185" s="157">
        <v>11825999.57</v>
      </c>
      <c r="L185" s="145"/>
      <c r="M185" s="147">
        <v>2572037.7400000002</v>
      </c>
      <c r="N185" s="147"/>
      <c r="O185" s="147">
        <v>9253962</v>
      </c>
      <c r="P185" s="147"/>
      <c r="Q185" s="147">
        <v>392335</v>
      </c>
      <c r="S185" s="26">
        <v>3.32</v>
      </c>
      <c r="U185" s="49">
        <v>23.6</v>
      </c>
    </row>
    <row r="186" spans="1:21">
      <c r="A186" s="30"/>
      <c r="C186" s="33" t="s">
        <v>67</v>
      </c>
      <c r="E186" s="207">
        <v>55153</v>
      </c>
      <c r="G186" s="205" t="s">
        <v>268</v>
      </c>
      <c r="H186" s="205" t="s">
        <v>141</v>
      </c>
      <c r="I186" s="206">
        <v>-1</v>
      </c>
      <c r="K186" s="157">
        <v>2021825.43</v>
      </c>
      <c r="L186" s="145"/>
      <c r="M186" s="147">
        <v>595564.09</v>
      </c>
      <c r="N186" s="147"/>
      <c r="O186" s="147">
        <v>1446480</v>
      </c>
      <c r="P186" s="147"/>
      <c r="Q186" s="147">
        <v>61265</v>
      </c>
      <c r="S186" s="26">
        <v>3.03</v>
      </c>
      <c r="U186" s="49">
        <v>23.6</v>
      </c>
    </row>
    <row r="187" spans="1:21">
      <c r="A187" s="30"/>
      <c r="C187" s="33" t="s">
        <v>68</v>
      </c>
      <c r="E187" s="207">
        <v>50586</v>
      </c>
      <c r="G187" s="205" t="s">
        <v>268</v>
      </c>
      <c r="H187" s="205" t="s">
        <v>141</v>
      </c>
      <c r="I187" s="206">
        <v>0</v>
      </c>
      <c r="K187" s="157">
        <v>344891.29</v>
      </c>
      <c r="L187" s="145"/>
      <c r="M187" s="147">
        <v>127777.18</v>
      </c>
      <c r="N187" s="147"/>
      <c r="O187" s="147">
        <v>217114</v>
      </c>
      <c r="P187" s="147"/>
      <c r="Q187" s="147">
        <v>16324</v>
      </c>
      <c r="S187" s="26">
        <v>4.7300000000000004</v>
      </c>
      <c r="U187" s="49">
        <v>13.3</v>
      </c>
    </row>
    <row r="188" spans="1:21">
      <c r="A188" s="30"/>
      <c r="C188" s="33" t="s">
        <v>70</v>
      </c>
      <c r="E188" s="207">
        <v>50586</v>
      </c>
      <c r="G188" s="205" t="s">
        <v>268</v>
      </c>
      <c r="H188" s="205" t="s">
        <v>141</v>
      </c>
      <c r="I188" s="206">
        <v>0</v>
      </c>
      <c r="K188" s="157">
        <v>380225.22</v>
      </c>
      <c r="L188" s="145"/>
      <c r="M188" s="147">
        <v>135228.04999999999</v>
      </c>
      <c r="N188" s="147"/>
      <c r="O188" s="147">
        <v>244997</v>
      </c>
      <c r="P188" s="147"/>
      <c r="Q188" s="147">
        <v>18337</v>
      </c>
      <c r="S188" s="26">
        <v>4.82</v>
      </c>
      <c r="U188" s="49">
        <v>13.4</v>
      </c>
    </row>
    <row r="189" spans="1:21">
      <c r="A189" s="30"/>
      <c r="C189" s="33" t="s">
        <v>71</v>
      </c>
      <c r="E189" s="207">
        <v>51682</v>
      </c>
      <c r="G189" s="205" t="s">
        <v>268</v>
      </c>
      <c r="H189" s="205" t="s">
        <v>141</v>
      </c>
      <c r="I189" s="206">
        <v>-1</v>
      </c>
      <c r="K189" s="157">
        <v>452676.95</v>
      </c>
      <c r="L189" s="145"/>
      <c r="M189" s="147">
        <v>143725.31</v>
      </c>
      <c r="N189" s="147"/>
      <c r="O189" s="147">
        <v>313478</v>
      </c>
      <c r="P189" s="147"/>
      <c r="Q189" s="147">
        <v>19654</v>
      </c>
      <c r="S189" s="26">
        <v>4.34</v>
      </c>
      <c r="U189" s="49">
        <v>15.9</v>
      </c>
    </row>
    <row r="190" spans="1:21">
      <c r="A190" s="30"/>
      <c r="C190" s="33" t="s">
        <v>72</v>
      </c>
      <c r="E190" s="207">
        <v>52047</v>
      </c>
      <c r="G190" s="205" t="s">
        <v>268</v>
      </c>
      <c r="H190" s="205" t="s">
        <v>141</v>
      </c>
      <c r="I190" s="206">
        <v>0</v>
      </c>
      <c r="K190" s="157">
        <v>406784.25</v>
      </c>
      <c r="L190" s="145"/>
      <c r="M190" s="147">
        <v>121915.61</v>
      </c>
      <c r="N190" s="147"/>
      <c r="O190" s="147">
        <v>284869</v>
      </c>
      <c r="P190" s="147"/>
      <c r="Q190" s="147">
        <v>16916</v>
      </c>
      <c r="S190" s="26">
        <v>4.16</v>
      </c>
      <c r="U190" s="49">
        <v>16.8</v>
      </c>
    </row>
    <row r="191" spans="1:21">
      <c r="A191" s="30"/>
      <c r="C191" s="33" t="s">
        <v>73</v>
      </c>
      <c r="E191" s="207">
        <v>52962</v>
      </c>
      <c r="G191" s="205" t="s">
        <v>268</v>
      </c>
      <c r="H191" s="205" t="s">
        <v>141</v>
      </c>
      <c r="I191" s="206">
        <v>0</v>
      </c>
      <c r="K191" s="157">
        <v>3028262.11</v>
      </c>
      <c r="L191" s="145"/>
      <c r="M191" s="147">
        <v>849171.5</v>
      </c>
      <c r="N191" s="147"/>
      <c r="O191" s="147">
        <v>2179091</v>
      </c>
      <c r="P191" s="147"/>
      <c r="Q191" s="147">
        <v>111055</v>
      </c>
      <c r="S191" s="26">
        <v>3.67</v>
      </c>
      <c r="U191" s="49">
        <v>19.600000000000001</v>
      </c>
    </row>
    <row r="192" spans="1:21">
      <c r="A192" s="30"/>
      <c r="C192" s="33" t="s">
        <v>74</v>
      </c>
      <c r="E192" s="207">
        <v>52962</v>
      </c>
      <c r="G192" s="205" t="s">
        <v>268</v>
      </c>
      <c r="H192" s="205" t="s">
        <v>141</v>
      </c>
      <c r="I192" s="206">
        <v>0</v>
      </c>
      <c r="K192" s="157">
        <v>386034.41</v>
      </c>
      <c r="L192" s="145"/>
      <c r="M192" s="147">
        <v>149341.54999999999</v>
      </c>
      <c r="N192" s="147"/>
      <c r="O192" s="147">
        <v>236693</v>
      </c>
      <c r="P192" s="147"/>
      <c r="Q192" s="147">
        <v>12064</v>
      </c>
      <c r="S192" s="26">
        <v>3.13</v>
      </c>
      <c r="U192" s="49">
        <v>19.600000000000001</v>
      </c>
    </row>
    <row r="193" spans="1:21">
      <c r="A193" s="30"/>
      <c r="C193" s="33" t="s">
        <v>75</v>
      </c>
      <c r="E193" s="207">
        <v>52962</v>
      </c>
      <c r="G193" s="205" t="s">
        <v>268</v>
      </c>
      <c r="H193" s="205" t="s">
        <v>141</v>
      </c>
      <c r="I193" s="206">
        <v>0</v>
      </c>
      <c r="K193" s="157">
        <v>386034.41</v>
      </c>
      <c r="L193" s="145"/>
      <c r="M193" s="147">
        <v>177208.9</v>
      </c>
      <c r="N193" s="147"/>
      <c r="O193" s="147">
        <v>208826</v>
      </c>
      <c r="P193" s="147"/>
      <c r="Q193" s="147">
        <v>10644</v>
      </c>
      <c r="S193" s="26">
        <v>2.76</v>
      </c>
      <c r="U193" s="49">
        <v>19.600000000000001</v>
      </c>
    </row>
    <row r="194" spans="1:21">
      <c r="A194" s="30"/>
      <c r="C194" s="33" t="s">
        <v>76</v>
      </c>
      <c r="E194" s="207">
        <v>52962</v>
      </c>
      <c r="G194" s="205" t="s">
        <v>268</v>
      </c>
      <c r="H194" s="205" t="s">
        <v>141</v>
      </c>
      <c r="I194" s="206">
        <v>0</v>
      </c>
      <c r="K194" s="157">
        <v>386034.41</v>
      </c>
      <c r="L194" s="145"/>
      <c r="M194" s="147">
        <v>203906.7</v>
      </c>
      <c r="N194" s="147"/>
      <c r="O194" s="147">
        <v>182128</v>
      </c>
      <c r="P194" s="147"/>
      <c r="Q194" s="147">
        <v>9283</v>
      </c>
      <c r="S194" s="26">
        <v>2.4</v>
      </c>
      <c r="U194" s="49">
        <v>19.600000000000001</v>
      </c>
    </row>
    <row r="195" spans="1:21">
      <c r="A195" s="30"/>
      <c r="C195" s="33" t="s">
        <v>77</v>
      </c>
      <c r="E195" s="207">
        <v>53873</v>
      </c>
      <c r="G195" s="205" t="s">
        <v>268</v>
      </c>
      <c r="H195" s="205" t="s">
        <v>141</v>
      </c>
      <c r="I195" s="206">
        <v>0</v>
      </c>
      <c r="K195" s="144">
        <v>779800</v>
      </c>
      <c r="L195" s="145"/>
      <c r="M195" s="148">
        <v>193176.74</v>
      </c>
      <c r="N195" s="147"/>
      <c r="O195" s="148">
        <v>586623</v>
      </c>
      <c r="P195" s="147"/>
      <c r="Q195" s="148">
        <v>26799</v>
      </c>
      <c r="S195" s="26">
        <v>3.44</v>
      </c>
      <c r="U195" s="49">
        <v>21.9</v>
      </c>
    </row>
    <row r="196" spans="1:21">
      <c r="A196" s="30"/>
      <c r="E196" s="54" t="s">
        <v>320</v>
      </c>
      <c r="F196" s="54"/>
      <c r="G196" s="228"/>
      <c r="H196" s="228"/>
      <c r="I196" s="229"/>
      <c r="K196" s="157"/>
      <c r="L196" s="145"/>
      <c r="M196" s="147"/>
      <c r="N196" s="147"/>
      <c r="O196" s="147"/>
      <c r="P196" s="147"/>
      <c r="Q196" s="147"/>
      <c r="S196" s="26"/>
      <c r="U196" s="49"/>
    </row>
    <row r="197" spans="1:21">
      <c r="A197" s="30"/>
      <c r="C197" s="13" t="s">
        <v>53</v>
      </c>
      <c r="G197" s="205"/>
      <c r="H197" s="205"/>
      <c r="I197" s="206"/>
      <c r="K197" s="157">
        <f>SUBTOTAL(9,K177:K196)</f>
        <v>37408940.18999999</v>
      </c>
      <c r="L197" s="145"/>
      <c r="M197" s="147">
        <f>SUBTOTAL(9,M177:M196)</f>
        <v>12518134.430000002</v>
      </c>
      <c r="N197" s="147"/>
      <c r="O197" s="147">
        <f>SUBTOTAL(9,O177:O196)</f>
        <v>25059218</v>
      </c>
      <c r="P197" s="147"/>
      <c r="Q197" s="147">
        <f>SUBTOTAL(9,Q177:Q196)</f>
        <v>1223255</v>
      </c>
      <c r="S197" s="26">
        <f>+ROUND(Q197/K197*100,2)</f>
        <v>3.27</v>
      </c>
      <c r="U197" s="49"/>
    </row>
    <row r="198" spans="1:21">
      <c r="A198" s="30"/>
      <c r="G198" s="205"/>
      <c r="H198" s="205"/>
      <c r="I198" s="206"/>
      <c r="K198" s="157"/>
      <c r="L198" s="145"/>
      <c r="M198" s="147"/>
      <c r="N198" s="147"/>
      <c r="O198" s="147"/>
      <c r="P198" s="147"/>
      <c r="Q198" s="147"/>
      <c r="S198" s="26"/>
      <c r="U198" s="49"/>
    </row>
    <row r="199" spans="1:21">
      <c r="A199" s="30">
        <v>346</v>
      </c>
      <c r="C199" s="13" t="s">
        <v>54</v>
      </c>
      <c r="S199" s="26"/>
      <c r="U199" s="49"/>
    </row>
    <row r="200" spans="1:21">
      <c r="A200" s="30"/>
      <c r="C200" s="33" t="s">
        <v>58</v>
      </c>
      <c r="E200" s="207">
        <v>55153</v>
      </c>
      <c r="G200" s="205" t="s">
        <v>269</v>
      </c>
      <c r="H200" s="205" t="s">
        <v>141</v>
      </c>
      <c r="I200" s="206">
        <v>-1</v>
      </c>
      <c r="K200" s="157">
        <v>15806989.609999999</v>
      </c>
      <c r="L200" s="145"/>
      <c r="M200" s="147">
        <v>4628649.1399999997</v>
      </c>
      <c r="N200" s="147"/>
      <c r="O200" s="147">
        <v>11336410</v>
      </c>
      <c r="P200" s="147"/>
      <c r="Q200" s="147">
        <v>472994</v>
      </c>
      <c r="S200" s="26">
        <v>2.99</v>
      </c>
      <c r="U200" s="49">
        <v>24</v>
      </c>
    </row>
    <row r="201" spans="1:21">
      <c r="A201" s="30"/>
      <c r="C201" s="33" t="s">
        <v>61</v>
      </c>
      <c r="E201" s="207">
        <v>50040</v>
      </c>
      <c r="G201" s="205" t="s">
        <v>269</v>
      </c>
      <c r="H201" s="205" t="s">
        <v>141</v>
      </c>
      <c r="I201" s="206">
        <v>0</v>
      </c>
      <c r="K201" s="157">
        <v>35097.11</v>
      </c>
      <c r="L201" s="145"/>
      <c r="M201" s="147">
        <v>3184.5</v>
      </c>
      <c r="N201" s="147"/>
      <c r="O201" s="147">
        <v>31913</v>
      </c>
      <c r="P201" s="147"/>
      <c r="Q201" s="147">
        <v>2457</v>
      </c>
      <c r="S201" s="26">
        <v>7</v>
      </c>
      <c r="U201" s="49">
        <v>13</v>
      </c>
    </row>
    <row r="202" spans="1:21">
      <c r="A202" s="30"/>
      <c r="C202" s="33" t="s">
        <v>68</v>
      </c>
      <c r="E202" s="207">
        <v>50586</v>
      </c>
      <c r="G202" s="205" t="s">
        <v>269</v>
      </c>
      <c r="H202" s="205" t="s">
        <v>141</v>
      </c>
      <c r="I202" s="206">
        <v>0</v>
      </c>
      <c r="K202" s="157">
        <v>104001.15</v>
      </c>
      <c r="L202" s="145"/>
      <c r="M202" s="147">
        <v>35975.42</v>
      </c>
      <c r="N202" s="147"/>
      <c r="O202" s="147">
        <v>68026</v>
      </c>
      <c r="P202" s="147"/>
      <c r="Q202" s="147">
        <v>4975</v>
      </c>
      <c r="S202" s="26">
        <v>4.78</v>
      </c>
      <c r="U202" s="49">
        <v>13.7</v>
      </c>
    </row>
    <row r="203" spans="1:21">
      <c r="A203" s="30"/>
      <c r="C203" s="33" t="s">
        <v>69</v>
      </c>
      <c r="E203" s="207">
        <v>45657</v>
      </c>
      <c r="G203" s="205" t="s">
        <v>269</v>
      </c>
      <c r="H203" s="205" t="s">
        <v>141</v>
      </c>
      <c r="I203" s="206">
        <v>0</v>
      </c>
      <c r="K203" s="157">
        <v>64992.35</v>
      </c>
      <c r="L203" s="145"/>
      <c r="M203" s="147">
        <v>36640.5</v>
      </c>
      <c r="N203" s="147"/>
      <c r="O203" s="147">
        <v>28352</v>
      </c>
      <c r="P203" s="147"/>
      <c r="Q203" s="147">
        <v>28352</v>
      </c>
      <c r="S203" s="26">
        <v>43.62</v>
      </c>
      <c r="U203" s="49">
        <v>1</v>
      </c>
    </row>
    <row r="204" spans="1:21">
      <c r="A204" s="30"/>
      <c r="C204" s="33" t="s">
        <v>70</v>
      </c>
      <c r="E204" s="207">
        <v>50586</v>
      </c>
      <c r="G204" s="205" t="s">
        <v>269</v>
      </c>
      <c r="H204" s="205" t="s">
        <v>141</v>
      </c>
      <c r="I204" s="206">
        <v>0</v>
      </c>
      <c r="K204" s="157">
        <v>60998.54</v>
      </c>
      <c r="L204" s="145"/>
      <c r="M204" s="147">
        <v>23296.52</v>
      </c>
      <c r="N204" s="147"/>
      <c r="O204" s="147">
        <v>37702</v>
      </c>
      <c r="P204" s="147"/>
      <c r="Q204" s="147">
        <v>2818</v>
      </c>
      <c r="S204" s="26">
        <v>4.62</v>
      </c>
      <c r="U204" s="49">
        <v>13.4</v>
      </c>
    </row>
    <row r="205" spans="1:21">
      <c r="A205" s="30"/>
      <c r="C205" s="33" t="s">
        <v>71</v>
      </c>
      <c r="E205" s="207">
        <v>51682</v>
      </c>
      <c r="G205" s="205" t="s">
        <v>269</v>
      </c>
      <c r="H205" s="205" t="s">
        <v>141</v>
      </c>
      <c r="I205" s="206">
        <v>-1</v>
      </c>
      <c r="K205" s="157">
        <v>494973.87</v>
      </c>
      <c r="L205" s="145"/>
      <c r="M205" s="147">
        <v>28619.14</v>
      </c>
      <c r="N205" s="147"/>
      <c r="O205" s="147">
        <v>471304</v>
      </c>
      <c r="P205" s="147"/>
      <c r="Q205" s="147">
        <v>27202</v>
      </c>
      <c r="S205" s="26">
        <v>5.5</v>
      </c>
      <c r="U205" s="49">
        <v>17.3</v>
      </c>
    </row>
    <row r="206" spans="1:21">
      <c r="A206" s="30"/>
      <c r="C206" s="33" t="s">
        <v>72</v>
      </c>
      <c r="E206" s="207">
        <v>52047</v>
      </c>
      <c r="G206" s="205" t="s">
        <v>269</v>
      </c>
      <c r="H206" s="205" t="s">
        <v>141</v>
      </c>
      <c r="I206" s="206">
        <v>0</v>
      </c>
      <c r="K206" s="157">
        <v>50361.67</v>
      </c>
      <c r="L206" s="145"/>
      <c r="M206" s="147">
        <v>15622.98</v>
      </c>
      <c r="N206" s="147"/>
      <c r="O206" s="147">
        <v>34739</v>
      </c>
      <c r="P206" s="147"/>
      <c r="Q206" s="147">
        <v>2026</v>
      </c>
      <c r="S206" s="26">
        <v>4.0199999999999996</v>
      </c>
      <c r="U206" s="49">
        <v>17.100000000000001</v>
      </c>
    </row>
    <row r="207" spans="1:21">
      <c r="A207" s="30"/>
      <c r="C207" s="33" t="s">
        <v>73</v>
      </c>
      <c r="E207" s="207">
        <v>52962</v>
      </c>
      <c r="G207" s="205" t="s">
        <v>269</v>
      </c>
      <c r="H207" s="205" t="s">
        <v>141</v>
      </c>
      <c r="I207" s="206">
        <v>0</v>
      </c>
      <c r="K207" s="144">
        <v>245217.08</v>
      </c>
      <c r="L207" s="145"/>
      <c r="M207" s="148">
        <v>52203.38</v>
      </c>
      <c r="N207" s="147"/>
      <c r="O207" s="148">
        <v>193014</v>
      </c>
      <c r="P207" s="147"/>
      <c r="Q207" s="148">
        <v>9365</v>
      </c>
      <c r="S207" s="26">
        <v>3.82</v>
      </c>
      <c r="U207" s="49">
        <v>20.6</v>
      </c>
    </row>
    <row r="208" spans="1:21">
      <c r="A208" s="30"/>
      <c r="G208" s="205"/>
      <c r="H208" s="205"/>
      <c r="I208" s="206"/>
      <c r="K208" s="157"/>
      <c r="L208" s="145"/>
      <c r="M208" s="147"/>
      <c r="N208" s="147"/>
      <c r="O208" s="147"/>
      <c r="P208" s="147"/>
      <c r="Q208" s="147"/>
      <c r="S208" s="26"/>
      <c r="U208" s="49"/>
    </row>
    <row r="209" spans="1:21">
      <c r="A209" s="30"/>
      <c r="C209" s="13" t="s">
        <v>55</v>
      </c>
      <c r="G209" s="205"/>
      <c r="H209" s="205"/>
      <c r="I209" s="206"/>
      <c r="K209" s="144">
        <f>SUBTOTAL(9,K200:K208)</f>
        <v>16862631.379999995</v>
      </c>
      <c r="L209" s="145"/>
      <c r="M209" s="148">
        <f>SUBTOTAL(9,M200:M208)</f>
        <v>4824191.5799999991</v>
      </c>
      <c r="N209" s="147"/>
      <c r="O209" s="148">
        <f>SUBTOTAL(9,O200:O208)</f>
        <v>12201460</v>
      </c>
      <c r="P209" s="147"/>
      <c r="Q209" s="148">
        <f>SUBTOTAL(9,Q200:Q208)</f>
        <v>550189</v>
      </c>
      <c r="S209" s="26">
        <f>+ROUND(Q209/K209*100,2)</f>
        <v>3.26</v>
      </c>
      <c r="U209" s="49"/>
    </row>
    <row r="210" spans="1:21" ht="15.75">
      <c r="C210" s="18"/>
      <c r="K210" s="157"/>
      <c r="L210" s="145"/>
      <c r="M210" s="147"/>
      <c r="N210" s="147"/>
      <c r="O210" s="147"/>
      <c r="P210" s="147"/>
      <c r="Q210" s="147"/>
      <c r="S210" s="26"/>
      <c r="U210" s="49"/>
    </row>
    <row r="211" spans="1:21" ht="15.75">
      <c r="A211" s="30"/>
      <c r="C211" s="31" t="s">
        <v>85</v>
      </c>
      <c r="G211" s="205"/>
      <c r="H211" s="205"/>
      <c r="I211" s="206"/>
      <c r="K211" s="151">
        <f>SUBTOTAL(9,K97:K210)</f>
        <v>659783698.71000016</v>
      </c>
      <c r="L211" s="22"/>
      <c r="M211" s="35">
        <f>SUBTOTAL(9,M97:M210)</f>
        <v>240801932.52000004</v>
      </c>
      <c r="N211" s="35"/>
      <c r="O211" s="35">
        <f>SUBTOTAL(9,O97:O210)</f>
        <v>421476588</v>
      </c>
      <c r="P211" s="35"/>
      <c r="Q211" s="35">
        <f>SUBTOTAL(9,Q97:Q210)</f>
        <v>21666723</v>
      </c>
      <c r="S211" s="23">
        <f>+ROUND(Q211/K211*100,2)</f>
        <v>3.28</v>
      </c>
      <c r="T211" s="22"/>
      <c r="U211" s="50"/>
    </row>
    <row r="212" spans="1:21">
      <c r="A212" s="30"/>
      <c r="C212" s="34"/>
      <c r="G212" s="205"/>
      <c r="H212" s="205"/>
      <c r="I212" s="206"/>
      <c r="K212" s="157"/>
      <c r="S212" s="26"/>
      <c r="U212" s="49"/>
    </row>
    <row r="213" spans="1:21" ht="15.75">
      <c r="A213" s="30"/>
      <c r="C213" s="18" t="s">
        <v>86</v>
      </c>
      <c r="G213" s="205"/>
      <c r="I213" s="206"/>
      <c r="K213" s="157"/>
      <c r="S213" s="26"/>
      <c r="U213" s="49"/>
    </row>
    <row r="214" spans="1:21" ht="15.75">
      <c r="A214" s="30"/>
      <c r="C214" s="25"/>
      <c r="G214" s="205"/>
      <c r="I214" s="206"/>
      <c r="K214" s="157"/>
      <c r="S214" s="26"/>
      <c r="U214" s="49"/>
    </row>
    <row r="215" spans="1:21">
      <c r="A215" s="30">
        <v>353</v>
      </c>
      <c r="C215" s="13" t="s">
        <v>87</v>
      </c>
      <c r="E215" s="205"/>
      <c r="G215" s="205" t="s">
        <v>270</v>
      </c>
      <c r="H215" s="205"/>
      <c r="I215" s="206">
        <v>-30</v>
      </c>
      <c r="K215" s="157">
        <v>309555391</v>
      </c>
      <c r="L215" s="145"/>
      <c r="M215" s="147">
        <v>76311552.280000001</v>
      </c>
      <c r="N215" s="147"/>
      <c r="O215" s="147">
        <v>326110456</v>
      </c>
      <c r="P215" s="147"/>
      <c r="Q215" s="147">
        <v>8829790</v>
      </c>
      <c r="S215" s="26">
        <v>2.85</v>
      </c>
      <c r="U215" s="49">
        <v>36.9</v>
      </c>
    </row>
    <row r="216" spans="1:21">
      <c r="A216" s="30">
        <v>353.1</v>
      </c>
      <c r="C216" s="13" t="s">
        <v>88</v>
      </c>
      <c r="E216" s="205"/>
      <c r="G216" s="205" t="s">
        <v>271</v>
      </c>
      <c r="H216" s="205"/>
      <c r="I216" s="206">
        <v>-10</v>
      </c>
      <c r="K216" s="157">
        <v>9834245.3499999996</v>
      </c>
      <c r="L216" s="145"/>
      <c r="M216" s="147">
        <v>5008331.13</v>
      </c>
      <c r="N216" s="147"/>
      <c r="O216" s="147">
        <v>5809339</v>
      </c>
      <c r="P216" s="147"/>
      <c r="Q216" s="147">
        <v>1292108</v>
      </c>
      <c r="S216" s="26">
        <v>13.14</v>
      </c>
      <c r="U216" s="49">
        <v>4.5</v>
      </c>
    </row>
    <row r="217" spans="1:21">
      <c r="A217" s="30">
        <v>354</v>
      </c>
      <c r="C217" s="13" t="s">
        <v>89</v>
      </c>
      <c r="E217" s="205"/>
      <c r="G217" s="205" t="s">
        <v>272</v>
      </c>
      <c r="H217" s="205"/>
      <c r="I217" s="206">
        <v>0</v>
      </c>
      <c r="K217" s="157">
        <v>3853520.91</v>
      </c>
      <c r="L217" s="145"/>
      <c r="M217" s="147">
        <v>1588212.61</v>
      </c>
      <c r="N217" s="147"/>
      <c r="O217" s="147">
        <v>2265308</v>
      </c>
      <c r="P217" s="147"/>
      <c r="Q217" s="147">
        <v>72129</v>
      </c>
      <c r="S217" s="26">
        <v>1.87</v>
      </c>
      <c r="U217" s="49">
        <v>31.4</v>
      </c>
    </row>
    <row r="218" spans="1:21">
      <c r="A218" s="30">
        <v>355</v>
      </c>
      <c r="C218" s="13" t="s">
        <v>90</v>
      </c>
      <c r="E218" s="205"/>
      <c r="G218" s="205" t="s">
        <v>273</v>
      </c>
      <c r="H218" s="205"/>
      <c r="I218" s="206">
        <v>-75</v>
      </c>
      <c r="K218" s="157">
        <v>240192196.53</v>
      </c>
      <c r="L218" s="145"/>
      <c r="M218" s="147">
        <v>63396059.149999999</v>
      </c>
      <c r="N218" s="147"/>
      <c r="O218" s="147">
        <v>356940285</v>
      </c>
      <c r="P218" s="147"/>
      <c r="Q218" s="147">
        <v>7790779</v>
      </c>
      <c r="S218" s="26">
        <v>3.24</v>
      </c>
      <c r="U218" s="49">
        <v>45.8</v>
      </c>
    </row>
    <row r="219" spans="1:21">
      <c r="A219" s="30">
        <v>356</v>
      </c>
      <c r="C219" s="13" t="s">
        <v>91</v>
      </c>
      <c r="E219" s="205"/>
      <c r="G219" s="205" t="s">
        <v>144</v>
      </c>
      <c r="H219" s="205"/>
      <c r="I219" s="206">
        <v>-75</v>
      </c>
      <c r="K219" s="157">
        <v>141259051.86000001</v>
      </c>
      <c r="L219" s="145"/>
      <c r="M219" s="147">
        <v>63715251.359999999</v>
      </c>
      <c r="N219" s="147"/>
      <c r="O219" s="147">
        <v>183488089</v>
      </c>
      <c r="P219" s="147"/>
      <c r="Q219" s="147">
        <v>5110882</v>
      </c>
      <c r="S219" s="26">
        <v>3.62</v>
      </c>
      <c r="U219" s="49">
        <v>35.9</v>
      </c>
    </row>
    <row r="220" spans="1:21">
      <c r="A220" s="30">
        <v>359</v>
      </c>
      <c r="C220" s="13" t="s">
        <v>92</v>
      </c>
      <c r="G220" s="205" t="s">
        <v>272</v>
      </c>
      <c r="H220" s="205"/>
      <c r="I220" s="206">
        <v>0</v>
      </c>
      <c r="K220" s="157">
        <v>22927.11</v>
      </c>
      <c r="L220" s="145"/>
      <c r="M220" s="147">
        <v>12100.51</v>
      </c>
      <c r="N220" s="147"/>
      <c r="O220" s="147">
        <v>10827</v>
      </c>
      <c r="P220" s="147"/>
      <c r="Q220" s="147">
        <v>557</v>
      </c>
      <c r="S220" s="26">
        <v>2.4300000000000002</v>
      </c>
      <c r="U220" s="49">
        <v>19.399999999999999</v>
      </c>
    </row>
    <row r="221" spans="1:21">
      <c r="A221" s="30"/>
      <c r="G221" s="205"/>
      <c r="I221" s="206"/>
      <c r="K221" s="165"/>
      <c r="M221" s="32"/>
      <c r="O221" s="32"/>
      <c r="Q221" s="32"/>
      <c r="S221" s="26"/>
      <c r="U221" s="49"/>
    </row>
    <row r="222" spans="1:21" ht="15.75">
      <c r="A222" s="30"/>
      <c r="C222" s="31" t="s">
        <v>93</v>
      </c>
      <c r="G222" s="18"/>
      <c r="H222" s="22"/>
      <c r="I222" s="41"/>
      <c r="J222" s="22"/>
      <c r="K222" s="151">
        <f>SUBTOTAL(9,K215:K221)</f>
        <v>704717332.76000011</v>
      </c>
      <c r="L222" s="22"/>
      <c r="M222" s="35">
        <f>SUBTOTAL(9,M215:M221)</f>
        <v>210031507.03999996</v>
      </c>
      <c r="N222" s="35"/>
      <c r="O222" s="35">
        <f>SUBTOTAL(9,O215:O221)</f>
        <v>874624304</v>
      </c>
      <c r="P222" s="35"/>
      <c r="Q222" s="35">
        <f>SUBTOTAL(9,Q215:Q221)</f>
        <v>23096245</v>
      </c>
      <c r="S222" s="23">
        <f>+ROUND(Q222/K222*100,2)</f>
        <v>3.28</v>
      </c>
      <c r="T222" s="22"/>
      <c r="U222" s="50"/>
    </row>
    <row r="223" spans="1:21">
      <c r="A223" s="30"/>
      <c r="G223" s="205"/>
      <c r="I223" s="206"/>
      <c r="K223" s="157"/>
      <c r="S223" s="26"/>
      <c r="U223" s="49"/>
    </row>
    <row r="224" spans="1:21" ht="15.75">
      <c r="A224" s="30"/>
      <c r="C224" s="18" t="s">
        <v>94</v>
      </c>
      <c r="G224" s="205"/>
      <c r="I224" s="206"/>
      <c r="K224" s="157"/>
      <c r="S224" s="26"/>
      <c r="U224" s="49"/>
    </row>
    <row r="225" spans="1:21" ht="15.75">
      <c r="A225" s="30"/>
      <c r="C225" s="25"/>
      <c r="G225" s="205"/>
      <c r="I225" s="206"/>
      <c r="K225" s="157"/>
      <c r="S225" s="26"/>
      <c r="U225" s="49"/>
    </row>
    <row r="226" spans="1:21">
      <c r="A226" s="30">
        <v>362</v>
      </c>
      <c r="C226" s="13" t="s">
        <v>87</v>
      </c>
      <c r="G226" s="205" t="s">
        <v>147</v>
      </c>
      <c r="H226" s="205"/>
      <c r="I226" s="206">
        <v>-5</v>
      </c>
      <c r="K226" s="157">
        <v>325863839.04000002</v>
      </c>
      <c r="L226" s="145"/>
      <c r="M226" s="147">
        <v>95248438.450000003</v>
      </c>
      <c r="N226" s="147"/>
      <c r="O226" s="147">
        <v>246908593</v>
      </c>
      <c r="P226" s="147"/>
      <c r="Q226" s="147">
        <v>8410892</v>
      </c>
      <c r="S226" s="26">
        <v>2.58</v>
      </c>
      <c r="U226" s="49">
        <v>29.4</v>
      </c>
    </row>
    <row r="227" spans="1:21">
      <c r="A227" s="30">
        <v>362.1</v>
      </c>
      <c r="C227" s="13" t="s">
        <v>95</v>
      </c>
      <c r="G227" s="205" t="s">
        <v>148</v>
      </c>
      <c r="H227" s="205"/>
      <c r="I227" s="206">
        <v>-5</v>
      </c>
      <c r="K227" s="157">
        <v>7799614.71</v>
      </c>
      <c r="L227" s="145"/>
      <c r="M227" s="147">
        <v>4607402.04</v>
      </c>
      <c r="N227" s="147"/>
      <c r="O227" s="147">
        <v>3582193</v>
      </c>
      <c r="P227" s="147"/>
      <c r="Q227" s="147">
        <v>149696</v>
      </c>
      <c r="S227" s="26">
        <v>1.92</v>
      </c>
      <c r="U227" s="49">
        <v>23.9</v>
      </c>
    </row>
    <row r="228" spans="1:21">
      <c r="A228" s="30">
        <v>368</v>
      </c>
      <c r="C228" s="13" t="s">
        <v>96</v>
      </c>
      <c r="G228" s="205" t="s">
        <v>274</v>
      </c>
      <c r="H228" s="205"/>
      <c r="I228" s="206">
        <v>0</v>
      </c>
      <c r="K228" s="157">
        <v>2409681</v>
      </c>
      <c r="L228" s="145"/>
      <c r="M228" s="147">
        <v>1320682.8500000001</v>
      </c>
      <c r="N228" s="147"/>
      <c r="O228" s="147">
        <v>1088998</v>
      </c>
      <c r="P228" s="147"/>
      <c r="Q228" s="147">
        <v>26019</v>
      </c>
      <c r="S228" s="26">
        <v>1.08</v>
      </c>
      <c r="U228" s="49">
        <v>41.9</v>
      </c>
    </row>
    <row r="229" spans="1:21">
      <c r="A229" s="30"/>
      <c r="G229" s="205"/>
      <c r="I229" s="206"/>
      <c r="K229" s="165"/>
      <c r="M229" s="32"/>
      <c r="O229" s="32"/>
      <c r="Q229" s="32"/>
      <c r="S229" s="26"/>
      <c r="U229" s="49"/>
    </row>
    <row r="230" spans="1:21" ht="15.75">
      <c r="A230" s="30"/>
      <c r="C230" s="31" t="s">
        <v>97</v>
      </c>
      <c r="G230" s="18"/>
      <c r="H230" s="22"/>
      <c r="I230" s="41"/>
      <c r="J230" s="22"/>
      <c r="K230" s="151">
        <f>SUBTOTAL(9,K226:K229)</f>
        <v>336073134.75</v>
      </c>
      <c r="L230" s="22"/>
      <c r="M230" s="35">
        <f>SUBTOTAL(9,M226:M229)</f>
        <v>101176523.34</v>
      </c>
      <c r="N230" s="35"/>
      <c r="O230" s="35">
        <f>SUBTOTAL(9,O226:O229)</f>
        <v>251579784</v>
      </c>
      <c r="P230" s="35"/>
      <c r="Q230" s="35">
        <f>SUBTOTAL(9,Q226:Q229)</f>
        <v>8586607</v>
      </c>
      <c r="R230" s="22"/>
      <c r="S230" s="23">
        <f>+ROUND(Q230/K230*100,2)</f>
        <v>2.5499999999999998</v>
      </c>
      <c r="T230" s="22"/>
      <c r="U230" s="50"/>
    </row>
    <row r="231" spans="1:21">
      <c r="A231" s="30"/>
      <c r="G231" s="205"/>
      <c r="I231" s="206"/>
      <c r="K231" s="157"/>
      <c r="S231" s="26"/>
      <c r="U231" s="49"/>
    </row>
    <row r="232" spans="1:21" ht="15.75">
      <c r="A232" s="30"/>
      <c r="C232" s="18" t="s">
        <v>98</v>
      </c>
      <c r="G232" s="205"/>
      <c r="I232" s="206"/>
      <c r="K232" s="157"/>
      <c r="S232" s="26"/>
      <c r="U232" s="49"/>
    </row>
    <row r="233" spans="1:21" ht="15.75">
      <c r="A233" s="30"/>
      <c r="C233" s="25"/>
      <c r="G233" s="205"/>
      <c r="I233" s="206"/>
      <c r="K233" s="157"/>
      <c r="S233" s="26"/>
      <c r="U233" s="49"/>
    </row>
    <row r="234" spans="1:21">
      <c r="A234" s="30">
        <v>390</v>
      </c>
      <c r="C234" s="34" t="s">
        <v>99</v>
      </c>
      <c r="G234" s="205" t="s">
        <v>149</v>
      </c>
      <c r="H234" s="205"/>
      <c r="I234" s="206">
        <v>-10</v>
      </c>
      <c r="K234" s="157">
        <v>19910932.050000001</v>
      </c>
      <c r="L234" s="145"/>
      <c r="M234" s="147">
        <v>8927206</v>
      </c>
      <c r="N234" s="147"/>
      <c r="O234" s="147">
        <v>12974819</v>
      </c>
      <c r="P234" s="147"/>
      <c r="Q234" s="147">
        <v>325154</v>
      </c>
      <c r="S234" s="26">
        <v>1.63</v>
      </c>
      <c r="U234" s="49">
        <v>39.9</v>
      </c>
    </row>
    <row r="235" spans="1:21">
      <c r="A235" s="30">
        <v>391</v>
      </c>
      <c r="C235" s="13" t="s">
        <v>100</v>
      </c>
      <c r="G235" s="205" t="s">
        <v>150</v>
      </c>
      <c r="H235" s="205"/>
      <c r="I235" s="206">
        <v>0</v>
      </c>
      <c r="K235" s="157">
        <v>13849222.77</v>
      </c>
      <c r="L235" s="145"/>
      <c r="M235" s="147">
        <v>4129175</v>
      </c>
      <c r="N235" s="147"/>
      <c r="O235" s="147">
        <v>9720048</v>
      </c>
      <c r="P235" s="147"/>
      <c r="Q235" s="147">
        <v>692290</v>
      </c>
      <c r="S235" s="26">
        <v>5</v>
      </c>
      <c r="U235" s="49">
        <v>14</v>
      </c>
    </row>
    <row r="236" spans="1:21">
      <c r="A236" s="30">
        <v>391.1</v>
      </c>
      <c r="C236" s="13" t="s">
        <v>101</v>
      </c>
      <c r="G236" s="205" t="s">
        <v>151</v>
      </c>
      <c r="H236" s="205"/>
      <c r="I236" s="206">
        <v>0</v>
      </c>
      <c r="K236" s="157">
        <v>21265400.890000001</v>
      </c>
      <c r="L236" s="145"/>
      <c r="M236" s="147">
        <v>11948538</v>
      </c>
      <c r="N236" s="147"/>
      <c r="O236" s="147">
        <v>9316863</v>
      </c>
      <c r="P236" s="147"/>
      <c r="Q236" s="147">
        <v>1417691</v>
      </c>
      <c r="S236" s="26">
        <v>6.67</v>
      </c>
      <c r="U236" s="49">
        <v>6.6</v>
      </c>
    </row>
    <row r="237" spans="1:21">
      <c r="A237" s="30">
        <v>392</v>
      </c>
      <c r="C237" s="13" t="s">
        <v>102</v>
      </c>
      <c r="G237" s="205" t="s">
        <v>275</v>
      </c>
      <c r="H237" s="205"/>
      <c r="I237" s="206">
        <v>0</v>
      </c>
      <c r="K237" s="157">
        <v>21791109.350000001</v>
      </c>
      <c r="L237" s="145"/>
      <c r="M237" s="147">
        <v>8321066</v>
      </c>
      <c r="N237" s="147"/>
      <c r="O237" s="147">
        <v>13470043</v>
      </c>
      <c r="P237" s="147"/>
      <c r="Q237" s="147">
        <v>1753581</v>
      </c>
      <c r="S237" s="26">
        <v>8.0500000000000007</v>
      </c>
      <c r="U237" s="49">
        <v>7.7</v>
      </c>
    </row>
    <row r="238" spans="1:21">
      <c r="A238" s="30">
        <v>393</v>
      </c>
      <c r="C238" s="34" t="s">
        <v>103</v>
      </c>
      <c r="G238" s="205" t="s">
        <v>152</v>
      </c>
      <c r="H238" s="205"/>
      <c r="I238" s="206">
        <v>0</v>
      </c>
      <c r="K238" s="157">
        <v>80885.399999999994</v>
      </c>
      <c r="L238" s="145"/>
      <c r="M238" s="147">
        <v>60546</v>
      </c>
      <c r="N238" s="147"/>
      <c r="O238" s="147">
        <v>20339</v>
      </c>
      <c r="P238" s="147"/>
      <c r="Q238" s="147">
        <v>3236</v>
      </c>
      <c r="S238" s="26">
        <v>4</v>
      </c>
      <c r="U238" s="49">
        <v>6.3</v>
      </c>
    </row>
    <row r="239" spans="1:21">
      <c r="A239" s="30">
        <v>394</v>
      </c>
      <c r="C239" s="34" t="s">
        <v>104</v>
      </c>
      <c r="G239" s="205" t="s">
        <v>150</v>
      </c>
      <c r="H239" s="205"/>
      <c r="I239" s="206">
        <v>0</v>
      </c>
      <c r="K239" s="157">
        <v>2014232.77</v>
      </c>
      <c r="L239" s="145"/>
      <c r="M239" s="147">
        <v>688131</v>
      </c>
      <c r="N239" s="147"/>
      <c r="O239" s="147">
        <v>1326102</v>
      </c>
      <c r="P239" s="147"/>
      <c r="Q239" s="147">
        <v>100716</v>
      </c>
      <c r="S239" s="26">
        <v>5</v>
      </c>
      <c r="U239" s="49">
        <v>13.2</v>
      </c>
    </row>
    <row r="240" spans="1:21">
      <c r="A240" s="30">
        <v>395</v>
      </c>
      <c r="C240" s="34" t="s">
        <v>105</v>
      </c>
      <c r="G240" s="205" t="s">
        <v>150</v>
      </c>
      <c r="H240" s="205"/>
      <c r="I240" s="206">
        <v>0</v>
      </c>
      <c r="K240" s="157">
        <v>4366162.6500000004</v>
      </c>
      <c r="L240" s="145"/>
      <c r="M240" s="147">
        <v>2130387</v>
      </c>
      <c r="N240" s="147"/>
      <c r="O240" s="147">
        <v>2235776</v>
      </c>
      <c r="P240" s="147"/>
      <c r="Q240" s="147">
        <v>218492</v>
      </c>
      <c r="S240" s="26">
        <v>5</v>
      </c>
      <c r="U240" s="49">
        <v>10.199999999999999</v>
      </c>
    </row>
    <row r="241" spans="1:21">
      <c r="A241" s="30">
        <v>396</v>
      </c>
      <c r="C241" s="13" t="s">
        <v>106</v>
      </c>
      <c r="G241" s="205" t="s">
        <v>276</v>
      </c>
      <c r="H241" s="205"/>
      <c r="I241" s="206">
        <v>0</v>
      </c>
      <c r="K241" s="157">
        <v>24030802.09</v>
      </c>
      <c r="L241" s="145"/>
      <c r="M241" s="147">
        <v>9245260</v>
      </c>
      <c r="N241" s="147"/>
      <c r="O241" s="147">
        <v>14785542</v>
      </c>
      <c r="P241" s="147"/>
      <c r="Q241" s="147">
        <v>1159617</v>
      </c>
      <c r="S241" s="26">
        <v>4.83</v>
      </c>
      <c r="U241" s="49">
        <v>12.8</v>
      </c>
    </row>
    <row r="242" spans="1:21">
      <c r="A242" s="30">
        <v>397</v>
      </c>
      <c r="C242" s="13" t="s">
        <v>107</v>
      </c>
      <c r="G242" s="205" t="s">
        <v>151</v>
      </c>
      <c r="H242" s="205"/>
      <c r="I242" s="206">
        <v>0</v>
      </c>
      <c r="K242" s="157">
        <v>22301164.09</v>
      </c>
      <c r="L242" s="145"/>
      <c r="M242" s="147">
        <v>9655523</v>
      </c>
      <c r="N242" s="147"/>
      <c r="O242" s="147">
        <v>12645641</v>
      </c>
      <c r="P242" s="147"/>
      <c r="Q242" s="147">
        <v>1487391</v>
      </c>
      <c r="S242" s="26">
        <v>6.67</v>
      </c>
      <c r="U242" s="49">
        <v>8.5</v>
      </c>
    </row>
    <row r="243" spans="1:21">
      <c r="A243" s="30">
        <v>398</v>
      </c>
      <c r="C243" s="13" t="s">
        <v>108</v>
      </c>
      <c r="G243" s="205" t="s">
        <v>150</v>
      </c>
      <c r="H243" s="205"/>
      <c r="I243" s="206">
        <v>0</v>
      </c>
      <c r="K243" s="157">
        <v>2513134.77</v>
      </c>
      <c r="L243" s="145"/>
      <c r="M243" s="147">
        <v>1024082</v>
      </c>
      <c r="N243" s="147"/>
      <c r="O243" s="147">
        <v>1489053</v>
      </c>
      <c r="P243" s="147"/>
      <c r="Q243" s="147">
        <v>125661</v>
      </c>
      <c r="S243" s="26">
        <v>5</v>
      </c>
      <c r="U243" s="49">
        <v>11.8</v>
      </c>
    </row>
    <row r="244" spans="1:21">
      <c r="A244" s="30"/>
      <c r="G244" s="205"/>
      <c r="I244" s="206"/>
      <c r="K244" s="165"/>
      <c r="M244" s="166"/>
      <c r="O244" s="166"/>
      <c r="Q244" s="166"/>
      <c r="S244" s="26"/>
      <c r="U244" s="49"/>
    </row>
    <row r="245" spans="1:21" ht="15.75">
      <c r="C245" s="31" t="s">
        <v>109</v>
      </c>
      <c r="G245" s="205"/>
      <c r="I245" s="206"/>
      <c r="K245" s="151">
        <f>SUBTOTAL(9,K234:K244)</f>
        <v>132123046.83000001</v>
      </c>
      <c r="L245" s="22"/>
      <c r="M245" s="35">
        <f>SUBTOTAL(9,M234:M244)</f>
        <v>56129914</v>
      </c>
      <c r="N245" s="35"/>
      <c r="O245" s="35">
        <f>SUBTOTAL(9,O234:O244)</f>
        <v>77984226</v>
      </c>
      <c r="P245" s="35"/>
      <c r="Q245" s="35">
        <f>SUBTOTAL(9,Q234:Q244)</f>
        <v>7283829</v>
      </c>
      <c r="R245" s="22"/>
      <c r="S245" s="23">
        <f>+ROUND(Q245/K245*100,2)</f>
        <v>5.51</v>
      </c>
      <c r="T245" s="22"/>
      <c r="U245" s="50"/>
    </row>
    <row r="246" spans="1:21" ht="15.75">
      <c r="C246" s="31"/>
      <c r="G246" s="205"/>
      <c r="I246" s="206"/>
      <c r="K246" s="151"/>
      <c r="L246" s="22"/>
      <c r="M246" s="35"/>
      <c r="N246" s="35"/>
      <c r="O246" s="35"/>
      <c r="P246" s="35"/>
      <c r="Q246" s="35"/>
      <c r="R246" s="22"/>
      <c r="S246" s="23"/>
      <c r="T246" s="22"/>
      <c r="U246" s="50"/>
    </row>
    <row r="247" spans="1:21" ht="15.75">
      <c r="C247" s="21" t="s">
        <v>277</v>
      </c>
      <c r="G247" s="205"/>
      <c r="I247" s="206"/>
      <c r="K247" s="151"/>
      <c r="L247" s="22"/>
      <c r="M247" s="35"/>
      <c r="N247" s="35"/>
      <c r="O247" s="35"/>
      <c r="P247" s="35"/>
      <c r="Q247" s="35"/>
      <c r="R247" s="22"/>
      <c r="S247" s="23"/>
      <c r="T247" s="22"/>
      <c r="U247" s="50"/>
    </row>
    <row r="248" spans="1:21" ht="15.75">
      <c r="C248" s="31"/>
      <c r="G248" s="205"/>
      <c r="I248" s="206"/>
      <c r="K248" s="151"/>
      <c r="L248" s="22"/>
      <c r="M248" s="35"/>
      <c r="N248" s="35"/>
      <c r="O248" s="35"/>
      <c r="P248" s="35"/>
      <c r="Q248" s="35"/>
      <c r="R248" s="22"/>
      <c r="S248" s="23"/>
      <c r="T248" s="22"/>
      <c r="U248" s="50"/>
    </row>
    <row r="249" spans="1:21" ht="15.75">
      <c r="A249" s="30">
        <v>391</v>
      </c>
      <c r="C249" s="13" t="s">
        <v>100</v>
      </c>
      <c r="G249" s="205"/>
      <c r="I249" s="206"/>
      <c r="K249" s="151"/>
      <c r="L249" s="22"/>
      <c r="M249" s="15">
        <v>183061</v>
      </c>
      <c r="N249" s="35"/>
      <c r="O249" s="35"/>
      <c r="P249" s="35"/>
      <c r="Q249" s="15">
        <f>-M249/5</f>
        <v>-36612.199999999997</v>
      </c>
      <c r="R249" s="22" t="s">
        <v>153</v>
      </c>
      <c r="S249" s="23"/>
      <c r="T249" s="22"/>
      <c r="U249" s="50"/>
    </row>
    <row r="250" spans="1:21" ht="15.75">
      <c r="A250" s="30">
        <v>391.1</v>
      </c>
      <c r="C250" s="13" t="s">
        <v>101</v>
      </c>
      <c r="G250" s="205"/>
      <c r="I250" s="206"/>
      <c r="K250" s="151"/>
      <c r="L250" s="22"/>
      <c r="M250" s="15">
        <v>15654354.949999997</v>
      </c>
      <c r="N250" s="35"/>
      <c r="O250" s="35"/>
      <c r="P250" s="35"/>
      <c r="Q250" s="15">
        <f t="shared" ref="Q250:Q255" si="0">-M250/5</f>
        <v>-3130870.9899999993</v>
      </c>
      <c r="R250" s="22" t="s">
        <v>153</v>
      </c>
      <c r="S250" s="23"/>
      <c r="T250" s="22"/>
      <c r="U250" s="50"/>
    </row>
    <row r="251" spans="1:21" ht="15.75">
      <c r="A251" s="30">
        <v>393</v>
      </c>
      <c r="C251" s="34" t="s">
        <v>103</v>
      </c>
      <c r="G251" s="205"/>
      <c r="I251" s="206"/>
      <c r="K251" s="151"/>
      <c r="L251" s="22"/>
      <c r="M251" s="15">
        <v>2304</v>
      </c>
      <c r="N251" s="35"/>
      <c r="O251" s="35"/>
      <c r="P251" s="35"/>
      <c r="Q251" s="15">
        <f t="shared" si="0"/>
        <v>-460.8</v>
      </c>
      <c r="R251" s="22" t="s">
        <v>153</v>
      </c>
      <c r="S251" s="23"/>
      <c r="T251" s="22"/>
      <c r="U251" s="50"/>
    </row>
    <row r="252" spans="1:21" ht="15.75">
      <c r="A252" s="30">
        <v>394</v>
      </c>
      <c r="C252" s="34" t="s">
        <v>104</v>
      </c>
      <c r="G252" s="205"/>
      <c r="I252" s="206"/>
      <c r="K252" s="151"/>
      <c r="L252" s="22"/>
      <c r="M252" s="15">
        <v>42791</v>
      </c>
      <c r="N252" s="35"/>
      <c r="O252" s="35"/>
      <c r="P252" s="35"/>
      <c r="Q252" s="15">
        <f t="shared" si="0"/>
        <v>-8558.2000000000007</v>
      </c>
      <c r="R252" s="22" t="s">
        <v>153</v>
      </c>
      <c r="S252" s="23"/>
      <c r="T252" s="22"/>
      <c r="U252" s="50"/>
    </row>
    <row r="253" spans="1:21" ht="15.75">
      <c r="A253" s="30">
        <v>395</v>
      </c>
      <c r="C253" s="34" t="s">
        <v>105</v>
      </c>
      <c r="G253" s="205"/>
      <c r="I253" s="206"/>
      <c r="K253" s="151"/>
      <c r="L253" s="22"/>
      <c r="M253" s="15">
        <v>86768</v>
      </c>
      <c r="N253" s="35"/>
      <c r="O253" s="35"/>
      <c r="P253" s="35"/>
      <c r="Q253" s="15">
        <f t="shared" si="0"/>
        <v>-17353.599999999999</v>
      </c>
      <c r="R253" s="22" t="s">
        <v>153</v>
      </c>
      <c r="S253" s="23"/>
      <c r="T253" s="22"/>
      <c r="U253" s="50"/>
    </row>
    <row r="254" spans="1:21" ht="15.75">
      <c r="A254" s="30">
        <v>397</v>
      </c>
      <c r="C254" s="13" t="s">
        <v>107</v>
      </c>
      <c r="G254" s="205"/>
      <c r="I254" s="206"/>
      <c r="K254" s="151"/>
      <c r="L254" s="22"/>
      <c r="M254" s="15">
        <v>377760</v>
      </c>
      <c r="N254" s="35"/>
      <c r="O254" s="35"/>
      <c r="P254" s="35"/>
      <c r="Q254" s="15">
        <f t="shared" si="0"/>
        <v>-75552</v>
      </c>
      <c r="R254" s="22" t="s">
        <v>153</v>
      </c>
      <c r="S254" s="23"/>
      <c r="T254" s="22"/>
      <c r="U254" s="50"/>
    </row>
    <row r="255" spans="1:21" ht="15.75">
      <c r="A255" s="30">
        <v>398</v>
      </c>
      <c r="C255" s="13" t="s">
        <v>108</v>
      </c>
      <c r="G255" s="205"/>
      <c r="I255" s="206"/>
      <c r="K255" s="151"/>
      <c r="L255" s="22"/>
      <c r="M255" s="15">
        <v>43117</v>
      </c>
      <c r="N255" s="35"/>
      <c r="O255" s="35"/>
      <c r="P255" s="35"/>
      <c r="Q255" s="15">
        <f t="shared" si="0"/>
        <v>-8623.4</v>
      </c>
      <c r="R255" s="22" t="s">
        <v>153</v>
      </c>
      <c r="S255" s="23"/>
      <c r="T255" s="22"/>
      <c r="U255" s="50"/>
    </row>
    <row r="256" spans="1:21" ht="15.75">
      <c r="C256" s="31"/>
      <c r="G256" s="205"/>
      <c r="I256" s="206"/>
      <c r="K256" s="151"/>
      <c r="L256" s="22"/>
      <c r="M256" s="169"/>
      <c r="N256" s="35"/>
      <c r="O256" s="35"/>
      <c r="P256" s="35"/>
      <c r="Q256" s="169"/>
      <c r="R256" s="22"/>
      <c r="S256" s="23"/>
      <c r="T256" s="22"/>
      <c r="U256" s="50"/>
    </row>
    <row r="257" spans="1:21" ht="15.75">
      <c r="C257" s="31" t="s">
        <v>278</v>
      </c>
      <c r="G257" s="205"/>
      <c r="I257" s="206"/>
      <c r="K257" s="151"/>
      <c r="L257" s="22"/>
      <c r="M257" s="36">
        <f>SUBTOTAL(9,M249:M256)</f>
        <v>16390155.949999997</v>
      </c>
      <c r="N257" s="35"/>
      <c r="O257" s="35"/>
      <c r="P257" s="35"/>
      <c r="Q257" s="36">
        <f>SUBTOTAL(9,Q249:Q256)</f>
        <v>-3278031.1899999995</v>
      </c>
      <c r="R257" s="22"/>
      <c r="S257" s="23"/>
      <c r="T257" s="22"/>
      <c r="U257" s="50"/>
    </row>
    <row r="258" spans="1:21" ht="15.75">
      <c r="C258" s="31"/>
      <c r="G258" s="205"/>
      <c r="I258" s="206"/>
      <c r="K258" s="151"/>
      <c r="L258" s="22"/>
      <c r="M258" s="35"/>
      <c r="N258" s="35"/>
      <c r="O258" s="35"/>
      <c r="P258" s="35"/>
      <c r="Q258" s="35"/>
      <c r="R258" s="22"/>
      <c r="S258" s="26"/>
      <c r="U258" s="50"/>
    </row>
    <row r="259" spans="1:21" ht="16.5" thickBot="1">
      <c r="C259" s="31" t="s">
        <v>111</v>
      </c>
      <c r="G259" s="205"/>
      <c r="I259" s="206"/>
      <c r="K259" s="171">
        <f>SUBTOTAL(9,K13:K258)</f>
        <v>4654637456.0800037</v>
      </c>
      <c r="L259" s="22"/>
      <c r="M259" s="51">
        <f>SUBTOTAL(9,M13:M258)</f>
        <v>1820887036.7100012</v>
      </c>
      <c r="N259" s="35"/>
      <c r="O259" s="51">
        <f>SUBTOTAL(9,O13:O258)</f>
        <v>3287628814</v>
      </c>
      <c r="P259" s="35"/>
      <c r="Q259" s="51">
        <f>SUBTOTAL(9,Q13:Q258)</f>
        <v>138535747.81</v>
      </c>
      <c r="R259" s="22"/>
      <c r="S259" s="23">
        <f>+ROUND(Q259/K259*100,2)</f>
        <v>2.98</v>
      </c>
      <c r="T259" s="22"/>
      <c r="U259" s="50"/>
    </row>
    <row r="260" spans="1:21" ht="16.5" thickTop="1">
      <c r="C260" s="22"/>
      <c r="G260" s="205"/>
      <c r="I260" s="206"/>
      <c r="K260" s="151"/>
      <c r="L260" s="22"/>
      <c r="M260" s="35"/>
      <c r="N260" s="35"/>
      <c r="O260" s="35"/>
      <c r="P260" s="35"/>
      <c r="Q260" s="35"/>
      <c r="R260" s="22"/>
      <c r="S260" s="26"/>
      <c r="U260" s="50"/>
    </row>
    <row r="261" spans="1:21" ht="15.75">
      <c r="C261" s="21" t="s">
        <v>112</v>
      </c>
      <c r="G261" s="205"/>
      <c r="I261" s="206"/>
      <c r="K261" s="151"/>
      <c r="L261" s="22"/>
      <c r="M261" s="35"/>
      <c r="N261" s="35"/>
      <c r="O261" s="35"/>
      <c r="P261" s="35"/>
      <c r="Q261" s="35"/>
      <c r="R261" s="22"/>
      <c r="S261" s="26"/>
      <c r="U261" s="50"/>
    </row>
    <row r="262" spans="1:21" ht="15.75">
      <c r="C262" s="22"/>
      <c r="G262" s="205"/>
      <c r="I262" s="206"/>
      <c r="K262" s="151"/>
      <c r="L262" s="22"/>
      <c r="M262" s="35"/>
      <c r="N262" s="35"/>
      <c r="O262" s="35"/>
      <c r="P262" s="35"/>
      <c r="Q262" s="35"/>
      <c r="R262" s="22"/>
      <c r="S262" s="26"/>
      <c r="U262" s="50"/>
    </row>
    <row r="263" spans="1:21" ht="15.75">
      <c r="A263" s="30">
        <v>301</v>
      </c>
      <c r="C263" s="13" t="s">
        <v>113</v>
      </c>
      <c r="G263" s="205"/>
      <c r="I263" s="206"/>
      <c r="K263" s="157">
        <v>5040.43</v>
      </c>
      <c r="N263" s="35"/>
      <c r="O263" s="35"/>
      <c r="P263" s="35"/>
      <c r="Q263" s="35"/>
      <c r="R263" s="22"/>
      <c r="S263" s="26"/>
      <c r="U263" s="50"/>
    </row>
    <row r="264" spans="1:21" ht="15.75">
      <c r="A264" s="30">
        <v>310</v>
      </c>
      <c r="C264" s="13" t="s">
        <v>114</v>
      </c>
      <c r="G264" s="205"/>
      <c r="I264" s="206"/>
      <c r="K264" s="157">
        <v>7074844.4300000006</v>
      </c>
      <c r="N264" s="35"/>
      <c r="O264" s="35"/>
      <c r="P264" s="35"/>
      <c r="Q264" s="35"/>
      <c r="R264" s="22"/>
      <c r="S264" s="26"/>
      <c r="U264" s="50"/>
    </row>
    <row r="265" spans="1:21" ht="15.75">
      <c r="A265" s="30">
        <v>340</v>
      </c>
      <c r="C265" s="13" t="s">
        <v>114</v>
      </c>
      <c r="G265" s="205"/>
      <c r="I265" s="206"/>
      <c r="K265" s="157">
        <v>5964035.6900000004</v>
      </c>
      <c r="N265" s="35"/>
      <c r="O265" s="35"/>
      <c r="P265" s="35"/>
      <c r="Q265" s="35"/>
      <c r="R265" s="22"/>
      <c r="S265" s="26"/>
      <c r="U265" s="50"/>
    </row>
    <row r="266" spans="1:21" ht="15.75">
      <c r="A266" s="30">
        <v>350</v>
      </c>
      <c r="C266" s="13" t="s">
        <v>114</v>
      </c>
      <c r="G266" s="205"/>
      <c r="I266" s="206"/>
      <c r="K266" s="157">
        <v>4673025.2200000007</v>
      </c>
      <c r="N266" s="35"/>
      <c r="O266" s="35"/>
      <c r="P266" s="35"/>
      <c r="Q266" s="35"/>
      <c r="R266" s="22"/>
      <c r="S266" s="26"/>
      <c r="U266" s="50"/>
    </row>
    <row r="267" spans="1:21" ht="15.75">
      <c r="A267" s="30">
        <v>350.1</v>
      </c>
      <c r="C267" s="13" t="s">
        <v>27</v>
      </c>
      <c r="G267" s="205"/>
      <c r="I267" s="206"/>
      <c r="K267" s="157">
        <v>58324160.971999988</v>
      </c>
      <c r="N267" s="35"/>
      <c r="O267" s="35"/>
      <c r="P267" s="35"/>
      <c r="Q267" s="35"/>
      <c r="R267" s="22"/>
      <c r="S267" s="26"/>
      <c r="U267" s="50"/>
    </row>
    <row r="268" spans="1:21" ht="15.75">
      <c r="A268" s="30">
        <v>354.1</v>
      </c>
      <c r="C268" s="13" t="s">
        <v>251</v>
      </c>
      <c r="G268" s="205"/>
      <c r="I268" s="206"/>
      <c r="K268" s="157">
        <v>564962.57000000007</v>
      </c>
      <c r="M268" s="15">
        <v>325366.93</v>
      </c>
      <c r="N268" s="35"/>
      <c r="O268" s="35"/>
      <c r="P268" s="35"/>
      <c r="Q268" s="35"/>
      <c r="R268" s="22"/>
      <c r="S268" s="26"/>
      <c r="U268" s="50"/>
    </row>
    <row r="269" spans="1:21" ht="15.75">
      <c r="A269" s="30">
        <v>360</v>
      </c>
      <c r="C269" s="13" t="s">
        <v>114</v>
      </c>
      <c r="G269" s="205"/>
      <c r="I269" s="206"/>
      <c r="K269" s="157">
        <v>13132104.219999999</v>
      </c>
      <c r="N269" s="35"/>
      <c r="O269" s="35"/>
      <c r="P269" s="35"/>
      <c r="Q269" s="35"/>
      <c r="R269" s="22"/>
      <c r="S269" s="26"/>
      <c r="U269" s="50"/>
    </row>
    <row r="270" spans="1:21" ht="15.75">
      <c r="A270" s="30">
        <v>389</v>
      </c>
      <c r="C270" s="13" t="s">
        <v>114</v>
      </c>
      <c r="G270" s="205"/>
      <c r="I270" s="206"/>
      <c r="K270" s="157">
        <v>1587642.56</v>
      </c>
      <c r="N270" s="35"/>
      <c r="O270" s="35"/>
      <c r="P270" s="35"/>
      <c r="Q270" s="35"/>
      <c r="R270" s="22"/>
      <c r="S270" s="26"/>
      <c r="U270" s="50"/>
    </row>
    <row r="271" spans="1:21" ht="15.75">
      <c r="A271" s="30">
        <v>389.1</v>
      </c>
      <c r="C271" s="13" t="s">
        <v>27</v>
      </c>
      <c r="G271" s="205"/>
      <c r="I271" s="206"/>
      <c r="K271" s="157">
        <v>244222.03</v>
      </c>
      <c r="N271" s="35"/>
      <c r="O271" s="35"/>
      <c r="P271" s="35"/>
      <c r="Q271" s="35"/>
      <c r="R271" s="22"/>
      <c r="S271" s="26"/>
      <c r="U271" s="50"/>
    </row>
    <row r="272" spans="1:21" ht="15.75">
      <c r="A272" s="30">
        <v>398.1</v>
      </c>
      <c r="C272" s="13" t="s">
        <v>252</v>
      </c>
      <c r="G272" s="205"/>
      <c r="I272" s="206"/>
      <c r="K272" s="157">
        <v>448268.6</v>
      </c>
      <c r="M272" s="15">
        <v>448268.6</v>
      </c>
      <c r="N272" s="35"/>
      <c r="O272" s="35"/>
      <c r="P272" s="35"/>
      <c r="Q272" s="35"/>
      <c r="R272" s="22"/>
      <c r="S272" s="26"/>
      <c r="U272" s="50"/>
    </row>
    <row r="273" spans="2:21" ht="15.75">
      <c r="C273" s="22"/>
      <c r="G273" s="205"/>
      <c r="I273" s="206"/>
      <c r="K273" s="174"/>
      <c r="L273" s="22"/>
      <c r="M273" s="169"/>
      <c r="N273" s="35"/>
      <c r="O273" s="35"/>
      <c r="P273" s="35"/>
      <c r="Q273" s="35"/>
      <c r="R273" s="22"/>
      <c r="S273" s="26"/>
      <c r="U273" s="50"/>
    </row>
    <row r="274" spans="2:21" ht="15.75">
      <c r="C274" s="31" t="s">
        <v>115</v>
      </c>
      <c r="G274" s="205"/>
      <c r="I274" s="206"/>
      <c r="K274" s="175">
        <f>SUBTOTAL(9,K263:K273)</f>
        <v>92018306.721999973</v>
      </c>
      <c r="L274" s="22"/>
      <c r="M274" s="36">
        <f>SUBTOTAL(9,M263:M273)</f>
        <v>773635.53</v>
      </c>
      <c r="N274" s="35"/>
      <c r="O274" s="35"/>
      <c r="P274" s="35"/>
      <c r="Q274" s="35"/>
      <c r="R274" s="22"/>
      <c r="S274" s="26"/>
      <c r="U274" s="50"/>
    </row>
    <row r="275" spans="2:21" ht="15.75">
      <c r="C275" s="22"/>
      <c r="G275" s="205"/>
      <c r="I275" s="206"/>
      <c r="K275" s="151"/>
      <c r="L275" s="22"/>
      <c r="M275" s="35"/>
      <c r="N275" s="35"/>
      <c r="O275" s="35"/>
      <c r="P275" s="35"/>
      <c r="Q275" s="35"/>
      <c r="R275" s="22"/>
      <c r="S275" s="26"/>
      <c r="U275" s="50"/>
    </row>
    <row r="276" spans="2:21" ht="16.5" thickBot="1">
      <c r="C276" s="31" t="s">
        <v>116</v>
      </c>
      <c r="G276" s="205"/>
      <c r="I276" s="206"/>
      <c r="K276" s="171">
        <f>SUBTOTAL(9,K13:K275)</f>
        <v>4746655762.8020048</v>
      </c>
      <c r="L276" s="22"/>
      <c r="M276" s="51">
        <f>SUBTOTAL(9,M13:M275)</f>
        <v>1821660672.2400012</v>
      </c>
      <c r="N276" s="35"/>
      <c r="O276" s="35"/>
      <c r="P276" s="35"/>
      <c r="Q276" s="35"/>
      <c r="R276" s="22"/>
      <c r="S276" s="26"/>
      <c r="U276" s="50"/>
    </row>
    <row r="277" spans="2:21" ht="16.5" thickTop="1">
      <c r="C277" s="31"/>
      <c r="G277" s="205"/>
      <c r="I277" s="206"/>
      <c r="K277" s="157"/>
      <c r="L277" s="22"/>
      <c r="M277" s="35"/>
      <c r="N277" s="35"/>
      <c r="O277" s="35"/>
      <c r="P277" s="35"/>
      <c r="Q277" s="35"/>
      <c r="R277" s="22"/>
      <c r="S277" s="26"/>
      <c r="U277" s="50"/>
    </row>
    <row r="278" spans="2:21">
      <c r="B278" s="176" t="s">
        <v>141</v>
      </c>
      <c r="C278" s="13" t="s">
        <v>155</v>
      </c>
    </row>
    <row r="279" spans="2:21" ht="15.75">
      <c r="B279" s="35" t="s">
        <v>153</v>
      </c>
      <c r="C279" s="34" t="s">
        <v>279</v>
      </c>
    </row>
    <row r="280" spans="2:21">
      <c r="B280" s="176"/>
    </row>
  </sheetData>
  <conditionalFormatting sqref="O249:O257">
    <cfRule type="cellIs" dxfId="3" priority="1" operator="lessThan">
      <formula>0</formula>
    </cfRule>
  </conditionalFormatting>
  <printOptions horizontalCentered="1"/>
  <pageMargins left="0.75" right="0.75" top="1" bottom="0.75" header="0.3" footer="0.3"/>
  <pageSetup scale="41" fitToHeight="0" orientation="landscape" r:id="rId1"/>
  <rowBreaks count="3" manualBreakCount="3">
    <brk id="78" max="20" man="1"/>
    <brk id="146" max="20" man="1"/>
    <brk id="212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0"/>
  <sheetViews>
    <sheetView zoomScale="70" zoomScaleNormal="70" workbookViewId="0">
      <selection activeCell="O13" sqref="O13:U13"/>
    </sheetView>
  </sheetViews>
  <sheetFormatPr defaultColWidth="12.5703125" defaultRowHeight="15"/>
  <cols>
    <col min="1" max="1" width="10" style="13" customWidth="1"/>
    <col min="2" max="2" width="3.7109375" style="13" customWidth="1"/>
    <col min="3" max="3" width="74" style="13" customWidth="1"/>
    <col min="4" max="4" width="3.5703125" style="13" customWidth="1"/>
    <col min="5" max="5" width="18.28515625" style="13" customWidth="1"/>
    <col min="6" max="6" width="3.5703125" style="13" customWidth="1"/>
    <col min="7" max="7" width="18.140625" style="13" customWidth="1"/>
    <col min="8" max="8" width="3.7109375" style="13" customWidth="1"/>
    <col min="9" max="9" width="19" style="48" customWidth="1"/>
    <col min="10" max="10" width="3.5703125" style="13" customWidth="1"/>
    <col min="11" max="11" width="31.140625" style="13" customWidth="1"/>
    <col min="12" max="12" width="3.5703125" style="13" customWidth="1"/>
    <col min="13" max="13" width="23.85546875" style="15" bestFit="1" customWidth="1"/>
    <col min="14" max="14" width="3.5703125" style="15" customWidth="1"/>
    <col min="15" max="15" width="25" style="15" customWidth="1"/>
    <col min="16" max="16" width="3.5703125" style="15" customWidth="1"/>
    <col min="17" max="17" width="22.140625" style="15" customWidth="1"/>
    <col min="18" max="18" width="3.5703125" style="13" customWidth="1"/>
    <col min="19" max="19" width="16.28515625" style="13" customWidth="1"/>
    <col min="20" max="20" width="3.5703125" style="13" customWidth="1"/>
    <col min="21" max="21" width="19.5703125" style="13" customWidth="1"/>
    <col min="22" max="23" width="12.5703125" style="13"/>
    <col min="24" max="24" width="14.28515625" style="13" bestFit="1" customWidth="1"/>
    <col min="25" max="16384" width="12.5703125" style="13"/>
  </cols>
  <sheetData>
    <row r="1" spans="1:24" ht="15.75">
      <c r="A1" s="16" t="s">
        <v>258</v>
      </c>
      <c r="B1" s="16"/>
      <c r="C1" s="16"/>
      <c r="D1" s="16"/>
      <c r="E1" s="16"/>
      <c r="F1" s="16"/>
      <c r="G1" s="16"/>
      <c r="H1" s="16"/>
      <c r="I1" s="3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4" ht="15.75">
      <c r="A2" s="16"/>
      <c r="B2" s="16"/>
      <c r="C2" s="16"/>
      <c r="D2" s="16"/>
      <c r="E2" s="16"/>
      <c r="F2" s="16"/>
      <c r="G2" s="16"/>
      <c r="H2" s="16"/>
      <c r="I2" s="3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4" ht="15.75">
      <c r="A3" s="16" t="s">
        <v>259</v>
      </c>
      <c r="B3" s="16"/>
      <c r="C3" s="16"/>
      <c r="D3" s="16"/>
      <c r="E3" s="16"/>
      <c r="F3" s="16"/>
      <c r="G3" s="16"/>
      <c r="H3" s="16"/>
      <c r="I3" s="3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4" ht="15.75">
      <c r="A4" s="16" t="s">
        <v>260</v>
      </c>
      <c r="B4" s="16"/>
      <c r="C4" s="16"/>
      <c r="D4" s="16"/>
      <c r="E4" s="16"/>
      <c r="F4" s="16"/>
      <c r="G4" s="16"/>
      <c r="H4" s="16"/>
      <c r="I4" s="3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4" ht="15.75">
      <c r="A5" s="16"/>
      <c r="B5" s="17"/>
      <c r="C5" s="17"/>
      <c r="D5" s="17"/>
      <c r="E5" s="17"/>
      <c r="F5" s="17"/>
      <c r="G5" s="17"/>
      <c r="H5" s="17"/>
      <c r="I5" s="38"/>
      <c r="J5" s="17"/>
      <c r="K5" s="17"/>
      <c r="L5" s="17"/>
      <c r="M5" s="39"/>
      <c r="N5" s="39"/>
      <c r="O5" s="39"/>
      <c r="P5" s="39"/>
    </row>
    <row r="6" spans="1:24" ht="15.75">
      <c r="B6" s="22"/>
      <c r="C6" s="18"/>
      <c r="D6" s="18"/>
      <c r="E6" s="40" t="s">
        <v>117</v>
      </c>
      <c r="F6" s="18"/>
      <c r="G6" s="18"/>
      <c r="H6" s="18"/>
      <c r="I6" s="41" t="s">
        <v>118</v>
      </c>
      <c r="J6" s="18"/>
      <c r="K6" s="18" t="s">
        <v>119</v>
      </c>
      <c r="L6" s="18"/>
      <c r="M6" s="209" t="s">
        <v>120</v>
      </c>
      <c r="N6" s="209"/>
      <c r="O6" s="209"/>
      <c r="P6" s="209"/>
      <c r="Q6" s="42" t="s">
        <v>245</v>
      </c>
      <c r="R6" s="17"/>
      <c r="S6" s="17"/>
      <c r="T6" s="205"/>
      <c r="U6" s="18" t="s">
        <v>121</v>
      </c>
    </row>
    <row r="7" spans="1:24" ht="15.75">
      <c r="B7" s="22"/>
      <c r="C7" s="18"/>
      <c r="D7" s="18"/>
      <c r="E7" s="40" t="s">
        <v>122</v>
      </c>
      <c r="F7" s="18"/>
      <c r="G7" s="18" t="s">
        <v>123</v>
      </c>
      <c r="H7" s="18"/>
      <c r="I7" s="41" t="s">
        <v>124</v>
      </c>
      <c r="J7" s="18"/>
      <c r="K7" s="18" t="s">
        <v>125</v>
      </c>
      <c r="L7" s="18"/>
      <c r="M7" s="209" t="s">
        <v>126</v>
      </c>
      <c r="N7" s="209"/>
      <c r="O7" s="209" t="s">
        <v>127</v>
      </c>
      <c r="P7" s="209"/>
      <c r="Q7" s="45" t="s">
        <v>261</v>
      </c>
      <c r="R7" s="25"/>
      <c r="S7" s="25" t="s">
        <v>246</v>
      </c>
      <c r="T7" s="205"/>
      <c r="U7" s="18" t="s">
        <v>128</v>
      </c>
    </row>
    <row r="8" spans="1:24" ht="15.75">
      <c r="B8" s="22"/>
      <c r="C8" s="18" t="s">
        <v>23</v>
      </c>
      <c r="D8" s="18"/>
      <c r="E8" s="43" t="s">
        <v>129</v>
      </c>
      <c r="F8" s="18"/>
      <c r="G8" s="18" t="s">
        <v>130</v>
      </c>
      <c r="H8" s="18"/>
      <c r="I8" s="41" t="s">
        <v>131</v>
      </c>
      <c r="J8" s="18"/>
      <c r="K8" s="44" t="s">
        <v>250</v>
      </c>
      <c r="L8" s="18"/>
      <c r="M8" s="209" t="s">
        <v>132</v>
      </c>
      <c r="N8" s="209"/>
      <c r="O8" s="209" t="s">
        <v>133</v>
      </c>
      <c r="P8" s="209"/>
      <c r="Q8" s="209" t="s">
        <v>134</v>
      </c>
      <c r="R8" s="18"/>
      <c r="S8" s="18" t="s">
        <v>135</v>
      </c>
      <c r="T8" s="205"/>
      <c r="U8" s="18" t="s">
        <v>136</v>
      </c>
    </row>
    <row r="9" spans="1:24" ht="15.75">
      <c r="B9" s="22"/>
      <c r="C9" s="45">
        <v>-1</v>
      </c>
      <c r="D9" s="19"/>
      <c r="E9" s="45">
        <v>-2</v>
      </c>
      <c r="F9" s="19"/>
      <c r="G9" s="46">
        <v>-3</v>
      </c>
      <c r="H9" s="19"/>
      <c r="I9" s="45">
        <v>-4</v>
      </c>
      <c r="J9" s="19"/>
      <c r="K9" s="45">
        <v>-5</v>
      </c>
      <c r="L9" s="209"/>
      <c r="M9" s="45">
        <v>-6</v>
      </c>
      <c r="N9" s="209"/>
      <c r="O9" s="45">
        <v>-7</v>
      </c>
      <c r="P9" s="209"/>
      <c r="Q9" s="45">
        <v>-8</v>
      </c>
      <c r="R9" s="19"/>
      <c r="S9" s="47" t="s">
        <v>137</v>
      </c>
      <c r="U9" s="47" t="s">
        <v>138</v>
      </c>
    </row>
    <row r="10" spans="1:24" ht="15.75">
      <c r="B10" s="22"/>
      <c r="C10" s="19"/>
      <c r="D10" s="19"/>
      <c r="E10" s="19"/>
      <c r="F10" s="19"/>
      <c r="G10" s="19"/>
      <c r="H10" s="19"/>
      <c r="I10" s="41"/>
      <c r="J10" s="19"/>
      <c r="K10" s="19"/>
      <c r="L10" s="19"/>
      <c r="M10" s="209"/>
      <c r="N10" s="209"/>
      <c r="O10" s="209"/>
      <c r="P10" s="209"/>
      <c r="Q10" s="209"/>
      <c r="R10" s="19"/>
      <c r="S10" s="19"/>
      <c r="U10" s="19"/>
    </row>
    <row r="11" spans="1:24" ht="15.75">
      <c r="B11" s="22"/>
      <c r="C11" s="21" t="s">
        <v>24</v>
      </c>
      <c r="D11" s="19"/>
      <c r="E11" s="19"/>
      <c r="F11" s="19"/>
      <c r="G11" s="19"/>
      <c r="H11" s="19"/>
      <c r="I11" s="41"/>
      <c r="J11" s="19"/>
      <c r="K11" s="19"/>
      <c r="L11" s="19"/>
      <c r="M11" s="209"/>
      <c r="N11" s="209"/>
      <c r="O11" s="209"/>
      <c r="P11" s="209"/>
      <c r="Q11" s="209"/>
      <c r="R11" s="19"/>
      <c r="S11" s="19"/>
      <c r="U11" s="19"/>
    </row>
    <row r="12" spans="1:24" ht="15.75">
      <c r="B12" s="22"/>
      <c r="C12" s="19"/>
      <c r="D12" s="19"/>
      <c r="E12" s="19"/>
      <c r="F12" s="19"/>
      <c r="G12" s="19"/>
      <c r="H12" s="19"/>
      <c r="I12" s="41"/>
      <c r="J12" s="19"/>
      <c r="K12" s="19"/>
      <c r="L12" s="19"/>
      <c r="M12" s="209"/>
      <c r="N12" s="209"/>
      <c r="O12" s="209"/>
      <c r="P12" s="209"/>
      <c r="Q12" s="209"/>
      <c r="R12" s="19"/>
      <c r="S12" s="19"/>
      <c r="U12" s="19"/>
    </row>
    <row r="13" spans="1:24" ht="15.75">
      <c r="A13" s="30">
        <v>303</v>
      </c>
      <c r="C13" s="13" t="s">
        <v>25</v>
      </c>
      <c r="D13" s="19"/>
      <c r="E13" s="205"/>
      <c r="G13" s="205" t="s">
        <v>152</v>
      </c>
      <c r="H13" s="205"/>
      <c r="I13" s="206">
        <v>0</v>
      </c>
      <c r="K13" s="144">
        <v>20095177.920000002</v>
      </c>
      <c r="L13" s="145"/>
      <c r="M13" s="148">
        <v>3406872.3</v>
      </c>
      <c r="N13" s="147"/>
      <c r="O13" s="148">
        <v>16688306</v>
      </c>
      <c r="P13" s="147"/>
      <c r="Q13" s="148">
        <v>735656</v>
      </c>
      <c r="S13" s="26">
        <v>3.66</v>
      </c>
      <c r="U13" s="49">
        <v>22.7</v>
      </c>
      <c r="W13" s="13">
        <v>22.68493154409126</v>
      </c>
      <c r="X13" s="26"/>
    </row>
    <row r="14" spans="1:24" ht="15.75">
      <c r="B14" s="22"/>
      <c r="C14" s="19"/>
      <c r="D14" s="19"/>
      <c r="E14" s="19"/>
      <c r="F14" s="19"/>
      <c r="G14" s="19"/>
      <c r="H14" s="19"/>
      <c r="I14" s="41"/>
      <c r="J14" s="19"/>
      <c r="K14" s="19"/>
      <c r="L14" s="19"/>
      <c r="M14" s="209"/>
      <c r="N14" s="209"/>
      <c r="O14" s="209"/>
      <c r="P14" s="209"/>
      <c r="Q14" s="209"/>
      <c r="R14" s="19"/>
      <c r="S14" s="19"/>
      <c r="U14" s="19"/>
    </row>
    <row r="15" spans="1:24" ht="15.75">
      <c r="B15" s="22"/>
      <c r="C15" s="31" t="s">
        <v>139</v>
      </c>
      <c r="D15" s="19"/>
      <c r="E15" s="19"/>
      <c r="F15" s="19"/>
      <c r="G15" s="19"/>
      <c r="H15" s="19"/>
      <c r="I15" s="41"/>
      <c r="J15" s="19"/>
      <c r="K15" s="151">
        <f>SUBTOTAL(9,K13:K14)</f>
        <v>20095177.920000002</v>
      </c>
      <c r="L15" s="152"/>
      <c r="M15" s="154">
        <f>SUBTOTAL(9,M13:M14)</f>
        <v>3406872.3</v>
      </c>
      <c r="N15" s="154"/>
      <c r="O15" s="154">
        <f>SUBTOTAL(9,O13:O14)</f>
        <v>16688306</v>
      </c>
      <c r="P15" s="154"/>
      <c r="Q15" s="154">
        <f>SUBTOTAL(9,Q13:Q14)</f>
        <v>735656</v>
      </c>
      <c r="R15" s="22"/>
      <c r="S15" s="23">
        <f>+ROUND(Q15/K15*100,2)</f>
        <v>3.66</v>
      </c>
      <c r="U15" s="19"/>
    </row>
    <row r="16" spans="1:24" ht="15.75">
      <c r="B16" s="22"/>
      <c r="C16" s="19"/>
      <c r="D16" s="19"/>
      <c r="E16" s="19"/>
      <c r="F16" s="19"/>
      <c r="G16" s="19"/>
      <c r="H16" s="19"/>
      <c r="I16" s="41"/>
      <c r="J16" s="19"/>
      <c r="K16" s="19"/>
      <c r="L16" s="19"/>
      <c r="M16" s="209"/>
      <c r="N16" s="209"/>
      <c r="O16" s="209"/>
      <c r="P16" s="209"/>
      <c r="Q16" s="209"/>
      <c r="R16" s="19"/>
      <c r="S16" s="19"/>
      <c r="U16" s="19"/>
    </row>
    <row r="17" spans="1:23" ht="15.75">
      <c r="C17" s="18" t="s">
        <v>26</v>
      </c>
      <c r="S17" s="24"/>
      <c r="U17" s="30"/>
    </row>
    <row r="18" spans="1:23" ht="15.75">
      <c r="C18" s="25"/>
      <c r="S18" s="26"/>
      <c r="U18" s="49"/>
    </row>
    <row r="19" spans="1:23">
      <c r="A19" s="30">
        <v>310.10000000000002</v>
      </c>
      <c r="C19" s="13" t="s">
        <v>27</v>
      </c>
      <c r="S19" s="26"/>
      <c r="U19" s="49"/>
    </row>
    <row r="20" spans="1:23">
      <c r="C20" s="33" t="s">
        <v>28</v>
      </c>
      <c r="E20" s="207">
        <v>50770</v>
      </c>
      <c r="G20" s="205" t="s">
        <v>140</v>
      </c>
      <c r="H20" s="205" t="s">
        <v>141</v>
      </c>
      <c r="I20" s="206">
        <v>0</v>
      </c>
      <c r="K20" s="157">
        <v>5325571.5599999996</v>
      </c>
      <c r="L20" s="145"/>
      <c r="M20" s="147">
        <v>2634053.77</v>
      </c>
      <c r="N20" s="147"/>
      <c r="O20" s="52">
        <f>ROUND((K20+(K20*-(I20/100)))-M20,0)</f>
        <v>2691518</v>
      </c>
      <c r="P20" s="27"/>
      <c r="Q20" s="27">
        <f>O20/U20</f>
        <v>179435</v>
      </c>
      <c r="R20" s="14"/>
      <c r="S20" s="28">
        <f>Q20/K20*100</f>
        <v>3.3693097159321623</v>
      </c>
      <c r="U20" s="49">
        <v>14.999960988658845</v>
      </c>
      <c r="W20" s="13">
        <v>14.999960988658845</v>
      </c>
    </row>
    <row r="21" spans="1:23">
      <c r="C21" s="33" t="s">
        <v>29</v>
      </c>
      <c r="E21" s="207">
        <v>50770</v>
      </c>
      <c r="G21" s="205" t="s">
        <v>140</v>
      </c>
      <c r="H21" s="205" t="s">
        <v>141</v>
      </c>
      <c r="I21" s="206">
        <v>0</v>
      </c>
      <c r="K21" s="157">
        <v>480134.08</v>
      </c>
      <c r="L21" s="145"/>
      <c r="M21" s="147">
        <v>322717</v>
      </c>
      <c r="N21" s="147"/>
      <c r="O21" s="52">
        <f>ROUND((K21+(K21*-(I21/100)))-M21,0)</f>
        <v>157417</v>
      </c>
      <c r="P21" s="27"/>
      <c r="Q21" s="27">
        <f t="shared" ref="Q21:Q24" si="0">O21/U21</f>
        <v>10494</v>
      </c>
      <c r="R21" s="14"/>
      <c r="S21" s="28">
        <f>Q21/K21*100</f>
        <v>2.1856394780391342</v>
      </c>
      <c r="U21" s="49">
        <v>15.00066704783686</v>
      </c>
      <c r="W21" s="13">
        <v>15.00066704783686</v>
      </c>
    </row>
    <row r="22" spans="1:23">
      <c r="C22" s="33" t="s">
        <v>30</v>
      </c>
      <c r="E22" s="207">
        <v>54788</v>
      </c>
      <c r="G22" s="205" t="s">
        <v>140</v>
      </c>
      <c r="H22" s="205" t="s">
        <v>141</v>
      </c>
      <c r="I22" s="206">
        <v>0</v>
      </c>
      <c r="K22" s="157">
        <v>54040615.270000003</v>
      </c>
      <c r="L22" s="145"/>
      <c r="M22" s="147">
        <v>6181596.7400000002</v>
      </c>
      <c r="N22" s="147"/>
      <c r="O22" s="52">
        <f>ROUND((K22+(K22*-(I22/100)))-M22,0)</f>
        <v>47859019</v>
      </c>
      <c r="P22" s="27"/>
      <c r="Q22" s="27">
        <f t="shared" si="0"/>
        <v>1840731</v>
      </c>
      <c r="R22" s="14"/>
      <c r="S22" s="28">
        <f>Q22/K22*100</f>
        <v>3.4061991907443359</v>
      </c>
      <c r="U22" s="49">
        <v>26.000007062411619</v>
      </c>
      <c r="W22" s="13">
        <v>26.000007062411619</v>
      </c>
    </row>
    <row r="23" spans="1:23">
      <c r="C23" s="33" t="s">
        <v>31</v>
      </c>
      <c r="E23" s="207">
        <v>54788</v>
      </c>
      <c r="G23" s="205" t="s">
        <v>140</v>
      </c>
      <c r="H23" s="205" t="s">
        <v>141</v>
      </c>
      <c r="I23" s="206">
        <v>0</v>
      </c>
      <c r="K23" s="157">
        <v>1050779.8600000001</v>
      </c>
      <c r="L23" s="145"/>
      <c r="M23" s="147">
        <v>159403</v>
      </c>
      <c r="N23" s="147"/>
      <c r="O23" s="52">
        <f>ROUND((K23+(K23*-(I23/100)))-M23,0)</f>
        <v>891377</v>
      </c>
      <c r="P23" s="27"/>
      <c r="Q23" s="27">
        <f t="shared" si="0"/>
        <v>34284</v>
      </c>
      <c r="R23" s="14"/>
      <c r="S23" s="28">
        <f>Q23/K23*100</f>
        <v>3.2627195576435959</v>
      </c>
      <c r="U23" s="49">
        <v>25.99979582312449</v>
      </c>
      <c r="W23" s="13">
        <v>25.99979582312449</v>
      </c>
    </row>
    <row r="24" spans="1:23">
      <c r="C24" s="33" t="s">
        <v>32</v>
      </c>
      <c r="E24" s="207">
        <v>46387</v>
      </c>
      <c r="G24" s="205" t="s">
        <v>140</v>
      </c>
      <c r="H24" s="205" t="s">
        <v>141</v>
      </c>
      <c r="I24" s="206">
        <v>0</v>
      </c>
      <c r="K24" s="144">
        <v>6050424.8700000001</v>
      </c>
      <c r="L24" s="145"/>
      <c r="M24" s="148">
        <v>3611585.76</v>
      </c>
      <c r="N24" s="147"/>
      <c r="O24" s="55">
        <f>ROUND((K24+(K24*-(I24/100)))-M24,0)</f>
        <v>2438839</v>
      </c>
      <c r="P24" s="27"/>
      <c r="Q24" s="29">
        <f t="shared" si="0"/>
        <v>812946</v>
      </c>
      <c r="R24" s="14"/>
      <c r="S24" s="28">
        <f>Q24/K24*100</f>
        <v>13.436180391741646</v>
      </c>
      <c r="U24" s="49">
        <v>3.000001230094004</v>
      </c>
      <c r="W24" s="13">
        <v>3.000001230094004</v>
      </c>
    </row>
    <row r="25" spans="1:23">
      <c r="G25" s="205"/>
      <c r="H25" s="205"/>
      <c r="I25" s="206"/>
      <c r="K25" s="157"/>
      <c r="L25" s="145"/>
      <c r="M25" s="147"/>
      <c r="N25" s="147"/>
      <c r="O25" s="147"/>
      <c r="P25" s="147"/>
      <c r="Q25" s="147"/>
      <c r="S25" s="26"/>
      <c r="U25" s="49"/>
    </row>
    <row r="26" spans="1:23">
      <c r="C26" s="13" t="s">
        <v>33</v>
      </c>
      <c r="G26" s="205"/>
      <c r="H26" s="205"/>
      <c r="I26" s="206"/>
      <c r="K26" s="157">
        <f>SUBTOTAL(9,K20:K25)</f>
        <v>66947525.640000001</v>
      </c>
      <c r="L26" s="145"/>
      <c r="M26" s="147">
        <f>SUBTOTAL(9,M20:M25)</f>
        <v>12909356.27</v>
      </c>
      <c r="N26" s="147"/>
      <c r="O26" s="147">
        <f>SUBTOTAL(9,O20:O25)</f>
        <v>54038170</v>
      </c>
      <c r="P26" s="147"/>
      <c r="Q26" s="147">
        <f>SUBTOTAL(9,Q20:Q25)</f>
        <v>2877890</v>
      </c>
      <c r="S26" s="26">
        <f>+ROUND(Q26/K26*100,2)</f>
        <v>4.3</v>
      </c>
      <c r="U26" s="49"/>
    </row>
    <row r="27" spans="1:23" ht="15.75">
      <c r="C27" s="18"/>
      <c r="S27" s="26"/>
      <c r="U27" s="49"/>
    </row>
    <row r="28" spans="1:23">
      <c r="A28" s="30">
        <v>311</v>
      </c>
      <c r="C28" s="13" t="s">
        <v>34</v>
      </c>
      <c r="S28" s="26"/>
      <c r="U28" s="49"/>
    </row>
    <row r="29" spans="1:23">
      <c r="A29" s="30"/>
      <c r="C29" s="33" t="s">
        <v>35</v>
      </c>
      <c r="E29" s="207">
        <v>47848</v>
      </c>
      <c r="G29" s="205" t="s">
        <v>142</v>
      </c>
      <c r="H29" s="205" t="s">
        <v>141</v>
      </c>
      <c r="I29" s="206">
        <v>0</v>
      </c>
      <c r="K29" s="157">
        <v>619445.56000000006</v>
      </c>
      <c r="L29" s="145"/>
      <c r="M29" s="147">
        <v>546724.53</v>
      </c>
      <c r="N29" s="147"/>
      <c r="O29" s="52">
        <f t="shared" ref="O29:O38" si="1">ROUND((K29+(K29*-(I29/100)))-M29,0)</f>
        <v>72721</v>
      </c>
      <c r="P29" s="27"/>
      <c r="Q29" s="27">
        <f t="shared" ref="Q29:Q38" si="2">O29/U29</f>
        <v>10555</v>
      </c>
      <c r="R29" s="14"/>
      <c r="S29" s="28">
        <f t="shared" ref="S29:S38" si="3">Q29/K29*100</f>
        <v>1.7039431197149915</v>
      </c>
      <c r="U29" s="49">
        <v>6.8897205116058737</v>
      </c>
      <c r="W29" s="13">
        <v>6.8897205116058737</v>
      </c>
    </row>
    <row r="30" spans="1:23">
      <c r="A30" s="30"/>
      <c r="C30" s="33" t="s">
        <v>36</v>
      </c>
      <c r="E30" s="207">
        <v>50770</v>
      </c>
      <c r="G30" s="205" t="s">
        <v>142</v>
      </c>
      <c r="H30" s="205" t="s">
        <v>141</v>
      </c>
      <c r="I30" s="206">
        <v>-2</v>
      </c>
      <c r="K30" s="157">
        <v>11594469.07</v>
      </c>
      <c r="L30" s="145"/>
      <c r="M30" s="147">
        <v>10886217.75</v>
      </c>
      <c r="N30" s="147"/>
      <c r="O30" s="52">
        <f t="shared" si="1"/>
        <v>940141</v>
      </c>
      <c r="P30" s="27"/>
      <c r="Q30" s="27">
        <f t="shared" si="2"/>
        <v>63021</v>
      </c>
      <c r="R30" s="14"/>
      <c r="S30" s="28">
        <f t="shared" si="3"/>
        <v>0.54354364671223365</v>
      </c>
      <c r="U30" s="49">
        <v>14.917900382412212</v>
      </c>
      <c r="W30" s="13">
        <v>14.917900382412212</v>
      </c>
    </row>
    <row r="31" spans="1:23">
      <c r="A31" s="30"/>
      <c r="C31" s="33" t="s">
        <v>37</v>
      </c>
      <c r="E31" s="207">
        <v>50770</v>
      </c>
      <c r="G31" s="205" t="s">
        <v>142</v>
      </c>
      <c r="H31" s="205" t="s">
        <v>141</v>
      </c>
      <c r="I31" s="206">
        <v>-1</v>
      </c>
      <c r="K31" s="157">
        <v>16839214.859999999</v>
      </c>
      <c r="L31" s="145"/>
      <c r="M31" s="147">
        <v>10420392.59</v>
      </c>
      <c r="N31" s="147"/>
      <c r="O31" s="52">
        <f t="shared" si="1"/>
        <v>6587214</v>
      </c>
      <c r="P31" s="27"/>
      <c r="Q31" s="27">
        <f t="shared" si="2"/>
        <v>442392</v>
      </c>
      <c r="R31" s="14"/>
      <c r="S31" s="28">
        <f t="shared" si="3"/>
        <v>2.6271533659853783</v>
      </c>
      <c r="U31" s="49">
        <v>14.889993489936527</v>
      </c>
      <c r="W31" s="13">
        <v>14.889993489936527</v>
      </c>
    </row>
    <row r="32" spans="1:23">
      <c r="A32" s="30"/>
      <c r="C32" s="33" t="s">
        <v>38</v>
      </c>
      <c r="E32" s="207">
        <v>54788</v>
      </c>
      <c r="G32" s="205" t="s">
        <v>142</v>
      </c>
      <c r="H32" s="205" t="s">
        <v>141</v>
      </c>
      <c r="I32" s="206">
        <v>-1</v>
      </c>
      <c r="K32" s="157">
        <v>71702335.620000005</v>
      </c>
      <c r="L32" s="145"/>
      <c r="M32" s="147">
        <v>10053669.310000001</v>
      </c>
      <c r="N32" s="147"/>
      <c r="O32" s="52">
        <f t="shared" si="1"/>
        <v>62365690</v>
      </c>
      <c r="P32" s="27"/>
      <c r="Q32" s="27">
        <f t="shared" si="2"/>
        <v>2424830</v>
      </c>
      <c r="R32" s="14"/>
      <c r="S32" s="28">
        <f t="shared" si="3"/>
        <v>3.3818005773910103</v>
      </c>
      <c r="U32" s="49">
        <v>25.71961333371824</v>
      </c>
      <c r="W32" s="13">
        <v>25.71961333371824</v>
      </c>
    </row>
    <row r="33" spans="1:23">
      <c r="A33" s="30"/>
      <c r="C33" s="33" t="s">
        <v>39</v>
      </c>
      <c r="E33" s="207">
        <v>52231</v>
      </c>
      <c r="G33" s="205" t="s">
        <v>142</v>
      </c>
      <c r="H33" s="205" t="s">
        <v>141</v>
      </c>
      <c r="I33" s="206">
        <v>-2</v>
      </c>
      <c r="K33" s="157">
        <v>27725671.460000001</v>
      </c>
      <c r="L33" s="145"/>
      <c r="M33" s="147">
        <v>20154585.920000002</v>
      </c>
      <c r="N33" s="147"/>
      <c r="O33" s="52">
        <f t="shared" si="1"/>
        <v>8125599</v>
      </c>
      <c r="P33" s="27"/>
      <c r="Q33" s="27">
        <f t="shared" si="2"/>
        <v>455270.00000000006</v>
      </c>
      <c r="R33" s="14"/>
      <c r="S33" s="28">
        <f t="shared" si="3"/>
        <v>1.6420522065870284</v>
      </c>
      <c r="U33" s="49">
        <v>17.847868297933093</v>
      </c>
      <c r="W33" s="13">
        <v>17.847868297933093</v>
      </c>
    </row>
    <row r="34" spans="1:23">
      <c r="A34" s="30"/>
      <c r="C34" s="33" t="s">
        <v>40</v>
      </c>
      <c r="E34" s="207">
        <v>52231</v>
      </c>
      <c r="G34" s="205" t="s">
        <v>142</v>
      </c>
      <c r="H34" s="205" t="s">
        <v>141</v>
      </c>
      <c r="I34" s="206">
        <v>-2</v>
      </c>
      <c r="K34" s="157">
        <v>33813856.219999999</v>
      </c>
      <c r="L34" s="145"/>
      <c r="M34" s="147">
        <v>24929129.039999999</v>
      </c>
      <c r="N34" s="147"/>
      <c r="O34" s="52">
        <f t="shared" si="1"/>
        <v>9561004</v>
      </c>
      <c r="P34" s="27"/>
      <c r="Q34" s="27">
        <f t="shared" si="2"/>
        <v>538072</v>
      </c>
      <c r="R34" s="14"/>
      <c r="S34" s="28">
        <f t="shared" si="3"/>
        <v>1.5912766544554733</v>
      </c>
      <c r="U34" s="49">
        <v>17.769004891538678</v>
      </c>
      <c r="W34" s="13">
        <v>17.769004891538678</v>
      </c>
    </row>
    <row r="35" spans="1:23">
      <c r="A35" s="30"/>
      <c r="C35" s="33" t="s">
        <v>41</v>
      </c>
      <c r="E35" s="207">
        <v>54788</v>
      </c>
      <c r="G35" s="205" t="s">
        <v>142</v>
      </c>
      <c r="H35" s="205" t="s">
        <v>141</v>
      </c>
      <c r="I35" s="206">
        <v>-1</v>
      </c>
      <c r="K35" s="157">
        <v>135449284.44</v>
      </c>
      <c r="L35" s="145"/>
      <c r="M35" s="147">
        <v>46960727.109999999</v>
      </c>
      <c r="N35" s="147"/>
      <c r="O35" s="52">
        <f t="shared" si="1"/>
        <v>89843050</v>
      </c>
      <c r="P35" s="27"/>
      <c r="Q35" s="27">
        <f t="shared" si="2"/>
        <v>3572886.0000000005</v>
      </c>
      <c r="R35" s="14"/>
      <c r="S35" s="28">
        <f t="shared" si="3"/>
        <v>2.637803525335479</v>
      </c>
      <c r="U35" s="49">
        <v>25.14579250499456</v>
      </c>
      <c r="W35" s="13">
        <v>25.14579250499456</v>
      </c>
    </row>
    <row r="36" spans="1:23">
      <c r="A36" s="30"/>
      <c r="C36" s="33" t="s">
        <v>42</v>
      </c>
      <c r="E36" s="207">
        <v>54788</v>
      </c>
      <c r="G36" s="205" t="s">
        <v>142</v>
      </c>
      <c r="H36" s="205" t="s">
        <v>141</v>
      </c>
      <c r="I36" s="206">
        <v>-1</v>
      </c>
      <c r="K36" s="157">
        <v>91570829.790000007</v>
      </c>
      <c r="L36" s="145"/>
      <c r="M36" s="147">
        <v>25565458.120000001</v>
      </c>
      <c r="N36" s="147"/>
      <c r="O36" s="52">
        <f t="shared" si="1"/>
        <v>66921080</v>
      </c>
      <c r="P36" s="27"/>
      <c r="Q36" s="27">
        <f t="shared" si="2"/>
        <v>2637385</v>
      </c>
      <c r="R36" s="14"/>
      <c r="S36" s="28">
        <f t="shared" si="3"/>
        <v>2.8801584588108815</v>
      </c>
      <c r="U36" s="49">
        <v>25.374027682723607</v>
      </c>
      <c r="W36" s="13">
        <v>25.374027682723607</v>
      </c>
    </row>
    <row r="37" spans="1:23">
      <c r="A37" s="30"/>
      <c r="C37" s="33" t="s">
        <v>43</v>
      </c>
      <c r="E37" s="207">
        <v>52231</v>
      </c>
      <c r="G37" s="205" t="s">
        <v>142</v>
      </c>
      <c r="H37" s="205" t="s">
        <v>141</v>
      </c>
      <c r="I37" s="206">
        <v>-1</v>
      </c>
      <c r="K37" s="157">
        <v>25327525.350000001</v>
      </c>
      <c r="L37" s="145"/>
      <c r="M37" s="147">
        <v>11932283.550000001</v>
      </c>
      <c r="N37" s="147"/>
      <c r="O37" s="52">
        <f t="shared" si="1"/>
        <v>13648517</v>
      </c>
      <c r="P37" s="27"/>
      <c r="Q37" s="27">
        <f t="shared" si="2"/>
        <v>728698</v>
      </c>
      <c r="R37" s="14"/>
      <c r="S37" s="28">
        <f t="shared" si="3"/>
        <v>2.8770990846130964</v>
      </c>
      <c r="U37" s="49">
        <v>18.730004748194727</v>
      </c>
      <c r="W37" s="13">
        <v>18.730004748194727</v>
      </c>
    </row>
    <row r="38" spans="1:23">
      <c r="A38" s="30"/>
      <c r="C38" s="33" t="s">
        <v>44</v>
      </c>
      <c r="E38" s="207">
        <v>52231</v>
      </c>
      <c r="G38" s="205" t="s">
        <v>142</v>
      </c>
      <c r="H38" s="205" t="s">
        <v>141</v>
      </c>
      <c r="I38" s="206">
        <v>-1</v>
      </c>
      <c r="K38" s="144">
        <v>22295947.370000001</v>
      </c>
      <c r="L38" s="145"/>
      <c r="M38" s="148">
        <v>10551317.82</v>
      </c>
      <c r="N38" s="147"/>
      <c r="O38" s="55">
        <f t="shared" si="1"/>
        <v>11967589</v>
      </c>
      <c r="P38" s="27"/>
      <c r="Q38" s="29">
        <f t="shared" si="2"/>
        <v>638953</v>
      </c>
      <c r="R38" s="14"/>
      <c r="S38" s="28">
        <f t="shared" si="3"/>
        <v>2.8657808946021026</v>
      </c>
      <c r="U38" s="49">
        <v>18.729998920108365</v>
      </c>
      <c r="W38" s="13">
        <v>18.729998920108365</v>
      </c>
    </row>
    <row r="39" spans="1:23">
      <c r="A39" s="30"/>
      <c r="G39" s="205"/>
      <c r="H39" s="205"/>
      <c r="I39" s="206"/>
      <c r="K39" s="157"/>
      <c r="L39" s="145"/>
      <c r="M39" s="147"/>
      <c r="N39" s="147"/>
      <c r="O39" s="147"/>
      <c r="P39" s="147"/>
      <c r="Q39" s="147"/>
      <c r="S39" s="26"/>
      <c r="U39" s="49"/>
    </row>
    <row r="40" spans="1:23">
      <c r="A40" s="30"/>
      <c r="C40" s="13" t="s">
        <v>45</v>
      </c>
      <c r="G40" s="205"/>
      <c r="H40" s="205"/>
      <c r="I40" s="206"/>
      <c r="K40" s="157">
        <f>SUBTOTAL(9,K29:K39)</f>
        <v>436938579.74000007</v>
      </c>
      <c r="L40" s="145"/>
      <c r="M40" s="147">
        <f>SUBTOTAL(9,M29:M39)</f>
        <v>172000505.74000001</v>
      </c>
      <c r="N40" s="147"/>
      <c r="O40" s="147">
        <f>SUBTOTAL(9,O29:O39)</f>
        <v>270032605</v>
      </c>
      <c r="P40" s="147"/>
      <c r="Q40" s="147">
        <f>SUBTOTAL(9,Q29:Q39)</f>
        <v>11512062</v>
      </c>
      <c r="S40" s="26">
        <f>+ROUND(Q40/K40*100,2)</f>
        <v>2.63</v>
      </c>
      <c r="U40" s="49"/>
    </row>
    <row r="41" spans="1:23">
      <c r="A41" s="30"/>
      <c r="G41" s="205"/>
      <c r="H41" s="205"/>
      <c r="I41" s="206"/>
      <c r="K41" s="157"/>
      <c r="L41" s="145"/>
      <c r="M41" s="147"/>
      <c r="N41" s="147"/>
      <c r="O41" s="147"/>
      <c r="P41" s="147"/>
      <c r="Q41" s="147"/>
      <c r="S41" s="26"/>
      <c r="U41" s="49"/>
    </row>
    <row r="42" spans="1:23">
      <c r="A42" s="30">
        <v>312</v>
      </c>
      <c r="C42" s="13" t="s">
        <v>46</v>
      </c>
      <c r="G42" s="205"/>
      <c r="H42" s="205"/>
      <c r="I42" s="206"/>
      <c r="K42" s="157"/>
      <c r="L42" s="145"/>
      <c r="M42" s="147"/>
      <c r="N42" s="147"/>
      <c r="O42" s="147"/>
      <c r="P42" s="147"/>
      <c r="Q42" s="147"/>
      <c r="S42" s="26"/>
      <c r="U42" s="49"/>
    </row>
    <row r="43" spans="1:23">
      <c r="A43" s="30"/>
      <c r="C43" s="33" t="s">
        <v>36</v>
      </c>
      <c r="E43" s="207">
        <v>50770</v>
      </c>
      <c r="G43" s="205" t="s">
        <v>262</v>
      </c>
      <c r="H43" s="205" t="s">
        <v>141</v>
      </c>
      <c r="I43" s="206">
        <v>-2</v>
      </c>
      <c r="K43" s="157">
        <v>101123705.05</v>
      </c>
      <c r="L43" s="145"/>
      <c r="M43" s="147">
        <v>79902414.879999995</v>
      </c>
      <c r="N43" s="147"/>
      <c r="O43" s="52">
        <f t="shared" ref="O43:O53" si="4">ROUND((K43+(K43*-(I43/100)))-M43,0)</f>
        <v>23243764</v>
      </c>
      <c r="P43" s="27"/>
      <c r="Q43" s="27">
        <f t="shared" ref="Q43:Q53" si="5">O43/U43</f>
        <v>1620046</v>
      </c>
      <c r="R43" s="14"/>
      <c r="S43" s="28">
        <f t="shared" ref="S43:S53" si="6">Q43/K43*100</f>
        <v>1.6020437534393921</v>
      </c>
      <c r="U43" s="49">
        <v>14.347595068288184</v>
      </c>
      <c r="W43" s="13">
        <v>14.347595068288184</v>
      </c>
    </row>
    <row r="44" spans="1:23">
      <c r="A44" s="30"/>
      <c r="C44" s="33" t="s">
        <v>47</v>
      </c>
      <c r="E44" s="207">
        <v>47848</v>
      </c>
      <c r="G44" s="205" t="s">
        <v>262</v>
      </c>
      <c r="H44" s="205" t="s">
        <v>141</v>
      </c>
      <c r="I44" s="206">
        <v>-1</v>
      </c>
      <c r="K44" s="157">
        <v>7772878.4500000002</v>
      </c>
      <c r="L44" s="145"/>
      <c r="M44" s="147">
        <v>7964995.1399999997</v>
      </c>
      <c r="N44" s="147"/>
      <c r="O44" s="52">
        <f t="shared" si="4"/>
        <v>-114388</v>
      </c>
      <c r="P44" s="27"/>
      <c r="Q44" s="27">
        <v>0</v>
      </c>
      <c r="R44" s="14"/>
      <c r="S44" s="28">
        <f t="shared" si="6"/>
        <v>0</v>
      </c>
      <c r="U44" s="49">
        <v>0</v>
      </c>
      <c r="W44" s="13">
        <v>0</v>
      </c>
    </row>
    <row r="45" spans="1:23">
      <c r="A45" s="30"/>
      <c r="C45" s="33" t="s">
        <v>48</v>
      </c>
      <c r="E45" s="207">
        <v>50770</v>
      </c>
      <c r="G45" s="205" t="s">
        <v>262</v>
      </c>
      <c r="H45" s="205" t="s">
        <v>141</v>
      </c>
      <c r="I45" s="206">
        <v>-2</v>
      </c>
      <c r="K45" s="157">
        <v>10041434.960000001</v>
      </c>
      <c r="L45" s="145"/>
      <c r="M45" s="147">
        <v>7985989.9900000002</v>
      </c>
      <c r="N45" s="147"/>
      <c r="O45" s="52">
        <f t="shared" si="4"/>
        <v>2256274</v>
      </c>
      <c r="P45" s="27"/>
      <c r="Q45" s="27">
        <f t="shared" si="5"/>
        <v>156621</v>
      </c>
      <c r="R45" s="14"/>
      <c r="S45" s="28">
        <f t="shared" si="6"/>
        <v>1.5597471937417198</v>
      </c>
      <c r="U45" s="49">
        <v>14.405948116791491</v>
      </c>
      <c r="W45" s="13">
        <v>14.405948116791491</v>
      </c>
    </row>
    <row r="46" spans="1:23">
      <c r="A46" s="30"/>
      <c r="C46" s="33" t="s">
        <v>37</v>
      </c>
      <c r="E46" s="207">
        <v>50770</v>
      </c>
      <c r="G46" s="205" t="s">
        <v>262</v>
      </c>
      <c r="H46" s="205" t="s">
        <v>141</v>
      </c>
      <c r="I46" s="206">
        <v>-1</v>
      </c>
      <c r="K46" s="157">
        <v>193947398</v>
      </c>
      <c r="L46" s="145"/>
      <c r="M46" s="147">
        <v>120251809.87</v>
      </c>
      <c r="N46" s="147"/>
      <c r="O46" s="52">
        <f t="shared" si="4"/>
        <v>75635062</v>
      </c>
      <c r="P46" s="27"/>
      <c r="Q46" s="27">
        <f t="shared" si="5"/>
        <v>5252435</v>
      </c>
      <c r="R46" s="14"/>
      <c r="S46" s="28">
        <f t="shared" si="6"/>
        <v>2.7081750279526822</v>
      </c>
      <c r="U46" s="49">
        <v>14.399999619224227</v>
      </c>
      <c r="W46" s="13">
        <v>14.399999619224227</v>
      </c>
    </row>
    <row r="47" spans="1:23">
      <c r="A47" s="30"/>
      <c r="C47" s="33" t="s">
        <v>38</v>
      </c>
      <c r="E47" s="207">
        <v>54788</v>
      </c>
      <c r="G47" s="205" t="s">
        <v>262</v>
      </c>
      <c r="H47" s="205" t="s">
        <v>141</v>
      </c>
      <c r="I47" s="206">
        <v>-1</v>
      </c>
      <c r="K47" s="157">
        <v>242346947.83000001</v>
      </c>
      <c r="L47" s="145"/>
      <c r="M47" s="147">
        <v>28417369.07</v>
      </c>
      <c r="N47" s="147"/>
      <c r="O47" s="52">
        <f t="shared" si="4"/>
        <v>216353048</v>
      </c>
      <c r="P47" s="27"/>
      <c r="Q47" s="27">
        <f t="shared" si="5"/>
        <v>8786058</v>
      </c>
      <c r="R47" s="14"/>
      <c r="S47" s="28">
        <f t="shared" si="6"/>
        <v>3.6254048498119267</v>
      </c>
      <c r="U47" s="49">
        <v>24.624586816977533</v>
      </c>
      <c r="W47" s="13">
        <v>24.624586816977533</v>
      </c>
    </row>
    <row r="48" spans="1:23">
      <c r="A48" s="30"/>
      <c r="C48" s="33" t="s">
        <v>39</v>
      </c>
      <c r="E48" s="207">
        <v>52231</v>
      </c>
      <c r="G48" s="205" t="s">
        <v>262</v>
      </c>
      <c r="H48" s="205" t="s">
        <v>141</v>
      </c>
      <c r="I48" s="206">
        <v>-2</v>
      </c>
      <c r="K48" s="157">
        <v>234286878.19</v>
      </c>
      <c r="L48" s="145"/>
      <c r="M48" s="147">
        <v>124550728.67</v>
      </c>
      <c r="N48" s="147"/>
      <c r="O48" s="52">
        <f t="shared" si="4"/>
        <v>114421887</v>
      </c>
      <c r="P48" s="27"/>
      <c r="Q48" s="27">
        <f t="shared" si="5"/>
        <v>6530394.9999999991</v>
      </c>
      <c r="R48" s="14"/>
      <c r="S48" s="28">
        <f t="shared" si="6"/>
        <v>2.787349872280954</v>
      </c>
      <c r="U48" s="49">
        <v>17.521434308338165</v>
      </c>
      <c r="W48" s="13">
        <v>17.521434308338165</v>
      </c>
    </row>
    <row r="49" spans="1:23">
      <c r="A49" s="30"/>
      <c r="C49" s="33" t="s">
        <v>40</v>
      </c>
      <c r="E49" s="207">
        <v>52231</v>
      </c>
      <c r="G49" s="205" t="s">
        <v>262</v>
      </c>
      <c r="H49" s="205" t="s">
        <v>141</v>
      </c>
      <c r="I49" s="206">
        <v>-2</v>
      </c>
      <c r="K49" s="157">
        <v>298973833.27999997</v>
      </c>
      <c r="L49" s="145"/>
      <c r="M49" s="147">
        <v>167717075.88</v>
      </c>
      <c r="N49" s="147"/>
      <c r="O49" s="52">
        <f t="shared" si="4"/>
        <v>137236234</v>
      </c>
      <c r="P49" s="27"/>
      <c r="Q49" s="27">
        <f t="shared" si="5"/>
        <v>7916470</v>
      </c>
      <c r="R49" s="14"/>
      <c r="S49" s="28">
        <f t="shared" si="6"/>
        <v>2.6478805563515437</v>
      </c>
      <c r="U49" s="49">
        <v>17.335533893263033</v>
      </c>
      <c r="W49" s="13">
        <v>17.335533893263033</v>
      </c>
    </row>
    <row r="50" spans="1:23">
      <c r="A50" s="30"/>
      <c r="C50" s="33" t="s">
        <v>41</v>
      </c>
      <c r="E50" s="207">
        <v>54788</v>
      </c>
      <c r="G50" s="205" t="s">
        <v>262</v>
      </c>
      <c r="H50" s="205" t="s">
        <v>141</v>
      </c>
      <c r="I50" s="206">
        <v>-1</v>
      </c>
      <c r="K50" s="157">
        <v>204062486.12</v>
      </c>
      <c r="L50" s="145"/>
      <c r="M50" s="147">
        <v>64111196.75</v>
      </c>
      <c r="N50" s="147"/>
      <c r="O50" s="52">
        <f t="shared" si="4"/>
        <v>141991914</v>
      </c>
      <c r="P50" s="27"/>
      <c r="Q50" s="27">
        <f t="shared" si="5"/>
        <v>6085392</v>
      </c>
      <c r="R50" s="14"/>
      <c r="S50" s="28">
        <f t="shared" si="6"/>
        <v>2.9821218567441412</v>
      </c>
      <c r="U50" s="49">
        <v>23.333240323712918</v>
      </c>
      <c r="W50" s="13">
        <v>23.333240323712918</v>
      </c>
    </row>
    <row r="51" spans="1:23">
      <c r="A51" s="30"/>
      <c r="C51" s="33" t="s">
        <v>42</v>
      </c>
      <c r="E51" s="207">
        <v>54788</v>
      </c>
      <c r="G51" s="205" t="s">
        <v>262</v>
      </c>
      <c r="H51" s="205" t="s">
        <v>141</v>
      </c>
      <c r="I51" s="206">
        <v>-1</v>
      </c>
      <c r="K51" s="157">
        <v>302101587.54000002</v>
      </c>
      <c r="L51" s="145"/>
      <c r="M51" s="147">
        <v>82111423.780000001</v>
      </c>
      <c r="N51" s="147"/>
      <c r="O51" s="52">
        <f t="shared" si="4"/>
        <v>223011180</v>
      </c>
      <c r="P51" s="27"/>
      <c r="Q51" s="27">
        <f t="shared" si="5"/>
        <v>9453316</v>
      </c>
      <c r="R51" s="14"/>
      <c r="S51" s="28">
        <f t="shared" si="6"/>
        <v>3.1291844829343463</v>
      </c>
      <c r="U51" s="49">
        <v>23.590788671403772</v>
      </c>
      <c r="W51" s="13">
        <v>23.590788671403772</v>
      </c>
    </row>
    <row r="52" spans="1:23">
      <c r="A52" s="30"/>
      <c r="C52" s="33" t="s">
        <v>43</v>
      </c>
      <c r="E52" s="207">
        <v>52231</v>
      </c>
      <c r="G52" s="205" t="s">
        <v>262</v>
      </c>
      <c r="H52" s="205" t="s">
        <v>141</v>
      </c>
      <c r="I52" s="206">
        <v>-1</v>
      </c>
      <c r="K52" s="157">
        <v>101115917.65000001</v>
      </c>
      <c r="L52" s="145"/>
      <c r="M52" s="147">
        <v>47632570.479999997</v>
      </c>
      <c r="N52" s="147"/>
      <c r="O52" s="52">
        <f t="shared" si="4"/>
        <v>54494506</v>
      </c>
      <c r="P52" s="27"/>
      <c r="Q52" s="27">
        <f t="shared" si="5"/>
        <v>3064677.0000000005</v>
      </c>
      <c r="R52" s="14"/>
      <c r="S52" s="28">
        <f t="shared" si="6"/>
        <v>3.0308551524083414</v>
      </c>
      <c r="U52" s="49">
        <v>17.781484313028745</v>
      </c>
      <c r="W52" s="13">
        <v>17.781484313028745</v>
      </c>
    </row>
    <row r="53" spans="1:23">
      <c r="A53" s="30"/>
      <c r="C53" s="33" t="s">
        <v>44</v>
      </c>
      <c r="E53" s="207">
        <v>52231</v>
      </c>
      <c r="G53" s="205" t="s">
        <v>262</v>
      </c>
      <c r="H53" s="205" t="s">
        <v>141</v>
      </c>
      <c r="I53" s="206">
        <v>-1</v>
      </c>
      <c r="K53" s="144">
        <v>156122871.75</v>
      </c>
      <c r="L53" s="145"/>
      <c r="M53" s="148">
        <v>73883789.400000006</v>
      </c>
      <c r="N53" s="147"/>
      <c r="O53" s="55">
        <f t="shared" si="4"/>
        <v>83800311</v>
      </c>
      <c r="P53" s="27"/>
      <c r="Q53" s="29">
        <f t="shared" si="5"/>
        <v>4712829</v>
      </c>
      <c r="R53" s="14"/>
      <c r="S53" s="28">
        <f t="shared" si="6"/>
        <v>3.0186666099421142</v>
      </c>
      <c r="U53" s="49">
        <v>17.781317972708113</v>
      </c>
      <c r="W53" s="13">
        <v>17.781317972708113</v>
      </c>
    </row>
    <row r="54" spans="1:23">
      <c r="A54" s="30"/>
      <c r="E54" s="205"/>
      <c r="G54" s="205"/>
      <c r="H54" s="205"/>
      <c r="I54" s="206"/>
      <c r="K54" s="157"/>
      <c r="L54" s="145"/>
      <c r="M54" s="147"/>
      <c r="N54" s="147"/>
      <c r="O54" s="147"/>
      <c r="P54" s="147"/>
      <c r="Q54" s="147"/>
      <c r="S54" s="26"/>
      <c r="U54" s="49"/>
    </row>
    <row r="55" spans="1:23">
      <c r="A55" s="30"/>
      <c r="C55" s="13" t="s">
        <v>49</v>
      </c>
      <c r="G55" s="205"/>
      <c r="H55" s="205"/>
      <c r="I55" s="206"/>
      <c r="K55" s="157">
        <f>SUBTOTAL(9,K43:K54)</f>
        <v>1851895938.8200002</v>
      </c>
      <c r="L55" s="145"/>
      <c r="M55" s="147">
        <f>SUBTOTAL(9,M43:M54)</f>
        <v>804529363.90999997</v>
      </c>
      <c r="N55" s="147"/>
      <c r="O55" s="147">
        <f>SUBTOTAL(9,O43:O54)</f>
        <v>1072329792</v>
      </c>
      <c r="P55" s="147"/>
      <c r="Q55" s="147">
        <f>SUBTOTAL(9,Q43:Q54)</f>
        <v>53578239</v>
      </c>
      <c r="S55" s="26">
        <f>+ROUND(Q55/K55*100,2)</f>
        <v>2.89</v>
      </c>
      <c r="U55" s="49"/>
    </row>
    <row r="56" spans="1:23">
      <c r="A56" s="30"/>
      <c r="G56" s="205"/>
      <c r="H56" s="205"/>
      <c r="I56" s="206"/>
      <c r="K56" s="157"/>
      <c r="L56" s="145"/>
      <c r="M56" s="147"/>
      <c r="N56" s="147"/>
      <c r="O56" s="147"/>
      <c r="P56" s="147"/>
      <c r="Q56" s="147"/>
      <c r="S56" s="26"/>
      <c r="U56" s="49"/>
    </row>
    <row r="57" spans="1:23">
      <c r="A57" s="30">
        <v>314</v>
      </c>
      <c r="C57" s="13" t="s">
        <v>50</v>
      </c>
      <c r="G57" s="205"/>
      <c r="H57" s="205"/>
      <c r="I57" s="206"/>
      <c r="K57" s="157"/>
      <c r="L57" s="145"/>
      <c r="M57" s="147"/>
      <c r="N57" s="147"/>
      <c r="O57" s="147"/>
      <c r="P57" s="147"/>
      <c r="Q57" s="147"/>
      <c r="S57" s="26"/>
      <c r="U57" s="49"/>
    </row>
    <row r="58" spans="1:23">
      <c r="A58" s="30"/>
      <c r="C58" s="33" t="s">
        <v>36</v>
      </c>
      <c r="E58" s="207">
        <v>50770</v>
      </c>
      <c r="G58" s="205" t="s">
        <v>143</v>
      </c>
      <c r="H58" s="205" t="s">
        <v>141</v>
      </c>
      <c r="I58" s="206">
        <v>-2</v>
      </c>
      <c r="K58" s="157">
        <v>23714956.780000001</v>
      </c>
      <c r="L58" s="145"/>
      <c r="M58" s="147">
        <v>22544706.98</v>
      </c>
      <c r="N58" s="147"/>
      <c r="O58" s="52">
        <f>ROUND((K58+(K58*-(I58/100)))-M58,0)</f>
        <v>1644549</v>
      </c>
      <c r="P58" s="27"/>
      <c r="Q58" s="27">
        <f t="shared" ref="Q58:Q62" si="7">O58/U58</f>
        <v>114101</v>
      </c>
      <c r="R58" s="14"/>
      <c r="S58" s="28">
        <f>Q58/K58*100</f>
        <v>0.48113518004058531</v>
      </c>
      <c r="U58" s="49">
        <v>14.413098921131278</v>
      </c>
      <c r="W58" s="13">
        <v>14.413098921131278</v>
      </c>
    </row>
    <row r="59" spans="1:23">
      <c r="A59" s="30"/>
      <c r="C59" s="33" t="s">
        <v>39</v>
      </c>
      <c r="E59" s="207">
        <v>52231</v>
      </c>
      <c r="G59" s="205" t="s">
        <v>143</v>
      </c>
      <c r="H59" s="205" t="s">
        <v>141</v>
      </c>
      <c r="I59" s="206">
        <v>-2</v>
      </c>
      <c r="K59" s="157">
        <v>42923558.049999997</v>
      </c>
      <c r="L59" s="145"/>
      <c r="M59" s="147">
        <v>25989475.84</v>
      </c>
      <c r="N59" s="147"/>
      <c r="O59" s="52">
        <f>ROUND((K59+(K59*-(I59/100)))-M59,0)</f>
        <v>17792553</v>
      </c>
      <c r="P59" s="27"/>
      <c r="Q59" s="27">
        <f t="shared" si="7"/>
        <v>1092771</v>
      </c>
      <c r="R59" s="14"/>
      <c r="S59" s="28">
        <f>Q59/K59*100</f>
        <v>2.5458537214624033</v>
      </c>
      <c r="U59" s="49">
        <v>16.282050859695214</v>
      </c>
      <c r="W59" s="13">
        <v>16.282050859695214</v>
      </c>
    </row>
    <row r="60" spans="1:23">
      <c r="A60" s="30"/>
      <c r="C60" s="33" t="s">
        <v>40</v>
      </c>
      <c r="E60" s="207">
        <v>52231</v>
      </c>
      <c r="G60" s="205" t="s">
        <v>143</v>
      </c>
      <c r="H60" s="205" t="s">
        <v>141</v>
      </c>
      <c r="I60" s="206">
        <v>-2</v>
      </c>
      <c r="K60" s="157">
        <v>78018528.159999996</v>
      </c>
      <c r="L60" s="145"/>
      <c r="M60" s="147">
        <v>40526496.43</v>
      </c>
      <c r="N60" s="147"/>
      <c r="O60" s="52">
        <f>ROUND((K60+(K60*-(I60/100)))-M60,0)</f>
        <v>39052402</v>
      </c>
      <c r="P60" s="27"/>
      <c r="Q60" s="27">
        <f t="shared" si="7"/>
        <v>2306220</v>
      </c>
      <c r="R60" s="14"/>
      <c r="S60" s="28">
        <f>Q60/K60*100</f>
        <v>2.9559901402784936</v>
      </c>
      <c r="U60" s="49">
        <v>16.933511113423698</v>
      </c>
      <c r="W60" s="13">
        <v>16.933511113423698</v>
      </c>
    </row>
    <row r="61" spans="1:23">
      <c r="A61" s="30"/>
      <c r="C61" s="33" t="s">
        <v>41</v>
      </c>
      <c r="E61" s="207">
        <v>54788</v>
      </c>
      <c r="G61" s="205" t="s">
        <v>143</v>
      </c>
      <c r="H61" s="205" t="s">
        <v>141</v>
      </c>
      <c r="I61" s="206">
        <v>-1</v>
      </c>
      <c r="K61" s="157">
        <v>81735044.379999995</v>
      </c>
      <c r="L61" s="145"/>
      <c r="M61" s="147">
        <v>27731410.670000002</v>
      </c>
      <c r="N61" s="147"/>
      <c r="O61" s="52">
        <f>ROUND((K61+(K61*-(I61/100)))-M61,0)</f>
        <v>54820984</v>
      </c>
      <c r="P61" s="27"/>
      <c r="Q61" s="27">
        <f t="shared" si="7"/>
        <v>2402441</v>
      </c>
      <c r="R61" s="14"/>
      <c r="S61" s="28">
        <f>Q61/K61*100</f>
        <v>2.9393034753008109</v>
      </c>
      <c r="U61" s="49">
        <v>22.818867976362373</v>
      </c>
      <c r="W61" s="13">
        <v>22.818867976362373</v>
      </c>
    </row>
    <row r="62" spans="1:23">
      <c r="A62" s="30"/>
      <c r="C62" s="33" t="s">
        <v>42</v>
      </c>
      <c r="E62" s="207">
        <v>54788</v>
      </c>
      <c r="G62" s="205" t="s">
        <v>143</v>
      </c>
      <c r="H62" s="205" t="s">
        <v>141</v>
      </c>
      <c r="I62" s="206">
        <v>-1</v>
      </c>
      <c r="K62" s="144">
        <v>80326528.049999997</v>
      </c>
      <c r="L62" s="145"/>
      <c r="M62" s="148">
        <v>18513388.579999998</v>
      </c>
      <c r="N62" s="147"/>
      <c r="O62" s="55">
        <f>ROUND((K62+(K62*-(I62/100)))-M62,0)</f>
        <v>62616405</v>
      </c>
      <c r="P62" s="27"/>
      <c r="Q62" s="29">
        <f t="shared" si="7"/>
        <v>2637586</v>
      </c>
      <c r="R62" s="14"/>
      <c r="S62" s="28">
        <f>Q62/K62*100</f>
        <v>3.2835802368530231</v>
      </c>
      <c r="U62" s="49">
        <v>23.740042978693396</v>
      </c>
      <c r="W62" s="13">
        <v>23.740042978693396</v>
      </c>
    </row>
    <row r="63" spans="1:23">
      <c r="A63" s="30"/>
      <c r="E63" s="205"/>
      <c r="G63" s="205"/>
      <c r="H63" s="205"/>
      <c r="I63" s="206"/>
      <c r="K63" s="157"/>
      <c r="L63" s="145"/>
      <c r="M63" s="147"/>
      <c r="N63" s="147"/>
      <c r="O63" s="147"/>
      <c r="P63" s="147"/>
      <c r="Q63" s="147"/>
      <c r="S63" s="26"/>
      <c r="U63" s="49"/>
    </row>
    <row r="64" spans="1:23">
      <c r="A64" s="30"/>
      <c r="C64" s="13" t="s">
        <v>51</v>
      </c>
      <c r="E64" s="205"/>
      <c r="G64" s="205"/>
      <c r="H64" s="205"/>
      <c r="I64" s="206"/>
      <c r="K64" s="157">
        <f>SUBTOTAL(9,K58:K63)</f>
        <v>306718615.42000002</v>
      </c>
      <c r="L64" s="145"/>
      <c r="M64" s="147">
        <f>SUBTOTAL(9,M58:M63)</f>
        <v>135305478.5</v>
      </c>
      <c r="N64" s="147"/>
      <c r="O64" s="147">
        <f>SUBTOTAL(9,O58:O63)</f>
        <v>175926893</v>
      </c>
      <c r="P64" s="147"/>
      <c r="Q64" s="147">
        <f>SUBTOTAL(9,Q58:Q63)</f>
        <v>8553119</v>
      </c>
      <c r="S64" s="26">
        <f>+ROUND(Q64/K64*100,2)</f>
        <v>2.79</v>
      </c>
      <c r="U64" s="49"/>
    </row>
    <row r="65" spans="1:23">
      <c r="A65" s="30"/>
      <c r="E65" s="205"/>
      <c r="G65" s="205"/>
      <c r="H65" s="205"/>
      <c r="I65" s="206"/>
      <c r="K65" s="157"/>
      <c r="L65" s="145"/>
      <c r="M65" s="147"/>
      <c r="N65" s="147"/>
      <c r="O65" s="147"/>
      <c r="P65" s="147"/>
      <c r="Q65" s="147"/>
      <c r="S65" s="26"/>
      <c r="U65" s="49"/>
    </row>
    <row r="66" spans="1:23">
      <c r="A66" s="30">
        <v>315</v>
      </c>
      <c r="C66" s="13" t="s">
        <v>52</v>
      </c>
      <c r="E66" s="205"/>
      <c r="G66" s="205"/>
      <c r="H66" s="205"/>
      <c r="I66" s="206"/>
      <c r="K66" s="157"/>
      <c r="L66" s="145"/>
      <c r="M66" s="147"/>
      <c r="N66" s="147"/>
      <c r="O66" s="147"/>
      <c r="P66" s="147"/>
      <c r="Q66" s="147"/>
      <c r="S66" s="26"/>
      <c r="U66" s="49"/>
    </row>
    <row r="67" spans="1:23">
      <c r="A67" s="30"/>
      <c r="C67" s="33" t="s">
        <v>36</v>
      </c>
      <c r="E67" s="207">
        <v>50770</v>
      </c>
      <c r="G67" s="205" t="s">
        <v>263</v>
      </c>
      <c r="H67" s="205" t="s">
        <v>141</v>
      </c>
      <c r="I67" s="206">
        <v>-2</v>
      </c>
      <c r="K67" s="157">
        <v>3473012</v>
      </c>
      <c r="L67" s="145"/>
      <c r="M67" s="147">
        <v>3440611.86</v>
      </c>
      <c r="N67" s="147"/>
      <c r="O67" s="52">
        <f t="shared" ref="O67:O76" si="8">ROUND((K67+(K67*-(I67/100)))-M67,0)</f>
        <v>101860</v>
      </c>
      <c r="P67" s="27"/>
      <c r="Q67" s="27">
        <f t="shared" ref="Q67:Q76" si="9">O67/U67</f>
        <v>6829</v>
      </c>
      <c r="R67" s="14"/>
      <c r="S67" s="28">
        <f t="shared" ref="S67:S76" si="10">Q67/K67*100</f>
        <v>0.19663047521862867</v>
      </c>
      <c r="U67" s="49">
        <v>14.915800263581783</v>
      </c>
      <c r="W67" s="13">
        <v>14.915800263581783</v>
      </c>
    </row>
    <row r="68" spans="1:23">
      <c r="A68" s="30"/>
      <c r="C68" s="33" t="s">
        <v>47</v>
      </c>
      <c r="E68" s="207">
        <v>47848</v>
      </c>
      <c r="G68" s="205" t="s">
        <v>263</v>
      </c>
      <c r="H68" s="205" t="s">
        <v>141</v>
      </c>
      <c r="I68" s="206">
        <v>-1</v>
      </c>
      <c r="K68" s="157">
        <v>108139.1</v>
      </c>
      <c r="L68" s="145"/>
      <c r="M68" s="147">
        <v>70330.009999999995</v>
      </c>
      <c r="N68" s="147"/>
      <c r="O68" s="52">
        <f t="shared" si="8"/>
        <v>38890</v>
      </c>
      <c r="P68" s="27"/>
      <c r="Q68" s="27">
        <f t="shared" si="9"/>
        <v>5567</v>
      </c>
      <c r="R68" s="14"/>
      <c r="S68" s="28">
        <f t="shared" si="10"/>
        <v>5.1479991973301056</v>
      </c>
      <c r="U68" s="49">
        <v>6.9858092329800607</v>
      </c>
      <c r="W68" s="13">
        <v>6.9858092329800607</v>
      </c>
    </row>
    <row r="69" spans="1:23">
      <c r="A69" s="30"/>
      <c r="C69" s="33" t="s">
        <v>48</v>
      </c>
      <c r="E69" s="207">
        <v>50770</v>
      </c>
      <c r="G69" s="205" t="s">
        <v>263</v>
      </c>
      <c r="H69" s="205" t="s">
        <v>141</v>
      </c>
      <c r="I69" s="206">
        <v>-2</v>
      </c>
      <c r="K69" s="157">
        <v>108269.09</v>
      </c>
      <c r="L69" s="145"/>
      <c r="M69" s="147">
        <v>43937.66</v>
      </c>
      <c r="N69" s="147"/>
      <c r="O69" s="52">
        <f t="shared" si="8"/>
        <v>66497</v>
      </c>
      <c r="P69" s="27"/>
      <c r="Q69" s="27">
        <f t="shared" si="9"/>
        <v>4461</v>
      </c>
      <c r="R69" s="14"/>
      <c r="S69" s="28">
        <f t="shared" si="10"/>
        <v>4.1202895489377438</v>
      </c>
      <c r="U69" s="49">
        <v>14.906299036090562</v>
      </c>
      <c r="W69" s="13">
        <v>14.906299036090562</v>
      </c>
    </row>
    <row r="70" spans="1:23">
      <c r="A70" s="30"/>
      <c r="C70" s="33" t="s">
        <v>37</v>
      </c>
      <c r="E70" s="207">
        <v>50770</v>
      </c>
      <c r="G70" s="205" t="s">
        <v>263</v>
      </c>
      <c r="H70" s="205" t="s">
        <v>141</v>
      </c>
      <c r="I70" s="206">
        <v>-1</v>
      </c>
      <c r="K70" s="157">
        <v>12060627.85</v>
      </c>
      <c r="L70" s="145"/>
      <c r="M70" s="147">
        <v>7467374.21</v>
      </c>
      <c r="N70" s="147"/>
      <c r="O70" s="52">
        <f t="shared" si="8"/>
        <v>4713860</v>
      </c>
      <c r="P70" s="27"/>
      <c r="Q70" s="27">
        <f t="shared" si="9"/>
        <v>317646</v>
      </c>
      <c r="R70" s="14"/>
      <c r="S70" s="28">
        <f t="shared" si="10"/>
        <v>2.6337434829315294</v>
      </c>
      <c r="U70" s="49">
        <v>14.839979096226617</v>
      </c>
      <c r="W70" s="13">
        <v>14.839979096226617</v>
      </c>
    </row>
    <row r="71" spans="1:23">
      <c r="A71" s="30"/>
      <c r="C71" s="33" t="s">
        <v>39</v>
      </c>
      <c r="E71" s="207">
        <v>52231</v>
      </c>
      <c r="G71" s="205" t="s">
        <v>263</v>
      </c>
      <c r="H71" s="205" t="s">
        <v>141</v>
      </c>
      <c r="I71" s="206">
        <v>-2</v>
      </c>
      <c r="K71" s="157">
        <v>10670855.65</v>
      </c>
      <c r="L71" s="145"/>
      <c r="M71" s="147">
        <v>7498394.54</v>
      </c>
      <c r="N71" s="147"/>
      <c r="O71" s="52">
        <f t="shared" si="8"/>
        <v>3385878</v>
      </c>
      <c r="P71" s="27"/>
      <c r="Q71" s="27">
        <f t="shared" si="9"/>
        <v>194863.99999999997</v>
      </c>
      <c r="R71" s="14"/>
      <c r="S71" s="28">
        <f t="shared" si="10"/>
        <v>1.8261328462446209</v>
      </c>
      <c r="U71" s="49">
        <v>17.375595286969375</v>
      </c>
      <c r="W71" s="13">
        <v>17.375595286969375</v>
      </c>
    </row>
    <row r="72" spans="1:23">
      <c r="A72" s="30"/>
      <c r="C72" s="33" t="s">
        <v>40</v>
      </c>
      <c r="E72" s="207">
        <v>52231</v>
      </c>
      <c r="G72" s="205" t="s">
        <v>263</v>
      </c>
      <c r="H72" s="205" t="s">
        <v>141</v>
      </c>
      <c r="I72" s="206">
        <v>-2</v>
      </c>
      <c r="K72" s="157">
        <v>23193967.98</v>
      </c>
      <c r="L72" s="145"/>
      <c r="M72" s="147">
        <v>15966785.470000001</v>
      </c>
      <c r="N72" s="147"/>
      <c r="O72" s="52">
        <f t="shared" si="8"/>
        <v>7691062</v>
      </c>
      <c r="P72" s="27"/>
      <c r="Q72" s="27">
        <f t="shared" si="9"/>
        <v>442917</v>
      </c>
      <c r="R72" s="14"/>
      <c r="S72" s="28">
        <f t="shared" si="10"/>
        <v>1.9096215032370671</v>
      </c>
      <c r="U72" s="49">
        <v>17.364567176242954</v>
      </c>
      <c r="W72" s="13">
        <v>17.364567176242954</v>
      </c>
    </row>
    <row r="73" spans="1:23">
      <c r="A73" s="30"/>
      <c r="C73" s="33" t="s">
        <v>41</v>
      </c>
      <c r="E73" s="207">
        <v>54788</v>
      </c>
      <c r="G73" s="205" t="s">
        <v>263</v>
      </c>
      <c r="H73" s="205" t="s">
        <v>141</v>
      </c>
      <c r="I73" s="206">
        <v>-1</v>
      </c>
      <c r="K73" s="157">
        <v>25044774.100000001</v>
      </c>
      <c r="L73" s="145"/>
      <c r="M73" s="147">
        <v>8072902.6799999997</v>
      </c>
      <c r="N73" s="147"/>
      <c r="O73" s="52">
        <f t="shared" si="8"/>
        <v>17222319</v>
      </c>
      <c r="P73" s="27"/>
      <c r="Q73" s="27">
        <f t="shared" si="9"/>
        <v>690603</v>
      </c>
      <c r="R73" s="14"/>
      <c r="S73" s="28">
        <f t="shared" si="10"/>
        <v>2.7574734642944931</v>
      </c>
      <c r="U73" s="49">
        <v>24.938088887537415</v>
      </c>
      <c r="W73" s="13">
        <v>24.938088887537415</v>
      </c>
    </row>
    <row r="74" spans="1:23">
      <c r="A74" s="30"/>
      <c r="C74" s="33" t="s">
        <v>42</v>
      </c>
      <c r="E74" s="207">
        <v>54788</v>
      </c>
      <c r="G74" s="205" t="s">
        <v>263</v>
      </c>
      <c r="H74" s="205" t="s">
        <v>141</v>
      </c>
      <c r="I74" s="206">
        <v>-1</v>
      </c>
      <c r="K74" s="157">
        <v>12751242.41</v>
      </c>
      <c r="L74" s="145"/>
      <c r="M74" s="147">
        <v>3604702.43</v>
      </c>
      <c r="N74" s="147"/>
      <c r="O74" s="52">
        <f t="shared" si="8"/>
        <v>9274052</v>
      </c>
      <c r="P74" s="27"/>
      <c r="Q74" s="27">
        <f t="shared" si="9"/>
        <v>369190</v>
      </c>
      <c r="R74" s="14"/>
      <c r="S74" s="28">
        <f t="shared" si="10"/>
        <v>2.8953257112457327</v>
      </c>
      <c r="U74" s="49">
        <v>25.119997833094072</v>
      </c>
      <c r="W74" s="13">
        <v>25.119997833094072</v>
      </c>
    </row>
    <row r="75" spans="1:23">
      <c r="A75" s="30"/>
      <c r="C75" s="33" t="s">
        <v>43</v>
      </c>
      <c r="E75" s="207">
        <v>52231</v>
      </c>
      <c r="G75" s="205" t="s">
        <v>263</v>
      </c>
      <c r="H75" s="205" t="s">
        <v>141</v>
      </c>
      <c r="I75" s="206">
        <v>-1</v>
      </c>
      <c r="K75" s="157">
        <v>12513473.779999999</v>
      </c>
      <c r="L75" s="145"/>
      <c r="M75" s="147">
        <v>5887066.6900000004</v>
      </c>
      <c r="N75" s="147"/>
      <c r="O75" s="52">
        <f t="shared" si="8"/>
        <v>6751542</v>
      </c>
      <c r="P75" s="27"/>
      <c r="Q75" s="27">
        <f t="shared" si="9"/>
        <v>362596</v>
      </c>
      <c r="R75" s="14"/>
      <c r="S75" s="28">
        <f t="shared" si="10"/>
        <v>2.8976446219076988</v>
      </c>
      <c r="U75" s="49">
        <v>18.620012355348653</v>
      </c>
      <c r="W75" s="13">
        <v>18.620012355348653</v>
      </c>
    </row>
    <row r="76" spans="1:23">
      <c r="A76" s="30"/>
      <c r="C76" s="33" t="s">
        <v>44</v>
      </c>
      <c r="E76" s="207">
        <v>52231</v>
      </c>
      <c r="G76" s="205" t="s">
        <v>263</v>
      </c>
      <c r="H76" s="205" t="s">
        <v>141</v>
      </c>
      <c r="I76" s="206">
        <v>-1</v>
      </c>
      <c r="K76" s="144">
        <v>17711668.739999998</v>
      </c>
      <c r="L76" s="145"/>
      <c r="M76" s="148">
        <v>8370097.9800000004</v>
      </c>
      <c r="N76" s="147"/>
      <c r="O76" s="55">
        <f t="shared" si="8"/>
        <v>9518687</v>
      </c>
      <c r="P76" s="27"/>
      <c r="Q76" s="29">
        <f t="shared" si="9"/>
        <v>511207.99999999994</v>
      </c>
      <c r="R76" s="14"/>
      <c r="S76" s="28">
        <f t="shared" si="10"/>
        <v>2.886278009736535</v>
      </c>
      <c r="U76" s="49">
        <v>18.619988341340513</v>
      </c>
      <c r="W76" s="13">
        <v>18.619988341340513</v>
      </c>
    </row>
    <row r="77" spans="1:23">
      <c r="A77" s="30"/>
      <c r="G77" s="205"/>
      <c r="H77" s="205"/>
      <c r="I77" s="206"/>
      <c r="K77" s="157"/>
      <c r="L77" s="145"/>
      <c r="M77" s="147"/>
      <c r="N77" s="147"/>
      <c r="O77" s="147"/>
      <c r="P77" s="147"/>
      <c r="Q77" s="147"/>
      <c r="S77" s="26"/>
      <c r="U77" s="49"/>
    </row>
    <row r="78" spans="1:23">
      <c r="A78" s="30"/>
      <c r="C78" s="13" t="s">
        <v>53</v>
      </c>
      <c r="G78" s="205"/>
      <c r="H78" s="205"/>
      <c r="I78" s="206"/>
      <c r="K78" s="157">
        <f>SUBTOTAL(9,K67:K77)</f>
        <v>117636030.7</v>
      </c>
      <c r="L78" s="145"/>
      <c r="M78" s="147">
        <f>SUBTOTAL(9,M67:M77)</f>
        <v>60422203.530000001</v>
      </c>
      <c r="N78" s="147"/>
      <c r="O78" s="147">
        <f>SUBTOTAL(9,O67:O77)</f>
        <v>58764647</v>
      </c>
      <c r="P78" s="147"/>
      <c r="Q78" s="147">
        <f>SUBTOTAL(9,Q67:Q77)</f>
        <v>2905881</v>
      </c>
      <c r="S78" s="26">
        <f>+ROUND(Q78/K78*100,2)</f>
        <v>2.4700000000000002</v>
      </c>
      <c r="U78" s="49"/>
    </row>
    <row r="79" spans="1:23">
      <c r="A79" s="30"/>
      <c r="G79" s="205"/>
      <c r="H79" s="205"/>
      <c r="I79" s="206"/>
      <c r="K79" s="157"/>
      <c r="L79" s="145"/>
      <c r="M79" s="147"/>
      <c r="N79" s="147"/>
      <c r="O79" s="147"/>
      <c r="P79" s="147"/>
      <c r="Q79" s="147"/>
      <c r="S79" s="26"/>
      <c r="U79" s="49"/>
    </row>
    <row r="80" spans="1:23">
      <c r="A80" s="30">
        <v>316</v>
      </c>
      <c r="C80" s="13" t="s">
        <v>54</v>
      </c>
      <c r="G80" s="205"/>
      <c r="H80" s="205"/>
      <c r="I80" s="206"/>
      <c r="K80" s="157"/>
      <c r="S80" s="26"/>
      <c r="U80" s="49"/>
    </row>
    <row r="81" spans="1:23">
      <c r="A81" s="30"/>
      <c r="C81" s="33" t="s">
        <v>35</v>
      </c>
      <c r="E81" s="207">
        <v>47848</v>
      </c>
      <c r="G81" s="205" t="s">
        <v>264</v>
      </c>
      <c r="H81" s="205" t="s">
        <v>141</v>
      </c>
      <c r="I81" s="206">
        <v>0</v>
      </c>
      <c r="K81" s="157">
        <v>1167329.42</v>
      </c>
      <c r="L81" s="145"/>
      <c r="M81" s="147">
        <v>840184.9</v>
      </c>
      <c r="N81" s="147"/>
      <c r="O81" s="52">
        <f t="shared" ref="O81:O88" si="11">ROUND((K81+(K81*-(I81/100)))-M81,0)</f>
        <v>327145</v>
      </c>
      <c r="P81" s="27"/>
      <c r="Q81" s="27">
        <f t="shared" ref="Q81:Q88" si="12">O81/U81</f>
        <v>51254</v>
      </c>
      <c r="R81" s="14"/>
      <c r="S81" s="28">
        <f t="shared" ref="S81:S88" si="13">Q81/K81*100</f>
        <v>4.3907057529656024</v>
      </c>
      <c r="U81" s="49">
        <v>6.3828189019393609</v>
      </c>
      <c r="W81" s="13">
        <v>6.3828189019393609</v>
      </c>
    </row>
    <row r="82" spans="1:23">
      <c r="A82" s="30"/>
      <c r="C82" s="33" t="s">
        <v>36</v>
      </c>
      <c r="E82" s="207">
        <v>50770</v>
      </c>
      <c r="G82" s="205" t="s">
        <v>264</v>
      </c>
      <c r="H82" s="205" t="s">
        <v>141</v>
      </c>
      <c r="I82" s="206">
        <v>-2</v>
      </c>
      <c r="K82" s="157">
        <v>2918709.21</v>
      </c>
      <c r="L82" s="145"/>
      <c r="M82" s="147">
        <v>1911960.87</v>
      </c>
      <c r="N82" s="147"/>
      <c r="O82" s="52">
        <f t="shared" si="11"/>
        <v>1065123</v>
      </c>
      <c r="P82" s="27"/>
      <c r="Q82" s="27">
        <f t="shared" si="12"/>
        <v>83487</v>
      </c>
      <c r="R82" s="14"/>
      <c r="S82" s="28">
        <f t="shared" si="13"/>
        <v>2.8604082830163131</v>
      </c>
      <c r="U82" s="49">
        <v>12.757950339573826</v>
      </c>
      <c r="W82" s="13">
        <v>12.757950339573826</v>
      </c>
    </row>
    <row r="83" spans="1:23">
      <c r="A83" s="30"/>
      <c r="C83" s="33" t="s">
        <v>47</v>
      </c>
      <c r="E83" s="207">
        <v>47848</v>
      </c>
      <c r="G83" s="205" t="s">
        <v>264</v>
      </c>
      <c r="H83" s="205" t="s">
        <v>141</v>
      </c>
      <c r="I83" s="206">
        <v>-1</v>
      </c>
      <c r="K83" s="157">
        <v>2010174.77</v>
      </c>
      <c r="L83" s="145"/>
      <c r="M83" s="147">
        <v>190055.3</v>
      </c>
      <c r="N83" s="147"/>
      <c r="O83" s="52">
        <f t="shared" si="11"/>
        <v>1840221</v>
      </c>
      <c r="P83" s="27"/>
      <c r="Q83" s="27">
        <f t="shared" si="12"/>
        <v>266699</v>
      </c>
      <c r="R83" s="14"/>
      <c r="S83" s="28">
        <f t="shared" si="13"/>
        <v>13.267453356804392</v>
      </c>
      <c r="U83" s="49">
        <v>6.8999921259547277</v>
      </c>
      <c r="W83" s="13">
        <v>6.8999921259547277</v>
      </c>
    </row>
    <row r="84" spans="1:23">
      <c r="A84" s="30"/>
      <c r="C84" s="33" t="s">
        <v>37</v>
      </c>
      <c r="E84" s="207">
        <v>50770</v>
      </c>
      <c r="G84" s="205" t="s">
        <v>264</v>
      </c>
      <c r="H84" s="205" t="s">
        <v>141</v>
      </c>
      <c r="I84" s="206">
        <v>-1</v>
      </c>
      <c r="K84" s="157">
        <v>2139985.1800000002</v>
      </c>
      <c r="L84" s="145"/>
      <c r="M84" s="147">
        <v>1360219.16</v>
      </c>
      <c r="N84" s="147"/>
      <c r="O84" s="52">
        <f t="shared" si="11"/>
        <v>801166</v>
      </c>
      <c r="P84" s="27"/>
      <c r="Q84" s="27">
        <f t="shared" si="12"/>
        <v>64767</v>
      </c>
      <c r="R84" s="14"/>
      <c r="S84" s="28">
        <f t="shared" si="13"/>
        <v>3.0265162864352173</v>
      </c>
      <c r="U84" s="49">
        <v>12.369972362468541</v>
      </c>
      <c r="W84" s="13">
        <v>12.369972362468541</v>
      </c>
    </row>
    <row r="85" spans="1:23">
      <c r="A85" s="30"/>
      <c r="C85" s="33" t="s">
        <v>38</v>
      </c>
      <c r="E85" s="207">
        <v>54788</v>
      </c>
      <c r="G85" s="205" t="s">
        <v>264</v>
      </c>
      <c r="H85" s="205" t="s">
        <v>141</v>
      </c>
      <c r="I85" s="206">
        <v>-1</v>
      </c>
      <c r="K85" s="157">
        <v>8375944.4500000002</v>
      </c>
      <c r="L85" s="145"/>
      <c r="M85" s="147">
        <v>2161823.14</v>
      </c>
      <c r="N85" s="147"/>
      <c r="O85" s="52">
        <f t="shared" si="11"/>
        <v>6297881</v>
      </c>
      <c r="P85" s="27"/>
      <c r="Q85" s="27">
        <f t="shared" si="12"/>
        <v>341257</v>
      </c>
      <c r="R85" s="14"/>
      <c r="S85" s="28">
        <f t="shared" si="13"/>
        <v>4.0742509938685183</v>
      </c>
      <c r="U85" s="49">
        <v>18.45495037464433</v>
      </c>
      <c r="W85" s="13">
        <v>18.45495037464433</v>
      </c>
    </row>
    <row r="86" spans="1:23">
      <c r="A86" s="30"/>
      <c r="C86" s="33" t="s">
        <v>39</v>
      </c>
      <c r="E86" s="207">
        <v>52231</v>
      </c>
      <c r="G86" s="205" t="s">
        <v>264</v>
      </c>
      <c r="H86" s="205" t="s">
        <v>141</v>
      </c>
      <c r="I86" s="206">
        <v>-2</v>
      </c>
      <c r="K86" s="157">
        <v>182562.7</v>
      </c>
      <c r="L86" s="145"/>
      <c r="M86" s="147">
        <v>138675.63</v>
      </c>
      <c r="N86" s="147"/>
      <c r="O86" s="52">
        <f t="shared" si="11"/>
        <v>47538</v>
      </c>
      <c r="P86" s="27"/>
      <c r="Q86" s="27">
        <f t="shared" si="12"/>
        <v>4895</v>
      </c>
      <c r="R86" s="14"/>
      <c r="S86" s="28">
        <f t="shared" si="13"/>
        <v>2.6812705990873273</v>
      </c>
      <c r="U86" s="49">
        <v>9.7115423901940758</v>
      </c>
      <c r="W86" s="13">
        <v>9.7115423901940758</v>
      </c>
    </row>
    <row r="87" spans="1:23">
      <c r="A87" s="30"/>
      <c r="C87" s="33" t="s">
        <v>41</v>
      </c>
      <c r="E87" s="207">
        <v>54788</v>
      </c>
      <c r="G87" s="205" t="s">
        <v>264</v>
      </c>
      <c r="H87" s="205" t="s">
        <v>141</v>
      </c>
      <c r="I87" s="206">
        <v>-2</v>
      </c>
      <c r="K87" s="157">
        <v>2192469.65</v>
      </c>
      <c r="L87" s="145"/>
      <c r="M87" s="147">
        <v>450040.59</v>
      </c>
      <c r="N87" s="147"/>
      <c r="O87" s="52">
        <f t="shared" si="11"/>
        <v>1786278</v>
      </c>
      <c r="P87" s="27"/>
      <c r="Q87" s="27">
        <f t="shared" si="12"/>
        <v>92596</v>
      </c>
      <c r="R87" s="14"/>
      <c r="S87" s="28">
        <f t="shared" si="13"/>
        <v>4.2233651900266898</v>
      </c>
      <c r="U87" s="49">
        <v>19.291092487796448</v>
      </c>
      <c r="W87" s="13">
        <v>19.291092487796448</v>
      </c>
    </row>
    <row r="88" spans="1:23">
      <c r="A88" s="30"/>
      <c r="C88" s="33" t="s">
        <v>42</v>
      </c>
      <c r="E88" s="207">
        <v>54788</v>
      </c>
      <c r="G88" s="205" t="s">
        <v>264</v>
      </c>
      <c r="H88" s="205" t="s">
        <v>141</v>
      </c>
      <c r="I88" s="206">
        <v>-1</v>
      </c>
      <c r="K88" s="144">
        <v>2721199.41</v>
      </c>
      <c r="L88" s="145"/>
      <c r="M88" s="148">
        <v>730264.02</v>
      </c>
      <c r="N88" s="147"/>
      <c r="O88" s="55">
        <f t="shared" si="11"/>
        <v>2018147</v>
      </c>
      <c r="P88" s="27"/>
      <c r="Q88" s="29">
        <f t="shared" si="12"/>
        <v>112573</v>
      </c>
      <c r="R88" s="14"/>
      <c r="S88" s="28">
        <f t="shared" si="13"/>
        <v>4.1368890345305491</v>
      </c>
      <c r="U88" s="49">
        <v>17.927451520346796</v>
      </c>
      <c r="W88" s="13">
        <v>17.927451520346796</v>
      </c>
    </row>
    <row r="89" spans="1:23">
      <c r="A89" s="30"/>
      <c r="G89" s="205"/>
      <c r="H89" s="205"/>
      <c r="I89" s="206"/>
      <c r="K89" s="157"/>
      <c r="L89" s="145"/>
      <c r="M89" s="147"/>
      <c r="N89" s="147"/>
      <c r="O89" s="147"/>
      <c r="P89" s="147"/>
      <c r="Q89" s="147"/>
      <c r="S89" s="26"/>
      <c r="U89" s="49"/>
    </row>
    <row r="90" spans="1:23">
      <c r="A90" s="30"/>
      <c r="C90" s="13" t="s">
        <v>55</v>
      </c>
      <c r="G90" s="205"/>
      <c r="H90" s="205"/>
      <c r="I90" s="206"/>
      <c r="K90" s="144">
        <f>SUBTOTAL(9,K81:K89)</f>
        <v>21708374.789999999</v>
      </c>
      <c r="L90" s="145"/>
      <c r="M90" s="148">
        <f>SUBTOTAL(9,M81:M89)</f>
        <v>7783223.6099999994</v>
      </c>
      <c r="N90" s="147"/>
      <c r="O90" s="148">
        <f>SUBTOTAL(9,O81:O89)</f>
        <v>14183499</v>
      </c>
      <c r="P90" s="147"/>
      <c r="Q90" s="148">
        <f>SUBTOTAL(9,Q81:Q89)</f>
        <v>1017528</v>
      </c>
      <c r="S90" s="26">
        <f>+ROUND(Q90/K90*100,2)</f>
        <v>4.6900000000000004</v>
      </c>
      <c r="U90" s="49"/>
    </row>
    <row r="91" spans="1:23" ht="15.75">
      <c r="C91" s="18"/>
      <c r="K91" s="157"/>
      <c r="L91" s="145"/>
      <c r="M91" s="147"/>
      <c r="N91" s="147"/>
      <c r="O91" s="147"/>
      <c r="P91" s="147"/>
      <c r="Q91" s="147"/>
      <c r="S91" s="26"/>
      <c r="U91" s="49"/>
    </row>
    <row r="92" spans="1:23" ht="15.75">
      <c r="A92" s="30"/>
      <c r="C92" s="31" t="s">
        <v>56</v>
      </c>
      <c r="G92" s="205"/>
      <c r="H92" s="205"/>
      <c r="I92" s="206"/>
      <c r="K92" s="151">
        <f>SUBTOTAL(9,K20:K91)</f>
        <v>2801845065.1100001</v>
      </c>
      <c r="L92" s="22"/>
      <c r="M92" s="35">
        <f>SUBTOTAL(9,M20:M91)</f>
        <v>1192950131.5600004</v>
      </c>
      <c r="N92" s="35"/>
      <c r="O92" s="35">
        <f>SUBTOTAL(9,O20:O91)</f>
        <v>1645275606</v>
      </c>
      <c r="P92" s="35"/>
      <c r="Q92" s="35">
        <f>SUBTOTAL(9,Q20:Q91)</f>
        <v>80444719</v>
      </c>
      <c r="S92" s="23">
        <f>+ROUND(Q92/K92*100,2)</f>
        <v>2.87</v>
      </c>
      <c r="T92" s="22"/>
      <c r="U92" s="50"/>
    </row>
    <row r="93" spans="1:23">
      <c r="A93" s="30"/>
      <c r="C93" s="34"/>
      <c r="G93" s="205"/>
      <c r="H93" s="205"/>
      <c r="I93" s="206"/>
      <c r="K93" s="157"/>
      <c r="S93" s="26"/>
      <c r="U93" s="49"/>
    </row>
    <row r="94" spans="1:23" ht="15.75">
      <c r="C94" s="18" t="s">
        <v>57</v>
      </c>
      <c r="S94" s="26"/>
      <c r="U94" s="49"/>
    </row>
    <row r="95" spans="1:23" ht="15.75">
      <c r="C95" s="25"/>
      <c r="S95" s="26"/>
      <c r="U95" s="49"/>
    </row>
    <row r="96" spans="1:23">
      <c r="A96" s="30">
        <v>341</v>
      </c>
      <c r="C96" s="13" t="s">
        <v>34</v>
      </c>
      <c r="S96" s="26"/>
      <c r="U96" s="49"/>
    </row>
    <row r="97" spans="1:23">
      <c r="A97" s="30"/>
      <c r="C97" s="33" t="s">
        <v>58</v>
      </c>
      <c r="E97" s="207">
        <v>55153</v>
      </c>
      <c r="G97" s="205" t="s">
        <v>265</v>
      </c>
      <c r="H97" s="205" t="s">
        <v>141</v>
      </c>
      <c r="I97" s="206">
        <v>-1</v>
      </c>
      <c r="K97" s="157">
        <v>18449493.530000001</v>
      </c>
      <c r="L97" s="145"/>
      <c r="M97" s="147">
        <v>7054844.1500000004</v>
      </c>
      <c r="N97" s="147"/>
      <c r="O97" s="52">
        <f t="shared" ref="O97:O115" si="14">ROUND((K97+(K97*-(I97/100)))-M97,0)</f>
        <v>11579144</v>
      </c>
      <c r="P97" s="27"/>
      <c r="Q97" s="27">
        <f t="shared" ref="Q97:Q115" si="15">O97/U97</f>
        <v>528653</v>
      </c>
      <c r="R97" s="14"/>
      <c r="S97" s="28">
        <f t="shared" ref="S97:S115" si="16">Q97/K97*100</f>
        <v>2.8654065714073829</v>
      </c>
      <c r="U97" s="49">
        <v>21.903108466233995</v>
      </c>
      <c r="W97" s="13">
        <v>21.903108466233995</v>
      </c>
    </row>
    <row r="98" spans="1:23">
      <c r="A98" s="30"/>
      <c r="C98" s="33" t="s">
        <v>59</v>
      </c>
      <c r="E98" s="207">
        <v>50040</v>
      </c>
      <c r="G98" s="205" t="s">
        <v>265</v>
      </c>
      <c r="H98" s="205" t="s">
        <v>141</v>
      </c>
      <c r="I98" s="206">
        <v>0</v>
      </c>
      <c r="K98" s="157">
        <v>2666719.81</v>
      </c>
      <c r="L98" s="145"/>
      <c r="M98" s="147">
        <v>1514239.92</v>
      </c>
      <c r="N98" s="147"/>
      <c r="O98" s="52">
        <f t="shared" si="14"/>
        <v>1152480</v>
      </c>
      <c r="P98" s="27"/>
      <c r="Q98" s="27">
        <f t="shared" si="15"/>
        <v>97121</v>
      </c>
      <c r="R98" s="14"/>
      <c r="S98" s="28">
        <f t="shared" si="16"/>
        <v>3.6419649201915969</v>
      </c>
      <c r="U98" s="49">
        <v>11.866434653679431</v>
      </c>
      <c r="W98" s="13">
        <v>11.866434653679431</v>
      </c>
    </row>
    <row r="99" spans="1:23">
      <c r="A99" s="30"/>
      <c r="C99" s="33" t="s">
        <v>60</v>
      </c>
      <c r="E99" s="207">
        <v>50040</v>
      </c>
      <c r="G99" s="205" t="s">
        <v>265</v>
      </c>
      <c r="H99" s="205" t="s">
        <v>141</v>
      </c>
      <c r="I99" s="206">
        <v>0</v>
      </c>
      <c r="K99" s="157">
        <v>2666719.81</v>
      </c>
      <c r="L99" s="145"/>
      <c r="M99" s="147">
        <v>1535563.88</v>
      </c>
      <c r="N99" s="147"/>
      <c r="O99" s="52">
        <f t="shared" si="14"/>
        <v>1131156</v>
      </c>
      <c r="P99" s="27"/>
      <c r="Q99" s="27">
        <f t="shared" si="15"/>
        <v>95324</v>
      </c>
      <c r="R99" s="14"/>
      <c r="S99" s="28">
        <f t="shared" si="16"/>
        <v>3.5745787631134744</v>
      </c>
      <c r="U99" s="49">
        <v>11.866434476102555</v>
      </c>
      <c r="W99" s="13">
        <v>11.866434476102555</v>
      </c>
    </row>
    <row r="100" spans="1:23">
      <c r="A100" s="30"/>
      <c r="C100" s="33" t="s">
        <v>61</v>
      </c>
      <c r="E100" s="207">
        <v>50040</v>
      </c>
      <c r="G100" s="205" t="s">
        <v>265</v>
      </c>
      <c r="H100" s="205" t="s">
        <v>141</v>
      </c>
      <c r="I100" s="206">
        <v>0</v>
      </c>
      <c r="K100" s="157">
        <v>2666719.81</v>
      </c>
      <c r="L100" s="145"/>
      <c r="M100" s="147">
        <v>1483354.58</v>
      </c>
      <c r="N100" s="147"/>
      <c r="O100" s="52">
        <f t="shared" si="14"/>
        <v>1183365</v>
      </c>
      <c r="P100" s="27"/>
      <c r="Q100" s="27">
        <f t="shared" si="15"/>
        <v>99724</v>
      </c>
      <c r="R100" s="14"/>
      <c r="S100" s="28">
        <f t="shared" si="16"/>
        <v>3.7395754749352537</v>
      </c>
      <c r="U100" s="49">
        <v>11.866401267498295</v>
      </c>
      <c r="W100" s="13">
        <v>11.866401267498295</v>
      </c>
    </row>
    <row r="101" spans="1:23">
      <c r="A101" s="30"/>
      <c r="C101" s="33" t="s">
        <v>62</v>
      </c>
      <c r="E101" s="207">
        <v>51866</v>
      </c>
      <c r="G101" s="205" t="s">
        <v>265</v>
      </c>
      <c r="H101" s="205" t="s">
        <v>141</v>
      </c>
      <c r="I101" s="206">
        <v>-1</v>
      </c>
      <c r="K101" s="157">
        <v>1937757.41</v>
      </c>
      <c r="L101" s="145"/>
      <c r="M101" s="147">
        <v>914665.65</v>
      </c>
      <c r="N101" s="147"/>
      <c r="O101" s="52">
        <f t="shared" si="14"/>
        <v>1042469</v>
      </c>
      <c r="P101" s="27"/>
      <c r="Q101" s="27">
        <f t="shared" si="15"/>
        <v>65789</v>
      </c>
      <c r="R101" s="14"/>
      <c r="S101" s="28">
        <f t="shared" si="16"/>
        <v>3.3951102269297992</v>
      </c>
      <c r="U101" s="49">
        <v>15.845642888628799</v>
      </c>
      <c r="W101" s="13">
        <v>15.845642888628799</v>
      </c>
    </row>
    <row r="102" spans="1:23">
      <c r="A102" s="30"/>
      <c r="C102" s="33" t="s">
        <v>63</v>
      </c>
      <c r="E102" s="207">
        <v>51866</v>
      </c>
      <c r="G102" s="205" t="s">
        <v>265</v>
      </c>
      <c r="H102" s="205" t="s">
        <v>141</v>
      </c>
      <c r="I102" s="206">
        <v>-1</v>
      </c>
      <c r="K102" s="157">
        <v>1599135.43</v>
      </c>
      <c r="L102" s="145"/>
      <c r="M102" s="147">
        <v>750866.73</v>
      </c>
      <c r="N102" s="147"/>
      <c r="O102" s="52">
        <f t="shared" si="14"/>
        <v>864260</v>
      </c>
      <c r="P102" s="27"/>
      <c r="Q102" s="27">
        <f t="shared" si="15"/>
        <v>54498</v>
      </c>
      <c r="R102" s="14"/>
      <c r="S102" s="28">
        <f t="shared" si="16"/>
        <v>3.4079665160067147</v>
      </c>
      <c r="U102" s="49">
        <v>15.858563617013468</v>
      </c>
      <c r="W102" s="13">
        <v>15.858563617013468</v>
      </c>
    </row>
    <row r="103" spans="1:23">
      <c r="A103" s="30"/>
      <c r="C103" s="33" t="s">
        <v>64</v>
      </c>
      <c r="E103" s="207">
        <v>53327</v>
      </c>
      <c r="G103" s="205" t="s">
        <v>265</v>
      </c>
      <c r="H103" s="205" t="s">
        <v>141</v>
      </c>
      <c r="I103" s="206">
        <v>-1</v>
      </c>
      <c r="K103" s="157">
        <v>303524.78000000003</v>
      </c>
      <c r="L103" s="145"/>
      <c r="M103" s="147">
        <v>116602.85</v>
      </c>
      <c r="N103" s="147"/>
      <c r="O103" s="52">
        <f t="shared" si="14"/>
        <v>189957</v>
      </c>
      <c r="P103" s="27"/>
      <c r="Q103" s="27">
        <f t="shared" si="15"/>
        <v>9937</v>
      </c>
      <c r="R103" s="14"/>
      <c r="S103" s="28">
        <f t="shared" si="16"/>
        <v>3.2738677876646514</v>
      </c>
      <c r="U103" s="49">
        <v>19.116131629264366</v>
      </c>
      <c r="W103" s="13">
        <v>19.116131629264366</v>
      </c>
    </row>
    <row r="104" spans="1:23">
      <c r="A104" s="30"/>
      <c r="C104" s="33" t="s">
        <v>65</v>
      </c>
      <c r="E104" s="207">
        <v>53327</v>
      </c>
      <c r="G104" s="205" t="s">
        <v>265</v>
      </c>
      <c r="H104" s="205" t="s">
        <v>141</v>
      </c>
      <c r="I104" s="206">
        <v>-1</v>
      </c>
      <c r="K104" s="157">
        <v>303524.78000000003</v>
      </c>
      <c r="L104" s="145"/>
      <c r="M104" s="147">
        <v>116857.06</v>
      </c>
      <c r="N104" s="147"/>
      <c r="O104" s="52">
        <f t="shared" si="14"/>
        <v>189703</v>
      </c>
      <c r="P104" s="27"/>
      <c r="Q104" s="27">
        <f t="shared" si="15"/>
        <v>9923</v>
      </c>
      <c r="R104" s="14"/>
      <c r="S104" s="28">
        <f t="shared" si="16"/>
        <v>3.2692553141789609</v>
      </c>
      <c r="U104" s="49">
        <v>19.117504786858813</v>
      </c>
      <c r="W104" s="13">
        <v>19.117504786858813</v>
      </c>
    </row>
    <row r="105" spans="1:23">
      <c r="A105" s="30"/>
      <c r="C105" s="33" t="s">
        <v>66</v>
      </c>
      <c r="E105" s="207">
        <v>55153</v>
      </c>
      <c r="G105" s="205" t="s">
        <v>265</v>
      </c>
      <c r="H105" s="205" t="s">
        <v>141</v>
      </c>
      <c r="I105" s="206">
        <v>0</v>
      </c>
      <c r="K105" s="157">
        <v>4625823.04</v>
      </c>
      <c r="L105" s="145"/>
      <c r="M105" s="147">
        <v>1039877.1</v>
      </c>
      <c r="N105" s="147"/>
      <c r="O105" s="52">
        <f t="shared" si="14"/>
        <v>3585946</v>
      </c>
      <c r="P105" s="27"/>
      <c r="Q105" s="27">
        <f t="shared" si="15"/>
        <v>153838</v>
      </c>
      <c r="R105" s="14"/>
      <c r="S105" s="28">
        <f t="shared" si="16"/>
        <v>3.3256352149605788</v>
      </c>
      <c r="U105" s="49">
        <v>23.309884423874465</v>
      </c>
      <c r="W105" s="13">
        <v>23.309884423874465</v>
      </c>
    </row>
    <row r="106" spans="1:23">
      <c r="A106" s="30"/>
      <c r="C106" s="33" t="s">
        <v>67</v>
      </c>
      <c r="E106" s="207">
        <v>55153</v>
      </c>
      <c r="G106" s="205" t="s">
        <v>265</v>
      </c>
      <c r="H106" s="205" t="s">
        <v>141</v>
      </c>
      <c r="I106" s="206">
        <v>-1</v>
      </c>
      <c r="K106" s="157">
        <v>224532.24</v>
      </c>
      <c r="L106" s="145"/>
      <c r="M106" s="147">
        <v>45021.49</v>
      </c>
      <c r="N106" s="147"/>
      <c r="O106" s="52">
        <f t="shared" si="14"/>
        <v>181756</v>
      </c>
      <c r="P106" s="27"/>
      <c r="Q106" s="27">
        <f t="shared" si="15"/>
        <v>7493.9999999999991</v>
      </c>
      <c r="R106" s="14"/>
      <c r="S106" s="28">
        <f t="shared" si="16"/>
        <v>3.3376053256316331</v>
      </c>
      <c r="U106" s="49">
        <v>24.253536162263146</v>
      </c>
      <c r="W106" s="13">
        <v>24.253536162263146</v>
      </c>
    </row>
    <row r="107" spans="1:23">
      <c r="A107" s="30"/>
      <c r="C107" s="33" t="s">
        <v>68</v>
      </c>
      <c r="E107" s="207">
        <v>50586</v>
      </c>
      <c r="G107" s="205" t="s">
        <v>265</v>
      </c>
      <c r="H107" s="205" t="s">
        <v>141</v>
      </c>
      <c r="I107" s="206">
        <v>0</v>
      </c>
      <c r="K107" s="157">
        <v>1119860.8</v>
      </c>
      <c r="L107" s="145"/>
      <c r="M107" s="147">
        <v>416160.91</v>
      </c>
      <c r="N107" s="147"/>
      <c r="O107" s="52">
        <f t="shared" si="14"/>
        <v>703700</v>
      </c>
      <c r="P107" s="27"/>
      <c r="Q107" s="27">
        <f t="shared" si="15"/>
        <v>53270</v>
      </c>
      <c r="R107" s="14"/>
      <c r="S107" s="28">
        <f t="shared" si="16"/>
        <v>4.7568412074072057</v>
      </c>
      <c r="U107" s="49">
        <v>13.21006194856392</v>
      </c>
      <c r="W107" s="13">
        <v>13.21006194856392</v>
      </c>
    </row>
    <row r="108" spans="1:23">
      <c r="A108" s="30"/>
      <c r="C108" s="33" t="s">
        <v>70</v>
      </c>
      <c r="E108" s="207">
        <v>50586</v>
      </c>
      <c r="G108" s="205" t="s">
        <v>265</v>
      </c>
      <c r="H108" s="205" t="s">
        <v>141</v>
      </c>
      <c r="I108" s="206">
        <v>0</v>
      </c>
      <c r="K108" s="157">
        <v>1135966.24</v>
      </c>
      <c r="L108" s="145"/>
      <c r="M108" s="147">
        <v>422145.64</v>
      </c>
      <c r="N108" s="147"/>
      <c r="O108" s="52">
        <f t="shared" si="14"/>
        <v>713821</v>
      </c>
      <c r="P108" s="27"/>
      <c r="Q108" s="27">
        <f t="shared" si="15"/>
        <v>54036</v>
      </c>
      <c r="R108" s="14"/>
      <c r="S108" s="28">
        <f t="shared" si="16"/>
        <v>4.7568315058377086</v>
      </c>
      <c r="U108" s="49">
        <v>13.210100673624991</v>
      </c>
      <c r="W108" s="13">
        <v>13.210100673624991</v>
      </c>
    </row>
    <row r="109" spans="1:23">
      <c r="A109" s="30"/>
      <c r="C109" s="33" t="s">
        <v>71</v>
      </c>
      <c r="E109" s="207">
        <v>51682</v>
      </c>
      <c r="G109" s="205" t="s">
        <v>265</v>
      </c>
      <c r="H109" s="205" t="s">
        <v>141</v>
      </c>
      <c r="I109" s="206">
        <v>-1</v>
      </c>
      <c r="K109" s="157">
        <v>1465228.09</v>
      </c>
      <c r="L109" s="145"/>
      <c r="M109" s="147">
        <v>468146.53</v>
      </c>
      <c r="N109" s="147"/>
      <c r="O109" s="52">
        <f t="shared" si="14"/>
        <v>1011734</v>
      </c>
      <c r="P109" s="27"/>
      <c r="Q109" s="27">
        <f t="shared" si="15"/>
        <v>63993</v>
      </c>
      <c r="R109" s="14"/>
      <c r="S109" s="28">
        <f t="shared" si="16"/>
        <v>4.3674428873391307</v>
      </c>
      <c r="U109" s="49">
        <v>15.81007297673183</v>
      </c>
      <c r="W109" s="13">
        <v>15.81007297673183</v>
      </c>
    </row>
    <row r="110" spans="1:23">
      <c r="A110" s="30"/>
      <c r="C110" s="33" t="s">
        <v>72</v>
      </c>
      <c r="E110" s="207">
        <v>52047</v>
      </c>
      <c r="G110" s="205" t="s">
        <v>265</v>
      </c>
      <c r="H110" s="205" t="s">
        <v>141</v>
      </c>
      <c r="I110" s="206">
        <v>0</v>
      </c>
      <c r="K110" s="157">
        <v>2033652.36</v>
      </c>
      <c r="L110" s="145"/>
      <c r="M110" s="147">
        <v>312972.96999999997</v>
      </c>
      <c r="N110" s="147"/>
      <c r="O110" s="52">
        <f t="shared" si="14"/>
        <v>1720679</v>
      </c>
      <c r="P110" s="27"/>
      <c r="Q110" s="27">
        <f t="shared" si="15"/>
        <v>98215</v>
      </c>
      <c r="R110" s="14"/>
      <c r="S110" s="28">
        <f t="shared" si="16"/>
        <v>4.8294881628637842</v>
      </c>
      <c r="U110" s="49">
        <v>17.519513312630455</v>
      </c>
      <c r="W110" s="13">
        <v>17.519513312630455</v>
      </c>
    </row>
    <row r="111" spans="1:23">
      <c r="A111" s="30"/>
      <c r="C111" s="33" t="s">
        <v>73</v>
      </c>
      <c r="E111" s="207">
        <v>52962</v>
      </c>
      <c r="G111" s="205" t="s">
        <v>265</v>
      </c>
      <c r="H111" s="205" t="s">
        <v>141</v>
      </c>
      <c r="I111" s="206">
        <v>0</v>
      </c>
      <c r="K111" s="157">
        <v>7836172.29</v>
      </c>
      <c r="L111" s="145"/>
      <c r="M111" s="147">
        <v>2183825.9700000002</v>
      </c>
      <c r="N111" s="147"/>
      <c r="O111" s="52">
        <f t="shared" si="14"/>
        <v>5652346</v>
      </c>
      <c r="P111" s="27"/>
      <c r="Q111" s="27">
        <f t="shared" si="15"/>
        <v>290527</v>
      </c>
      <c r="R111" s="14"/>
      <c r="S111" s="28">
        <f t="shared" si="16"/>
        <v>3.7075116427793597</v>
      </c>
      <c r="U111" s="49">
        <v>19.455492949020229</v>
      </c>
      <c r="W111" s="13">
        <v>19.455492949020229</v>
      </c>
    </row>
    <row r="112" spans="1:23">
      <c r="A112" s="30"/>
      <c r="C112" s="33" t="s">
        <v>74</v>
      </c>
      <c r="E112" s="207">
        <v>52962</v>
      </c>
      <c r="G112" s="205" t="s">
        <v>265</v>
      </c>
      <c r="H112" s="205" t="s">
        <v>141</v>
      </c>
      <c r="I112" s="206">
        <v>0</v>
      </c>
      <c r="K112" s="157">
        <v>933680.4</v>
      </c>
      <c r="L112" s="145"/>
      <c r="M112" s="147">
        <v>369350.09</v>
      </c>
      <c r="N112" s="147"/>
      <c r="O112" s="52">
        <f t="shared" si="14"/>
        <v>564330</v>
      </c>
      <c r="P112" s="27"/>
      <c r="Q112" s="27">
        <f t="shared" si="15"/>
        <v>29059</v>
      </c>
      <c r="R112" s="14"/>
      <c r="S112" s="28">
        <f t="shared" si="16"/>
        <v>3.1123069521433671</v>
      </c>
      <c r="U112" s="49">
        <v>19.42014522179015</v>
      </c>
      <c r="W112" s="13">
        <v>19.42014522179015</v>
      </c>
    </row>
    <row r="113" spans="1:23">
      <c r="A113" s="30"/>
      <c r="C113" s="33" t="s">
        <v>75</v>
      </c>
      <c r="E113" s="207">
        <v>52962</v>
      </c>
      <c r="G113" s="205" t="s">
        <v>265</v>
      </c>
      <c r="H113" s="205" t="s">
        <v>141</v>
      </c>
      <c r="I113" s="206">
        <v>0</v>
      </c>
      <c r="K113" s="157">
        <v>933680.4</v>
      </c>
      <c r="L113" s="145"/>
      <c r="M113" s="147">
        <v>438271.13</v>
      </c>
      <c r="N113" s="147"/>
      <c r="O113" s="52">
        <f t="shared" si="14"/>
        <v>495409</v>
      </c>
      <c r="P113" s="27"/>
      <c r="Q113" s="27">
        <f t="shared" si="15"/>
        <v>25510.000000000004</v>
      </c>
      <c r="R113" s="14"/>
      <c r="S113" s="28">
        <f t="shared" si="16"/>
        <v>2.7321982982613755</v>
      </c>
      <c r="U113" s="49">
        <v>19.42018816150529</v>
      </c>
      <c r="W113" s="13">
        <v>19.42018816150529</v>
      </c>
    </row>
    <row r="114" spans="1:23">
      <c r="A114" s="30"/>
      <c r="C114" s="33" t="s">
        <v>76</v>
      </c>
      <c r="E114" s="207">
        <v>52962</v>
      </c>
      <c r="G114" s="205" t="s">
        <v>265</v>
      </c>
      <c r="H114" s="205" t="s">
        <v>141</v>
      </c>
      <c r="I114" s="206">
        <v>0</v>
      </c>
      <c r="K114" s="157">
        <v>933680.4</v>
      </c>
      <c r="L114" s="145"/>
      <c r="M114" s="147">
        <v>504298.32</v>
      </c>
      <c r="N114" s="147"/>
      <c r="O114" s="52">
        <f t="shared" si="14"/>
        <v>429382</v>
      </c>
      <c r="P114" s="27"/>
      <c r="Q114" s="27">
        <f t="shared" si="15"/>
        <v>22110</v>
      </c>
      <c r="R114" s="14"/>
      <c r="S114" s="28">
        <f t="shared" si="16"/>
        <v>2.36804799586668</v>
      </c>
      <c r="U114" s="49">
        <v>19.420262324739937</v>
      </c>
      <c r="W114" s="13">
        <v>19.420262324739937</v>
      </c>
    </row>
    <row r="115" spans="1:23">
      <c r="A115" s="30"/>
      <c r="C115" s="33" t="s">
        <v>77</v>
      </c>
      <c r="E115" s="207">
        <v>53873</v>
      </c>
      <c r="G115" s="205" t="s">
        <v>265</v>
      </c>
      <c r="H115" s="205" t="s">
        <v>141</v>
      </c>
      <c r="I115" s="206">
        <v>0</v>
      </c>
      <c r="K115" s="144">
        <v>625882</v>
      </c>
      <c r="L115" s="145"/>
      <c r="M115" s="148">
        <v>159616.29999999999</v>
      </c>
      <c r="N115" s="147"/>
      <c r="O115" s="55">
        <f t="shared" si="14"/>
        <v>466266</v>
      </c>
      <c r="P115" s="27"/>
      <c r="Q115" s="29">
        <f t="shared" si="15"/>
        <v>21507</v>
      </c>
      <c r="R115" s="14"/>
      <c r="S115" s="28">
        <f t="shared" si="16"/>
        <v>3.4362707347391357</v>
      </c>
      <c r="U115" s="49">
        <v>21.679732180220395</v>
      </c>
      <c r="W115" s="13">
        <v>21.679732180220395</v>
      </c>
    </row>
    <row r="116" spans="1:23">
      <c r="A116" s="30"/>
      <c r="G116" s="205"/>
      <c r="H116" s="205"/>
      <c r="I116" s="206"/>
      <c r="K116" s="157"/>
      <c r="L116" s="145"/>
      <c r="M116" s="147"/>
      <c r="N116" s="147"/>
      <c r="O116" s="147"/>
      <c r="P116" s="147"/>
      <c r="Q116" s="147"/>
      <c r="S116" s="26"/>
      <c r="U116" s="49"/>
    </row>
    <row r="117" spans="1:23">
      <c r="A117" s="30"/>
      <c r="C117" s="13" t="s">
        <v>45</v>
      </c>
      <c r="G117" s="205"/>
      <c r="H117" s="205"/>
      <c r="I117" s="206"/>
      <c r="K117" s="157">
        <f>SUBTOTAL(9,K97:K116)</f>
        <v>52461753.619999997</v>
      </c>
      <c r="L117" s="145"/>
      <c r="M117" s="147">
        <f>SUBTOTAL(9,M97:M116)</f>
        <v>19846681.27</v>
      </c>
      <c r="N117" s="147"/>
      <c r="O117" s="147">
        <f>SUBTOTAL(9,O97:O116)</f>
        <v>32857903</v>
      </c>
      <c r="P117" s="147"/>
      <c r="Q117" s="147">
        <f>SUBTOTAL(9,Q97:Q116)</f>
        <v>1780528</v>
      </c>
      <c r="S117" s="26">
        <f>+ROUND(Q117/K117*100,2)</f>
        <v>3.39</v>
      </c>
      <c r="U117" s="49"/>
    </row>
    <row r="118" spans="1:23">
      <c r="A118" s="30"/>
      <c r="G118" s="205"/>
      <c r="H118" s="205"/>
      <c r="I118" s="206"/>
      <c r="K118" s="157"/>
      <c r="L118" s="145"/>
      <c r="M118" s="147"/>
      <c r="N118" s="147"/>
      <c r="O118" s="147"/>
      <c r="P118" s="147"/>
      <c r="Q118" s="147"/>
      <c r="S118" s="26"/>
      <c r="U118" s="49"/>
    </row>
    <row r="119" spans="1:23">
      <c r="A119" s="30">
        <v>342</v>
      </c>
      <c r="C119" s="13" t="s">
        <v>266</v>
      </c>
      <c r="S119" s="26"/>
      <c r="U119" s="49"/>
    </row>
    <row r="120" spans="1:23">
      <c r="A120" s="30"/>
      <c r="C120" s="33" t="s">
        <v>58</v>
      </c>
      <c r="E120" s="207">
        <v>55153</v>
      </c>
      <c r="G120" s="205" t="s">
        <v>145</v>
      </c>
      <c r="H120" s="205" t="s">
        <v>141</v>
      </c>
      <c r="I120" s="206">
        <v>-1</v>
      </c>
      <c r="K120" s="157">
        <v>13766120.51</v>
      </c>
      <c r="L120" s="145"/>
      <c r="M120" s="147">
        <v>5537459.1299999999</v>
      </c>
      <c r="N120" s="147"/>
      <c r="O120" s="52">
        <f t="shared" ref="O120:O126" si="17">ROUND((K120+(K120*-(I120/100)))-M120,0)</f>
        <v>8366323</v>
      </c>
      <c r="P120" s="27"/>
      <c r="Q120" s="27">
        <f t="shared" ref="Q120:Q126" si="18">O120/U120</f>
        <v>367507</v>
      </c>
      <c r="R120" s="14"/>
      <c r="S120" s="28">
        <f t="shared" ref="S120:S126" si="19">Q120/K120*100</f>
        <v>2.6696482842281903</v>
      </c>
      <c r="U120" s="49">
        <v>22.765071141502066</v>
      </c>
      <c r="W120" s="13">
        <v>22.765071141502066</v>
      </c>
    </row>
    <row r="121" spans="1:23">
      <c r="A121" s="30"/>
      <c r="C121" s="33" t="s">
        <v>64</v>
      </c>
      <c r="E121" s="207">
        <v>53327</v>
      </c>
      <c r="G121" s="205" t="s">
        <v>145</v>
      </c>
      <c r="H121" s="205" t="s">
        <v>141</v>
      </c>
      <c r="I121" s="206">
        <v>-1</v>
      </c>
      <c r="K121" s="157">
        <v>70051.649999999994</v>
      </c>
      <c r="L121" s="145"/>
      <c r="M121" s="147">
        <v>27987.56</v>
      </c>
      <c r="N121" s="147"/>
      <c r="O121" s="52">
        <f t="shared" si="17"/>
        <v>42765</v>
      </c>
      <c r="P121" s="27"/>
      <c r="Q121" s="27">
        <f t="shared" si="18"/>
        <v>2123</v>
      </c>
      <c r="R121" s="14"/>
      <c r="S121" s="28">
        <f t="shared" si="19"/>
        <v>3.0306209775215862</v>
      </c>
      <c r="U121" s="49">
        <v>20.143664625529912</v>
      </c>
      <c r="W121" s="13">
        <v>20.143664625529912</v>
      </c>
    </row>
    <row r="122" spans="1:23">
      <c r="A122" s="30"/>
      <c r="C122" s="33" t="s">
        <v>65</v>
      </c>
      <c r="E122" s="207">
        <v>53327</v>
      </c>
      <c r="G122" s="205" t="s">
        <v>145</v>
      </c>
      <c r="H122" s="205" t="s">
        <v>141</v>
      </c>
      <c r="I122" s="206">
        <v>-1</v>
      </c>
      <c r="K122" s="157">
        <v>70051.649999999994</v>
      </c>
      <c r="L122" s="145"/>
      <c r="M122" s="147">
        <v>28048.65</v>
      </c>
      <c r="N122" s="147"/>
      <c r="O122" s="52">
        <f t="shared" si="17"/>
        <v>42704</v>
      </c>
      <c r="P122" s="27"/>
      <c r="Q122" s="27">
        <f t="shared" si="18"/>
        <v>2120</v>
      </c>
      <c r="R122" s="14"/>
      <c r="S122" s="28">
        <f t="shared" si="19"/>
        <v>3.0263384231492054</v>
      </c>
      <c r="U122" s="49">
        <v>20.143396226415096</v>
      </c>
      <c r="W122" s="13">
        <v>20.143396226415096</v>
      </c>
    </row>
    <row r="123" spans="1:23">
      <c r="A123" s="30"/>
      <c r="C123" s="33" t="s">
        <v>66</v>
      </c>
      <c r="E123" s="207">
        <v>55153</v>
      </c>
      <c r="G123" s="205" t="s">
        <v>145</v>
      </c>
      <c r="H123" s="205" t="s">
        <v>141</v>
      </c>
      <c r="I123" s="206">
        <v>0</v>
      </c>
      <c r="K123" s="157">
        <v>2384532.85</v>
      </c>
      <c r="L123" s="145"/>
      <c r="M123" s="147">
        <v>551700.31999999995</v>
      </c>
      <c r="N123" s="147"/>
      <c r="O123" s="52">
        <f t="shared" si="17"/>
        <v>1832833</v>
      </c>
      <c r="P123" s="27"/>
      <c r="Q123" s="27">
        <f t="shared" si="18"/>
        <v>73372</v>
      </c>
      <c r="R123" s="14"/>
      <c r="S123" s="28">
        <f t="shared" si="19"/>
        <v>3.0769968214109529</v>
      </c>
      <c r="U123" s="49">
        <v>24.980005996838031</v>
      </c>
      <c r="W123" s="13">
        <v>24.980005996838031</v>
      </c>
    </row>
    <row r="124" spans="1:23">
      <c r="A124" s="30"/>
      <c r="C124" s="33" t="s">
        <v>67</v>
      </c>
      <c r="E124" s="207">
        <v>55153</v>
      </c>
      <c r="G124" s="205" t="s">
        <v>145</v>
      </c>
      <c r="H124" s="205" t="s">
        <v>141</v>
      </c>
      <c r="I124" s="206">
        <v>-1</v>
      </c>
      <c r="K124" s="157">
        <v>2116650.59</v>
      </c>
      <c r="L124" s="145"/>
      <c r="M124" s="147">
        <v>667242.99</v>
      </c>
      <c r="N124" s="147"/>
      <c r="O124" s="52">
        <f t="shared" si="17"/>
        <v>1470574</v>
      </c>
      <c r="P124" s="27"/>
      <c r="Q124" s="27">
        <f t="shared" si="18"/>
        <v>58870</v>
      </c>
      <c r="R124" s="14"/>
      <c r="S124" s="28">
        <f t="shared" si="19"/>
        <v>2.7812809671151255</v>
      </c>
      <c r="U124" s="49">
        <v>24.980023781212843</v>
      </c>
      <c r="W124" s="13">
        <v>24.980023781212843</v>
      </c>
    </row>
    <row r="125" spans="1:23">
      <c r="A125" s="30"/>
      <c r="C125" s="33" t="s">
        <v>70</v>
      </c>
      <c r="E125" s="207">
        <v>50586</v>
      </c>
      <c r="G125" s="205" t="s">
        <v>145</v>
      </c>
      <c r="H125" s="205" t="s">
        <v>141</v>
      </c>
      <c r="I125" s="206">
        <v>0</v>
      </c>
      <c r="K125" s="157">
        <v>357670.24</v>
      </c>
      <c r="L125" s="145"/>
      <c r="M125" s="147">
        <v>135434.97</v>
      </c>
      <c r="N125" s="147"/>
      <c r="O125" s="52">
        <f t="shared" si="17"/>
        <v>222235</v>
      </c>
      <c r="P125" s="27"/>
      <c r="Q125" s="27">
        <f t="shared" si="18"/>
        <v>16139</v>
      </c>
      <c r="R125" s="14"/>
      <c r="S125" s="28">
        <f t="shared" si="19"/>
        <v>4.5122568766134981</v>
      </c>
      <c r="U125" s="49">
        <v>13.770060102856435</v>
      </c>
      <c r="W125" s="13">
        <v>13.770060102856435</v>
      </c>
    </row>
    <row r="126" spans="1:23">
      <c r="A126" s="30"/>
      <c r="C126" s="33" t="s">
        <v>73</v>
      </c>
      <c r="E126" s="207">
        <v>52962</v>
      </c>
      <c r="G126" s="205" t="s">
        <v>145</v>
      </c>
      <c r="H126" s="205" t="s">
        <v>141</v>
      </c>
      <c r="I126" s="206">
        <v>0</v>
      </c>
      <c r="K126" s="144">
        <v>1162203.57</v>
      </c>
      <c r="L126" s="145"/>
      <c r="M126" s="148">
        <v>331031.62</v>
      </c>
      <c r="N126" s="147"/>
      <c r="O126" s="55">
        <f t="shared" si="17"/>
        <v>831172</v>
      </c>
      <c r="P126" s="27"/>
      <c r="Q126" s="29">
        <f t="shared" si="18"/>
        <v>40348</v>
      </c>
      <c r="R126" s="14"/>
      <c r="S126" s="28">
        <f t="shared" si="19"/>
        <v>3.471680955170358</v>
      </c>
      <c r="U126" s="49">
        <v>20.600079310002975</v>
      </c>
      <c r="W126" s="13">
        <v>20.600079310002975</v>
      </c>
    </row>
    <row r="127" spans="1:23">
      <c r="A127" s="30"/>
      <c r="G127" s="205"/>
      <c r="H127" s="205"/>
      <c r="I127" s="206"/>
      <c r="K127" s="157"/>
      <c r="L127" s="145"/>
      <c r="M127" s="147"/>
      <c r="N127" s="147"/>
      <c r="O127" s="147"/>
      <c r="P127" s="147"/>
      <c r="Q127" s="147"/>
      <c r="S127" s="26"/>
      <c r="U127" s="49"/>
    </row>
    <row r="128" spans="1:23">
      <c r="A128" s="30"/>
      <c r="C128" s="13" t="s">
        <v>79</v>
      </c>
      <c r="G128" s="205"/>
      <c r="H128" s="205"/>
      <c r="I128" s="206"/>
      <c r="K128" s="157">
        <f>SUBTOTAL(9,K120:K127)</f>
        <v>19927281.059999999</v>
      </c>
      <c r="L128" s="145"/>
      <c r="M128" s="147">
        <f>SUBTOTAL(9,M120:M127)</f>
        <v>7278905.2400000002</v>
      </c>
      <c r="N128" s="147"/>
      <c r="O128" s="147">
        <f>SUBTOTAL(9,O120:O127)</f>
        <v>12808606</v>
      </c>
      <c r="P128" s="147"/>
      <c r="Q128" s="147">
        <f>SUBTOTAL(9,Q120:Q127)</f>
        <v>560479</v>
      </c>
      <c r="S128" s="26">
        <f>+ROUND(Q128/K128*100,2)</f>
        <v>2.81</v>
      </c>
      <c r="U128" s="49"/>
    </row>
    <row r="129" spans="1:23">
      <c r="A129" s="30"/>
      <c r="G129" s="205"/>
      <c r="H129" s="205"/>
      <c r="I129" s="206"/>
      <c r="K129" s="157"/>
      <c r="L129" s="145"/>
      <c r="M129" s="147"/>
      <c r="N129" s="147"/>
      <c r="O129" s="147"/>
      <c r="P129" s="147"/>
      <c r="Q129" s="147"/>
      <c r="S129" s="26"/>
      <c r="U129" s="49"/>
    </row>
    <row r="130" spans="1:23">
      <c r="A130" s="30">
        <v>343</v>
      </c>
      <c r="C130" s="13" t="s">
        <v>80</v>
      </c>
      <c r="S130" s="26"/>
      <c r="U130" s="49"/>
    </row>
    <row r="131" spans="1:23">
      <c r="A131" s="30"/>
      <c r="C131" s="33" t="s">
        <v>58</v>
      </c>
      <c r="E131" s="207">
        <v>55153</v>
      </c>
      <c r="G131" s="205" t="s">
        <v>146</v>
      </c>
      <c r="H131" s="205" t="s">
        <v>141</v>
      </c>
      <c r="I131" s="206">
        <v>-1</v>
      </c>
      <c r="K131" s="157">
        <v>21780283.59</v>
      </c>
      <c r="L131" s="145"/>
      <c r="M131" s="147">
        <v>8406987.7799999993</v>
      </c>
      <c r="N131" s="147"/>
      <c r="O131" s="52">
        <f t="shared" ref="O131:O148" si="20">ROUND((K131+(K131*-(I131/100)))-M131,0)</f>
        <v>13591099</v>
      </c>
      <c r="P131" s="27"/>
      <c r="Q131" s="27">
        <f t="shared" ref="Q131:Q148" si="21">O131/U131</f>
        <v>589033</v>
      </c>
      <c r="R131" s="14"/>
      <c r="S131" s="28">
        <f t="shared" ref="S131:S148" si="22">Q131/K131*100</f>
        <v>2.7044321877904438</v>
      </c>
      <c r="U131" s="49">
        <v>23.073578220575079</v>
      </c>
      <c r="W131" s="13">
        <v>23.073578220575079</v>
      </c>
    </row>
    <row r="132" spans="1:23">
      <c r="A132" s="30"/>
      <c r="C132" s="33" t="s">
        <v>59</v>
      </c>
      <c r="E132" s="207">
        <v>50040</v>
      </c>
      <c r="G132" s="205" t="s">
        <v>146</v>
      </c>
      <c r="H132" s="205" t="s">
        <v>141</v>
      </c>
      <c r="I132" s="206">
        <v>0</v>
      </c>
      <c r="K132" s="157">
        <v>24250302.120000001</v>
      </c>
      <c r="L132" s="145"/>
      <c r="M132" s="147">
        <v>10963902.15</v>
      </c>
      <c r="N132" s="147"/>
      <c r="O132" s="52">
        <f t="shared" si="20"/>
        <v>13286400</v>
      </c>
      <c r="P132" s="27"/>
      <c r="Q132" s="27">
        <f t="shared" si="21"/>
        <v>1065898</v>
      </c>
      <c r="R132" s="14"/>
      <c r="S132" s="28">
        <f t="shared" si="22"/>
        <v>4.3954009097516344</v>
      </c>
      <c r="U132" s="49">
        <v>12.464982578070321</v>
      </c>
      <c r="W132" s="13">
        <v>12.464982578070321</v>
      </c>
    </row>
    <row r="133" spans="1:23">
      <c r="A133" s="30"/>
      <c r="C133" s="33" t="s">
        <v>60</v>
      </c>
      <c r="E133" s="207">
        <v>50040</v>
      </c>
      <c r="G133" s="205" t="s">
        <v>146</v>
      </c>
      <c r="H133" s="205" t="s">
        <v>141</v>
      </c>
      <c r="I133" s="206">
        <v>0</v>
      </c>
      <c r="K133" s="157">
        <v>16948244.77</v>
      </c>
      <c r="L133" s="145"/>
      <c r="M133" s="147">
        <v>10018781.130000001</v>
      </c>
      <c r="N133" s="147"/>
      <c r="O133" s="52">
        <f t="shared" si="20"/>
        <v>6929464</v>
      </c>
      <c r="P133" s="27"/>
      <c r="Q133" s="27">
        <f t="shared" si="21"/>
        <v>568787</v>
      </c>
      <c r="R133" s="14"/>
      <c r="S133" s="28">
        <f t="shared" si="22"/>
        <v>3.3560230437951128</v>
      </c>
      <c r="U133" s="49">
        <v>12.182880410417257</v>
      </c>
      <c r="W133" s="13">
        <v>12.182880410417257</v>
      </c>
    </row>
    <row r="134" spans="1:23">
      <c r="A134" s="30"/>
      <c r="C134" s="33" t="s">
        <v>61</v>
      </c>
      <c r="E134" s="207">
        <v>50040</v>
      </c>
      <c r="G134" s="205" t="s">
        <v>146</v>
      </c>
      <c r="H134" s="205" t="s">
        <v>141</v>
      </c>
      <c r="I134" s="206">
        <v>0</v>
      </c>
      <c r="K134" s="157">
        <v>16247189.43</v>
      </c>
      <c r="L134" s="145"/>
      <c r="M134" s="147">
        <v>9231709.7200000007</v>
      </c>
      <c r="N134" s="147"/>
      <c r="O134" s="52">
        <f t="shared" si="20"/>
        <v>7015480</v>
      </c>
      <c r="P134" s="27"/>
      <c r="Q134" s="27">
        <f t="shared" si="21"/>
        <v>575464</v>
      </c>
      <c r="R134" s="14"/>
      <c r="S134" s="28">
        <f t="shared" si="22"/>
        <v>3.5419295286692547</v>
      </c>
      <c r="U134" s="49">
        <v>12.190997177929463</v>
      </c>
      <c r="W134" s="13">
        <v>12.190997177929463</v>
      </c>
    </row>
    <row r="135" spans="1:23">
      <c r="A135" s="30"/>
      <c r="C135" s="33" t="s">
        <v>62</v>
      </c>
      <c r="E135" s="207">
        <v>51866</v>
      </c>
      <c r="G135" s="205" t="s">
        <v>146</v>
      </c>
      <c r="H135" s="205" t="s">
        <v>141</v>
      </c>
      <c r="I135" s="206">
        <v>-1</v>
      </c>
      <c r="K135" s="157">
        <v>25858484.41</v>
      </c>
      <c r="L135" s="145"/>
      <c r="M135" s="147">
        <v>12301096.98</v>
      </c>
      <c r="N135" s="147"/>
      <c r="O135" s="52">
        <f t="shared" si="20"/>
        <v>13815972</v>
      </c>
      <c r="P135" s="27"/>
      <c r="Q135" s="27">
        <f t="shared" si="21"/>
        <v>836947</v>
      </c>
      <c r="R135" s="14"/>
      <c r="S135" s="28">
        <f t="shared" si="22"/>
        <v>3.2366436745857214</v>
      </c>
      <c r="U135" s="49">
        <v>16.507582917436828</v>
      </c>
      <c r="W135" s="13">
        <v>16.507582917436828</v>
      </c>
    </row>
    <row r="136" spans="1:23">
      <c r="A136" s="30"/>
      <c r="C136" s="33" t="s">
        <v>63</v>
      </c>
      <c r="E136" s="207">
        <v>51866</v>
      </c>
      <c r="G136" s="205" t="s">
        <v>146</v>
      </c>
      <c r="H136" s="205" t="s">
        <v>141</v>
      </c>
      <c r="I136" s="206">
        <v>-1</v>
      </c>
      <c r="K136" s="157">
        <v>21295538.73</v>
      </c>
      <c r="L136" s="145"/>
      <c r="M136" s="147">
        <v>10224571</v>
      </c>
      <c r="N136" s="147"/>
      <c r="O136" s="52">
        <f t="shared" si="20"/>
        <v>11283923</v>
      </c>
      <c r="P136" s="27"/>
      <c r="Q136" s="27">
        <f t="shared" si="21"/>
        <v>685392</v>
      </c>
      <c r="R136" s="14"/>
      <c r="S136" s="28">
        <f t="shared" si="22"/>
        <v>3.2184769246267382</v>
      </c>
      <c r="U136" s="49">
        <v>16.463458867334314</v>
      </c>
      <c r="W136" s="13">
        <v>16.463458867334314</v>
      </c>
    </row>
    <row r="137" spans="1:23">
      <c r="A137" s="30"/>
      <c r="C137" s="33" t="s">
        <v>64</v>
      </c>
      <c r="E137" s="207">
        <v>53327</v>
      </c>
      <c r="G137" s="205" t="s">
        <v>146</v>
      </c>
      <c r="H137" s="205" t="s">
        <v>141</v>
      </c>
      <c r="I137" s="206">
        <v>-1</v>
      </c>
      <c r="K137" s="157">
        <v>18332746.16</v>
      </c>
      <c r="L137" s="145"/>
      <c r="M137" s="147">
        <v>6529338.7800000003</v>
      </c>
      <c r="N137" s="147"/>
      <c r="O137" s="52">
        <f t="shared" si="20"/>
        <v>11986735</v>
      </c>
      <c r="P137" s="27"/>
      <c r="Q137" s="27">
        <f t="shared" si="21"/>
        <v>591907</v>
      </c>
      <c r="R137" s="14"/>
      <c r="S137" s="28">
        <f t="shared" si="22"/>
        <v>3.2286870435782005</v>
      </c>
      <c r="U137" s="49">
        <v>20.251044505302353</v>
      </c>
      <c r="W137" s="13">
        <v>20.251044505302353</v>
      </c>
    </row>
    <row r="138" spans="1:23">
      <c r="A138" s="30"/>
      <c r="C138" s="33" t="s">
        <v>65</v>
      </c>
      <c r="E138" s="207">
        <v>53327</v>
      </c>
      <c r="G138" s="205" t="s">
        <v>146</v>
      </c>
      <c r="H138" s="205" t="s">
        <v>141</v>
      </c>
      <c r="I138" s="206">
        <v>-1</v>
      </c>
      <c r="K138" s="157">
        <v>16754183.57</v>
      </c>
      <c r="L138" s="145"/>
      <c r="M138" s="147">
        <v>6428695.0599999996</v>
      </c>
      <c r="N138" s="147"/>
      <c r="O138" s="52">
        <f t="shared" si="20"/>
        <v>10493030</v>
      </c>
      <c r="P138" s="27"/>
      <c r="Q138" s="27">
        <f t="shared" si="21"/>
        <v>521839</v>
      </c>
      <c r="R138" s="14"/>
      <c r="S138" s="28">
        <f t="shared" si="22"/>
        <v>3.1146787775108518</v>
      </c>
      <c r="U138" s="49">
        <v>20.107791866840156</v>
      </c>
      <c r="W138" s="13">
        <v>20.107791866840156</v>
      </c>
    </row>
    <row r="139" spans="1:23">
      <c r="A139" s="30"/>
      <c r="C139" s="33" t="s">
        <v>66</v>
      </c>
      <c r="E139" s="207">
        <v>55153</v>
      </c>
      <c r="G139" s="205" t="s">
        <v>146</v>
      </c>
      <c r="H139" s="205" t="s">
        <v>141</v>
      </c>
      <c r="I139" s="206">
        <v>0</v>
      </c>
      <c r="K139" s="157">
        <v>41179391.759999998</v>
      </c>
      <c r="L139" s="145"/>
      <c r="M139" s="147">
        <v>7964081</v>
      </c>
      <c r="N139" s="147"/>
      <c r="O139" s="52">
        <f t="shared" si="20"/>
        <v>33215311</v>
      </c>
      <c r="P139" s="27"/>
      <c r="Q139" s="27">
        <f t="shared" si="21"/>
        <v>1334094</v>
      </c>
      <c r="R139" s="14"/>
      <c r="S139" s="28">
        <f t="shared" si="22"/>
        <v>3.2397127373209171</v>
      </c>
      <c r="U139" s="49">
        <v>24.897279352129608</v>
      </c>
      <c r="W139" s="13">
        <v>24.897279352129608</v>
      </c>
    </row>
    <row r="140" spans="1:23">
      <c r="A140" s="30"/>
      <c r="C140" s="33" t="s">
        <v>67</v>
      </c>
      <c r="E140" s="207">
        <v>55153</v>
      </c>
      <c r="G140" s="205" t="s">
        <v>146</v>
      </c>
      <c r="H140" s="205" t="s">
        <v>141</v>
      </c>
      <c r="I140" s="206">
        <v>-1</v>
      </c>
      <c r="K140" s="157">
        <v>38525568.210000001</v>
      </c>
      <c r="L140" s="145"/>
      <c r="M140" s="147">
        <v>10498931.800000001</v>
      </c>
      <c r="N140" s="147"/>
      <c r="O140" s="52">
        <f t="shared" si="20"/>
        <v>28411892</v>
      </c>
      <c r="P140" s="27"/>
      <c r="Q140" s="27">
        <f t="shared" si="21"/>
        <v>1142369</v>
      </c>
      <c r="R140" s="14"/>
      <c r="S140" s="28">
        <f t="shared" si="22"/>
        <v>2.9652229754874262</v>
      </c>
      <c r="U140" s="49">
        <v>24.871028538064319</v>
      </c>
      <c r="W140" s="13">
        <v>24.871028538064319</v>
      </c>
    </row>
    <row r="141" spans="1:23">
      <c r="A141" s="30"/>
      <c r="C141" s="33" t="s">
        <v>68</v>
      </c>
      <c r="E141" s="207">
        <v>50586</v>
      </c>
      <c r="G141" s="205" t="s">
        <v>146</v>
      </c>
      <c r="H141" s="205" t="s">
        <v>141</v>
      </c>
      <c r="I141" s="206">
        <v>0</v>
      </c>
      <c r="K141" s="157">
        <v>354200.3</v>
      </c>
      <c r="L141" s="145"/>
      <c r="M141" s="147">
        <v>124578.89</v>
      </c>
      <c r="N141" s="147"/>
      <c r="O141" s="52">
        <f t="shared" si="20"/>
        <v>229621</v>
      </c>
      <c r="P141" s="27"/>
      <c r="Q141" s="27">
        <f t="shared" si="21"/>
        <v>16660</v>
      </c>
      <c r="R141" s="14"/>
      <c r="S141" s="28">
        <f t="shared" si="22"/>
        <v>4.7035533284415632</v>
      </c>
      <c r="U141" s="49">
        <v>13.782773109243697</v>
      </c>
      <c r="W141" s="13">
        <v>13.782773109243697</v>
      </c>
    </row>
    <row r="142" spans="1:23">
      <c r="A142" s="30"/>
      <c r="C142" s="33" t="s">
        <v>70</v>
      </c>
      <c r="E142" s="207">
        <v>50586</v>
      </c>
      <c r="G142" s="205" t="s">
        <v>146</v>
      </c>
      <c r="H142" s="205" t="s">
        <v>141</v>
      </c>
      <c r="I142" s="206">
        <v>0</v>
      </c>
      <c r="K142" s="157">
        <v>387999.31</v>
      </c>
      <c r="L142" s="145"/>
      <c r="M142" s="147">
        <v>133688.01999999999</v>
      </c>
      <c r="N142" s="147"/>
      <c r="O142" s="52">
        <f t="shared" si="20"/>
        <v>254311</v>
      </c>
      <c r="P142" s="27"/>
      <c r="Q142" s="27">
        <f t="shared" si="21"/>
        <v>18415</v>
      </c>
      <c r="R142" s="14"/>
      <c r="S142" s="28">
        <f t="shared" si="22"/>
        <v>4.7461424609234486</v>
      </c>
      <c r="U142" s="49">
        <v>13.809991854466467</v>
      </c>
      <c r="W142" s="13">
        <v>13.809991854466467</v>
      </c>
    </row>
    <row r="143" spans="1:23">
      <c r="A143" s="30"/>
      <c r="C143" s="33" t="s">
        <v>71</v>
      </c>
      <c r="E143" s="207">
        <v>51682</v>
      </c>
      <c r="G143" s="205" t="s">
        <v>146</v>
      </c>
      <c r="H143" s="205" t="s">
        <v>141</v>
      </c>
      <c r="I143" s="206">
        <v>-1</v>
      </c>
      <c r="K143" s="157">
        <v>201654.6</v>
      </c>
      <c r="L143" s="145"/>
      <c r="M143" s="147">
        <v>64321.63</v>
      </c>
      <c r="N143" s="147"/>
      <c r="O143" s="52">
        <f t="shared" si="20"/>
        <v>139350</v>
      </c>
      <c r="P143" s="27"/>
      <c r="Q143" s="27">
        <f t="shared" si="21"/>
        <v>8461</v>
      </c>
      <c r="R143" s="14"/>
      <c r="S143" s="28">
        <f t="shared" si="22"/>
        <v>4.1957882438585576</v>
      </c>
      <c r="U143" s="49">
        <v>16.469684434464011</v>
      </c>
      <c r="W143" s="13">
        <v>16.469684434464011</v>
      </c>
    </row>
    <row r="144" spans="1:23">
      <c r="A144" s="30"/>
      <c r="C144" s="33" t="s">
        <v>72</v>
      </c>
      <c r="E144" s="207">
        <v>52047</v>
      </c>
      <c r="G144" s="205" t="s">
        <v>146</v>
      </c>
      <c r="H144" s="205" t="s">
        <v>141</v>
      </c>
      <c r="I144" s="206">
        <v>0</v>
      </c>
      <c r="K144" s="157">
        <v>275099.08</v>
      </c>
      <c r="L144" s="145"/>
      <c r="M144" s="147">
        <v>82817.759999999995</v>
      </c>
      <c r="N144" s="147"/>
      <c r="O144" s="52">
        <f t="shared" si="20"/>
        <v>192281</v>
      </c>
      <c r="P144" s="27"/>
      <c r="Q144" s="27">
        <f t="shared" si="21"/>
        <v>11051</v>
      </c>
      <c r="R144" s="14"/>
      <c r="S144" s="28">
        <f t="shared" si="22"/>
        <v>4.01709813060807</v>
      </c>
      <c r="U144" s="49">
        <v>17.399420866889873</v>
      </c>
      <c r="W144" s="13">
        <v>17.399420866889873</v>
      </c>
    </row>
    <row r="145" spans="1:23">
      <c r="A145" s="30"/>
      <c r="C145" s="33" t="s">
        <v>73</v>
      </c>
      <c r="E145" s="207">
        <v>52962</v>
      </c>
      <c r="G145" s="205" t="s">
        <v>146</v>
      </c>
      <c r="H145" s="205" t="s">
        <v>141</v>
      </c>
      <c r="I145" s="206">
        <v>0</v>
      </c>
      <c r="K145" s="157">
        <v>57861908.030000001</v>
      </c>
      <c r="L145" s="145"/>
      <c r="M145" s="147">
        <v>8136032.75</v>
      </c>
      <c r="N145" s="147"/>
      <c r="O145" s="52">
        <f t="shared" si="20"/>
        <v>49725875</v>
      </c>
      <c r="P145" s="27"/>
      <c r="Q145" s="27">
        <f t="shared" si="21"/>
        <v>2436662</v>
      </c>
      <c r="R145" s="14"/>
      <c r="S145" s="28">
        <f t="shared" si="22"/>
        <v>4.2111677318636804</v>
      </c>
      <c r="U145" s="49">
        <v>20.407374925205055</v>
      </c>
      <c r="W145" s="13">
        <v>20.407374925205055</v>
      </c>
    </row>
    <row r="146" spans="1:23">
      <c r="A146" s="30"/>
      <c r="C146" s="33" t="s">
        <v>74</v>
      </c>
      <c r="E146" s="207">
        <v>52962</v>
      </c>
      <c r="G146" s="205" t="s">
        <v>146</v>
      </c>
      <c r="H146" s="205" t="s">
        <v>141</v>
      </c>
      <c r="I146" s="206">
        <v>0</v>
      </c>
      <c r="K146" s="157">
        <v>44185201.950000003</v>
      </c>
      <c r="L146" s="145"/>
      <c r="M146" s="147">
        <v>15999848.33</v>
      </c>
      <c r="N146" s="147"/>
      <c r="O146" s="52">
        <f t="shared" si="20"/>
        <v>28185354</v>
      </c>
      <c r="P146" s="27"/>
      <c r="Q146" s="27">
        <f t="shared" si="21"/>
        <v>1396317</v>
      </c>
      <c r="R146" s="14"/>
      <c r="S146" s="28">
        <f t="shared" si="22"/>
        <v>3.1601462443921222</v>
      </c>
      <c r="U146" s="49">
        <v>20.185497992218099</v>
      </c>
      <c r="W146" s="13">
        <v>20.185497992218099</v>
      </c>
    </row>
    <row r="147" spans="1:23">
      <c r="A147" s="30"/>
      <c r="C147" s="33" t="s">
        <v>75</v>
      </c>
      <c r="E147" s="207">
        <v>52962</v>
      </c>
      <c r="G147" s="205" t="s">
        <v>146</v>
      </c>
      <c r="H147" s="205" t="s">
        <v>141</v>
      </c>
      <c r="I147" s="206">
        <v>0</v>
      </c>
      <c r="K147" s="157">
        <v>45507960.020000003</v>
      </c>
      <c r="L147" s="145"/>
      <c r="M147" s="147">
        <v>19640774.829999998</v>
      </c>
      <c r="N147" s="147"/>
      <c r="O147" s="52">
        <f t="shared" si="20"/>
        <v>25867185</v>
      </c>
      <c r="P147" s="27"/>
      <c r="Q147" s="27">
        <f t="shared" si="21"/>
        <v>1281454</v>
      </c>
      <c r="R147" s="14"/>
      <c r="S147" s="28">
        <f t="shared" si="22"/>
        <v>2.8158897903505715</v>
      </c>
      <c r="U147" s="49">
        <v>20.185808464447415</v>
      </c>
      <c r="W147" s="13">
        <v>20.185808464447415</v>
      </c>
    </row>
    <row r="148" spans="1:23">
      <c r="A148" s="30"/>
      <c r="C148" s="33" t="s">
        <v>76</v>
      </c>
      <c r="E148" s="207">
        <v>52962</v>
      </c>
      <c r="G148" s="205" t="s">
        <v>146</v>
      </c>
      <c r="H148" s="205" t="s">
        <v>141</v>
      </c>
      <c r="I148" s="206">
        <v>0</v>
      </c>
      <c r="K148" s="144">
        <v>39171021.640000001</v>
      </c>
      <c r="L148" s="145"/>
      <c r="M148" s="148">
        <v>19052233.73</v>
      </c>
      <c r="N148" s="147"/>
      <c r="O148" s="55">
        <f t="shared" si="20"/>
        <v>20118788</v>
      </c>
      <c r="P148" s="27"/>
      <c r="Q148" s="29">
        <f t="shared" si="21"/>
        <v>995827</v>
      </c>
      <c r="R148" s="14"/>
      <c r="S148" s="28">
        <f t="shared" si="22"/>
        <v>2.5422543459604285</v>
      </c>
      <c r="U148" s="49">
        <v>20.203095517594925</v>
      </c>
      <c r="W148" s="13">
        <v>20.203095517594925</v>
      </c>
    </row>
    <row r="149" spans="1:23">
      <c r="A149" s="30"/>
      <c r="G149" s="205"/>
      <c r="H149" s="205"/>
      <c r="I149" s="206"/>
      <c r="K149" s="157"/>
      <c r="L149" s="145"/>
      <c r="M149" s="147"/>
      <c r="N149" s="147"/>
      <c r="O149" s="147"/>
      <c r="P149" s="147"/>
      <c r="Q149" s="147"/>
      <c r="S149" s="26"/>
      <c r="U149" s="49"/>
    </row>
    <row r="150" spans="1:23">
      <c r="A150" s="30"/>
      <c r="C150" s="13" t="s">
        <v>81</v>
      </c>
      <c r="G150" s="205"/>
      <c r="H150" s="205"/>
      <c r="I150" s="206"/>
      <c r="K150" s="157">
        <f>SUBTOTAL(9,K131:K149)</f>
        <v>429116977.68000001</v>
      </c>
      <c r="L150" s="145"/>
      <c r="M150" s="147">
        <f>SUBTOTAL(9,M131:M149)</f>
        <v>155802391.34</v>
      </c>
      <c r="N150" s="147"/>
      <c r="O150" s="147">
        <f>SUBTOTAL(9,O131:O149)</f>
        <v>274742071</v>
      </c>
      <c r="P150" s="147"/>
      <c r="Q150" s="147">
        <f>SUBTOTAL(9,Q131:Q149)</f>
        <v>14076577</v>
      </c>
      <c r="S150" s="26">
        <f>+ROUND(Q150/K150*100,2)</f>
        <v>3.28</v>
      </c>
      <c r="U150" s="49"/>
    </row>
    <row r="151" spans="1:23">
      <c r="A151" s="30"/>
      <c r="G151" s="205"/>
      <c r="H151" s="205"/>
      <c r="I151" s="206"/>
      <c r="K151" s="157"/>
      <c r="L151" s="145"/>
      <c r="M151" s="147"/>
      <c r="N151" s="147"/>
      <c r="O151" s="147"/>
      <c r="P151" s="147"/>
      <c r="Q151" s="147"/>
      <c r="S151" s="26"/>
      <c r="U151" s="49"/>
    </row>
    <row r="152" spans="1:23">
      <c r="A152" s="30">
        <v>344</v>
      </c>
      <c r="C152" s="13" t="s">
        <v>82</v>
      </c>
      <c r="S152" s="26"/>
      <c r="U152" s="49"/>
    </row>
    <row r="153" spans="1:23">
      <c r="A153" s="30"/>
      <c r="C153" s="33" t="s">
        <v>58</v>
      </c>
      <c r="E153" s="207">
        <v>55153</v>
      </c>
      <c r="G153" s="205" t="s">
        <v>267</v>
      </c>
      <c r="H153" s="205" t="s">
        <v>141</v>
      </c>
      <c r="I153" s="206">
        <v>-1</v>
      </c>
      <c r="K153" s="157">
        <v>385287.95</v>
      </c>
      <c r="L153" s="145"/>
      <c r="M153" s="147">
        <v>112500.83</v>
      </c>
      <c r="N153" s="147"/>
      <c r="O153" s="52">
        <f t="shared" ref="O153:O172" si="23">ROUND((K153+(K153*-(I153/100)))-M153,0)</f>
        <v>276640</v>
      </c>
      <c r="P153" s="27"/>
      <c r="Q153" s="27">
        <f t="shared" ref="Q153:Q172" si="24">O153/U153</f>
        <v>11699</v>
      </c>
      <c r="R153" s="14"/>
      <c r="S153" s="28">
        <f t="shared" ref="S153:S172" si="25">Q153/K153*100</f>
        <v>3.0364302854527372</v>
      </c>
      <c r="U153" s="49">
        <v>23.646465509872638</v>
      </c>
      <c r="W153" s="13">
        <v>23.646465509872638</v>
      </c>
    </row>
    <row r="154" spans="1:23">
      <c r="A154" s="30"/>
      <c r="C154" s="33" t="s">
        <v>59</v>
      </c>
      <c r="E154" s="207">
        <v>50040</v>
      </c>
      <c r="G154" s="205" t="s">
        <v>267</v>
      </c>
      <c r="H154" s="205" t="s">
        <v>141</v>
      </c>
      <c r="I154" s="206">
        <v>0</v>
      </c>
      <c r="K154" s="157">
        <v>4960295.58</v>
      </c>
      <c r="L154" s="145"/>
      <c r="M154" s="147">
        <v>2938099.42</v>
      </c>
      <c r="N154" s="147"/>
      <c r="O154" s="52">
        <f t="shared" si="23"/>
        <v>2022196</v>
      </c>
      <c r="P154" s="27"/>
      <c r="Q154" s="27">
        <f t="shared" si="24"/>
        <v>168920</v>
      </c>
      <c r="R154" s="14"/>
      <c r="S154" s="28">
        <f t="shared" si="25"/>
        <v>3.4054422216508313</v>
      </c>
      <c r="U154" s="49">
        <v>11.971323703528297</v>
      </c>
      <c r="W154" s="13">
        <v>11.971323703528297</v>
      </c>
    </row>
    <row r="155" spans="1:23">
      <c r="A155" s="30"/>
      <c r="C155" s="33" t="s">
        <v>60</v>
      </c>
      <c r="E155" s="207">
        <v>50040</v>
      </c>
      <c r="G155" s="205" t="s">
        <v>267</v>
      </c>
      <c r="H155" s="205" t="s">
        <v>141</v>
      </c>
      <c r="I155" s="206">
        <v>0</v>
      </c>
      <c r="K155" s="157">
        <v>5083402.2400000002</v>
      </c>
      <c r="L155" s="145"/>
      <c r="M155" s="147">
        <v>3000111.74</v>
      </c>
      <c r="N155" s="147"/>
      <c r="O155" s="52">
        <f t="shared" si="23"/>
        <v>2083291</v>
      </c>
      <c r="P155" s="27"/>
      <c r="Q155" s="27">
        <f t="shared" si="24"/>
        <v>173446.08325581174</v>
      </c>
      <c r="R155" s="14"/>
      <c r="S155" s="28">
        <f t="shared" si="25"/>
        <v>3.4120078456709289</v>
      </c>
      <c r="U155" s="49">
        <v>12.011173506451575</v>
      </c>
      <c r="W155" s="13">
        <v>12.011173506451575</v>
      </c>
    </row>
    <row r="156" spans="1:23">
      <c r="A156" s="30"/>
      <c r="C156" s="33" t="s">
        <v>61</v>
      </c>
      <c r="E156" s="207">
        <v>50040</v>
      </c>
      <c r="G156" s="205" t="s">
        <v>267</v>
      </c>
      <c r="H156" s="205" t="s">
        <v>141</v>
      </c>
      <c r="I156" s="206">
        <v>0</v>
      </c>
      <c r="K156" s="157">
        <v>2283154.23</v>
      </c>
      <c r="L156" s="145"/>
      <c r="M156" s="147">
        <v>1074252.4099999999</v>
      </c>
      <c r="N156" s="147"/>
      <c r="O156" s="52">
        <f t="shared" si="23"/>
        <v>1208902</v>
      </c>
      <c r="P156" s="27"/>
      <c r="Q156" s="27">
        <f t="shared" si="24"/>
        <v>97542</v>
      </c>
      <c r="R156" s="14"/>
      <c r="S156" s="28">
        <f t="shared" si="25"/>
        <v>4.2722475213599562</v>
      </c>
      <c r="U156" s="49">
        <v>12.393656066104857</v>
      </c>
      <c r="W156" s="13">
        <v>12.393656066104857</v>
      </c>
    </row>
    <row r="157" spans="1:23">
      <c r="A157" s="30"/>
      <c r="C157" s="33" t="s">
        <v>62</v>
      </c>
      <c r="E157" s="207">
        <v>51866</v>
      </c>
      <c r="G157" s="205" t="s">
        <v>267</v>
      </c>
      <c r="H157" s="205" t="s">
        <v>141</v>
      </c>
      <c r="I157" s="206">
        <v>-1</v>
      </c>
      <c r="K157" s="157">
        <v>7839449.8600000003</v>
      </c>
      <c r="L157" s="145"/>
      <c r="M157" s="147">
        <v>3867941.4</v>
      </c>
      <c r="N157" s="147"/>
      <c r="O157" s="52">
        <f t="shared" si="23"/>
        <v>4049903</v>
      </c>
      <c r="P157" s="27"/>
      <c r="Q157" s="27">
        <f t="shared" si="24"/>
        <v>252775</v>
      </c>
      <c r="R157" s="14"/>
      <c r="S157" s="28">
        <f t="shared" si="25"/>
        <v>3.2243971772784574</v>
      </c>
      <c r="U157" s="49">
        <v>16.021770349124715</v>
      </c>
      <c r="W157" s="13">
        <v>16.021770349124715</v>
      </c>
    </row>
    <row r="158" spans="1:23">
      <c r="A158" s="30"/>
      <c r="C158" s="33" t="s">
        <v>63</v>
      </c>
      <c r="E158" s="207">
        <v>51866</v>
      </c>
      <c r="G158" s="205" t="s">
        <v>267</v>
      </c>
      <c r="H158" s="205" t="s">
        <v>141</v>
      </c>
      <c r="I158" s="206">
        <v>-1</v>
      </c>
      <c r="K158" s="157">
        <v>7775759.6900000004</v>
      </c>
      <c r="L158" s="145"/>
      <c r="M158" s="147">
        <v>3839731.27</v>
      </c>
      <c r="N158" s="147"/>
      <c r="O158" s="52">
        <f t="shared" si="23"/>
        <v>4013786</v>
      </c>
      <c r="P158" s="27"/>
      <c r="Q158" s="27">
        <f t="shared" si="24"/>
        <v>250706</v>
      </c>
      <c r="R158" s="14"/>
      <c r="S158" s="28">
        <f t="shared" si="25"/>
        <v>3.2241994351036842</v>
      </c>
      <c r="U158" s="49">
        <v>16.009931952167079</v>
      </c>
      <c r="W158" s="13">
        <v>16.009931952167079</v>
      </c>
    </row>
    <row r="159" spans="1:23">
      <c r="A159" s="30"/>
      <c r="C159" s="33" t="s">
        <v>64</v>
      </c>
      <c r="E159" s="207">
        <v>53327</v>
      </c>
      <c r="G159" s="205" t="s">
        <v>267</v>
      </c>
      <c r="H159" s="205" t="s">
        <v>141</v>
      </c>
      <c r="I159" s="206">
        <v>-1</v>
      </c>
      <c r="K159" s="157">
        <v>4831725.68</v>
      </c>
      <c r="L159" s="145"/>
      <c r="M159" s="147">
        <v>1988705.91</v>
      </c>
      <c r="N159" s="147"/>
      <c r="O159" s="52">
        <f t="shared" si="23"/>
        <v>2891337</v>
      </c>
      <c r="P159" s="27"/>
      <c r="Q159" s="27">
        <f t="shared" si="24"/>
        <v>149038</v>
      </c>
      <c r="R159" s="14"/>
      <c r="S159" s="28">
        <f t="shared" si="25"/>
        <v>3.0845708111475405</v>
      </c>
      <c r="U159" s="49">
        <v>19.399998658060362</v>
      </c>
      <c r="W159" s="13">
        <v>19.399998658060362</v>
      </c>
    </row>
    <row r="160" spans="1:23">
      <c r="A160" s="30"/>
      <c r="C160" s="33" t="s">
        <v>65</v>
      </c>
      <c r="E160" s="207">
        <v>53327</v>
      </c>
      <c r="G160" s="205" t="s">
        <v>267</v>
      </c>
      <c r="H160" s="205" t="s">
        <v>141</v>
      </c>
      <c r="I160" s="206">
        <v>-1</v>
      </c>
      <c r="K160" s="157">
        <v>4838938.32</v>
      </c>
      <c r="L160" s="145"/>
      <c r="M160" s="147">
        <v>1996016.06</v>
      </c>
      <c r="N160" s="147"/>
      <c r="O160" s="52">
        <f t="shared" si="23"/>
        <v>2891312</v>
      </c>
      <c r="P160" s="27"/>
      <c r="Q160" s="27">
        <f t="shared" si="24"/>
        <v>149037</v>
      </c>
      <c r="R160" s="14"/>
      <c r="S160" s="28">
        <f t="shared" si="25"/>
        <v>3.0799524636222269</v>
      </c>
      <c r="U160" s="49">
        <v>19.399961083489334</v>
      </c>
      <c r="W160" s="13">
        <v>19.399961083489334</v>
      </c>
    </row>
    <row r="161" spans="1:23">
      <c r="A161" s="30"/>
      <c r="C161" s="33" t="s">
        <v>66</v>
      </c>
      <c r="E161" s="207">
        <v>55153</v>
      </c>
      <c r="G161" s="205" t="s">
        <v>267</v>
      </c>
      <c r="H161" s="205" t="s">
        <v>141</v>
      </c>
      <c r="I161" s="206">
        <v>0</v>
      </c>
      <c r="K161" s="157">
        <v>4442193.82</v>
      </c>
      <c r="L161" s="145"/>
      <c r="M161" s="147">
        <v>1063394.57</v>
      </c>
      <c r="N161" s="147"/>
      <c r="O161" s="52">
        <f t="shared" si="23"/>
        <v>3378799</v>
      </c>
      <c r="P161" s="27"/>
      <c r="Q161" s="27">
        <f t="shared" si="24"/>
        <v>141609</v>
      </c>
      <c r="R161" s="14"/>
      <c r="S161" s="28">
        <f t="shared" si="25"/>
        <v>3.1878167801332</v>
      </c>
      <c r="U161" s="49">
        <v>23.860058329625943</v>
      </c>
      <c r="W161" s="13">
        <v>23.860058329625943</v>
      </c>
    </row>
    <row r="162" spans="1:23">
      <c r="A162" s="30"/>
      <c r="C162" s="33" t="s">
        <v>67</v>
      </c>
      <c r="E162" s="207">
        <v>55153</v>
      </c>
      <c r="G162" s="205" t="s">
        <v>267</v>
      </c>
      <c r="H162" s="205" t="s">
        <v>141</v>
      </c>
      <c r="I162" s="206">
        <v>-1</v>
      </c>
      <c r="K162" s="157">
        <v>4442193.82</v>
      </c>
      <c r="L162" s="145"/>
      <c r="M162" s="147">
        <v>1448871.44</v>
      </c>
      <c r="N162" s="147"/>
      <c r="O162" s="52">
        <f t="shared" si="23"/>
        <v>3037744</v>
      </c>
      <c r="P162" s="27"/>
      <c r="Q162" s="27">
        <f t="shared" si="24"/>
        <v>127315</v>
      </c>
      <c r="R162" s="14"/>
      <c r="S162" s="28">
        <f t="shared" si="25"/>
        <v>2.8660388348385935</v>
      </c>
      <c r="U162" s="49">
        <v>23.86006362172564</v>
      </c>
      <c r="W162" s="13">
        <v>23.86006362172564</v>
      </c>
    </row>
    <row r="163" spans="1:23">
      <c r="A163" s="30"/>
      <c r="C163" s="33" t="s">
        <v>68</v>
      </c>
      <c r="E163" s="207">
        <v>50586</v>
      </c>
      <c r="G163" s="205" t="s">
        <v>267</v>
      </c>
      <c r="H163" s="205" t="s">
        <v>141</v>
      </c>
      <c r="I163" s="206">
        <v>0</v>
      </c>
      <c r="K163" s="157">
        <v>1098205.33</v>
      </c>
      <c r="L163" s="145"/>
      <c r="M163" s="147">
        <v>430052.22</v>
      </c>
      <c r="N163" s="147"/>
      <c r="O163" s="52">
        <f t="shared" si="23"/>
        <v>668153</v>
      </c>
      <c r="P163" s="27"/>
      <c r="Q163" s="27">
        <f t="shared" si="24"/>
        <v>49788</v>
      </c>
      <c r="R163" s="14"/>
      <c r="S163" s="28">
        <f t="shared" si="25"/>
        <v>4.5335784338253031</v>
      </c>
      <c r="U163" s="49">
        <v>13.419960633084278</v>
      </c>
      <c r="W163" s="13">
        <v>13.419960633084278</v>
      </c>
    </row>
    <row r="164" spans="1:23">
      <c r="A164" s="30"/>
      <c r="C164" s="33" t="s">
        <v>70</v>
      </c>
      <c r="E164" s="207">
        <v>50586</v>
      </c>
      <c r="G164" s="205" t="s">
        <v>267</v>
      </c>
      <c r="H164" s="205" t="s">
        <v>141</v>
      </c>
      <c r="I164" s="206">
        <v>0</v>
      </c>
      <c r="K164" s="157">
        <v>4525028.84</v>
      </c>
      <c r="L164" s="145"/>
      <c r="M164" s="147">
        <v>1361216.87</v>
      </c>
      <c r="N164" s="147"/>
      <c r="O164" s="52">
        <f t="shared" si="23"/>
        <v>3163812</v>
      </c>
      <c r="P164" s="27"/>
      <c r="Q164" s="27">
        <f t="shared" si="24"/>
        <v>228266</v>
      </c>
      <c r="R164" s="14"/>
      <c r="S164" s="28">
        <f t="shared" si="25"/>
        <v>5.0445203350350365</v>
      </c>
      <c r="U164" s="49">
        <v>13.860198189831161</v>
      </c>
      <c r="W164" s="13">
        <v>13.860198189831161</v>
      </c>
    </row>
    <row r="165" spans="1:23">
      <c r="A165" s="30"/>
      <c r="C165" s="33" t="s">
        <v>71</v>
      </c>
      <c r="E165" s="207">
        <v>51682</v>
      </c>
      <c r="G165" s="205" t="s">
        <v>267</v>
      </c>
      <c r="H165" s="205" t="s">
        <v>141</v>
      </c>
      <c r="I165" s="206">
        <v>-1</v>
      </c>
      <c r="K165" s="157">
        <v>3171144.21</v>
      </c>
      <c r="L165" s="145"/>
      <c r="M165" s="147">
        <v>1154319.1299999999</v>
      </c>
      <c r="N165" s="147"/>
      <c r="O165" s="52">
        <f t="shared" si="23"/>
        <v>2048537</v>
      </c>
      <c r="P165" s="27"/>
      <c r="Q165" s="27">
        <f t="shared" si="24"/>
        <v>130246</v>
      </c>
      <c r="R165" s="14"/>
      <c r="S165" s="28">
        <f t="shared" si="25"/>
        <v>4.1072241240016014</v>
      </c>
      <c r="U165" s="49">
        <v>15.72821430216667</v>
      </c>
      <c r="W165" s="13">
        <v>15.72821430216667</v>
      </c>
    </row>
    <row r="166" spans="1:23">
      <c r="A166" s="30"/>
      <c r="C166" s="33" t="s">
        <v>72</v>
      </c>
      <c r="E166" s="207">
        <v>52047</v>
      </c>
      <c r="G166" s="205" t="s">
        <v>267</v>
      </c>
      <c r="H166" s="205" t="s">
        <v>141</v>
      </c>
      <c r="I166" s="206">
        <v>0</v>
      </c>
      <c r="K166" s="157">
        <v>1684823.61</v>
      </c>
      <c r="L166" s="145"/>
      <c r="M166" s="147">
        <v>534320.88</v>
      </c>
      <c r="N166" s="147"/>
      <c r="O166" s="52">
        <f t="shared" si="23"/>
        <v>1150503</v>
      </c>
      <c r="P166" s="27"/>
      <c r="Q166" s="27">
        <f t="shared" si="24"/>
        <v>67478</v>
      </c>
      <c r="R166" s="14"/>
      <c r="S166" s="28">
        <f t="shared" si="25"/>
        <v>4.0050483385616849</v>
      </c>
      <c r="U166" s="49">
        <v>17.050045940899256</v>
      </c>
      <c r="W166" s="13">
        <v>17.050045940899256</v>
      </c>
    </row>
    <row r="167" spans="1:23">
      <c r="A167" s="30"/>
      <c r="C167" s="33" t="s">
        <v>83</v>
      </c>
      <c r="E167" s="207">
        <v>53508</v>
      </c>
      <c r="G167" s="205" t="s">
        <v>267</v>
      </c>
      <c r="H167" s="205" t="s">
        <v>141</v>
      </c>
      <c r="I167" s="206">
        <v>0</v>
      </c>
      <c r="K167" s="157">
        <v>2993753.87</v>
      </c>
      <c r="L167" s="145"/>
      <c r="M167" s="147">
        <v>577655.16</v>
      </c>
      <c r="N167" s="147"/>
      <c r="O167" s="52">
        <f t="shared" si="23"/>
        <v>2416099</v>
      </c>
      <c r="P167" s="27"/>
      <c r="Q167" s="27">
        <f t="shared" si="24"/>
        <v>114369</v>
      </c>
      <c r="R167" s="14"/>
      <c r="S167" s="28">
        <f t="shared" si="25"/>
        <v>3.8202539342354154</v>
      </c>
      <c r="U167" s="49">
        <v>21.125471062962866</v>
      </c>
      <c r="W167" s="13">
        <v>21.125471062962866</v>
      </c>
    </row>
    <row r="168" spans="1:23">
      <c r="A168" s="30"/>
      <c r="C168" s="33" t="s">
        <v>73</v>
      </c>
      <c r="E168" s="207">
        <v>52962</v>
      </c>
      <c r="G168" s="205" t="s">
        <v>267</v>
      </c>
      <c r="H168" s="205" t="s">
        <v>141</v>
      </c>
      <c r="I168" s="206">
        <v>0</v>
      </c>
      <c r="K168" s="157">
        <v>17086.14</v>
      </c>
      <c r="L168" s="145"/>
      <c r="M168" s="147">
        <v>4627.6899999999996</v>
      </c>
      <c r="N168" s="147"/>
      <c r="O168" s="52">
        <f t="shared" si="23"/>
        <v>12458</v>
      </c>
      <c r="P168" s="27"/>
      <c r="Q168" s="27">
        <f t="shared" si="24"/>
        <v>623</v>
      </c>
      <c r="R168" s="14"/>
      <c r="S168" s="28">
        <f t="shared" si="25"/>
        <v>3.6462302193473772</v>
      </c>
      <c r="U168" s="49">
        <v>19.996789727126806</v>
      </c>
      <c r="W168" s="13">
        <v>19.996789727126806</v>
      </c>
    </row>
    <row r="169" spans="1:23">
      <c r="A169" s="30"/>
      <c r="C169" s="33" t="s">
        <v>74</v>
      </c>
      <c r="E169" s="207">
        <v>52962</v>
      </c>
      <c r="G169" s="205" t="s">
        <v>267</v>
      </c>
      <c r="H169" s="205" t="s">
        <v>141</v>
      </c>
      <c r="I169" s="206">
        <v>0</v>
      </c>
      <c r="K169" s="157">
        <v>12907984.9</v>
      </c>
      <c r="L169" s="145"/>
      <c r="M169" s="147">
        <v>3224198.61</v>
      </c>
      <c r="N169" s="147"/>
      <c r="O169" s="52">
        <f t="shared" si="23"/>
        <v>9683786</v>
      </c>
      <c r="P169" s="27"/>
      <c r="Q169" s="27">
        <f t="shared" si="24"/>
        <v>479509</v>
      </c>
      <c r="R169" s="14"/>
      <c r="S169" s="28">
        <f t="shared" si="25"/>
        <v>3.7148246121670003</v>
      </c>
      <c r="U169" s="49">
        <v>20.19521218579839</v>
      </c>
      <c r="W169" s="13">
        <v>20.19521218579839</v>
      </c>
    </row>
    <row r="170" spans="1:23">
      <c r="A170" s="30"/>
      <c r="C170" s="33" t="s">
        <v>75</v>
      </c>
      <c r="E170" s="207">
        <v>52962</v>
      </c>
      <c r="G170" s="205" t="s">
        <v>267</v>
      </c>
      <c r="H170" s="205" t="s">
        <v>141</v>
      </c>
      <c r="I170" s="206">
        <v>0</v>
      </c>
      <c r="K170" s="157">
        <v>7457690.5700000003</v>
      </c>
      <c r="L170" s="145"/>
      <c r="M170" s="147">
        <v>3616888.57</v>
      </c>
      <c r="N170" s="147"/>
      <c r="O170" s="52">
        <f t="shared" si="23"/>
        <v>3840802</v>
      </c>
      <c r="P170" s="27"/>
      <c r="Q170" s="27">
        <f t="shared" si="24"/>
        <v>192908</v>
      </c>
      <c r="R170" s="14"/>
      <c r="S170" s="28">
        <f t="shared" si="25"/>
        <v>2.5866989008099859</v>
      </c>
      <c r="U170" s="49">
        <v>19.910019283803678</v>
      </c>
      <c r="W170" s="13">
        <v>19.910019283803678</v>
      </c>
    </row>
    <row r="171" spans="1:23">
      <c r="A171" s="30"/>
      <c r="C171" s="33" t="s">
        <v>76</v>
      </c>
      <c r="E171" s="207">
        <v>52962</v>
      </c>
      <c r="G171" s="205" t="s">
        <v>267</v>
      </c>
      <c r="H171" s="205" t="s">
        <v>141</v>
      </c>
      <c r="I171" s="206">
        <v>0</v>
      </c>
      <c r="K171" s="157">
        <v>7457690.5700000003</v>
      </c>
      <c r="L171" s="145"/>
      <c r="M171" s="147">
        <v>4161782.32</v>
      </c>
      <c r="N171" s="147"/>
      <c r="O171" s="52">
        <f t="shared" si="23"/>
        <v>3295908</v>
      </c>
      <c r="P171" s="27"/>
      <c r="Q171" s="27">
        <f t="shared" si="24"/>
        <v>165540</v>
      </c>
      <c r="R171" s="14"/>
      <c r="S171" s="28">
        <f t="shared" si="25"/>
        <v>2.2197220231410055</v>
      </c>
      <c r="U171" s="49">
        <v>19.910039869517941</v>
      </c>
      <c r="W171" s="13">
        <v>19.910039869517941</v>
      </c>
    </row>
    <row r="172" spans="1:23">
      <c r="A172" s="30"/>
      <c r="C172" s="33" t="s">
        <v>77</v>
      </c>
      <c r="E172" s="207">
        <v>53873</v>
      </c>
      <c r="G172" s="205" t="s">
        <v>267</v>
      </c>
      <c r="H172" s="205" t="s">
        <v>141</v>
      </c>
      <c r="I172" s="206">
        <v>0</v>
      </c>
      <c r="K172" s="144">
        <v>15810305.550000001</v>
      </c>
      <c r="L172" s="145"/>
      <c r="M172" s="148">
        <v>4136942.16</v>
      </c>
      <c r="N172" s="147"/>
      <c r="O172" s="55">
        <f t="shared" si="23"/>
        <v>11673363</v>
      </c>
      <c r="P172" s="27"/>
      <c r="Q172" s="29">
        <f t="shared" si="24"/>
        <v>524881</v>
      </c>
      <c r="R172" s="14"/>
      <c r="S172" s="28">
        <f t="shared" si="25"/>
        <v>3.3198662627997089</v>
      </c>
      <c r="U172" s="49">
        <v>22.240018213652238</v>
      </c>
      <c r="W172" s="13">
        <v>22.240018213652238</v>
      </c>
    </row>
    <row r="173" spans="1:23">
      <c r="A173" s="30"/>
      <c r="G173" s="205"/>
      <c r="H173" s="205"/>
      <c r="I173" s="206"/>
      <c r="K173" s="157"/>
      <c r="L173" s="145"/>
      <c r="M173" s="147"/>
      <c r="N173" s="147"/>
      <c r="O173" s="147"/>
      <c r="P173" s="147"/>
      <c r="Q173" s="147"/>
      <c r="S173" s="26"/>
      <c r="U173" s="49"/>
    </row>
    <row r="174" spans="1:23">
      <c r="A174" s="30"/>
      <c r="C174" s="13" t="s">
        <v>84</v>
      </c>
      <c r="G174" s="205"/>
      <c r="H174" s="205"/>
      <c r="I174" s="206"/>
      <c r="K174" s="157">
        <f>SUBTOTAL(9,K153:K173)</f>
        <v>104006114.77999999</v>
      </c>
      <c r="L174" s="145"/>
      <c r="M174" s="147">
        <f>SUBTOTAL(9,M153:M173)</f>
        <v>40531628.659999996</v>
      </c>
      <c r="N174" s="147"/>
      <c r="O174" s="147">
        <f>SUBTOTAL(9,O153:O173)</f>
        <v>63807331</v>
      </c>
      <c r="P174" s="147"/>
      <c r="Q174" s="147">
        <f>SUBTOTAL(9,Q153:Q173)</f>
        <v>3475695.0832558116</v>
      </c>
      <c r="S174" s="26">
        <f>+ROUND(Q174/K174*100,2)</f>
        <v>3.34</v>
      </c>
      <c r="U174" s="49"/>
    </row>
    <row r="175" spans="1:23">
      <c r="A175" s="30"/>
      <c r="G175" s="205"/>
      <c r="H175" s="205"/>
      <c r="I175" s="206"/>
      <c r="K175" s="157"/>
      <c r="L175" s="145"/>
      <c r="M175" s="147"/>
      <c r="N175" s="147"/>
      <c r="O175" s="147"/>
      <c r="P175" s="147"/>
      <c r="Q175" s="147"/>
      <c r="S175" s="26"/>
      <c r="U175" s="49"/>
    </row>
    <row r="176" spans="1:23">
      <c r="A176" s="30">
        <v>345</v>
      </c>
      <c r="C176" s="13" t="s">
        <v>52</v>
      </c>
      <c r="S176" s="26"/>
      <c r="U176" s="49"/>
    </row>
    <row r="177" spans="1:23">
      <c r="A177" s="30"/>
      <c r="C177" s="33" t="s">
        <v>58</v>
      </c>
      <c r="E177" s="207">
        <v>55153</v>
      </c>
      <c r="G177" s="205" t="s">
        <v>268</v>
      </c>
      <c r="H177" s="205" t="s">
        <v>141</v>
      </c>
      <c r="I177" s="206">
        <v>-1</v>
      </c>
      <c r="K177" s="157">
        <v>9906844.2300000004</v>
      </c>
      <c r="L177" s="145"/>
      <c r="M177" s="147">
        <v>3804943.8</v>
      </c>
      <c r="N177" s="147"/>
      <c r="O177" s="52">
        <f t="shared" ref="O177:O195" si="26">ROUND((K177+(K177*-(I177/100)))-M177,0)</f>
        <v>6200969</v>
      </c>
      <c r="P177" s="27"/>
      <c r="Q177" s="27">
        <f t="shared" ref="Q177:Q195" si="27">O177/U177</f>
        <v>287373</v>
      </c>
      <c r="R177" s="14"/>
      <c r="S177" s="28">
        <f t="shared" ref="S177:S195" si="28">Q177/K177*100</f>
        <v>2.9007521802934413</v>
      </c>
      <c r="U177" s="49">
        <v>21.578119725931106</v>
      </c>
      <c r="W177" s="13">
        <v>21.578119725931106</v>
      </c>
    </row>
    <row r="178" spans="1:23">
      <c r="A178" s="30"/>
      <c r="C178" s="33" t="s">
        <v>59</v>
      </c>
      <c r="E178" s="207">
        <v>50040</v>
      </c>
      <c r="G178" s="205" t="s">
        <v>268</v>
      </c>
      <c r="H178" s="205" t="s">
        <v>141</v>
      </c>
      <c r="I178" s="206">
        <v>0</v>
      </c>
      <c r="K178" s="157">
        <v>881261.16</v>
      </c>
      <c r="L178" s="145"/>
      <c r="M178" s="147">
        <v>511509.77</v>
      </c>
      <c r="N178" s="147"/>
      <c r="O178" s="52">
        <f t="shared" si="26"/>
        <v>369751</v>
      </c>
      <c r="P178" s="27"/>
      <c r="Q178" s="27">
        <f t="shared" si="27"/>
        <v>31308</v>
      </c>
      <c r="R178" s="14"/>
      <c r="S178" s="28">
        <f t="shared" si="28"/>
        <v>3.5526358610879889</v>
      </c>
      <c r="U178" s="49">
        <v>11.810112431327456</v>
      </c>
      <c r="W178" s="13">
        <v>11.810112431327456</v>
      </c>
    </row>
    <row r="179" spans="1:23">
      <c r="A179" s="30"/>
      <c r="C179" s="33" t="s">
        <v>60</v>
      </c>
      <c r="E179" s="207">
        <v>50040</v>
      </c>
      <c r="G179" s="205" t="s">
        <v>268</v>
      </c>
      <c r="H179" s="205" t="s">
        <v>141</v>
      </c>
      <c r="I179" s="206">
        <v>0</v>
      </c>
      <c r="K179" s="157">
        <v>881262.26</v>
      </c>
      <c r="L179" s="145"/>
      <c r="M179" s="147">
        <v>518712.34</v>
      </c>
      <c r="N179" s="147"/>
      <c r="O179" s="52">
        <f t="shared" si="26"/>
        <v>362550</v>
      </c>
      <c r="P179" s="27"/>
      <c r="Q179" s="27">
        <f t="shared" si="27"/>
        <v>30699</v>
      </c>
      <c r="R179" s="14"/>
      <c r="S179" s="28">
        <f t="shared" si="28"/>
        <v>3.4835260050736769</v>
      </c>
      <c r="U179" s="49">
        <v>11.809830939118537</v>
      </c>
      <c r="W179" s="13">
        <v>11.809830939118537</v>
      </c>
    </row>
    <row r="180" spans="1:23">
      <c r="A180" s="30"/>
      <c r="C180" s="33" t="s">
        <v>61</v>
      </c>
      <c r="E180" s="207">
        <v>50040</v>
      </c>
      <c r="G180" s="205" t="s">
        <v>268</v>
      </c>
      <c r="H180" s="205" t="s">
        <v>141</v>
      </c>
      <c r="I180" s="206">
        <v>0</v>
      </c>
      <c r="K180" s="157">
        <v>881262.26</v>
      </c>
      <c r="L180" s="145"/>
      <c r="M180" s="147">
        <v>501077.37</v>
      </c>
      <c r="N180" s="147"/>
      <c r="O180" s="52">
        <f t="shared" si="26"/>
        <v>380185</v>
      </c>
      <c r="P180" s="27"/>
      <c r="Q180" s="27">
        <f t="shared" si="27"/>
        <v>32192</v>
      </c>
      <c r="R180" s="14"/>
      <c r="S180" s="28">
        <f t="shared" si="28"/>
        <v>3.652942087863833</v>
      </c>
      <c r="U180" s="49">
        <v>11.809921719681908</v>
      </c>
      <c r="W180" s="13">
        <v>11.809921719681908</v>
      </c>
    </row>
    <row r="181" spans="1:23">
      <c r="A181" s="30"/>
      <c r="C181" s="33" t="s">
        <v>62</v>
      </c>
      <c r="E181" s="207">
        <v>51866</v>
      </c>
      <c r="G181" s="205" t="s">
        <v>268</v>
      </c>
      <c r="H181" s="205" t="s">
        <v>141</v>
      </c>
      <c r="I181" s="206">
        <v>-1</v>
      </c>
      <c r="K181" s="157">
        <v>993996.86</v>
      </c>
      <c r="L181" s="145"/>
      <c r="M181" s="147">
        <v>477032.99</v>
      </c>
      <c r="N181" s="147"/>
      <c r="O181" s="52">
        <f t="shared" si="26"/>
        <v>526904</v>
      </c>
      <c r="P181" s="27"/>
      <c r="Q181" s="27">
        <f t="shared" si="27"/>
        <v>33391</v>
      </c>
      <c r="R181" s="14"/>
      <c r="S181" s="28">
        <f t="shared" si="28"/>
        <v>3.3592661449654879</v>
      </c>
      <c r="U181" s="49">
        <v>15.779820909826</v>
      </c>
      <c r="W181" s="13">
        <v>15.779820909826</v>
      </c>
    </row>
    <row r="182" spans="1:23">
      <c r="A182" s="30"/>
      <c r="C182" s="33" t="s">
        <v>63</v>
      </c>
      <c r="E182" s="207">
        <v>51866</v>
      </c>
      <c r="G182" s="205" t="s">
        <v>268</v>
      </c>
      <c r="H182" s="205" t="s">
        <v>141</v>
      </c>
      <c r="I182" s="206">
        <v>-1</v>
      </c>
      <c r="K182" s="157">
        <v>993996.86</v>
      </c>
      <c r="L182" s="145"/>
      <c r="M182" s="147">
        <v>475967.88</v>
      </c>
      <c r="N182" s="147"/>
      <c r="O182" s="52">
        <f t="shared" si="26"/>
        <v>527969</v>
      </c>
      <c r="P182" s="27"/>
      <c r="Q182" s="27">
        <f t="shared" si="27"/>
        <v>33458</v>
      </c>
      <c r="R182" s="14"/>
      <c r="S182" s="28">
        <f t="shared" si="28"/>
        <v>3.3660066089142378</v>
      </c>
      <c r="U182" s="49">
        <v>15.780052603263794</v>
      </c>
      <c r="W182" s="13">
        <v>15.780052603263794</v>
      </c>
    </row>
    <row r="183" spans="1:23">
      <c r="A183" s="30"/>
      <c r="C183" s="33" t="s">
        <v>64</v>
      </c>
      <c r="E183" s="207">
        <v>53327</v>
      </c>
      <c r="G183" s="205" t="s">
        <v>268</v>
      </c>
      <c r="H183" s="205" t="s">
        <v>141</v>
      </c>
      <c r="I183" s="206">
        <v>-1</v>
      </c>
      <c r="K183" s="157">
        <v>1251472.92</v>
      </c>
      <c r="L183" s="145"/>
      <c r="M183" s="147">
        <v>485453.4</v>
      </c>
      <c r="N183" s="147"/>
      <c r="O183" s="52">
        <f t="shared" si="26"/>
        <v>778534</v>
      </c>
      <c r="P183" s="27"/>
      <c r="Q183" s="27">
        <f t="shared" si="27"/>
        <v>40612</v>
      </c>
      <c r="R183" s="14"/>
      <c r="S183" s="28">
        <f t="shared" si="28"/>
        <v>3.2451361392622067</v>
      </c>
      <c r="U183" s="49">
        <v>19.170048261597557</v>
      </c>
      <c r="W183" s="13">
        <v>19.170048261597557</v>
      </c>
    </row>
    <row r="184" spans="1:23">
      <c r="A184" s="30"/>
      <c r="C184" s="33" t="s">
        <v>65</v>
      </c>
      <c r="E184" s="207">
        <v>53327</v>
      </c>
      <c r="G184" s="205" t="s">
        <v>268</v>
      </c>
      <c r="H184" s="205" t="s">
        <v>141</v>
      </c>
      <c r="I184" s="206">
        <v>-1</v>
      </c>
      <c r="K184" s="157">
        <v>1220275.5900000001</v>
      </c>
      <c r="L184" s="145"/>
      <c r="M184" s="147">
        <v>474383.51</v>
      </c>
      <c r="N184" s="147"/>
      <c r="O184" s="52">
        <f t="shared" si="26"/>
        <v>758095</v>
      </c>
      <c r="P184" s="27"/>
      <c r="Q184" s="27">
        <f t="shared" si="27"/>
        <v>39546</v>
      </c>
      <c r="R184" s="14"/>
      <c r="S184" s="28">
        <f t="shared" si="28"/>
        <v>3.2407433471647171</v>
      </c>
      <c r="U184" s="49">
        <v>19.169953977646287</v>
      </c>
      <c r="W184" s="13">
        <v>19.169953977646287</v>
      </c>
    </row>
    <row r="185" spans="1:23">
      <c r="A185" s="30"/>
      <c r="C185" s="33" t="s">
        <v>66</v>
      </c>
      <c r="E185" s="207">
        <v>55153</v>
      </c>
      <c r="G185" s="205" t="s">
        <v>268</v>
      </c>
      <c r="H185" s="205" t="s">
        <v>141</v>
      </c>
      <c r="I185" s="206">
        <v>0</v>
      </c>
      <c r="K185" s="157">
        <v>11825999.57</v>
      </c>
      <c r="L185" s="145"/>
      <c r="M185" s="147">
        <v>2572037.7400000002</v>
      </c>
      <c r="N185" s="147"/>
      <c r="O185" s="52">
        <f t="shared" si="26"/>
        <v>9253962</v>
      </c>
      <c r="P185" s="27"/>
      <c r="Q185" s="27">
        <f t="shared" si="27"/>
        <v>392335</v>
      </c>
      <c r="R185" s="14"/>
      <c r="S185" s="28">
        <f t="shared" si="28"/>
        <v>3.3175631174151987</v>
      </c>
      <c r="U185" s="49">
        <v>23.586888755782685</v>
      </c>
      <c r="W185" s="13">
        <v>23.586888755782685</v>
      </c>
    </row>
    <row r="186" spans="1:23">
      <c r="A186" s="30"/>
      <c r="C186" s="33" t="s">
        <v>67</v>
      </c>
      <c r="E186" s="207">
        <v>55153</v>
      </c>
      <c r="G186" s="205" t="s">
        <v>268</v>
      </c>
      <c r="H186" s="205" t="s">
        <v>141</v>
      </c>
      <c r="I186" s="206">
        <v>-1</v>
      </c>
      <c r="K186" s="157">
        <v>2021825.43</v>
      </c>
      <c r="L186" s="145"/>
      <c r="M186" s="147">
        <v>595564.09</v>
      </c>
      <c r="N186" s="147"/>
      <c r="O186" s="52">
        <f t="shared" si="26"/>
        <v>1446480</v>
      </c>
      <c r="P186" s="27"/>
      <c r="Q186" s="27">
        <f t="shared" si="27"/>
        <v>61264.999999999993</v>
      </c>
      <c r="R186" s="14"/>
      <c r="S186" s="28">
        <f t="shared" si="28"/>
        <v>3.0301824821740415</v>
      </c>
      <c r="U186" s="49">
        <v>23.610217905818985</v>
      </c>
      <c r="W186" s="13">
        <v>23.610217905818985</v>
      </c>
    </row>
    <row r="187" spans="1:23">
      <c r="A187" s="30"/>
      <c r="C187" s="33" t="s">
        <v>68</v>
      </c>
      <c r="E187" s="207">
        <v>50586</v>
      </c>
      <c r="G187" s="205" t="s">
        <v>268</v>
      </c>
      <c r="H187" s="205" t="s">
        <v>141</v>
      </c>
      <c r="I187" s="206">
        <v>0</v>
      </c>
      <c r="K187" s="157">
        <v>344891.29</v>
      </c>
      <c r="L187" s="145"/>
      <c r="M187" s="147">
        <v>127777.18</v>
      </c>
      <c r="N187" s="147"/>
      <c r="O187" s="52">
        <f t="shared" si="26"/>
        <v>217114</v>
      </c>
      <c r="P187" s="27"/>
      <c r="Q187" s="27">
        <f t="shared" si="27"/>
        <v>16324</v>
      </c>
      <c r="R187" s="14"/>
      <c r="S187" s="28">
        <f t="shared" si="28"/>
        <v>4.7330856050322412</v>
      </c>
      <c r="U187" s="49">
        <v>13.300294045577065</v>
      </c>
      <c r="W187" s="13">
        <v>13.300294045577065</v>
      </c>
    </row>
    <row r="188" spans="1:23">
      <c r="A188" s="30"/>
      <c r="C188" s="33" t="s">
        <v>70</v>
      </c>
      <c r="E188" s="207">
        <v>50586</v>
      </c>
      <c r="G188" s="205" t="s">
        <v>268</v>
      </c>
      <c r="H188" s="205" t="s">
        <v>141</v>
      </c>
      <c r="I188" s="206">
        <v>0</v>
      </c>
      <c r="K188" s="157">
        <v>380225.22</v>
      </c>
      <c r="L188" s="145"/>
      <c r="M188" s="147">
        <v>135228.04999999999</v>
      </c>
      <c r="N188" s="147"/>
      <c r="O188" s="52">
        <f t="shared" si="26"/>
        <v>244997</v>
      </c>
      <c r="P188" s="27"/>
      <c r="Q188" s="27">
        <f t="shared" si="27"/>
        <v>18337</v>
      </c>
      <c r="R188" s="14"/>
      <c r="S188" s="28">
        <f t="shared" si="28"/>
        <v>4.8226679966152695</v>
      </c>
      <c r="U188" s="49">
        <v>13.360800567159295</v>
      </c>
      <c r="W188" s="13">
        <v>13.360800567159295</v>
      </c>
    </row>
    <row r="189" spans="1:23">
      <c r="A189" s="30"/>
      <c r="C189" s="33" t="s">
        <v>71</v>
      </c>
      <c r="E189" s="207">
        <v>51682</v>
      </c>
      <c r="G189" s="205" t="s">
        <v>268</v>
      </c>
      <c r="H189" s="205" t="s">
        <v>141</v>
      </c>
      <c r="I189" s="206">
        <v>-1</v>
      </c>
      <c r="K189" s="157">
        <v>452676.95</v>
      </c>
      <c r="L189" s="145"/>
      <c r="M189" s="147">
        <v>143725.31</v>
      </c>
      <c r="N189" s="147"/>
      <c r="O189" s="52">
        <f t="shared" si="26"/>
        <v>313478</v>
      </c>
      <c r="P189" s="27"/>
      <c r="Q189" s="27">
        <f t="shared" si="27"/>
        <v>19654</v>
      </c>
      <c r="R189" s="14"/>
      <c r="S189" s="28">
        <f t="shared" si="28"/>
        <v>4.341727582992684</v>
      </c>
      <c r="U189" s="49">
        <v>15.949832095247787</v>
      </c>
      <c r="W189" s="13">
        <v>15.949832095247787</v>
      </c>
    </row>
    <row r="190" spans="1:23">
      <c r="A190" s="30"/>
      <c r="C190" s="33" t="s">
        <v>72</v>
      </c>
      <c r="E190" s="207">
        <v>52047</v>
      </c>
      <c r="G190" s="205" t="s">
        <v>268</v>
      </c>
      <c r="H190" s="205" t="s">
        <v>141</v>
      </c>
      <c r="I190" s="206">
        <v>0</v>
      </c>
      <c r="K190" s="157">
        <v>406784.25</v>
      </c>
      <c r="L190" s="145"/>
      <c r="M190" s="147">
        <v>121915.61</v>
      </c>
      <c r="N190" s="147"/>
      <c r="O190" s="52">
        <f t="shared" si="26"/>
        <v>284869</v>
      </c>
      <c r="P190" s="27"/>
      <c r="Q190" s="27">
        <f t="shared" si="27"/>
        <v>16916</v>
      </c>
      <c r="R190" s="14"/>
      <c r="S190" s="28">
        <f t="shared" si="28"/>
        <v>4.1584697539297553</v>
      </c>
      <c r="U190" s="49">
        <v>16.840210451643415</v>
      </c>
      <c r="W190" s="13">
        <v>16.840210451643415</v>
      </c>
    </row>
    <row r="191" spans="1:23">
      <c r="A191" s="30"/>
      <c r="C191" s="33" t="s">
        <v>73</v>
      </c>
      <c r="E191" s="207">
        <v>52962</v>
      </c>
      <c r="G191" s="205" t="s">
        <v>268</v>
      </c>
      <c r="H191" s="205" t="s">
        <v>141</v>
      </c>
      <c r="I191" s="206">
        <v>0</v>
      </c>
      <c r="K191" s="157">
        <v>3028262.11</v>
      </c>
      <c r="L191" s="145"/>
      <c r="M191" s="147">
        <v>849171.5</v>
      </c>
      <c r="N191" s="147"/>
      <c r="O191" s="52">
        <f t="shared" si="26"/>
        <v>2179091</v>
      </c>
      <c r="P191" s="27"/>
      <c r="Q191" s="27">
        <f t="shared" si="27"/>
        <v>111055</v>
      </c>
      <c r="R191" s="14"/>
      <c r="S191" s="28">
        <f t="shared" si="28"/>
        <v>3.6672849299692887</v>
      </c>
      <c r="U191" s="49">
        <v>19.621727972626175</v>
      </c>
      <c r="W191" s="13">
        <v>19.621727972626175</v>
      </c>
    </row>
    <row r="192" spans="1:23">
      <c r="A192" s="30"/>
      <c r="C192" s="33" t="s">
        <v>74</v>
      </c>
      <c r="E192" s="207">
        <v>52962</v>
      </c>
      <c r="G192" s="205" t="s">
        <v>268</v>
      </c>
      <c r="H192" s="205" t="s">
        <v>141</v>
      </c>
      <c r="I192" s="206">
        <v>0</v>
      </c>
      <c r="K192" s="157">
        <v>386034.41</v>
      </c>
      <c r="L192" s="145"/>
      <c r="M192" s="147">
        <v>149341.54999999999</v>
      </c>
      <c r="N192" s="147"/>
      <c r="O192" s="52">
        <f t="shared" si="26"/>
        <v>236693</v>
      </c>
      <c r="P192" s="27"/>
      <c r="Q192" s="27">
        <f t="shared" si="27"/>
        <v>12064</v>
      </c>
      <c r="R192" s="14"/>
      <c r="S192" s="28">
        <f t="shared" si="28"/>
        <v>3.1251100128612888</v>
      </c>
      <c r="U192" s="49">
        <v>19.619777851458885</v>
      </c>
      <c r="W192" s="13">
        <v>19.619777851458885</v>
      </c>
    </row>
    <row r="193" spans="1:23">
      <c r="A193" s="30"/>
      <c r="C193" s="33" t="s">
        <v>75</v>
      </c>
      <c r="E193" s="207">
        <v>52962</v>
      </c>
      <c r="G193" s="205" t="s">
        <v>268</v>
      </c>
      <c r="H193" s="205" t="s">
        <v>141</v>
      </c>
      <c r="I193" s="206">
        <v>0</v>
      </c>
      <c r="K193" s="157">
        <v>386034.41</v>
      </c>
      <c r="L193" s="145"/>
      <c r="M193" s="147">
        <v>177208.9</v>
      </c>
      <c r="N193" s="147"/>
      <c r="O193" s="52">
        <f t="shared" si="26"/>
        <v>208826</v>
      </c>
      <c r="P193" s="27"/>
      <c r="Q193" s="27">
        <f t="shared" si="27"/>
        <v>10644</v>
      </c>
      <c r="R193" s="14"/>
      <c r="S193" s="28">
        <f t="shared" si="28"/>
        <v>2.7572671565729077</v>
      </c>
      <c r="U193" s="49">
        <v>19.619128147313042</v>
      </c>
      <c r="W193" s="13">
        <v>19.619128147313042</v>
      </c>
    </row>
    <row r="194" spans="1:23">
      <c r="A194" s="30"/>
      <c r="C194" s="33" t="s">
        <v>76</v>
      </c>
      <c r="E194" s="207">
        <v>52962</v>
      </c>
      <c r="G194" s="205" t="s">
        <v>268</v>
      </c>
      <c r="H194" s="205" t="s">
        <v>141</v>
      </c>
      <c r="I194" s="206">
        <v>0</v>
      </c>
      <c r="K194" s="157">
        <v>386034.41</v>
      </c>
      <c r="L194" s="145"/>
      <c r="M194" s="147">
        <v>203906.7</v>
      </c>
      <c r="N194" s="147"/>
      <c r="O194" s="52">
        <f t="shared" si="26"/>
        <v>182128</v>
      </c>
      <c r="P194" s="27"/>
      <c r="Q194" s="27">
        <f t="shared" si="27"/>
        <v>9283</v>
      </c>
      <c r="R194" s="14"/>
      <c r="S194" s="28">
        <f t="shared" si="28"/>
        <v>2.404707911919044</v>
      </c>
      <c r="U194" s="49">
        <v>19.619519551869008</v>
      </c>
      <c r="W194" s="13">
        <v>19.619519551869008</v>
      </c>
    </row>
    <row r="195" spans="1:23">
      <c r="A195" s="30"/>
      <c r="C195" s="33" t="s">
        <v>77</v>
      </c>
      <c r="E195" s="207">
        <v>53873</v>
      </c>
      <c r="G195" s="205" t="s">
        <v>268</v>
      </c>
      <c r="H195" s="205" t="s">
        <v>141</v>
      </c>
      <c r="I195" s="206">
        <v>0</v>
      </c>
      <c r="K195" s="144">
        <v>779800</v>
      </c>
      <c r="L195" s="145"/>
      <c r="M195" s="148">
        <v>193176.74</v>
      </c>
      <c r="N195" s="147"/>
      <c r="O195" s="55">
        <f t="shared" si="26"/>
        <v>586623</v>
      </c>
      <c r="P195" s="27"/>
      <c r="Q195" s="29">
        <f t="shared" si="27"/>
        <v>26799</v>
      </c>
      <c r="R195" s="14"/>
      <c r="S195" s="28">
        <f t="shared" si="28"/>
        <v>3.4366504231854318</v>
      </c>
      <c r="U195" s="49">
        <v>21.88973469159297</v>
      </c>
      <c r="W195" s="13">
        <v>21.88973469159297</v>
      </c>
    </row>
    <row r="196" spans="1:23">
      <c r="A196" s="30"/>
      <c r="G196" s="205"/>
      <c r="H196" s="205"/>
      <c r="I196" s="206"/>
      <c r="K196" s="157"/>
      <c r="L196" s="145"/>
      <c r="M196" s="147"/>
      <c r="N196" s="147"/>
      <c r="O196" s="147"/>
      <c r="P196" s="147"/>
      <c r="Q196" s="147"/>
      <c r="S196" s="26"/>
      <c r="U196" s="49"/>
    </row>
    <row r="197" spans="1:23">
      <c r="A197" s="30"/>
      <c r="C197" s="13" t="s">
        <v>53</v>
      </c>
      <c r="G197" s="205"/>
      <c r="H197" s="205"/>
      <c r="I197" s="206"/>
      <c r="K197" s="157">
        <f>SUBTOTAL(9,K177:K196)</f>
        <v>37408940.18999999</v>
      </c>
      <c r="L197" s="145"/>
      <c r="M197" s="147">
        <f>SUBTOTAL(9,M177:M196)</f>
        <v>12518134.430000002</v>
      </c>
      <c r="N197" s="147"/>
      <c r="O197" s="147">
        <f>SUBTOTAL(9,O177:O196)</f>
        <v>25059218</v>
      </c>
      <c r="P197" s="147"/>
      <c r="Q197" s="147">
        <f>SUBTOTAL(9,Q177:Q196)</f>
        <v>1223255</v>
      </c>
      <c r="S197" s="26">
        <f>+ROUND(Q197/K197*100,2)</f>
        <v>3.27</v>
      </c>
      <c r="U197" s="49"/>
    </row>
    <row r="198" spans="1:23">
      <c r="A198" s="30"/>
      <c r="G198" s="205"/>
      <c r="H198" s="205"/>
      <c r="I198" s="206"/>
      <c r="K198" s="157"/>
      <c r="L198" s="145"/>
      <c r="M198" s="147"/>
      <c r="N198" s="147"/>
      <c r="O198" s="147"/>
      <c r="P198" s="147"/>
      <c r="Q198" s="147"/>
      <c r="S198" s="26"/>
      <c r="U198" s="49"/>
    </row>
    <row r="199" spans="1:23">
      <c r="A199" s="30">
        <v>346</v>
      </c>
      <c r="C199" s="13" t="s">
        <v>54</v>
      </c>
      <c r="S199" s="26"/>
      <c r="U199" s="49"/>
    </row>
    <row r="200" spans="1:23">
      <c r="A200" s="30"/>
      <c r="C200" s="33" t="s">
        <v>58</v>
      </c>
      <c r="E200" s="207">
        <v>55153</v>
      </c>
      <c r="G200" s="205" t="s">
        <v>269</v>
      </c>
      <c r="H200" s="205" t="s">
        <v>141</v>
      </c>
      <c r="I200" s="206">
        <v>-1</v>
      </c>
      <c r="K200" s="157">
        <v>15806989.609999999</v>
      </c>
      <c r="L200" s="145"/>
      <c r="M200" s="147">
        <v>4628649.1399999997</v>
      </c>
      <c r="N200" s="147"/>
      <c r="O200" s="52">
        <f t="shared" ref="O200:O207" si="29">ROUND((K200+(K200*-(I200/100)))-M200,0)</f>
        <v>11336410</v>
      </c>
      <c r="P200" s="27"/>
      <c r="Q200" s="233">
        <f t="shared" ref="Q200:Q207" si="30">O200/U200</f>
        <v>472994</v>
      </c>
      <c r="R200" s="14"/>
      <c r="S200" s="28">
        <f t="shared" ref="S200:S207" si="31">Q200/K200*100</f>
        <v>2.9923091725243443</v>
      </c>
      <c r="U200" s="49">
        <v>23.967344194640948</v>
      </c>
      <c r="W200" s="13">
        <v>23.967344194640948</v>
      </c>
    </row>
    <row r="201" spans="1:23">
      <c r="A201" s="30"/>
      <c r="C201" s="33" t="s">
        <v>61</v>
      </c>
      <c r="E201" s="207">
        <v>50040</v>
      </c>
      <c r="G201" s="205" t="s">
        <v>269</v>
      </c>
      <c r="H201" s="205" t="s">
        <v>141</v>
      </c>
      <c r="I201" s="206">
        <v>0</v>
      </c>
      <c r="K201" s="157">
        <v>35097.11</v>
      </c>
      <c r="L201" s="145"/>
      <c r="M201" s="147">
        <v>3184.5</v>
      </c>
      <c r="N201" s="147"/>
      <c r="O201" s="52">
        <f t="shared" si="29"/>
        <v>31913</v>
      </c>
      <c r="P201" s="27"/>
      <c r="Q201" s="233">
        <f t="shared" si="30"/>
        <v>2457</v>
      </c>
      <c r="R201" s="14"/>
      <c r="S201" s="28">
        <f t="shared" si="31"/>
        <v>7.0005764007349898</v>
      </c>
      <c r="U201" s="49">
        <v>12.988603988603989</v>
      </c>
      <c r="W201" s="13">
        <v>12.988603988603989</v>
      </c>
    </row>
    <row r="202" spans="1:23">
      <c r="A202" s="30"/>
      <c r="C202" s="33" t="s">
        <v>68</v>
      </c>
      <c r="E202" s="207">
        <v>50586</v>
      </c>
      <c r="G202" s="205" t="s">
        <v>269</v>
      </c>
      <c r="H202" s="205" t="s">
        <v>141</v>
      </c>
      <c r="I202" s="206">
        <v>0</v>
      </c>
      <c r="K202" s="157">
        <v>104001.15</v>
      </c>
      <c r="L202" s="145"/>
      <c r="M202" s="147">
        <v>35975.42</v>
      </c>
      <c r="N202" s="147"/>
      <c r="O202" s="52">
        <f t="shared" si="29"/>
        <v>68026</v>
      </c>
      <c r="P202" s="27"/>
      <c r="Q202" s="233">
        <f t="shared" si="30"/>
        <v>4975</v>
      </c>
      <c r="R202" s="14"/>
      <c r="S202" s="28">
        <f t="shared" si="31"/>
        <v>4.7836009505664121</v>
      </c>
      <c r="U202" s="49">
        <v>13.673567839195981</v>
      </c>
      <c r="W202" s="13">
        <v>13.673567839195981</v>
      </c>
    </row>
    <row r="203" spans="1:23">
      <c r="A203" s="30"/>
      <c r="C203" s="33" t="s">
        <v>69</v>
      </c>
      <c r="E203" s="207">
        <v>45657</v>
      </c>
      <c r="G203" s="205" t="s">
        <v>269</v>
      </c>
      <c r="H203" s="205" t="s">
        <v>141</v>
      </c>
      <c r="I203" s="206">
        <v>0</v>
      </c>
      <c r="K203" s="157">
        <v>64992.35</v>
      </c>
      <c r="L203" s="145"/>
      <c r="M203" s="147">
        <v>36640.5</v>
      </c>
      <c r="N203" s="147"/>
      <c r="O203" s="52">
        <f t="shared" si="29"/>
        <v>28352</v>
      </c>
      <c r="P203" s="27"/>
      <c r="Q203" s="233">
        <f t="shared" si="30"/>
        <v>28352</v>
      </c>
      <c r="R203" s="14"/>
      <c r="S203" s="28">
        <f t="shared" si="31"/>
        <v>43.62359570010932</v>
      </c>
      <c r="U203" s="49">
        <v>1</v>
      </c>
      <c r="W203" s="13">
        <v>1</v>
      </c>
    </row>
    <row r="204" spans="1:23">
      <c r="A204" s="30"/>
      <c r="C204" s="33" t="s">
        <v>70</v>
      </c>
      <c r="E204" s="207">
        <v>50586</v>
      </c>
      <c r="G204" s="205" t="s">
        <v>269</v>
      </c>
      <c r="H204" s="205" t="s">
        <v>141</v>
      </c>
      <c r="I204" s="206">
        <v>0</v>
      </c>
      <c r="K204" s="157">
        <v>60998.54</v>
      </c>
      <c r="L204" s="145"/>
      <c r="M204" s="147">
        <v>23296.52</v>
      </c>
      <c r="N204" s="147"/>
      <c r="O204" s="52">
        <f t="shared" si="29"/>
        <v>37702</v>
      </c>
      <c r="P204" s="27"/>
      <c r="Q204" s="233">
        <f t="shared" si="30"/>
        <v>2818</v>
      </c>
      <c r="R204" s="14"/>
      <c r="S204" s="28">
        <f t="shared" si="31"/>
        <v>4.6197827029958418</v>
      </c>
      <c r="U204" s="49">
        <v>13.378992193044713</v>
      </c>
      <c r="W204" s="13">
        <v>13.378992193044713</v>
      </c>
    </row>
    <row r="205" spans="1:23">
      <c r="A205" s="30"/>
      <c r="C205" s="33" t="s">
        <v>71</v>
      </c>
      <c r="E205" s="207">
        <v>51682</v>
      </c>
      <c r="G205" s="205" t="s">
        <v>269</v>
      </c>
      <c r="H205" s="205" t="s">
        <v>141</v>
      </c>
      <c r="I205" s="206">
        <v>-1</v>
      </c>
      <c r="K205" s="157">
        <v>494973.87</v>
      </c>
      <c r="L205" s="145"/>
      <c r="M205" s="147">
        <v>28619.14</v>
      </c>
      <c r="N205" s="147"/>
      <c r="O205" s="52">
        <f t="shared" si="29"/>
        <v>471304</v>
      </c>
      <c r="P205" s="27"/>
      <c r="Q205" s="233">
        <f t="shared" si="30"/>
        <v>27201.999999999996</v>
      </c>
      <c r="R205" s="14"/>
      <c r="S205" s="28">
        <f t="shared" si="31"/>
        <v>5.4956436387237968</v>
      </c>
      <c r="U205" s="49">
        <v>17.326078964782003</v>
      </c>
      <c r="W205" s="13">
        <v>17.326078964782003</v>
      </c>
    </row>
    <row r="206" spans="1:23">
      <c r="A206" s="30"/>
      <c r="C206" s="33" t="s">
        <v>72</v>
      </c>
      <c r="E206" s="207">
        <v>52047</v>
      </c>
      <c r="G206" s="205" t="s">
        <v>269</v>
      </c>
      <c r="H206" s="205" t="s">
        <v>141</v>
      </c>
      <c r="I206" s="206">
        <v>0</v>
      </c>
      <c r="K206" s="157">
        <v>50361.67</v>
      </c>
      <c r="L206" s="145"/>
      <c r="M206" s="147">
        <v>15622.98</v>
      </c>
      <c r="N206" s="147"/>
      <c r="O206" s="52">
        <f t="shared" si="29"/>
        <v>34739</v>
      </c>
      <c r="P206" s="27"/>
      <c r="Q206" s="233">
        <f t="shared" si="30"/>
        <v>2026.0000000000002</v>
      </c>
      <c r="R206" s="14"/>
      <c r="S206" s="28">
        <f t="shared" si="31"/>
        <v>4.0229007497169977</v>
      </c>
      <c r="U206" s="49">
        <v>17.146594274432378</v>
      </c>
      <c r="W206" s="13">
        <v>17.146594274432378</v>
      </c>
    </row>
    <row r="207" spans="1:23">
      <c r="A207" s="30"/>
      <c r="C207" s="33" t="s">
        <v>73</v>
      </c>
      <c r="E207" s="207">
        <v>52962</v>
      </c>
      <c r="G207" s="205" t="s">
        <v>269</v>
      </c>
      <c r="H207" s="205" t="s">
        <v>141</v>
      </c>
      <c r="I207" s="206">
        <v>0</v>
      </c>
      <c r="K207" s="144">
        <v>245217.08</v>
      </c>
      <c r="L207" s="145"/>
      <c r="M207" s="148">
        <v>52203.38</v>
      </c>
      <c r="N207" s="147"/>
      <c r="O207" s="55">
        <f t="shared" si="29"/>
        <v>193014</v>
      </c>
      <c r="P207" s="27"/>
      <c r="Q207" s="29">
        <f t="shared" si="30"/>
        <v>9365</v>
      </c>
      <c r="R207" s="14"/>
      <c r="S207" s="28">
        <f t="shared" si="31"/>
        <v>3.8190651320046709</v>
      </c>
      <c r="U207" s="49">
        <v>20.610144153764015</v>
      </c>
      <c r="W207" s="13">
        <v>20.610144153764015</v>
      </c>
    </row>
    <row r="208" spans="1:23">
      <c r="A208" s="30"/>
      <c r="G208" s="205"/>
      <c r="H208" s="205"/>
      <c r="I208" s="206"/>
      <c r="K208" s="157"/>
      <c r="L208" s="145"/>
      <c r="M208" s="147"/>
      <c r="N208" s="147"/>
      <c r="O208" s="147"/>
      <c r="P208" s="147"/>
      <c r="Q208" s="147"/>
      <c r="S208" s="26"/>
      <c r="U208" s="49"/>
    </row>
    <row r="209" spans="1:22">
      <c r="A209" s="30"/>
      <c r="C209" s="13" t="s">
        <v>55</v>
      </c>
      <c r="G209" s="205"/>
      <c r="H209" s="205"/>
      <c r="I209" s="206"/>
      <c r="K209" s="144">
        <f>SUBTOTAL(9,K200:K208)</f>
        <v>16862631.379999995</v>
      </c>
      <c r="L209" s="145"/>
      <c r="M209" s="148">
        <f>SUBTOTAL(9,M200:M208)</f>
        <v>4824191.5799999991</v>
      </c>
      <c r="N209" s="147"/>
      <c r="O209" s="148">
        <f>SUBTOTAL(9,O200:O208)</f>
        <v>12201460</v>
      </c>
      <c r="P209" s="147"/>
      <c r="Q209" s="148">
        <f>SUBTOTAL(9,Q200:Q208)</f>
        <v>550189</v>
      </c>
      <c r="S209" s="26">
        <f>+ROUND(Q209/K209*100,2)</f>
        <v>3.26</v>
      </c>
      <c r="U209" s="49"/>
    </row>
    <row r="210" spans="1:22" ht="15.75">
      <c r="C210" s="18"/>
      <c r="K210" s="157"/>
      <c r="L210" s="145"/>
      <c r="M210" s="147"/>
      <c r="N210" s="147"/>
      <c r="O210" s="147"/>
      <c r="P210" s="147"/>
      <c r="Q210" s="147"/>
      <c r="S210" s="26"/>
      <c r="U210" s="49"/>
    </row>
    <row r="211" spans="1:22" ht="15.75">
      <c r="A211" s="30"/>
      <c r="C211" s="31" t="s">
        <v>85</v>
      </c>
      <c r="G211" s="205"/>
      <c r="H211" s="205"/>
      <c r="I211" s="206"/>
      <c r="K211" s="151">
        <f>SUBTOTAL(9,K97:K210)</f>
        <v>659783698.71000016</v>
      </c>
      <c r="L211" s="22"/>
      <c r="M211" s="35">
        <f>SUBTOTAL(9,M97:M210)</f>
        <v>240801932.52000004</v>
      </c>
      <c r="N211" s="35"/>
      <c r="O211" s="35">
        <f>SUBTOTAL(9,O97:O210)</f>
        <v>421476589</v>
      </c>
      <c r="P211" s="35"/>
      <c r="Q211" s="35">
        <f>SUBTOTAL(9,Q97:Q210)</f>
        <v>21666723.083255813</v>
      </c>
      <c r="S211" s="23">
        <f>+ROUND(Q211/K211*100,2)</f>
        <v>3.28</v>
      </c>
      <c r="T211" s="22"/>
      <c r="U211" s="50"/>
    </row>
    <row r="212" spans="1:22">
      <c r="A212" s="30"/>
      <c r="C212" s="34"/>
      <c r="G212" s="205"/>
      <c r="H212" s="205"/>
      <c r="I212" s="206"/>
      <c r="K212" s="157"/>
      <c r="Q212" s="254" t="s">
        <v>334</v>
      </c>
      <c r="R212" s="54"/>
      <c r="S212" s="255"/>
      <c r="T212" s="54"/>
      <c r="U212" s="232"/>
      <c r="V212" s="54"/>
    </row>
    <row r="213" spans="1:22" ht="15.75">
      <c r="A213" s="30"/>
      <c r="C213" s="18" t="s">
        <v>86</v>
      </c>
      <c r="G213" s="205"/>
      <c r="I213" s="206"/>
      <c r="K213" s="157"/>
      <c r="Q213" s="254" t="s">
        <v>335</v>
      </c>
      <c r="R213" s="54"/>
      <c r="S213" s="255"/>
      <c r="T213" s="54"/>
      <c r="U213" s="232"/>
      <c r="V213" s="54"/>
    </row>
    <row r="214" spans="1:22" ht="15.75">
      <c r="A214" s="30"/>
      <c r="C214" s="25"/>
      <c r="G214" s="205"/>
      <c r="I214" s="206"/>
      <c r="K214" s="157"/>
      <c r="S214" s="26"/>
      <c r="U214" s="49"/>
    </row>
    <row r="215" spans="1:22">
      <c r="A215" s="30">
        <v>353</v>
      </c>
      <c r="C215" s="13" t="s">
        <v>87</v>
      </c>
      <c r="E215" s="205"/>
      <c r="G215" s="205" t="s">
        <v>270</v>
      </c>
      <c r="H215" s="205"/>
      <c r="I215" s="206">
        <v>-30</v>
      </c>
      <c r="K215" s="157">
        <v>309555391</v>
      </c>
      <c r="L215" s="145"/>
      <c r="M215" s="147">
        <v>76311552.280000001</v>
      </c>
      <c r="N215" s="147"/>
      <c r="O215" s="147">
        <v>326110456</v>
      </c>
      <c r="P215" s="147"/>
      <c r="Q215" s="147">
        <v>8829790</v>
      </c>
      <c r="S215" s="26">
        <v>2.85</v>
      </c>
      <c r="U215" s="49">
        <v>36.9</v>
      </c>
    </row>
    <row r="216" spans="1:22">
      <c r="A216" s="30">
        <v>353.1</v>
      </c>
      <c r="C216" s="13" t="s">
        <v>88</v>
      </c>
      <c r="E216" s="205"/>
      <c r="G216" s="205" t="s">
        <v>271</v>
      </c>
      <c r="H216" s="205"/>
      <c r="I216" s="206">
        <v>-10</v>
      </c>
      <c r="K216" s="157">
        <v>9834245.3499999996</v>
      </c>
      <c r="L216" s="145"/>
      <c r="M216" s="147">
        <v>5008331.13</v>
      </c>
      <c r="N216" s="147"/>
      <c r="O216" s="147">
        <v>5809339</v>
      </c>
      <c r="P216" s="147"/>
      <c r="Q216" s="147">
        <v>1292108</v>
      </c>
      <c r="S216" s="26">
        <v>13.14</v>
      </c>
      <c r="U216" s="49">
        <v>4.5</v>
      </c>
    </row>
    <row r="217" spans="1:22">
      <c r="A217" s="30">
        <v>354</v>
      </c>
      <c r="C217" s="13" t="s">
        <v>89</v>
      </c>
      <c r="E217" s="205"/>
      <c r="G217" s="205" t="s">
        <v>272</v>
      </c>
      <c r="H217" s="205"/>
      <c r="I217" s="206">
        <v>0</v>
      </c>
      <c r="K217" s="157">
        <v>3853520.91</v>
      </c>
      <c r="L217" s="145"/>
      <c r="M217" s="147">
        <v>1588212.61</v>
      </c>
      <c r="N217" s="147"/>
      <c r="O217" s="147">
        <v>2265308</v>
      </c>
      <c r="P217" s="147"/>
      <c r="Q217" s="147">
        <v>72129</v>
      </c>
      <c r="S217" s="26">
        <v>1.87</v>
      </c>
      <c r="U217" s="49">
        <v>31.4</v>
      </c>
    </row>
    <row r="218" spans="1:22">
      <c r="A218" s="30">
        <v>355</v>
      </c>
      <c r="C218" s="13" t="s">
        <v>90</v>
      </c>
      <c r="E218" s="205"/>
      <c r="G218" s="205" t="s">
        <v>273</v>
      </c>
      <c r="H218" s="205"/>
      <c r="I218" s="206">
        <v>-75</v>
      </c>
      <c r="K218" s="157">
        <v>240192196.53</v>
      </c>
      <c r="L218" s="145"/>
      <c r="M218" s="147">
        <v>63396059.149999999</v>
      </c>
      <c r="N218" s="147"/>
      <c r="O218" s="147">
        <v>356940285</v>
      </c>
      <c r="P218" s="147"/>
      <c r="Q218" s="147">
        <v>7790779</v>
      </c>
      <c r="S218" s="26">
        <v>3.24</v>
      </c>
      <c r="U218" s="49">
        <v>45.8</v>
      </c>
    </row>
    <row r="219" spans="1:22">
      <c r="A219" s="30">
        <v>356</v>
      </c>
      <c r="C219" s="13" t="s">
        <v>91</v>
      </c>
      <c r="E219" s="205"/>
      <c r="G219" s="205" t="s">
        <v>144</v>
      </c>
      <c r="H219" s="205"/>
      <c r="I219" s="206">
        <v>-75</v>
      </c>
      <c r="K219" s="157">
        <v>141259051.86000001</v>
      </c>
      <c r="L219" s="145"/>
      <c r="M219" s="147">
        <v>63715251.359999999</v>
      </c>
      <c r="N219" s="147"/>
      <c r="O219" s="147">
        <v>183488089</v>
      </c>
      <c r="P219" s="147"/>
      <c r="Q219" s="147">
        <v>5110882</v>
      </c>
      <c r="S219" s="26">
        <v>3.62</v>
      </c>
      <c r="U219" s="49">
        <v>35.9</v>
      </c>
    </row>
    <row r="220" spans="1:22">
      <c r="A220" s="30">
        <v>359</v>
      </c>
      <c r="C220" s="13" t="s">
        <v>92</v>
      </c>
      <c r="G220" s="205" t="s">
        <v>272</v>
      </c>
      <c r="H220" s="205"/>
      <c r="I220" s="206">
        <v>0</v>
      </c>
      <c r="K220" s="157">
        <v>22927.11</v>
      </c>
      <c r="L220" s="145"/>
      <c r="M220" s="147">
        <v>12100.51</v>
      </c>
      <c r="N220" s="147"/>
      <c r="O220" s="147">
        <v>10827</v>
      </c>
      <c r="P220" s="147"/>
      <c r="Q220" s="147">
        <v>557</v>
      </c>
      <c r="S220" s="26">
        <v>2.4300000000000002</v>
      </c>
      <c r="U220" s="49">
        <v>19.399999999999999</v>
      </c>
    </row>
    <row r="221" spans="1:22">
      <c r="A221" s="30"/>
      <c r="G221" s="205"/>
      <c r="I221" s="206"/>
      <c r="K221" s="165"/>
      <c r="M221" s="32"/>
      <c r="O221" s="32"/>
      <c r="Q221" s="32"/>
      <c r="S221" s="26"/>
      <c r="U221" s="49"/>
    </row>
    <row r="222" spans="1:22" ht="15.75">
      <c r="A222" s="30"/>
      <c r="C222" s="31" t="s">
        <v>93</v>
      </c>
      <c r="G222" s="18"/>
      <c r="H222" s="22"/>
      <c r="I222" s="41"/>
      <c r="J222" s="22"/>
      <c r="K222" s="151">
        <f>SUBTOTAL(9,K215:K221)</f>
        <v>704717332.76000011</v>
      </c>
      <c r="L222" s="22"/>
      <c r="M222" s="35">
        <f>SUBTOTAL(9,M215:M221)</f>
        <v>210031507.03999996</v>
      </c>
      <c r="N222" s="35"/>
      <c r="O222" s="35">
        <f>SUBTOTAL(9,O215:O221)</f>
        <v>874624304</v>
      </c>
      <c r="P222" s="35"/>
      <c r="Q222" s="35">
        <f>SUBTOTAL(9,Q215:Q221)</f>
        <v>23096245</v>
      </c>
      <c r="S222" s="23">
        <f>+ROUND(Q222/K222*100,2)</f>
        <v>3.28</v>
      </c>
      <c r="T222" s="22"/>
      <c r="U222" s="50"/>
    </row>
    <row r="223" spans="1:22">
      <c r="A223" s="30"/>
      <c r="G223" s="205"/>
      <c r="I223" s="206"/>
      <c r="K223" s="157"/>
      <c r="S223" s="26"/>
      <c r="U223" s="49"/>
    </row>
    <row r="224" spans="1:22" ht="15.75">
      <c r="A224" s="30"/>
      <c r="C224" s="18" t="s">
        <v>94</v>
      </c>
      <c r="G224" s="205"/>
      <c r="I224" s="206"/>
      <c r="K224" s="157"/>
      <c r="S224" s="26"/>
      <c r="U224" s="49"/>
    </row>
    <row r="225" spans="1:21" ht="15.75">
      <c r="A225" s="30"/>
      <c r="C225" s="25"/>
      <c r="G225" s="205"/>
      <c r="I225" s="206"/>
      <c r="K225" s="157"/>
      <c r="S225" s="26"/>
      <c r="U225" s="49"/>
    </row>
    <row r="226" spans="1:21">
      <c r="A226" s="30">
        <v>362</v>
      </c>
      <c r="C226" s="13" t="s">
        <v>87</v>
      </c>
      <c r="G226" s="205" t="s">
        <v>147</v>
      </c>
      <c r="H226" s="205"/>
      <c r="I226" s="206">
        <v>-5</v>
      </c>
      <c r="K226" s="157">
        <v>325863839.04000002</v>
      </c>
      <c r="L226" s="145"/>
      <c r="M226" s="147">
        <v>95248438.450000003</v>
      </c>
      <c r="N226" s="147"/>
      <c r="O226" s="147">
        <v>246908593</v>
      </c>
      <c r="P226" s="147"/>
      <c r="Q226" s="147">
        <v>8410892</v>
      </c>
      <c r="S226" s="26">
        <v>2.58</v>
      </c>
      <c r="U226" s="49">
        <v>29.4</v>
      </c>
    </row>
    <row r="227" spans="1:21">
      <c r="A227" s="30">
        <v>362.1</v>
      </c>
      <c r="C227" s="13" t="s">
        <v>95</v>
      </c>
      <c r="G227" s="205" t="s">
        <v>148</v>
      </c>
      <c r="H227" s="205"/>
      <c r="I227" s="206">
        <v>-5</v>
      </c>
      <c r="K227" s="157">
        <v>7799614.71</v>
      </c>
      <c r="L227" s="145"/>
      <c r="M227" s="147">
        <v>4607402.04</v>
      </c>
      <c r="N227" s="147"/>
      <c r="O227" s="147">
        <v>3582193</v>
      </c>
      <c r="P227" s="147"/>
      <c r="Q227" s="147">
        <v>149696</v>
      </c>
      <c r="S227" s="26">
        <v>1.92</v>
      </c>
      <c r="U227" s="49">
        <v>23.9</v>
      </c>
    </row>
    <row r="228" spans="1:21">
      <c r="A228" s="30">
        <v>368</v>
      </c>
      <c r="C228" s="13" t="s">
        <v>96</v>
      </c>
      <c r="G228" s="205" t="s">
        <v>274</v>
      </c>
      <c r="H228" s="205"/>
      <c r="I228" s="206">
        <v>0</v>
      </c>
      <c r="K228" s="157">
        <v>2409681</v>
      </c>
      <c r="L228" s="145"/>
      <c r="M228" s="147">
        <v>1320682.8500000001</v>
      </c>
      <c r="N228" s="147"/>
      <c r="O228" s="147">
        <v>1088998</v>
      </c>
      <c r="P228" s="147"/>
      <c r="Q228" s="147">
        <v>26019</v>
      </c>
      <c r="S228" s="26">
        <v>1.08</v>
      </c>
      <c r="U228" s="49">
        <v>41.9</v>
      </c>
    </row>
    <row r="229" spans="1:21">
      <c r="A229" s="30"/>
      <c r="G229" s="205"/>
      <c r="I229" s="206"/>
      <c r="K229" s="165"/>
      <c r="M229" s="32"/>
      <c r="O229" s="32"/>
      <c r="Q229" s="32"/>
      <c r="S229" s="26"/>
      <c r="U229" s="49"/>
    </row>
    <row r="230" spans="1:21" ht="15.75">
      <c r="A230" s="30"/>
      <c r="C230" s="31" t="s">
        <v>97</v>
      </c>
      <c r="G230" s="18"/>
      <c r="H230" s="22"/>
      <c r="I230" s="41"/>
      <c r="J230" s="22"/>
      <c r="K230" s="151">
        <f>SUBTOTAL(9,K226:K229)</f>
        <v>336073134.75</v>
      </c>
      <c r="L230" s="22"/>
      <c r="M230" s="35">
        <f>SUBTOTAL(9,M226:M229)</f>
        <v>101176523.34</v>
      </c>
      <c r="N230" s="35"/>
      <c r="O230" s="35">
        <f>SUBTOTAL(9,O226:O229)</f>
        <v>251579784</v>
      </c>
      <c r="P230" s="35"/>
      <c r="Q230" s="35">
        <f>SUBTOTAL(9,Q226:Q229)</f>
        <v>8586607</v>
      </c>
      <c r="R230" s="22"/>
      <c r="S230" s="23">
        <f>+ROUND(Q230/K230*100,2)</f>
        <v>2.5499999999999998</v>
      </c>
      <c r="T230" s="22"/>
      <c r="U230" s="50"/>
    </row>
    <row r="231" spans="1:21">
      <c r="A231" s="30"/>
      <c r="G231" s="205"/>
      <c r="I231" s="206"/>
      <c r="K231" s="157"/>
      <c r="S231" s="26"/>
      <c r="U231" s="49"/>
    </row>
    <row r="232" spans="1:21" ht="15.75">
      <c r="A232" s="30"/>
      <c r="C232" s="18" t="s">
        <v>98</v>
      </c>
      <c r="G232" s="205"/>
      <c r="I232" s="206"/>
      <c r="K232" s="157"/>
      <c r="S232" s="26"/>
      <c r="U232" s="49"/>
    </row>
    <row r="233" spans="1:21" ht="15.75">
      <c r="A233" s="30"/>
      <c r="C233" s="25"/>
      <c r="G233" s="205"/>
      <c r="I233" s="206"/>
      <c r="K233" s="157"/>
      <c r="S233" s="26"/>
      <c r="U233" s="49"/>
    </row>
    <row r="234" spans="1:21">
      <c r="A234" s="30">
        <v>390</v>
      </c>
      <c r="C234" s="34" t="s">
        <v>99</v>
      </c>
      <c r="G234" s="205" t="s">
        <v>149</v>
      </c>
      <c r="H234" s="205"/>
      <c r="I234" s="206">
        <v>-10</v>
      </c>
      <c r="K234" s="157">
        <v>19910932.050000001</v>
      </c>
      <c r="L234" s="145"/>
      <c r="M234" s="147">
        <v>8927206</v>
      </c>
      <c r="N234" s="147"/>
      <c r="O234" s="147">
        <v>12974819</v>
      </c>
      <c r="P234" s="147"/>
      <c r="Q234" s="147">
        <v>325154</v>
      </c>
      <c r="S234" s="26">
        <v>1.63</v>
      </c>
      <c r="U234" s="49">
        <v>39.9</v>
      </c>
    </row>
    <row r="235" spans="1:21">
      <c r="A235" s="30">
        <v>391</v>
      </c>
      <c r="C235" s="13" t="s">
        <v>100</v>
      </c>
      <c r="G235" s="205" t="s">
        <v>150</v>
      </c>
      <c r="H235" s="205"/>
      <c r="I235" s="206">
        <v>0</v>
      </c>
      <c r="K235" s="157">
        <v>13849222.77</v>
      </c>
      <c r="L235" s="145"/>
      <c r="M235" s="147">
        <v>4129175</v>
      </c>
      <c r="N235" s="147"/>
      <c r="O235" s="147">
        <v>9720048</v>
      </c>
      <c r="P235" s="147"/>
      <c r="Q235" s="147">
        <v>692290</v>
      </c>
      <c r="S235" s="26">
        <v>5</v>
      </c>
      <c r="U235" s="49">
        <v>14</v>
      </c>
    </row>
    <row r="236" spans="1:21">
      <c r="A236" s="30">
        <v>391.1</v>
      </c>
      <c r="C236" s="13" t="s">
        <v>101</v>
      </c>
      <c r="G236" s="205" t="s">
        <v>151</v>
      </c>
      <c r="H236" s="205"/>
      <c r="I236" s="206">
        <v>0</v>
      </c>
      <c r="K236" s="157">
        <v>21265400.890000001</v>
      </c>
      <c r="L236" s="145"/>
      <c r="M236" s="147">
        <v>11948538</v>
      </c>
      <c r="N236" s="147"/>
      <c r="O236" s="147">
        <v>9316863</v>
      </c>
      <c r="P236" s="147"/>
      <c r="Q236" s="147">
        <v>1417691</v>
      </c>
      <c r="S236" s="26">
        <v>6.67</v>
      </c>
      <c r="U236" s="49">
        <v>6.6</v>
      </c>
    </row>
    <row r="237" spans="1:21">
      <c r="A237" s="30">
        <v>392</v>
      </c>
      <c r="C237" s="13" t="s">
        <v>102</v>
      </c>
      <c r="G237" s="205" t="s">
        <v>275</v>
      </c>
      <c r="H237" s="205"/>
      <c r="I237" s="206">
        <v>0</v>
      </c>
      <c r="K237" s="157">
        <v>21791109.350000001</v>
      </c>
      <c r="L237" s="145"/>
      <c r="M237" s="147">
        <v>8321066</v>
      </c>
      <c r="N237" s="147"/>
      <c r="O237" s="147">
        <v>13470043</v>
      </c>
      <c r="P237" s="147"/>
      <c r="Q237" s="147">
        <v>1753581</v>
      </c>
      <c r="S237" s="26">
        <v>8.0500000000000007</v>
      </c>
      <c r="U237" s="49">
        <v>7.7</v>
      </c>
    </row>
    <row r="238" spans="1:21">
      <c r="A238" s="30">
        <v>393</v>
      </c>
      <c r="C238" s="34" t="s">
        <v>103</v>
      </c>
      <c r="G238" s="205" t="s">
        <v>152</v>
      </c>
      <c r="H238" s="205"/>
      <c r="I238" s="206">
        <v>0</v>
      </c>
      <c r="K238" s="157">
        <v>80885.399999999994</v>
      </c>
      <c r="L238" s="145"/>
      <c r="M238" s="147">
        <v>60546</v>
      </c>
      <c r="N238" s="147"/>
      <c r="O238" s="147">
        <v>20339</v>
      </c>
      <c r="P238" s="147"/>
      <c r="Q238" s="147">
        <v>3236</v>
      </c>
      <c r="S238" s="26">
        <v>4</v>
      </c>
      <c r="U238" s="49">
        <v>6.3</v>
      </c>
    </row>
    <row r="239" spans="1:21">
      <c r="A239" s="30">
        <v>394</v>
      </c>
      <c r="C239" s="34" t="s">
        <v>104</v>
      </c>
      <c r="G239" s="205" t="s">
        <v>150</v>
      </c>
      <c r="H239" s="205"/>
      <c r="I239" s="206">
        <v>0</v>
      </c>
      <c r="K239" s="157">
        <v>2014232.77</v>
      </c>
      <c r="L239" s="145"/>
      <c r="M239" s="147">
        <v>688131</v>
      </c>
      <c r="N239" s="147"/>
      <c r="O239" s="147">
        <v>1326102</v>
      </c>
      <c r="P239" s="147"/>
      <c r="Q239" s="147">
        <v>100716</v>
      </c>
      <c r="S239" s="26">
        <v>5</v>
      </c>
      <c r="U239" s="49">
        <v>13.2</v>
      </c>
    </row>
    <row r="240" spans="1:21">
      <c r="A240" s="30">
        <v>395</v>
      </c>
      <c r="C240" s="34" t="s">
        <v>105</v>
      </c>
      <c r="G240" s="205" t="s">
        <v>150</v>
      </c>
      <c r="H240" s="205"/>
      <c r="I240" s="206">
        <v>0</v>
      </c>
      <c r="K240" s="157">
        <v>4366162.6500000004</v>
      </c>
      <c r="L240" s="145"/>
      <c r="M240" s="147">
        <v>2130387</v>
      </c>
      <c r="N240" s="147"/>
      <c r="O240" s="147">
        <v>2235776</v>
      </c>
      <c r="P240" s="147"/>
      <c r="Q240" s="147">
        <v>218492</v>
      </c>
      <c r="S240" s="26">
        <v>5</v>
      </c>
      <c r="U240" s="49">
        <v>10.199999999999999</v>
      </c>
    </row>
    <row r="241" spans="1:21">
      <c r="A241" s="30">
        <v>396</v>
      </c>
      <c r="C241" s="13" t="s">
        <v>106</v>
      </c>
      <c r="G241" s="205" t="s">
        <v>276</v>
      </c>
      <c r="H241" s="205"/>
      <c r="I241" s="206">
        <v>0</v>
      </c>
      <c r="K241" s="157">
        <v>24030802.09</v>
      </c>
      <c r="L241" s="145"/>
      <c r="M241" s="147">
        <v>9245260</v>
      </c>
      <c r="N241" s="147"/>
      <c r="O241" s="147">
        <v>14785542</v>
      </c>
      <c r="P241" s="147"/>
      <c r="Q241" s="147">
        <v>1159617</v>
      </c>
      <c r="S241" s="26">
        <v>4.83</v>
      </c>
      <c r="U241" s="49">
        <v>12.8</v>
      </c>
    </row>
    <row r="242" spans="1:21">
      <c r="A242" s="30">
        <v>397</v>
      </c>
      <c r="C242" s="13" t="s">
        <v>107</v>
      </c>
      <c r="G242" s="205" t="s">
        <v>151</v>
      </c>
      <c r="H242" s="205"/>
      <c r="I242" s="206">
        <v>0</v>
      </c>
      <c r="K242" s="157">
        <v>22301164.09</v>
      </c>
      <c r="L242" s="145"/>
      <c r="M242" s="147">
        <v>9655523</v>
      </c>
      <c r="N242" s="147"/>
      <c r="O242" s="147">
        <v>12645641</v>
      </c>
      <c r="P242" s="147"/>
      <c r="Q242" s="147">
        <v>1487391</v>
      </c>
      <c r="S242" s="26">
        <v>6.67</v>
      </c>
      <c r="U242" s="49">
        <v>8.5</v>
      </c>
    </row>
    <row r="243" spans="1:21">
      <c r="A243" s="30">
        <v>398</v>
      </c>
      <c r="C243" s="13" t="s">
        <v>108</v>
      </c>
      <c r="G243" s="205" t="s">
        <v>150</v>
      </c>
      <c r="H243" s="205"/>
      <c r="I243" s="206">
        <v>0</v>
      </c>
      <c r="K243" s="157">
        <v>2513134.77</v>
      </c>
      <c r="L243" s="145"/>
      <c r="M243" s="147">
        <v>1024082</v>
      </c>
      <c r="N243" s="147"/>
      <c r="O243" s="147">
        <v>1489053</v>
      </c>
      <c r="P243" s="147"/>
      <c r="Q243" s="147">
        <v>125661</v>
      </c>
      <c r="S243" s="26">
        <v>5</v>
      </c>
      <c r="U243" s="49">
        <v>11.8</v>
      </c>
    </row>
    <row r="244" spans="1:21">
      <c r="A244" s="30"/>
      <c r="G244" s="205"/>
      <c r="I244" s="206"/>
      <c r="K244" s="165"/>
      <c r="M244" s="166"/>
      <c r="O244" s="166"/>
      <c r="Q244" s="166"/>
      <c r="S244" s="26"/>
      <c r="U244" s="49"/>
    </row>
    <row r="245" spans="1:21" ht="15.75">
      <c r="C245" s="31" t="s">
        <v>109</v>
      </c>
      <c r="G245" s="205"/>
      <c r="I245" s="206"/>
      <c r="K245" s="151">
        <f>SUBTOTAL(9,K234:K244)</f>
        <v>132123046.83000001</v>
      </c>
      <c r="L245" s="22"/>
      <c r="M245" s="35">
        <f>SUBTOTAL(9,M234:M244)</f>
        <v>56129914</v>
      </c>
      <c r="N245" s="35"/>
      <c r="O245" s="35">
        <f>SUBTOTAL(9,O234:O244)</f>
        <v>77984226</v>
      </c>
      <c r="P245" s="35"/>
      <c r="Q245" s="35">
        <f>SUBTOTAL(9,Q234:Q244)</f>
        <v>7283829</v>
      </c>
      <c r="R245" s="22"/>
      <c r="S245" s="23">
        <f>+ROUND(Q245/K245*100,2)</f>
        <v>5.51</v>
      </c>
      <c r="T245" s="22"/>
      <c r="U245" s="50"/>
    </row>
    <row r="246" spans="1:21" ht="15.75">
      <c r="C246" s="31"/>
      <c r="G246" s="205"/>
      <c r="I246" s="206"/>
      <c r="K246" s="151"/>
      <c r="L246" s="22"/>
      <c r="M246" s="35"/>
      <c r="N246" s="35"/>
      <c r="O246" s="35"/>
      <c r="P246" s="35"/>
      <c r="Q246" s="35"/>
      <c r="R246" s="22"/>
      <c r="S246" s="23"/>
      <c r="T246" s="22"/>
      <c r="U246" s="50"/>
    </row>
    <row r="247" spans="1:21" ht="15.75">
      <c r="C247" s="21" t="s">
        <v>277</v>
      </c>
      <c r="G247" s="205"/>
      <c r="I247" s="206"/>
      <c r="K247" s="151"/>
      <c r="L247" s="22"/>
      <c r="M247" s="35"/>
      <c r="N247" s="35"/>
      <c r="O247" s="35"/>
      <c r="P247" s="35"/>
      <c r="Q247" s="35"/>
      <c r="R247" s="22"/>
      <c r="S247" s="23"/>
      <c r="T247" s="22"/>
      <c r="U247" s="50"/>
    </row>
    <row r="248" spans="1:21" ht="15.75">
      <c r="C248" s="31"/>
      <c r="G248" s="205"/>
      <c r="I248" s="206"/>
      <c r="K248" s="151"/>
      <c r="L248" s="22"/>
      <c r="M248" s="35"/>
      <c r="N248" s="35"/>
      <c r="O248" s="35"/>
      <c r="P248" s="35"/>
      <c r="Q248" s="35"/>
      <c r="R248" s="22"/>
      <c r="S248" s="23"/>
      <c r="T248" s="22"/>
      <c r="U248" s="50"/>
    </row>
    <row r="249" spans="1:21" ht="15.75">
      <c r="A249" s="30">
        <v>391</v>
      </c>
      <c r="C249" s="13" t="s">
        <v>100</v>
      </c>
      <c r="G249" s="205"/>
      <c r="I249" s="206"/>
      <c r="K249" s="151"/>
      <c r="L249" s="22"/>
      <c r="M249" s="15">
        <v>183061</v>
      </c>
      <c r="N249" s="35"/>
      <c r="O249" s="35"/>
      <c r="P249" s="35"/>
      <c r="Q249" s="15">
        <f>-M249/5</f>
        <v>-36612.199999999997</v>
      </c>
      <c r="R249" s="22" t="s">
        <v>153</v>
      </c>
      <c r="S249" s="23"/>
      <c r="T249" s="22"/>
      <c r="U249" s="50"/>
    </row>
    <row r="250" spans="1:21" ht="15.75">
      <c r="A250" s="30">
        <v>391.1</v>
      </c>
      <c r="C250" s="13" t="s">
        <v>101</v>
      </c>
      <c r="G250" s="205"/>
      <c r="I250" s="206"/>
      <c r="K250" s="151"/>
      <c r="L250" s="22"/>
      <c r="M250" s="15">
        <v>15654354.949999997</v>
      </c>
      <c r="N250" s="35"/>
      <c r="O250" s="35"/>
      <c r="P250" s="35"/>
      <c r="Q250" s="15">
        <f t="shared" ref="Q250:Q255" si="32">-M250/5</f>
        <v>-3130870.9899999993</v>
      </c>
      <c r="R250" s="22" t="s">
        <v>153</v>
      </c>
      <c r="S250" s="23"/>
      <c r="T250" s="22"/>
      <c r="U250" s="50"/>
    </row>
    <row r="251" spans="1:21" ht="15.75">
      <c r="A251" s="30">
        <v>393</v>
      </c>
      <c r="C251" s="34" t="s">
        <v>103</v>
      </c>
      <c r="G251" s="205"/>
      <c r="I251" s="206"/>
      <c r="K251" s="151"/>
      <c r="L251" s="22"/>
      <c r="M251" s="15">
        <v>2304</v>
      </c>
      <c r="N251" s="35"/>
      <c r="O251" s="35"/>
      <c r="P251" s="35"/>
      <c r="Q251" s="15">
        <f t="shared" si="32"/>
        <v>-460.8</v>
      </c>
      <c r="R251" s="22" t="s">
        <v>153</v>
      </c>
      <c r="S251" s="23"/>
      <c r="T251" s="22"/>
      <c r="U251" s="50"/>
    </row>
    <row r="252" spans="1:21" ht="15.75">
      <c r="A252" s="30">
        <v>394</v>
      </c>
      <c r="C252" s="34" t="s">
        <v>104</v>
      </c>
      <c r="G252" s="205"/>
      <c r="I252" s="206"/>
      <c r="K252" s="151"/>
      <c r="L252" s="22"/>
      <c r="M252" s="15">
        <v>42791</v>
      </c>
      <c r="N252" s="35"/>
      <c r="O252" s="35"/>
      <c r="P252" s="35"/>
      <c r="Q252" s="15">
        <f t="shared" si="32"/>
        <v>-8558.2000000000007</v>
      </c>
      <c r="R252" s="22" t="s">
        <v>153</v>
      </c>
      <c r="S252" s="23"/>
      <c r="T252" s="22"/>
      <c r="U252" s="50"/>
    </row>
    <row r="253" spans="1:21" ht="15.75">
      <c r="A253" s="30">
        <v>395</v>
      </c>
      <c r="C253" s="34" t="s">
        <v>105</v>
      </c>
      <c r="G253" s="205"/>
      <c r="I253" s="206"/>
      <c r="K253" s="151"/>
      <c r="L253" s="22"/>
      <c r="M253" s="15">
        <v>86768</v>
      </c>
      <c r="N253" s="35"/>
      <c r="O253" s="35"/>
      <c r="P253" s="35"/>
      <c r="Q253" s="15">
        <f t="shared" si="32"/>
        <v>-17353.599999999999</v>
      </c>
      <c r="R253" s="22" t="s">
        <v>153</v>
      </c>
      <c r="S253" s="23"/>
      <c r="T253" s="22"/>
      <c r="U253" s="50"/>
    </row>
    <row r="254" spans="1:21" ht="15.75">
      <c r="A254" s="30">
        <v>397</v>
      </c>
      <c r="C254" s="13" t="s">
        <v>107</v>
      </c>
      <c r="G254" s="205"/>
      <c r="I254" s="206"/>
      <c r="K254" s="151"/>
      <c r="L254" s="22"/>
      <c r="M254" s="15">
        <v>377760</v>
      </c>
      <c r="N254" s="35"/>
      <c r="O254" s="35"/>
      <c r="P254" s="35"/>
      <c r="Q254" s="15">
        <f t="shared" si="32"/>
        <v>-75552</v>
      </c>
      <c r="R254" s="22" t="s">
        <v>153</v>
      </c>
      <c r="S254" s="23"/>
      <c r="T254" s="22"/>
      <c r="U254" s="50"/>
    </row>
    <row r="255" spans="1:21" ht="15.75">
      <c r="A255" s="30">
        <v>398</v>
      </c>
      <c r="C255" s="13" t="s">
        <v>108</v>
      </c>
      <c r="G255" s="205"/>
      <c r="I255" s="206"/>
      <c r="K255" s="151"/>
      <c r="L255" s="22"/>
      <c r="M255" s="15">
        <v>43117</v>
      </c>
      <c r="N255" s="35"/>
      <c r="O255" s="35"/>
      <c r="P255" s="35"/>
      <c r="Q255" s="15">
        <f t="shared" si="32"/>
        <v>-8623.4</v>
      </c>
      <c r="R255" s="22" t="s">
        <v>153</v>
      </c>
      <c r="S255" s="23"/>
      <c r="T255" s="22"/>
      <c r="U255" s="50"/>
    </row>
    <row r="256" spans="1:21" ht="15.75">
      <c r="C256" s="31"/>
      <c r="G256" s="205"/>
      <c r="I256" s="206"/>
      <c r="K256" s="151"/>
      <c r="L256" s="22"/>
      <c r="M256" s="169"/>
      <c r="N256" s="35"/>
      <c r="O256" s="35"/>
      <c r="P256" s="35"/>
      <c r="Q256" s="169"/>
      <c r="R256" s="22"/>
      <c r="S256" s="23"/>
      <c r="T256" s="22"/>
      <c r="U256" s="50"/>
    </row>
    <row r="257" spans="1:21" ht="15.75">
      <c r="C257" s="31" t="s">
        <v>278</v>
      </c>
      <c r="G257" s="205"/>
      <c r="I257" s="206"/>
      <c r="K257" s="151"/>
      <c r="L257" s="22"/>
      <c r="M257" s="36">
        <f>SUBTOTAL(9,M249:M256)</f>
        <v>16390155.949999997</v>
      </c>
      <c r="N257" s="35"/>
      <c r="O257" s="35"/>
      <c r="P257" s="35"/>
      <c r="Q257" s="36">
        <f>SUBTOTAL(9,Q249:Q256)</f>
        <v>-3278031.1899999995</v>
      </c>
      <c r="R257" s="22"/>
      <c r="S257" s="23"/>
      <c r="T257" s="22"/>
      <c r="U257" s="50"/>
    </row>
    <row r="258" spans="1:21" ht="15.75">
      <c r="C258" s="31"/>
      <c r="G258" s="205"/>
      <c r="I258" s="206"/>
      <c r="K258" s="151"/>
      <c r="L258" s="22"/>
      <c r="M258" s="35"/>
      <c r="N258" s="35"/>
      <c r="O258" s="35"/>
      <c r="P258" s="35"/>
      <c r="Q258" s="35"/>
      <c r="R258" s="22"/>
      <c r="S258" s="26"/>
      <c r="U258" s="50"/>
    </row>
    <row r="259" spans="1:21" ht="16.5" thickBot="1">
      <c r="C259" s="31" t="s">
        <v>111</v>
      </c>
      <c r="G259" s="205"/>
      <c r="I259" s="206"/>
      <c r="K259" s="171">
        <f>SUBTOTAL(9,K13:K258)</f>
        <v>4654637456.0800037</v>
      </c>
      <c r="L259" s="22"/>
      <c r="M259" s="51">
        <f>SUBTOTAL(9,M13:M258)</f>
        <v>1820887036.7100012</v>
      </c>
      <c r="N259" s="35"/>
      <c r="O259" s="51">
        <f>SUBTOTAL(9,O13:O258)</f>
        <v>3287628815</v>
      </c>
      <c r="P259" s="35"/>
      <c r="Q259" s="51">
        <f>SUBTOTAL(9,Q13:Q258)</f>
        <v>138535747.89325583</v>
      </c>
      <c r="R259" s="22"/>
      <c r="S259" s="23">
        <f>+ROUND(Q259/K259*100,2)</f>
        <v>2.98</v>
      </c>
      <c r="T259" s="22"/>
      <c r="U259" s="50"/>
    </row>
    <row r="260" spans="1:21" ht="16.5" thickTop="1">
      <c r="C260" s="22"/>
      <c r="G260" s="205"/>
      <c r="I260" s="206"/>
      <c r="K260" s="151"/>
      <c r="L260" s="22"/>
      <c r="M260" s="35"/>
      <c r="N260" s="35"/>
      <c r="O260" s="35"/>
      <c r="P260" s="35"/>
      <c r="Q260" s="35"/>
      <c r="R260" s="22"/>
      <c r="S260" s="26"/>
      <c r="U260" s="50"/>
    </row>
    <row r="261" spans="1:21" ht="15.75">
      <c r="C261" s="21" t="s">
        <v>112</v>
      </c>
      <c r="G261" s="205"/>
      <c r="I261" s="206"/>
      <c r="K261" s="151"/>
      <c r="L261" s="22"/>
      <c r="M261" s="35"/>
      <c r="N261" s="35"/>
      <c r="O261" s="35"/>
      <c r="P261" s="35"/>
      <c r="Q261" s="35"/>
      <c r="R261" s="22"/>
      <c r="S261" s="26"/>
      <c r="U261" s="50"/>
    </row>
    <row r="262" spans="1:21" ht="15.75">
      <c r="C262" s="22"/>
      <c r="G262" s="205"/>
      <c r="I262" s="206"/>
      <c r="K262" s="151"/>
      <c r="L262" s="22"/>
      <c r="M262" s="35"/>
      <c r="N262" s="35"/>
      <c r="O262" s="35"/>
      <c r="P262" s="35"/>
      <c r="Q262" s="35"/>
      <c r="R262" s="22"/>
      <c r="S262" s="26"/>
      <c r="U262" s="50"/>
    </row>
    <row r="263" spans="1:21" ht="15.75">
      <c r="A263" s="30">
        <v>301</v>
      </c>
      <c r="C263" s="13" t="s">
        <v>113</v>
      </c>
      <c r="G263" s="205"/>
      <c r="I263" s="206"/>
      <c r="K263" s="157">
        <v>5040.43</v>
      </c>
      <c r="N263" s="35"/>
      <c r="O263" s="35"/>
      <c r="P263" s="35"/>
      <c r="Q263" s="35"/>
      <c r="R263" s="22"/>
      <c r="S263" s="26"/>
      <c r="U263" s="50"/>
    </row>
    <row r="264" spans="1:21" ht="15.75">
      <c r="A264" s="30">
        <v>310</v>
      </c>
      <c r="C264" s="13" t="s">
        <v>114</v>
      </c>
      <c r="G264" s="205"/>
      <c r="I264" s="206"/>
      <c r="K264" s="157">
        <v>7074844.4300000006</v>
      </c>
      <c r="N264" s="35"/>
      <c r="O264" s="35"/>
      <c r="P264" s="35"/>
      <c r="Q264" s="35"/>
      <c r="R264" s="22"/>
      <c r="S264" s="26"/>
      <c r="U264" s="50"/>
    </row>
    <row r="265" spans="1:21" ht="15.75">
      <c r="A265" s="30">
        <v>340</v>
      </c>
      <c r="C265" s="13" t="s">
        <v>114</v>
      </c>
      <c r="G265" s="205"/>
      <c r="I265" s="206"/>
      <c r="K265" s="157">
        <v>5964035.6900000004</v>
      </c>
      <c r="N265" s="35"/>
      <c r="O265" s="35"/>
      <c r="P265" s="35"/>
      <c r="Q265" s="35"/>
      <c r="R265" s="22"/>
      <c r="S265" s="26"/>
      <c r="U265" s="50"/>
    </row>
    <row r="266" spans="1:21" ht="15.75">
      <c r="A266" s="30">
        <v>350</v>
      </c>
      <c r="C266" s="13" t="s">
        <v>114</v>
      </c>
      <c r="G266" s="205"/>
      <c r="I266" s="206"/>
      <c r="K266" s="157">
        <v>4673025.2200000007</v>
      </c>
      <c r="N266" s="35"/>
      <c r="O266" s="35"/>
      <c r="P266" s="35"/>
      <c r="Q266" s="35"/>
      <c r="R266" s="22"/>
      <c r="S266" s="26"/>
      <c r="U266" s="50"/>
    </row>
    <row r="267" spans="1:21" ht="15.75">
      <c r="A267" s="30">
        <v>350.1</v>
      </c>
      <c r="C267" s="13" t="s">
        <v>27</v>
      </c>
      <c r="G267" s="205"/>
      <c r="I267" s="206"/>
      <c r="K267" s="157">
        <v>58324160.971999988</v>
      </c>
      <c r="N267" s="35"/>
      <c r="O267" s="35"/>
      <c r="P267" s="35"/>
      <c r="Q267" s="35"/>
      <c r="R267" s="22"/>
      <c r="S267" s="26"/>
      <c r="U267" s="50"/>
    </row>
    <row r="268" spans="1:21" ht="15.75">
      <c r="A268" s="30">
        <v>354.1</v>
      </c>
      <c r="C268" s="13" t="s">
        <v>251</v>
      </c>
      <c r="G268" s="205"/>
      <c r="I268" s="206"/>
      <c r="K268" s="157">
        <v>564962.57000000007</v>
      </c>
      <c r="M268" s="15">
        <v>325366.93</v>
      </c>
      <c r="N268" s="35"/>
      <c r="O268" s="35"/>
      <c r="P268" s="35"/>
      <c r="Q268" s="35"/>
      <c r="R268" s="22"/>
      <c r="S268" s="26"/>
      <c r="U268" s="50"/>
    </row>
    <row r="269" spans="1:21" ht="15.75">
      <c r="A269" s="30">
        <v>360</v>
      </c>
      <c r="C269" s="13" t="s">
        <v>114</v>
      </c>
      <c r="G269" s="205"/>
      <c r="I269" s="206"/>
      <c r="K269" s="157">
        <v>13132104.219999999</v>
      </c>
      <c r="N269" s="35"/>
      <c r="O269" s="35"/>
      <c r="P269" s="35"/>
      <c r="Q269" s="35"/>
      <c r="R269" s="22"/>
      <c r="S269" s="26"/>
      <c r="U269" s="50"/>
    </row>
    <row r="270" spans="1:21" ht="15.75">
      <c r="A270" s="30">
        <v>389</v>
      </c>
      <c r="C270" s="13" t="s">
        <v>114</v>
      </c>
      <c r="G270" s="205"/>
      <c r="I270" s="206"/>
      <c r="K270" s="157">
        <v>1587642.56</v>
      </c>
      <c r="N270" s="35"/>
      <c r="O270" s="35"/>
      <c r="P270" s="35"/>
      <c r="Q270" s="35"/>
      <c r="R270" s="22"/>
      <c r="S270" s="26"/>
      <c r="U270" s="50"/>
    </row>
    <row r="271" spans="1:21" ht="15.75">
      <c r="A271" s="30">
        <v>389.1</v>
      </c>
      <c r="C271" s="13" t="s">
        <v>27</v>
      </c>
      <c r="G271" s="205"/>
      <c r="I271" s="206"/>
      <c r="K271" s="157">
        <v>244222.03</v>
      </c>
      <c r="N271" s="35"/>
      <c r="O271" s="35"/>
      <c r="P271" s="35"/>
      <c r="Q271" s="35"/>
      <c r="R271" s="22"/>
      <c r="S271" s="26"/>
      <c r="U271" s="50"/>
    </row>
    <row r="272" spans="1:21" ht="15.75">
      <c r="A272" s="30">
        <v>398.1</v>
      </c>
      <c r="C272" s="13" t="s">
        <v>252</v>
      </c>
      <c r="G272" s="205"/>
      <c r="I272" s="206"/>
      <c r="K272" s="157">
        <v>448268.6</v>
      </c>
      <c r="M272" s="15">
        <v>448268.6</v>
      </c>
      <c r="N272" s="35"/>
      <c r="O272" s="35"/>
      <c r="P272" s="35"/>
      <c r="Q272" s="35"/>
      <c r="R272" s="22"/>
      <c r="S272" s="26"/>
      <c r="U272" s="50"/>
    </row>
    <row r="273" spans="2:21" ht="15.75">
      <c r="C273" s="22"/>
      <c r="G273" s="205"/>
      <c r="I273" s="206"/>
      <c r="K273" s="174"/>
      <c r="L273" s="22"/>
      <c r="M273" s="169"/>
      <c r="N273" s="35"/>
      <c r="O273" s="35"/>
      <c r="P273" s="35"/>
      <c r="Q273" s="35"/>
      <c r="R273" s="22"/>
      <c r="S273" s="26"/>
      <c r="U273" s="50"/>
    </row>
    <row r="274" spans="2:21" ht="15.75">
      <c r="C274" s="31" t="s">
        <v>115</v>
      </c>
      <c r="G274" s="205"/>
      <c r="I274" s="206"/>
      <c r="K274" s="175">
        <f>SUBTOTAL(9,K263:K273)</f>
        <v>92018306.721999973</v>
      </c>
      <c r="L274" s="22"/>
      <c r="M274" s="36">
        <f>SUBTOTAL(9,M263:M273)</f>
        <v>773635.53</v>
      </c>
      <c r="N274" s="35"/>
      <c r="O274" s="35"/>
      <c r="P274" s="35"/>
      <c r="Q274" s="35"/>
      <c r="R274" s="22"/>
      <c r="S274" s="26"/>
      <c r="U274" s="50"/>
    </row>
    <row r="275" spans="2:21" ht="15.75">
      <c r="C275" s="22"/>
      <c r="G275" s="205"/>
      <c r="I275" s="206"/>
      <c r="K275" s="151"/>
      <c r="L275" s="22"/>
      <c r="M275" s="35"/>
      <c r="N275" s="35"/>
      <c r="O275" s="35"/>
      <c r="P275" s="35"/>
      <c r="Q275" s="35"/>
      <c r="R275" s="22"/>
      <c r="S275" s="26"/>
      <c r="U275" s="50"/>
    </row>
    <row r="276" spans="2:21" ht="16.5" thickBot="1">
      <c r="C276" s="31" t="s">
        <v>116</v>
      </c>
      <c r="G276" s="205"/>
      <c r="I276" s="206"/>
      <c r="K276" s="171">
        <f>SUBTOTAL(9,K13:K275)</f>
        <v>4746655762.8020048</v>
      </c>
      <c r="L276" s="22"/>
      <c r="M276" s="51">
        <f>SUBTOTAL(9,M13:M275)</f>
        <v>1821660672.2400012</v>
      </c>
      <c r="N276" s="35"/>
      <c r="O276" s="35"/>
      <c r="P276" s="35"/>
      <c r="Q276" s="35"/>
      <c r="R276" s="22"/>
      <c r="S276" s="26"/>
      <c r="U276" s="50"/>
    </row>
    <row r="277" spans="2:21" ht="16.5" thickTop="1">
      <c r="C277" s="31"/>
      <c r="G277" s="205"/>
      <c r="I277" s="206"/>
      <c r="K277" s="157"/>
      <c r="L277" s="22"/>
      <c r="M277" s="35"/>
      <c r="N277" s="35"/>
      <c r="O277" s="35"/>
      <c r="P277" s="35"/>
      <c r="Q277" s="35"/>
      <c r="R277" s="22"/>
      <c r="S277" s="26"/>
      <c r="U277" s="50"/>
    </row>
    <row r="278" spans="2:21">
      <c r="B278" s="176" t="s">
        <v>141</v>
      </c>
      <c r="C278" s="13" t="s">
        <v>155</v>
      </c>
    </row>
    <row r="279" spans="2:21" ht="15.75">
      <c r="B279" s="35" t="s">
        <v>153</v>
      </c>
      <c r="C279" s="34" t="s">
        <v>279</v>
      </c>
    </row>
    <row r="280" spans="2:21">
      <c r="B280" s="176"/>
    </row>
  </sheetData>
  <conditionalFormatting sqref="O249:O257">
    <cfRule type="cellIs" dxfId="2" priority="1" operator="lessThan">
      <formula>0</formula>
    </cfRule>
  </conditionalFormatting>
  <printOptions horizontalCentered="1"/>
  <pageMargins left="0.75" right="0.75" top="1" bottom="0.75" header="0.3" footer="0.3"/>
  <pageSetup scale="41" fitToHeight="0" orientation="landscape" r:id="rId1"/>
  <rowBreaks count="3" manualBreakCount="3">
    <brk id="78" max="20" man="1"/>
    <brk id="146" max="20" man="1"/>
    <brk id="212" max="2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0"/>
  <sheetViews>
    <sheetView topLeftCell="A234" zoomScale="70" zoomScaleNormal="70" workbookViewId="0">
      <selection activeCell="O246" sqref="O246"/>
    </sheetView>
  </sheetViews>
  <sheetFormatPr defaultColWidth="12.5703125" defaultRowHeight="15"/>
  <cols>
    <col min="1" max="1" width="10" style="13" customWidth="1"/>
    <col min="2" max="2" width="3.7109375" style="13" customWidth="1"/>
    <col min="3" max="3" width="74" style="13" customWidth="1"/>
    <col min="4" max="4" width="3.5703125" style="13" customWidth="1"/>
    <col min="5" max="5" width="18.28515625" style="13" customWidth="1"/>
    <col min="6" max="6" width="3.5703125" style="13" customWidth="1"/>
    <col min="7" max="7" width="18.140625" style="13" customWidth="1"/>
    <col min="8" max="8" width="3.7109375" style="13" customWidth="1"/>
    <col min="9" max="9" width="19" style="48" customWidth="1"/>
    <col min="10" max="10" width="3.5703125" style="13" customWidth="1"/>
    <col min="11" max="11" width="31.140625" style="13" customWidth="1"/>
    <col min="12" max="12" width="3.5703125" style="13" customWidth="1"/>
    <col min="13" max="13" width="23.85546875" style="15" bestFit="1" customWidth="1"/>
    <col min="14" max="14" width="3.5703125" style="15" customWidth="1"/>
    <col min="15" max="15" width="25" style="15" customWidth="1"/>
    <col min="16" max="16" width="3.5703125" style="15" customWidth="1"/>
    <col min="17" max="17" width="22.140625" style="15" customWidth="1"/>
    <col min="18" max="18" width="3.5703125" style="13" customWidth="1"/>
    <col min="19" max="19" width="16.28515625" style="13" customWidth="1"/>
    <col min="20" max="20" width="3.5703125" style="13" customWidth="1"/>
    <col min="21" max="21" width="19.5703125" style="13" customWidth="1"/>
    <col min="22" max="23" width="12.5703125" style="13"/>
    <col min="24" max="24" width="14.28515625" style="13" bestFit="1" customWidth="1"/>
    <col min="25" max="25" width="13.5703125" style="13" bestFit="1" customWidth="1"/>
    <col min="26" max="26" width="12.5703125" style="13"/>
    <col min="27" max="27" width="11.7109375" style="13" customWidth="1"/>
    <col min="28" max="16384" width="12.5703125" style="13"/>
  </cols>
  <sheetData>
    <row r="1" spans="1:30" ht="15.75">
      <c r="A1" s="16" t="s">
        <v>258</v>
      </c>
      <c r="B1" s="16"/>
      <c r="C1" s="16"/>
      <c r="D1" s="16"/>
      <c r="E1" s="16"/>
      <c r="F1" s="16"/>
      <c r="G1" s="16"/>
      <c r="H1" s="16"/>
      <c r="I1" s="3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30" ht="15.75">
      <c r="A2" s="16"/>
      <c r="B2" s="16"/>
      <c r="C2" s="16"/>
      <c r="D2" s="16"/>
      <c r="E2" s="16"/>
      <c r="F2" s="16"/>
      <c r="G2" s="16"/>
      <c r="H2" s="16"/>
      <c r="I2" s="3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30" ht="15.75">
      <c r="A3" s="16" t="s">
        <v>259</v>
      </c>
      <c r="B3" s="16"/>
      <c r="C3" s="16"/>
      <c r="D3" s="16"/>
      <c r="E3" s="16"/>
      <c r="F3" s="16"/>
      <c r="G3" s="16"/>
      <c r="H3" s="16"/>
      <c r="I3" s="3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30" ht="15.75">
      <c r="A4" s="16" t="s">
        <v>260</v>
      </c>
      <c r="B4" s="16"/>
      <c r="C4" s="16"/>
      <c r="D4" s="16"/>
      <c r="E4" s="16"/>
      <c r="F4" s="16"/>
      <c r="G4" s="16"/>
      <c r="H4" s="16"/>
      <c r="I4" s="3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AD4" s="13" t="s">
        <v>140</v>
      </c>
    </row>
    <row r="5" spans="1:30" ht="15.75">
      <c r="A5" s="16"/>
      <c r="B5" s="17"/>
      <c r="C5" s="17"/>
      <c r="D5" s="17"/>
      <c r="E5" s="53" t="s">
        <v>304</v>
      </c>
      <c r="F5" s="17"/>
      <c r="G5" s="17"/>
      <c r="H5" s="17"/>
      <c r="I5" s="38"/>
      <c r="J5" s="17"/>
      <c r="K5" s="17"/>
      <c r="L5" s="17"/>
      <c r="M5" s="39"/>
      <c r="N5" s="39"/>
      <c r="O5" s="39"/>
      <c r="P5" s="39"/>
      <c r="AD5" s="13" t="s">
        <v>188</v>
      </c>
    </row>
    <row r="6" spans="1:30" ht="15.75">
      <c r="B6" s="22"/>
      <c r="C6" s="18"/>
      <c r="D6" s="18"/>
      <c r="E6" s="40" t="s">
        <v>117</v>
      </c>
      <c r="F6" s="18"/>
      <c r="G6" s="18"/>
      <c r="H6" s="18"/>
      <c r="I6" s="41" t="s">
        <v>118</v>
      </c>
      <c r="J6" s="18"/>
      <c r="K6" s="18" t="s">
        <v>119</v>
      </c>
      <c r="L6" s="18"/>
      <c r="M6" s="209" t="s">
        <v>120</v>
      </c>
      <c r="N6" s="209"/>
      <c r="O6" s="209"/>
      <c r="P6" s="209"/>
      <c r="Q6" s="42" t="s">
        <v>245</v>
      </c>
      <c r="R6" s="17"/>
      <c r="S6" s="17"/>
      <c r="T6" s="205"/>
      <c r="U6" s="18" t="s">
        <v>121</v>
      </c>
      <c r="AD6" s="13" t="s">
        <v>327</v>
      </c>
    </row>
    <row r="7" spans="1:30" ht="15.75">
      <c r="B7" s="22"/>
      <c r="C7" s="18"/>
      <c r="D7" s="18"/>
      <c r="E7" s="40" t="s">
        <v>122</v>
      </c>
      <c r="F7" s="18"/>
      <c r="G7" s="18" t="s">
        <v>123</v>
      </c>
      <c r="H7" s="18"/>
      <c r="I7" s="41" t="s">
        <v>124</v>
      </c>
      <c r="J7" s="18"/>
      <c r="K7" s="18" t="s">
        <v>125</v>
      </c>
      <c r="L7" s="18"/>
      <c r="M7" s="209" t="s">
        <v>126</v>
      </c>
      <c r="N7" s="209"/>
      <c r="O7" s="209" t="s">
        <v>127</v>
      </c>
      <c r="P7" s="209"/>
      <c r="Q7" s="45" t="s">
        <v>261</v>
      </c>
      <c r="R7" s="25"/>
      <c r="S7" s="25" t="s">
        <v>246</v>
      </c>
      <c r="T7" s="205"/>
      <c r="U7" s="18" t="s">
        <v>128</v>
      </c>
      <c r="Y7" s="13" t="s">
        <v>140</v>
      </c>
      <c r="AC7" s="13" t="s">
        <v>326</v>
      </c>
      <c r="AD7" s="13" t="s">
        <v>328</v>
      </c>
    </row>
    <row r="8" spans="1:30" ht="15.75">
      <c r="B8" s="22"/>
      <c r="C8" s="18" t="s">
        <v>23</v>
      </c>
      <c r="D8" s="18"/>
      <c r="E8" s="43" t="s">
        <v>129</v>
      </c>
      <c r="F8" s="18"/>
      <c r="G8" s="18" t="s">
        <v>130</v>
      </c>
      <c r="H8" s="18"/>
      <c r="I8" s="41" t="s">
        <v>131</v>
      </c>
      <c r="J8" s="18"/>
      <c r="K8" s="44" t="s">
        <v>250</v>
      </c>
      <c r="L8" s="18"/>
      <c r="M8" s="209" t="s">
        <v>132</v>
      </c>
      <c r="N8" s="209"/>
      <c r="O8" s="209" t="s">
        <v>133</v>
      </c>
      <c r="P8" s="209"/>
      <c r="Q8" s="209" t="s">
        <v>134</v>
      </c>
      <c r="R8" s="18"/>
      <c r="S8" s="18" t="s">
        <v>135</v>
      </c>
      <c r="T8" s="205"/>
      <c r="U8" s="18" t="s">
        <v>136</v>
      </c>
      <c r="Y8" s="13" t="s">
        <v>188</v>
      </c>
      <c r="Z8" s="205" t="s">
        <v>318</v>
      </c>
      <c r="AA8" s="343" t="s">
        <v>330</v>
      </c>
      <c r="AB8" s="343"/>
      <c r="AC8" s="13" t="s">
        <v>324</v>
      </c>
      <c r="AD8" s="13" t="s">
        <v>329</v>
      </c>
    </row>
    <row r="9" spans="1:30" ht="15.75">
      <c r="B9" s="22"/>
      <c r="C9" s="45">
        <v>-1</v>
      </c>
      <c r="D9" s="19"/>
      <c r="E9" s="45">
        <v>-2</v>
      </c>
      <c r="F9" s="19"/>
      <c r="G9" s="46">
        <v>-3</v>
      </c>
      <c r="H9" s="19"/>
      <c r="I9" s="45">
        <v>-4</v>
      </c>
      <c r="J9" s="19"/>
      <c r="K9" s="45">
        <v>-5</v>
      </c>
      <c r="L9" s="209"/>
      <c r="M9" s="45">
        <v>-6</v>
      </c>
      <c r="N9" s="209"/>
      <c r="O9" s="45">
        <v>-7</v>
      </c>
      <c r="P9" s="209"/>
      <c r="Q9" s="45">
        <v>-8</v>
      </c>
      <c r="R9" s="19"/>
      <c r="S9" s="47" t="s">
        <v>137</v>
      </c>
      <c r="U9" s="47" t="s">
        <v>138</v>
      </c>
      <c r="Y9" s="234" t="s">
        <v>322</v>
      </c>
      <c r="Z9" s="235" t="s">
        <v>319</v>
      </c>
      <c r="AA9" s="344" t="s">
        <v>331</v>
      </c>
      <c r="AB9" s="344"/>
      <c r="AC9" s="234" t="s">
        <v>325</v>
      </c>
      <c r="AD9" s="234" t="s">
        <v>325</v>
      </c>
    </row>
    <row r="10" spans="1:30" ht="15.75">
      <c r="B10" s="22"/>
      <c r="C10" s="19"/>
      <c r="D10" s="19"/>
      <c r="E10" s="19"/>
      <c r="F10" s="19"/>
      <c r="G10" s="19"/>
      <c r="H10" s="19"/>
      <c r="I10" s="41"/>
      <c r="J10" s="19"/>
      <c r="K10" s="19"/>
      <c r="L10" s="19"/>
      <c r="M10" s="209"/>
      <c r="N10" s="209"/>
      <c r="O10" s="209"/>
      <c r="P10" s="209"/>
      <c r="Q10" s="209"/>
      <c r="R10" s="19"/>
      <c r="S10" s="19"/>
      <c r="U10" s="19"/>
    </row>
    <row r="11" spans="1:30" ht="15.75">
      <c r="B11" s="22"/>
      <c r="C11" s="21" t="s">
        <v>24</v>
      </c>
      <c r="D11" s="19"/>
      <c r="E11" s="19"/>
      <c r="F11" s="19"/>
      <c r="G11" s="19"/>
      <c r="H11" s="19"/>
      <c r="I11" s="41"/>
      <c r="J11" s="19"/>
      <c r="K11" s="19"/>
      <c r="L11" s="19"/>
      <c r="M11" s="209"/>
      <c r="N11" s="209"/>
      <c r="O11" s="209"/>
      <c r="P11" s="209"/>
      <c r="Q11" s="209"/>
      <c r="R11" s="19"/>
      <c r="S11" s="19"/>
      <c r="U11" s="19"/>
    </row>
    <row r="12" spans="1:30" ht="15.75">
      <c r="B12" s="22"/>
      <c r="C12" s="19"/>
      <c r="D12" s="19"/>
      <c r="E12" s="19"/>
      <c r="F12" s="19"/>
      <c r="G12" s="19"/>
      <c r="H12" s="19"/>
      <c r="I12" s="41"/>
      <c r="J12" s="19"/>
      <c r="K12" s="19"/>
      <c r="L12" s="19"/>
      <c r="M12" s="209"/>
      <c r="N12" s="209"/>
      <c r="O12" s="209"/>
      <c r="P12" s="209"/>
      <c r="Q12" s="209"/>
      <c r="R12" s="19"/>
      <c r="S12" s="19"/>
      <c r="U12" s="19"/>
    </row>
    <row r="13" spans="1:30" ht="15.75">
      <c r="A13" s="30">
        <v>303</v>
      </c>
      <c r="C13" s="13" t="s">
        <v>25</v>
      </c>
      <c r="D13" s="19"/>
      <c r="E13" s="205"/>
      <c r="G13" s="205" t="s">
        <v>152</v>
      </c>
      <c r="H13" s="205"/>
      <c r="I13" s="206">
        <v>0</v>
      </c>
      <c r="K13" s="144">
        <v>20095177.920000002</v>
      </c>
      <c r="L13" s="145"/>
      <c r="M13" s="148">
        <v>3406872.3</v>
      </c>
      <c r="N13" s="147"/>
      <c r="O13" s="148">
        <v>16688306</v>
      </c>
      <c r="P13" s="147"/>
      <c r="Q13" s="148">
        <v>735656</v>
      </c>
      <c r="S13" s="26">
        <v>3.66</v>
      </c>
      <c r="U13" s="49">
        <v>22.7</v>
      </c>
      <c r="X13" s="26"/>
    </row>
    <row r="14" spans="1:30" ht="15.75">
      <c r="B14" s="22"/>
      <c r="C14" s="19"/>
      <c r="D14" s="19"/>
      <c r="E14" s="19"/>
      <c r="F14" s="19"/>
      <c r="G14" s="19"/>
      <c r="H14" s="19"/>
      <c r="I14" s="41"/>
      <c r="J14" s="19"/>
      <c r="K14" s="19"/>
      <c r="L14" s="19"/>
      <c r="M14" s="209"/>
      <c r="N14" s="209"/>
      <c r="O14" s="209"/>
      <c r="P14" s="209"/>
      <c r="Q14" s="209"/>
      <c r="R14" s="19"/>
      <c r="S14" s="19"/>
      <c r="U14" s="19"/>
    </row>
    <row r="15" spans="1:30" ht="15.75">
      <c r="B15" s="22"/>
      <c r="C15" s="31" t="s">
        <v>139</v>
      </c>
      <c r="D15" s="19"/>
      <c r="E15" s="19"/>
      <c r="F15" s="19"/>
      <c r="G15" s="19"/>
      <c r="H15" s="19"/>
      <c r="I15" s="41"/>
      <c r="J15" s="19"/>
      <c r="K15" s="151">
        <f>SUBTOTAL(9,K13:K14)</f>
        <v>20095177.920000002</v>
      </c>
      <c r="L15" s="152"/>
      <c r="M15" s="154">
        <f>SUBTOTAL(9,M13:M14)</f>
        <v>3406872.3</v>
      </c>
      <c r="N15" s="154"/>
      <c r="O15" s="154">
        <f>SUBTOTAL(9,O13:O14)</f>
        <v>16688306</v>
      </c>
      <c r="P15" s="154"/>
      <c r="Q15" s="154">
        <f>SUBTOTAL(9,Q13:Q14)</f>
        <v>735656</v>
      </c>
      <c r="R15" s="22"/>
      <c r="S15" s="23">
        <f>+ROUND(Q15/K15*100,2)</f>
        <v>3.66</v>
      </c>
      <c r="U15" s="19"/>
    </row>
    <row r="16" spans="1:30" ht="15.75">
      <c r="B16" s="22"/>
      <c r="C16" s="19"/>
      <c r="D16" s="19"/>
      <c r="E16" s="19"/>
      <c r="F16" s="19"/>
      <c r="G16" s="19"/>
      <c r="H16" s="19"/>
      <c r="I16" s="41"/>
      <c r="J16" s="19"/>
      <c r="K16" s="19"/>
      <c r="L16" s="19"/>
      <c r="M16" s="209"/>
      <c r="N16" s="209"/>
      <c r="O16" s="209"/>
      <c r="P16" s="209"/>
      <c r="Q16" s="209"/>
      <c r="R16" s="19"/>
      <c r="S16" s="19"/>
      <c r="U16" s="19"/>
    </row>
    <row r="17" spans="1:30" ht="15.75">
      <c r="C17" s="18" t="s">
        <v>26</v>
      </c>
      <c r="S17" s="24"/>
      <c r="U17" s="30"/>
    </row>
    <row r="18" spans="1:30" ht="15.75">
      <c r="C18" s="25"/>
      <c r="S18" s="26"/>
      <c r="U18" s="49"/>
    </row>
    <row r="19" spans="1:30">
      <c r="A19" s="30">
        <v>310.10000000000002</v>
      </c>
      <c r="C19" s="13" t="s">
        <v>27</v>
      </c>
      <c r="S19" s="26"/>
      <c r="U19" s="49"/>
    </row>
    <row r="20" spans="1:30">
      <c r="C20" s="33" t="s">
        <v>28</v>
      </c>
      <c r="E20" s="207">
        <v>50770</v>
      </c>
      <c r="G20" s="205" t="s">
        <v>140</v>
      </c>
      <c r="H20" s="205" t="s">
        <v>141</v>
      </c>
      <c r="I20" s="206">
        <v>0</v>
      </c>
      <c r="K20" s="157">
        <v>5325571.5599999996</v>
      </c>
      <c r="L20" s="145"/>
      <c r="M20" s="147">
        <v>2634053.77</v>
      </c>
      <c r="N20" s="147"/>
      <c r="O20" s="52">
        <f>ROUND((K20+(K20*-(I20/100)))-M20,0)</f>
        <v>2691518</v>
      </c>
      <c r="P20" s="27"/>
      <c r="Q20" s="27">
        <f>O20/U20</f>
        <v>179434.53333333333</v>
      </c>
      <c r="R20" s="14"/>
      <c r="S20" s="28">
        <f>Q20/K20*100</f>
        <v>3.3693009531794429</v>
      </c>
      <c r="U20" s="49">
        <v>15</v>
      </c>
      <c r="Y20" s="231" t="s">
        <v>323</v>
      </c>
      <c r="Z20" s="207"/>
      <c r="AC20" s="13">
        <v>0</v>
      </c>
    </row>
    <row r="21" spans="1:30">
      <c r="C21" s="33" t="s">
        <v>29</v>
      </c>
      <c r="E21" s="207">
        <v>50770</v>
      </c>
      <c r="G21" s="205" t="s">
        <v>140</v>
      </c>
      <c r="H21" s="205" t="s">
        <v>141</v>
      </c>
      <c r="I21" s="206">
        <v>0</v>
      </c>
      <c r="K21" s="157">
        <v>480134.08</v>
      </c>
      <c r="L21" s="145"/>
      <c r="M21" s="147">
        <v>322717</v>
      </c>
      <c r="N21" s="147"/>
      <c r="O21" s="52">
        <f>ROUND((K21+(K21*-(I21/100)))-M21,0)</f>
        <v>157417</v>
      </c>
      <c r="P21" s="27"/>
      <c r="Q21" s="27">
        <f t="shared" ref="Q21:Q24" si="0">O21/U21</f>
        <v>10494.466666666667</v>
      </c>
      <c r="R21" s="14"/>
      <c r="S21" s="28">
        <f>Q21/K21*100</f>
        <v>2.1857366731115331</v>
      </c>
      <c r="U21" s="49">
        <v>15</v>
      </c>
      <c r="Y21" s="231" t="s">
        <v>323</v>
      </c>
      <c r="Z21" s="207"/>
      <c r="AC21" s="13">
        <v>0</v>
      </c>
    </row>
    <row r="22" spans="1:30">
      <c r="C22" s="33" t="s">
        <v>30</v>
      </c>
      <c r="E22" s="207">
        <v>54788</v>
      </c>
      <c r="G22" s="205" t="s">
        <v>140</v>
      </c>
      <c r="H22" s="205" t="s">
        <v>141</v>
      </c>
      <c r="I22" s="206">
        <v>0</v>
      </c>
      <c r="K22" s="157">
        <v>54040615.270000003</v>
      </c>
      <c r="L22" s="145"/>
      <c r="M22" s="147">
        <v>6181596.7400000002</v>
      </c>
      <c r="N22" s="147"/>
      <c r="O22" s="52">
        <f>ROUND((K22+(K22*-(I22/100)))-M22,0)</f>
        <v>47859019</v>
      </c>
      <c r="P22" s="27"/>
      <c r="Q22" s="27">
        <f t="shared" si="0"/>
        <v>1840731.5</v>
      </c>
      <c r="R22" s="14"/>
      <c r="S22" s="28">
        <f>Q22/K22*100</f>
        <v>3.4062001159743645</v>
      </c>
      <c r="U22" s="49">
        <v>26</v>
      </c>
      <c r="Y22" s="231" t="s">
        <v>323</v>
      </c>
      <c r="Z22" s="207"/>
      <c r="AC22" s="13">
        <v>0</v>
      </c>
    </row>
    <row r="23" spans="1:30">
      <c r="C23" s="33" t="s">
        <v>31</v>
      </c>
      <c r="E23" s="207">
        <v>54788</v>
      </c>
      <c r="G23" s="205" t="s">
        <v>140</v>
      </c>
      <c r="H23" s="205" t="s">
        <v>141</v>
      </c>
      <c r="I23" s="206">
        <v>0</v>
      </c>
      <c r="K23" s="157">
        <v>1050779.8600000001</v>
      </c>
      <c r="L23" s="145"/>
      <c r="M23" s="147">
        <v>159403</v>
      </c>
      <c r="N23" s="147"/>
      <c r="O23" s="52">
        <f>ROUND((K23+(K23*-(I23/100)))-M23,0)</f>
        <v>891377</v>
      </c>
      <c r="P23" s="27"/>
      <c r="Q23" s="27">
        <f t="shared" si="0"/>
        <v>34283.730769230766</v>
      </c>
      <c r="R23" s="14"/>
      <c r="S23" s="28">
        <f>Q23/K23*100</f>
        <v>3.2626939356480209</v>
      </c>
      <c r="U23" s="49">
        <v>26</v>
      </c>
      <c r="Y23" s="231" t="s">
        <v>323</v>
      </c>
      <c r="Z23" s="207"/>
      <c r="AC23" s="13">
        <v>0</v>
      </c>
    </row>
    <row r="24" spans="1:30">
      <c r="C24" s="33" t="s">
        <v>32</v>
      </c>
      <c r="E24" s="207">
        <v>46387</v>
      </c>
      <c r="G24" s="205" t="s">
        <v>140</v>
      </c>
      <c r="H24" s="205" t="s">
        <v>141</v>
      </c>
      <c r="I24" s="206">
        <v>0</v>
      </c>
      <c r="K24" s="144">
        <v>6050424.8700000001</v>
      </c>
      <c r="L24" s="145"/>
      <c r="M24" s="148">
        <v>3611585.76</v>
      </c>
      <c r="N24" s="147"/>
      <c r="O24" s="55">
        <f>ROUND((K24+(K24*-(I24/100)))-M24,0)</f>
        <v>2438839</v>
      </c>
      <c r="P24" s="27"/>
      <c r="Q24" s="29">
        <f t="shared" si="0"/>
        <v>812946.33333333337</v>
      </c>
      <c r="R24" s="14"/>
      <c r="S24" s="28">
        <f>Q24/K24*100</f>
        <v>13.436185900996625</v>
      </c>
      <c r="U24" s="49">
        <v>3</v>
      </c>
      <c r="Y24" s="231" t="s">
        <v>323</v>
      </c>
      <c r="Z24" s="207"/>
      <c r="AC24" s="13">
        <v>0</v>
      </c>
    </row>
    <row r="25" spans="1:30">
      <c r="G25" s="205"/>
      <c r="H25" s="205"/>
      <c r="I25" s="206"/>
      <c r="K25" s="157"/>
      <c r="L25" s="145"/>
      <c r="M25" s="147"/>
      <c r="N25" s="147"/>
      <c r="O25" s="147"/>
      <c r="P25" s="147"/>
      <c r="Q25" s="147"/>
      <c r="S25" s="26"/>
      <c r="U25" s="49"/>
    </row>
    <row r="26" spans="1:30">
      <c r="C26" s="13" t="s">
        <v>33</v>
      </c>
      <c r="G26" s="205"/>
      <c r="H26" s="205"/>
      <c r="I26" s="206"/>
      <c r="K26" s="157">
        <f>SUBTOTAL(9,K20:K25)</f>
        <v>66947525.640000001</v>
      </c>
      <c r="L26" s="145"/>
      <c r="M26" s="147">
        <f>SUBTOTAL(9,M20:M25)</f>
        <v>12909356.27</v>
      </c>
      <c r="N26" s="147"/>
      <c r="O26" s="147">
        <f>SUBTOTAL(9,O20:O25)</f>
        <v>54038170</v>
      </c>
      <c r="P26" s="147"/>
      <c r="Q26" s="147">
        <f>SUBTOTAL(9,Q20:Q25)</f>
        <v>2877890.564102564</v>
      </c>
      <c r="S26" s="26">
        <f>+ROUND(Q26/K26*100,2)</f>
        <v>4.3</v>
      </c>
      <c r="U26" s="49"/>
    </row>
    <row r="27" spans="1:30" ht="15.75">
      <c r="C27" s="18"/>
      <c r="S27" s="26"/>
      <c r="U27" s="49"/>
    </row>
    <row r="28" spans="1:30">
      <c r="A28" s="30">
        <v>311</v>
      </c>
      <c r="C28" s="13" t="s">
        <v>34</v>
      </c>
      <c r="S28" s="26"/>
      <c r="U28" s="49"/>
    </row>
    <row r="29" spans="1:30">
      <c r="A29" s="30"/>
      <c r="C29" s="33" t="s">
        <v>35</v>
      </c>
      <c r="E29" s="207">
        <v>47848</v>
      </c>
      <c r="G29" s="228" t="s">
        <v>140</v>
      </c>
      <c r="H29" s="205" t="s">
        <v>141</v>
      </c>
      <c r="I29" s="229">
        <v>0</v>
      </c>
      <c r="K29" s="157">
        <v>619445.56000000006</v>
      </c>
      <c r="L29" s="145"/>
      <c r="M29" s="147">
        <v>546724.53</v>
      </c>
      <c r="N29" s="147"/>
      <c r="O29" s="52">
        <f t="shared" ref="O29:O38" si="1">ROUND((K29+(K29*-(I29/100)))-M29,0)</f>
        <v>72721</v>
      </c>
      <c r="P29" s="27"/>
      <c r="Q29" s="27">
        <f t="shared" ref="Q29:Q38" si="2">O29/U29</f>
        <v>10388.714285714286</v>
      </c>
      <c r="R29" s="14"/>
      <c r="S29" s="28">
        <f t="shared" ref="S29:S38" si="3">Q29/K29*100</f>
        <v>1.6770988375014402</v>
      </c>
      <c r="U29" s="49">
        <f>AD29</f>
        <v>7</v>
      </c>
      <c r="Y29" s="239">
        <f>ROUND((E29-Z29)/365.25,0)</f>
        <v>7</v>
      </c>
      <c r="Z29" s="240">
        <v>45291</v>
      </c>
      <c r="AA29" s="54"/>
      <c r="AB29" s="54"/>
      <c r="AC29" s="54">
        <v>0</v>
      </c>
      <c r="AD29" s="239">
        <f>Y29+AC29</f>
        <v>7</v>
      </c>
    </row>
    <row r="30" spans="1:30">
      <c r="A30" s="30"/>
      <c r="C30" s="33" t="s">
        <v>36</v>
      </c>
      <c r="E30" s="207">
        <v>50770</v>
      </c>
      <c r="G30" s="228" t="s">
        <v>140</v>
      </c>
      <c r="H30" s="205" t="s">
        <v>141</v>
      </c>
      <c r="I30" s="229">
        <v>0</v>
      </c>
      <c r="K30" s="157">
        <v>11594469.07</v>
      </c>
      <c r="L30" s="145"/>
      <c r="M30" s="147">
        <v>10886217.75</v>
      </c>
      <c r="N30" s="147"/>
      <c r="O30" s="52">
        <f t="shared" si="1"/>
        <v>708251</v>
      </c>
      <c r="P30" s="27"/>
      <c r="Q30" s="27">
        <f t="shared" si="2"/>
        <v>47216.73333333333</v>
      </c>
      <c r="R30" s="14"/>
      <c r="S30" s="28">
        <f t="shared" si="3"/>
        <v>0.40723497598957614</v>
      </c>
      <c r="U30" s="49">
        <f t="shared" ref="U30:U38" si="4">AD30</f>
        <v>15</v>
      </c>
      <c r="Y30" s="239">
        <f t="shared" ref="Y30:Y38" si="5">ROUND((E30-Z30)/365.25,0)</f>
        <v>15</v>
      </c>
      <c r="Z30" s="240">
        <v>45291</v>
      </c>
      <c r="AA30" s="54"/>
      <c r="AB30" s="54"/>
      <c r="AC30" s="54">
        <v>0</v>
      </c>
      <c r="AD30" s="239">
        <f t="shared" ref="AD30:AD38" si="6">Y30+AC30</f>
        <v>15</v>
      </c>
    </row>
    <row r="31" spans="1:30">
      <c r="A31" s="30"/>
      <c r="C31" s="33" t="s">
        <v>37</v>
      </c>
      <c r="E31" s="207">
        <v>50770</v>
      </c>
      <c r="G31" s="228" t="s">
        <v>140</v>
      </c>
      <c r="H31" s="205" t="s">
        <v>141</v>
      </c>
      <c r="I31" s="229">
        <v>0</v>
      </c>
      <c r="K31" s="157">
        <v>16839214.859999999</v>
      </c>
      <c r="L31" s="145"/>
      <c r="M31" s="147">
        <v>10420392.59</v>
      </c>
      <c r="N31" s="147"/>
      <c r="O31" s="52">
        <f t="shared" si="1"/>
        <v>6418822</v>
      </c>
      <c r="P31" s="27"/>
      <c r="Q31" s="27">
        <f t="shared" si="2"/>
        <v>427921.46666666667</v>
      </c>
      <c r="R31" s="14"/>
      <c r="S31" s="28">
        <f t="shared" si="3"/>
        <v>2.5412198266034043</v>
      </c>
      <c r="U31" s="49">
        <f t="shared" si="4"/>
        <v>15</v>
      </c>
      <c r="Y31" s="239">
        <f t="shared" si="5"/>
        <v>15</v>
      </c>
      <c r="Z31" s="240">
        <v>45291</v>
      </c>
      <c r="AA31" s="54"/>
      <c r="AB31" s="54"/>
      <c r="AC31" s="54">
        <v>0</v>
      </c>
      <c r="AD31" s="239">
        <f t="shared" si="6"/>
        <v>15</v>
      </c>
    </row>
    <row r="32" spans="1:30">
      <c r="A32" s="30"/>
      <c r="C32" s="33" t="s">
        <v>38</v>
      </c>
      <c r="E32" s="207">
        <v>54788</v>
      </c>
      <c r="G32" s="228" t="s">
        <v>140</v>
      </c>
      <c r="H32" s="205" t="s">
        <v>141</v>
      </c>
      <c r="I32" s="229">
        <v>0</v>
      </c>
      <c r="K32" s="157">
        <v>71702335.620000005</v>
      </c>
      <c r="L32" s="145"/>
      <c r="M32" s="147">
        <v>10053669.310000001</v>
      </c>
      <c r="N32" s="147"/>
      <c r="O32" s="52">
        <f t="shared" si="1"/>
        <v>61648666</v>
      </c>
      <c r="P32" s="27"/>
      <c r="Q32" s="27">
        <f t="shared" si="2"/>
        <v>2371102.5384615385</v>
      </c>
      <c r="R32" s="14"/>
      <c r="S32" s="28">
        <f t="shared" si="3"/>
        <v>3.3068693201678143</v>
      </c>
      <c r="U32" s="49">
        <f t="shared" si="4"/>
        <v>26</v>
      </c>
      <c r="Y32" s="239">
        <f t="shared" si="5"/>
        <v>26</v>
      </c>
      <c r="Z32" s="240">
        <v>45291</v>
      </c>
      <c r="AA32" s="54"/>
      <c r="AB32" s="54"/>
      <c r="AC32" s="54">
        <v>0</v>
      </c>
      <c r="AD32" s="239">
        <f t="shared" si="6"/>
        <v>26</v>
      </c>
    </row>
    <row r="33" spans="1:30">
      <c r="A33" s="30"/>
      <c r="C33" s="33" t="s">
        <v>39</v>
      </c>
      <c r="E33" s="207">
        <v>52231</v>
      </c>
      <c r="G33" s="228" t="s">
        <v>140</v>
      </c>
      <c r="H33" s="205" t="s">
        <v>141</v>
      </c>
      <c r="I33" s="229">
        <v>0</v>
      </c>
      <c r="K33" s="157">
        <v>27725671.460000001</v>
      </c>
      <c r="L33" s="145"/>
      <c r="M33" s="147">
        <v>20154585.920000002</v>
      </c>
      <c r="N33" s="147"/>
      <c r="O33" s="52">
        <f t="shared" si="1"/>
        <v>7571086</v>
      </c>
      <c r="P33" s="27"/>
      <c r="Q33" s="27">
        <f t="shared" si="2"/>
        <v>398478.21052631579</v>
      </c>
      <c r="R33" s="14"/>
      <c r="S33" s="28">
        <f t="shared" si="3"/>
        <v>1.4372175299747123</v>
      </c>
      <c r="U33" s="49">
        <f t="shared" si="4"/>
        <v>19</v>
      </c>
      <c r="Y33" s="239">
        <f t="shared" si="5"/>
        <v>19</v>
      </c>
      <c r="Z33" s="240">
        <v>45291</v>
      </c>
      <c r="AA33" s="54"/>
      <c r="AB33" s="54"/>
      <c r="AC33" s="54">
        <v>0</v>
      </c>
      <c r="AD33" s="239">
        <f t="shared" si="6"/>
        <v>19</v>
      </c>
    </row>
    <row r="34" spans="1:30">
      <c r="A34" s="30"/>
      <c r="C34" s="33" t="s">
        <v>40</v>
      </c>
      <c r="E34" s="207">
        <v>52231</v>
      </c>
      <c r="G34" s="228" t="s">
        <v>140</v>
      </c>
      <c r="H34" s="205" t="s">
        <v>141</v>
      </c>
      <c r="I34" s="229">
        <v>0</v>
      </c>
      <c r="K34" s="157">
        <v>33813856.219999999</v>
      </c>
      <c r="L34" s="145"/>
      <c r="M34" s="147">
        <v>24929129.039999999</v>
      </c>
      <c r="N34" s="147"/>
      <c r="O34" s="52">
        <f t="shared" si="1"/>
        <v>8884727</v>
      </c>
      <c r="P34" s="27"/>
      <c r="Q34" s="27">
        <f t="shared" si="2"/>
        <v>467617.21052631579</v>
      </c>
      <c r="R34" s="14"/>
      <c r="S34" s="28">
        <f t="shared" si="3"/>
        <v>1.3829159486687963</v>
      </c>
      <c r="U34" s="49">
        <f t="shared" si="4"/>
        <v>19</v>
      </c>
      <c r="Y34" s="239">
        <f t="shared" si="5"/>
        <v>19</v>
      </c>
      <c r="Z34" s="240">
        <v>45291</v>
      </c>
      <c r="AA34" s="54"/>
      <c r="AB34" s="54"/>
      <c r="AC34" s="54">
        <v>0</v>
      </c>
      <c r="AD34" s="239">
        <f t="shared" si="6"/>
        <v>19</v>
      </c>
    </row>
    <row r="35" spans="1:30">
      <c r="A35" s="30"/>
      <c r="C35" s="33" t="s">
        <v>41</v>
      </c>
      <c r="E35" s="207">
        <v>54788</v>
      </c>
      <c r="G35" s="228" t="s">
        <v>140</v>
      </c>
      <c r="H35" s="205" t="s">
        <v>141</v>
      </c>
      <c r="I35" s="229">
        <v>0</v>
      </c>
      <c r="K35" s="157">
        <v>135449284.44</v>
      </c>
      <c r="L35" s="145"/>
      <c r="M35" s="147">
        <v>46960727.109999999</v>
      </c>
      <c r="N35" s="147"/>
      <c r="O35" s="52">
        <f t="shared" si="1"/>
        <v>88488557</v>
      </c>
      <c r="P35" s="27"/>
      <c r="Q35" s="27">
        <f t="shared" si="2"/>
        <v>3403406.0384615385</v>
      </c>
      <c r="R35" s="14"/>
      <c r="S35" s="28">
        <f t="shared" si="3"/>
        <v>2.5126792308520067</v>
      </c>
      <c r="U35" s="49">
        <f t="shared" si="4"/>
        <v>26</v>
      </c>
      <c r="Y35" s="239">
        <f t="shared" si="5"/>
        <v>26</v>
      </c>
      <c r="Z35" s="240">
        <v>45291</v>
      </c>
      <c r="AA35" s="54"/>
      <c r="AB35" s="54"/>
      <c r="AC35" s="54">
        <v>0</v>
      </c>
      <c r="AD35" s="239">
        <f t="shared" si="6"/>
        <v>26</v>
      </c>
    </row>
    <row r="36" spans="1:30">
      <c r="A36" s="30"/>
      <c r="C36" s="33" t="s">
        <v>42</v>
      </c>
      <c r="E36" s="207">
        <v>54788</v>
      </c>
      <c r="G36" s="228" t="s">
        <v>140</v>
      </c>
      <c r="H36" s="205" t="s">
        <v>141</v>
      </c>
      <c r="I36" s="229">
        <v>0</v>
      </c>
      <c r="K36" s="157">
        <v>91570829.790000007</v>
      </c>
      <c r="L36" s="145"/>
      <c r="M36" s="147">
        <v>25565458.120000001</v>
      </c>
      <c r="N36" s="147"/>
      <c r="O36" s="52">
        <f t="shared" si="1"/>
        <v>66005372</v>
      </c>
      <c r="P36" s="27"/>
      <c r="Q36" s="27">
        <f t="shared" si="2"/>
        <v>2538668.153846154</v>
      </c>
      <c r="R36" s="14"/>
      <c r="S36" s="28">
        <f t="shared" si="3"/>
        <v>2.7723546457623005</v>
      </c>
      <c r="U36" s="49">
        <f t="shared" si="4"/>
        <v>26</v>
      </c>
      <c r="Y36" s="239">
        <f t="shared" si="5"/>
        <v>26</v>
      </c>
      <c r="Z36" s="240">
        <v>45291</v>
      </c>
      <c r="AA36" s="54"/>
      <c r="AB36" s="54"/>
      <c r="AC36" s="54">
        <v>0</v>
      </c>
      <c r="AD36" s="239">
        <f t="shared" si="6"/>
        <v>26</v>
      </c>
    </row>
    <row r="37" spans="1:30">
      <c r="A37" s="30"/>
      <c r="C37" s="33" t="s">
        <v>43</v>
      </c>
      <c r="E37" s="207">
        <v>52231</v>
      </c>
      <c r="G37" s="228" t="s">
        <v>140</v>
      </c>
      <c r="H37" s="205" t="s">
        <v>141</v>
      </c>
      <c r="I37" s="229">
        <v>0</v>
      </c>
      <c r="K37" s="157">
        <v>25327525.350000001</v>
      </c>
      <c r="L37" s="145"/>
      <c r="M37" s="147">
        <v>11932283.550000001</v>
      </c>
      <c r="N37" s="147"/>
      <c r="O37" s="52">
        <f t="shared" si="1"/>
        <v>13395242</v>
      </c>
      <c r="P37" s="27"/>
      <c r="Q37" s="27">
        <f t="shared" si="2"/>
        <v>705012.73684210528</v>
      </c>
      <c r="R37" s="14"/>
      <c r="S37" s="28">
        <f t="shared" si="3"/>
        <v>2.7835831850903872</v>
      </c>
      <c r="U37" s="49">
        <f t="shared" si="4"/>
        <v>19</v>
      </c>
      <c r="Y37" s="239">
        <f t="shared" si="5"/>
        <v>19</v>
      </c>
      <c r="Z37" s="240">
        <v>45291</v>
      </c>
      <c r="AA37" s="54"/>
      <c r="AB37" s="54"/>
      <c r="AC37" s="54">
        <v>0</v>
      </c>
      <c r="AD37" s="239">
        <f t="shared" si="6"/>
        <v>19</v>
      </c>
    </row>
    <row r="38" spans="1:30">
      <c r="A38" s="30"/>
      <c r="C38" s="33" t="s">
        <v>44</v>
      </c>
      <c r="E38" s="207">
        <v>52231</v>
      </c>
      <c r="G38" s="228" t="s">
        <v>140</v>
      </c>
      <c r="H38" s="205" t="s">
        <v>141</v>
      </c>
      <c r="I38" s="229">
        <v>0</v>
      </c>
      <c r="K38" s="144">
        <v>22295947.370000001</v>
      </c>
      <c r="L38" s="145"/>
      <c r="M38" s="148">
        <v>10551317.82</v>
      </c>
      <c r="N38" s="147"/>
      <c r="O38" s="55">
        <f t="shared" si="1"/>
        <v>11744630</v>
      </c>
      <c r="P38" s="27"/>
      <c r="Q38" s="29">
        <f t="shared" si="2"/>
        <v>618138.42105263157</v>
      </c>
      <c r="R38" s="14"/>
      <c r="S38" s="28">
        <f t="shared" si="3"/>
        <v>2.7724250097771534</v>
      </c>
      <c r="U38" s="49">
        <f t="shared" si="4"/>
        <v>19</v>
      </c>
      <c r="Y38" s="239">
        <f t="shared" si="5"/>
        <v>19</v>
      </c>
      <c r="Z38" s="240">
        <v>45291</v>
      </c>
      <c r="AA38" s="54"/>
      <c r="AB38" s="54"/>
      <c r="AC38" s="54">
        <v>0</v>
      </c>
      <c r="AD38" s="239">
        <f t="shared" si="6"/>
        <v>19</v>
      </c>
    </row>
    <row r="39" spans="1:30">
      <c r="A39" s="30"/>
      <c r="G39" s="205"/>
      <c r="H39" s="205"/>
      <c r="I39" s="206"/>
      <c r="K39" s="157"/>
      <c r="L39" s="145"/>
      <c r="M39" s="147"/>
      <c r="N39" s="147"/>
      <c r="O39" s="147"/>
      <c r="P39" s="147"/>
      <c r="Q39" s="147"/>
      <c r="S39" s="26"/>
      <c r="U39" s="49"/>
      <c r="Y39" s="230"/>
    </row>
    <row r="40" spans="1:30">
      <c r="A40" s="30"/>
      <c r="C40" s="13" t="s">
        <v>45</v>
      </c>
      <c r="G40" s="205"/>
      <c r="H40" s="205"/>
      <c r="I40" s="206"/>
      <c r="K40" s="157">
        <f>SUBTOTAL(9,K29:K39)</f>
        <v>436938579.74000007</v>
      </c>
      <c r="L40" s="145"/>
      <c r="M40" s="147">
        <f>SUBTOTAL(9,M29:M39)</f>
        <v>172000505.74000001</v>
      </c>
      <c r="N40" s="147"/>
      <c r="O40" s="147">
        <f>SUBTOTAL(9,O29:O39)</f>
        <v>264938074</v>
      </c>
      <c r="P40" s="147"/>
      <c r="Q40" s="147">
        <f>SUBTOTAL(9,Q29:Q39)</f>
        <v>10987950.224002313</v>
      </c>
      <c r="S40" s="26">
        <f>+ROUND(Q40/K40*100,2)</f>
        <v>2.5099999999999998</v>
      </c>
      <c r="U40" s="49"/>
      <c r="Y40" s="230"/>
    </row>
    <row r="41" spans="1:30">
      <c r="A41" s="30"/>
      <c r="G41" s="205"/>
      <c r="H41" s="205"/>
      <c r="I41" s="206"/>
      <c r="K41" s="157"/>
      <c r="L41" s="145"/>
      <c r="M41" s="147"/>
      <c r="N41" s="147"/>
      <c r="O41" s="147"/>
      <c r="P41" s="147"/>
      <c r="Q41" s="147"/>
      <c r="S41" s="26"/>
      <c r="U41" s="49"/>
      <c r="Y41" s="230"/>
    </row>
    <row r="42" spans="1:30">
      <c r="A42" s="30">
        <v>312</v>
      </c>
      <c r="C42" s="13" t="s">
        <v>46</v>
      </c>
      <c r="G42" s="205"/>
      <c r="H42" s="205"/>
      <c r="I42" s="206"/>
      <c r="K42" s="157"/>
      <c r="L42" s="145"/>
      <c r="M42" s="147"/>
      <c r="N42" s="147"/>
      <c r="O42" s="147"/>
      <c r="P42" s="147"/>
      <c r="Q42" s="147"/>
      <c r="S42" s="26"/>
      <c r="U42" s="49"/>
      <c r="Y42" s="230"/>
    </row>
    <row r="43" spans="1:30">
      <c r="A43" s="30"/>
      <c r="C43" s="33" t="s">
        <v>36</v>
      </c>
      <c r="E43" s="207">
        <v>50770</v>
      </c>
      <c r="G43" s="228" t="s">
        <v>140</v>
      </c>
      <c r="H43" s="205" t="s">
        <v>141</v>
      </c>
      <c r="I43" s="229">
        <v>0</v>
      </c>
      <c r="K43" s="157">
        <v>101123705.05</v>
      </c>
      <c r="L43" s="145"/>
      <c r="M43" s="147">
        <v>79902414.879999995</v>
      </c>
      <c r="N43" s="147"/>
      <c r="O43" s="52">
        <f t="shared" ref="O43:O53" si="7">ROUND((K43+(K43*-(I43/100)))-M43,0)</f>
        <v>21221290</v>
      </c>
      <c r="P43" s="27"/>
      <c r="Q43" s="27">
        <f t="shared" ref="Q43:Q53" si="8">O43/U43</f>
        <v>1414752.6666666667</v>
      </c>
      <c r="R43" s="14"/>
      <c r="S43" s="28">
        <f t="shared" ref="S43:S53" si="9">Q43/K43*100</f>
        <v>1.399031677060439</v>
      </c>
      <c r="U43" s="49">
        <f t="shared" ref="U43:U53" si="10">AD43</f>
        <v>15</v>
      </c>
      <c r="Y43" s="239">
        <f t="shared" ref="Y43:Y53" si="11">ROUND((E43-Z43)/365.25,0)</f>
        <v>15</v>
      </c>
      <c r="Z43" s="240">
        <v>45291</v>
      </c>
      <c r="AA43" s="54"/>
      <c r="AB43" s="54"/>
      <c r="AC43" s="54">
        <v>0</v>
      </c>
      <c r="AD43" s="239">
        <f t="shared" ref="AD43:AD53" si="12">Y43+AC43</f>
        <v>15</v>
      </c>
    </row>
    <row r="44" spans="1:30">
      <c r="A44" s="30"/>
      <c r="C44" s="33" t="s">
        <v>47</v>
      </c>
      <c r="E44" s="207">
        <v>47848</v>
      </c>
      <c r="G44" s="228" t="s">
        <v>140</v>
      </c>
      <c r="H44" s="205" t="s">
        <v>141</v>
      </c>
      <c r="I44" s="229">
        <v>0</v>
      </c>
      <c r="K44" s="157">
        <v>7772878.4500000002</v>
      </c>
      <c r="L44" s="145"/>
      <c r="M44" s="147">
        <v>7964995.1399999997</v>
      </c>
      <c r="N44" s="147"/>
      <c r="O44" s="52">
        <f t="shared" si="7"/>
        <v>-192117</v>
      </c>
      <c r="P44" s="27"/>
      <c r="Q44" s="27">
        <v>0</v>
      </c>
      <c r="R44" s="14"/>
      <c r="S44" s="28">
        <f t="shared" si="9"/>
        <v>0</v>
      </c>
      <c r="U44" s="49">
        <f t="shared" si="10"/>
        <v>7</v>
      </c>
      <c r="Y44" s="239">
        <f t="shared" si="11"/>
        <v>7</v>
      </c>
      <c r="Z44" s="240">
        <v>45291</v>
      </c>
      <c r="AA44" s="54"/>
      <c r="AB44" s="54"/>
      <c r="AC44" s="54">
        <v>0</v>
      </c>
      <c r="AD44" s="239">
        <f t="shared" si="12"/>
        <v>7</v>
      </c>
    </row>
    <row r="45" spans="1:30">
      <c r="A45" s="30"/>
      <c r="C45" s="33" t="s">
        <v>48</v>
      </c>
      <c r="E45" s="207">
        <v>50770</v>
      </c>
      <c r="G45" s="228" t="s">
        <v>140</v>
      </c>
      <c r="H45" s="205" t="s">
        <v>141</v>
      </c>
      <c r="I45" s="229">
        <v>0</v>
      </c>
      <c r="K45" s="157">
        <v>10041434.960000001</v>
      </c>
      <c r="L45" s="145"/>
      <c r="M45" s="147">
        <v>7985989.9900000002</v>
      </c>
      <c r="N45" s="147"/>
      <c r="O45" s="52">
        <f t="shared" si="7"/>
        <v>2055445</v>
      </c>
      <c r="P45" s="27"/>
      <c r="Q45" s="27">
        <f t="shared" si="8"/>
        <v>137029.66666666666</v>
      </c>
      <c r="R45" s="14"/>
      <c r="S45" s="28">
        <f t="shared" si="9"/>
        <v>1.3646422768511031</v>
      </c>
      <c r="U45" s="49">
        <f t="shared" si="10"/>
        <v>15</v>
      </c>
      <c r="Y45" s="239">
        <f t="shared" si="11"/>
        <v>15</v>
      </c>
      <c r="Z45" s="240">
        <v>45291</v>
      </c>
      <c r="AA45" s="54"/>
      <c r="AB45" s="54"/>
      <c r="AC45" s="54">
        <v>0</v>
      </c>
      <c r="AD45" s="239">
        <f t="shared" si="12"/>
        <v>15</v>
      </c>
    </row>
    <row r="46" spans="1:30">
      <c r="A46" s="30"/>
      <c r="C46" s="33" t="s">
        <v>37</v>
      </c>
      <c r="E46" s="207">
        <v>50770</v>
      </c>
      <c r="G46" s="228" t="s">
        <v>140</v>
      </c>
      <c r="H46" s="205" t="s">
        <v>141</v>
      </c>
      <c r="I46" s="229">
        <v>0</v>
      </c>
      <c r="K46" s="157">
        <v>193947398</v>
      </c>
      <c r="L46" s="145"/>
      <c r="M46" s="147">
        <v>120251809.87</v>
      </c>
      <c r="N46" s="147"/>
      <c r="O46" s="52">
        <f t="shared" si="7"/>
        <v>73695588</v>
      </c>
      <c r="P46" s="27"/>
      <c r="Q46" s="27">
        <f t="shared" si="8"/>
        <v>4913039.2</v>
      </c>
      <c r="R46" s="14"/>
      <c r="S46" s="28">
        <f t="shared" si="9"/>
        <v>2.5331812907332742</v>
      </c>
      <c r="U46" s="49">
        <f t="shared" si="10"/>
        <v>15</v>
      </c>
      <c r="Y46" s="239">
        <f t="shared" si="11"/>
        <v>15</v>
      </c>
      <c r="Z46" s="240">
        <v>45291</v>
      </c>
      <c r="AA46" s="54"/>
      <c r="AB46" s="54"/>
      <c r="AC46" s="54">
        <v>0</v>
      </c>
      <c r="AD46" s="239">
        <f t="shared" si="12"/>
        <v>15</v>
      </c>
    </row>
    <row r="47" spans="1:30">
      <c r="A47" s="30"/>
      <c r="C47" s="33" t="s">
        <v>38</v>
      </c>
      <c r="E47" s="207">
        <v>54788</v>
      </c>
      <c r="G47" s="228" t="s">
        <v>140</v>
      </c>
      <c r="H47" s="205" t="s">
        <v>141</v>
      </c>
      <c r="I47" s="229">
        <v>0</v>
      </c>
      <c r="K47" s="157">
        <v>242346947.83000001</v>
      </c>
      <c r="L47" s="145"/>
      <c r="M47" s="147">
        <v>28417369.07</v>
      </c>
      <c r="N47" s="147"/>
      <c r="O47" s="52">
        <f t="shared" si="7"/>
        <v>213929579</v>
      </c>
      <c r="P47" s="27"/>
      <c r="Q47" s="27">
        <f t="shared" si="8"/>
        <v>8228060.730769231</v>
      </c>
      <c r="R47" s="14"/>
      <c r="S47" s="28">
        <f t="shared" si="9"/>
        <v>3.3951575641633411</v>
      </c>
      <c r="U47" s="49">
        <f t="shared" si="10"/>
        <v>26</v>
      </c>
      <c r="Y47" s="239">
        <f t="shared" si="11"/>
        <v>26</v>
      </c>
      <c r="Z47" s="240">
        <v>45291</v>
      </c>
      <c r="AA47" s="54"/>
      <c r="AB47" s="54"/>
      <c r="AC47" s="54">
        <v>0</v>
      </c>
      <c r="AD47" s="239">
        <f t="shared" si="12"/>
        <v>26</v>
      </c>
    </row>
    <row r="48" spans="1:30">
      <c r="A48" s="30"/>
      <c r="C48" s="33" t="s">
        <v>39</v>
      </c>
      <c r="E48" s="207">
        <v>52231</v>
      </c>
      <c r="G48" s="228" t="s">
        <v>140</v>
      </c>
      <c r="H48" s="205" t="s">
        <v>141</v>
      </c>
      <c r="I48" s="229">
        <v>0</v>
      </c>
      <c r="K48" s="157">
        <v>234286878.19</v>
      </c>
      <c r="L48" s="145"/>
      <c r="M48" s="147">
        <v>124550728.67</v>
      </c>
      <c r="N48" s="147"/>
      <c r="O48" s="52">
        <f t="shared" si="7"/>
        <v>109736150</v>
      </c>
      <c r="P48" s="27"/>
      <c r="Q48" s="27">
        <f t="shared" si="8"/>
        <v>5775586.8421052629</v>
      </c>
      <c r="R48" s="14"/>
      <c r="S48" s="28">
        <f t="shared" si="9"/>
        <v>2.4651772590616137</v>
      </c>
      <c r="U48" s="49">
        <f t="shared" si="10"/>
        <v>19</v>
      </c>
      <c r="Y48" s="239">
        <f t="shared" si="11"/>
        <v>19</v>
      </c>
      <c r="Z48" s="240">
        <v>45291</v>
      </c>
      <c r="AA48" s="54"/>
      <c r="AB48" s="54"/>
      <c r="AC48" s="54">
        <v>0</v>
      </c>
      <c r="AD48" s="239">
        <f t="shared" si="12"/>
        <v>19</v>
      </c>
    </row>
    <row r="49" spans="1:30">
      <c r="A49" s="30"/>
      <c r="C49" s="33" t="s">
        <v>40</v>
      </c>
      <c r="E49" s="207">
        <v>52231</v>
      </c>
      <c r="G49" s="228" t="s">
        <v>140</v>
      </c>
      <c r="H49" s="205" t="s">
        <v>141</v>
      </c>
      <c r="I49" s="229">
        <v>0</v>
      </c>
      <c r="K49" s="157">
        <v>298973833.27999997</v>
      </c>
      <c r="L49" s="145"/>
      <c r="M49" s="147">
        <v>167717075.88</v>
      </c>
      <c r="N49" s="147"/>
      <c r="O49" s="52">
        <f t="shared" si="7"/>
        <v>131256757</v>
      </c>
      <c r="P49" s="27"/>
      <c r="Q49" s="27">
        <f t="shared" si="8"/>
        <v>6908250.3684210526</v>
      </c>
      <c r="R49" s="14"/>
      <c r="S49" s="28">
        <f t="shared" si="9"/>
        <v>2.3106538430576373</v>
      </c>
      <c r="U49" s="49">
        <f t="shared" si="10"/>
        <v>19</v>
      </c>
      <c r="Y49" s="239">
        <f t="shared" si="11"/>
        <v>19</v>
      </c>
      <c r="Z49" s="240">
        <v>45291</v>
      </c>
      <c r="AA49" s="54"/>
      <c r="AB49" s="54"/>
      <c r="AC49" s="54">
        <v>0</v>
      </c>
      <c r="AD49" s="239">
        <f t="shared" si="12"/>
        <v>19</v>
      </c>
    </row>
    <row r="50" spans="1:30">
      <c r="A50" s="30"/>
      <c r="C50" s="33" t="s">
        <v>41</v>
      </c>
      <c r="E50" s="207">
        <v>54788</v>
      </c>
      <c r="G50" s="228" t="s">
        <v>140</v>
      </c>
      <c r="H50" s="205" t="s">
        <v>141</v>
      </c>
      <c r="I50" s="229">
        <v>0</v>
      </c>
      <c r="K50" s="157">
        <v>204062486.12</v>
      </c>
      <c r="L50" s="145"/>
      <c r="M50" s="147">
        <v>64111196.75</v>
      </c>
      <c r="N50" s="147"/>
      <c r="O50" s="52">
        <f t="shared" si="7"/>
        <v>139951289</v>
      </c>
      <c r="P50" s="27"/>
      <c r="Q50" s="27">
        <f t="shared" si="8"/>
        <v>5382741.884615385</v>
      </c>
      <c r="R50" s="14"/>
      <c r="S50" s="28">
        <f t="shared" si="9"/>
        <v>2.637790995768833</v>
      </c>
      <c r="U50" s="49">
        <f t="shared" si="10"/>
        <v>26</v>
      </c>
      <c r="Y50" s="239">
        <f t="shared" si="11"/>
        <v>26</v>
      </c>
      <c r="Z50" s="240">
        <v>45291</v>
      </c>
      <c r="AA50" s="54"/>
      <c r="AB50" s="54"/>
      <c r="AC50" s="54">
        <v>0</v>
      </c>
      <c r="AD50" s="239">
        <f t="shared" si="12"/>
        <v>26</v>
      </c>
    </row>
    <row r="51" spans="1:30">
      <c r="A51" s="30"/>
      <c r="C51" s="33" t="s">
        <v>42</v>
      </c>
      <c r="E51" s="207">
        <v>54788</v>
      </c>
      <c r="G51" s="228" t="s">
        <v>140</v>
      </c>
      <c r="H51" s="205" t="s">
        <v>141</v>
      </c>
      <c r="I51" s="229">
        <v>0</v>
      </c>
      <c r="K51" s="157">
        <v>302101587.54000002</v>
      </c>
      <c r="L51" s="145"/>
      <c r="M51" s="147">
        <v>82111423.780000001</v>
      </c>
      <c r="N51" s="147"/>
      <c r="O51" s="52">
        <f t="shared" si="7"/>
        <v>219990164</v>
      </c>
      <c r="P51" s="27"/>
      <c r="Q51" s="27">
        <f t="shared" si="8"/>
        <v>8461160.153846154</v>
      </c>
      <c r="R51" s="14"/>
      <c r="S51" s="28">
        <f t="shared" si="9"/>
        <v>2.8007665311344474</v>
      </c>
      <c r="U51" s="49">
        <f t="shared" si="10"/>
        <v>26</v>
      </c>
      <c r="Y51" s="239">
        <f t="shared" si="11"/>
        <v>26</v>
      </c>
      <c r="Z51" s="240">
        <v>45291</v>
      </c>
      <c r="AA51" s="54"/>
      <c r="AB51" s="54"/>
      <c r="AC51" s="54">
        <v>0</v>
      </c>
      <c r="AD51" s="239">
        <f t="shared" si="12"/>
        <v>26</v>
      </c>
    </row>
    <row r="52" spans="1:30">
      <c r="A52" s="30"/>
      <c r="C52" s="33" t="s">
        <v>43</v>
      </c>
      <c r="E52" s="207">
        <v>52231</v>
      </c>
      <c r="G52" s="228" t="s">
        <v>140</v>
      </c>
      <c r="H52" s="205" t="s">
        <v>141</v>
      </c>
      <c r="I52" s="229">
        <v>0</v>
      </c>
      <c r="K52" s="157">
        <v>101115917.65000001</v>
      </c>
      <c r="L52" s="145"/>
      <c r="M52" s="147">
        <v>47632570.479999997</v>
      </c>
      <c r="N52" s="147"/>
      <c r="O52" s="52">
        <f t="shared" si="7"/>
        <v>53483347</v>
      </c>
      <c r="P52" s="27"/>
      <c r="Q52" s="27">
        <f t="shared" si="8"/>
        <v>2814913</v>
      </c>
      <c r="R52" s="14"/>
      <c r="S52" s="28">
        <f t="shared" si="9"/>
        <v>2.7838475537980738</v>
      </c>
      <c r="U52" s="49">
        <f t="shared" si="10"/>
        <v>19</v>
      </c>
      <c r="Y52" s="239">
        <f t="shared" si="11"/>
        <v>19</v>
      </c>
      <c r="Z52" s="240">
        <v>45291</v>
      </c>
      <c r="AA52" s="54"/>
      <c r="AB52" s="54"/>
      <c r="AC52" s="54">
        <v>0</v>
      </c>
      <c r="AD52" s="239">
        <f t="shared" si="12"/>
        <v>19</v>
      </c>
    </row>
    <row r="53" spans="1:30">
      <c r="A53" s="30"/>
      <c r="C53" s="33" t="s">
        <v>44</v>
      </c>
      <c r="E53" s="207">
        <v>52231</v>
      </c>
      <c r="G53" s="228" t="s">
        <v>140</v>
      </c>
      <c r="H53" s="205" t="s">
        <v>141</v>
      </c>
      <c r="I53" s="229">
        <v>0</v>
      </c>
      <c r="K53" s="144">
        <v>156122871.75</v>
      </c>
      <c r="L53" s="145"/>
      <c r="M53" s="148">
        <v>73883789.400000006</v>
      </c>
      <c r="N53" s="147"/>
      <c r="O53" s="55">
        <f t="shared" si="7"/>
        <v>82239082</v>
      </c>
      <c r="P53" s="27"/>
      <c r="Q53" s="29">
        <f t="shared" si="8"/>
        <v>4328372.7368421052</v>
      </c>
      <c r="R53" s="14"/>
      <c r="S53" s="28">
        <f t="shared" si="9"/>
        <v>2.7724142454752823</v>
      </c>
      <c r="U53" s="49">
        <f t="shared" si="10"/>
        <v>19</v>
      </c>
      <c r="Y53" s="239">
        <f t="shared" si="11"/>
        <v>19</v>
      </c>
      <c r="Z53" s="240">
        <v>45291</v>
      </c>
      <c r="AA53" s="54"/>
      <c r="AB53" s="54"/>
      <c r="AC53" s="54">
        <v>0</v>
      </c>
      <c r="AD53" s="239">
        <f t="shared" si="12"/>
        <v>19</v>
      </c>
    </row>
    <row r="54" spans="1:30">
      <c r="A54" s="30"/>
      <c r="E54" s="205"/>
      <c r="G54" s="205"/>
      <c r="H54" s="205"/>
      <c r="I54" s="206"/>
      <c r="K54" s="157"/>
      <c r="L54" s="145"/>
      <c r="M54" s="147"/>
      <c r="N54" s="147"/>
      <c r="O54" s="147"/>
      <c r="P54" s="147"/>
      <c r="Q54" s="147"/>
      <c r="S54" s="26"/>
      <c r="U54" s="49"/>
      <c r="Y54" s="230"/>
    </row>
    <row r="55" spans="1:30">
      <c r="A55" s="30"/>
      <c r="C55" s="13" t="s">
        <v>49</v>
      </c>
      <c r="G55" s="205"/>
      <c r="H55" s="205"/>
      <c r="I55" s="206"/>
      <c r="K55" s="157">
        <f>SUBTOTAL(9,K43:K54)</f>
        <v>1851895938.8200002</v>
      </c>
      <c r="L55" s="145"/>
      <c r="M55" s="147">
        <f>SUBTOTAL(9,M43:M54)</f>
        <v>804529363.90999997</v>
      </c>
      <c r="N55" s="147"/>
      <c r="O55" s="147">
        <f>SUBTOTAL(9,O43:O54)</f>
        <v>1047366574</v>
      </c>
      <c r="P55" s="147"/>
      <c r="Q55" s="147">
        <f>SUBTOTAL(9,Q43:Q54)</f>
        <v>48363907.24993252</v>
      </c>
      <c r="S55" s="26">
        <f>+ROUND(Q55/K55*100,2)</f>
        <v>2.61</v>
      </c>
      <c r="U55" s="49"/>
      <c r="Y55" s="230"/>
    </row>
    <row r="56" spans="1:30">
      <c r="A56" s="30"/>
      <c r="G56" s="205"/>
      <c r="H56" s="205"/>
      <c r="I56" s="206"/>
      <c r="K56" s="157"/>
      <c r="L56" s="145"/>
      <c r="M56" s="147"/>
      <c r="N56" s="147"/>
      <c r="O56" s="147"/>
      <c r="P56" s="147"/>
      <c r="Q56" s="147"/>
      <c r="S56" s="26"/>
      <c r="U56" s="49"/>
      <c r="Y56" s="230"/>
    </row>
    <row r="57" spans="1:30">
      <c r="A57" s="30">
        <v>314</v>
      </c>
      <c r="C57" s="13" t="s">
        <v>50</v>
      </c>
      <c r="G57" s="205"/>
      <c r="H57" s="205"/>
      <c r="I57" s="206"/>
      <c r="K57" s="157"/>
      <c r="L57" s="145"/>
      <c r="M57" s="147"/>
      <c r="N57" s="147"/>
      <c r="O57" s="147"/>
      <c r="P57" s="147"/>
      <c r="Q57" s="147"/>
      <c r="S57" s="26"/>
      <c r="U57" s="49"/>
      <c r="Y57" s="230"/>
    </row>
    <row r="58" spans="1:30">
      <c r="A58" s="30"/>
      <c r="C58" s="33" t="s">
        <v>36</v>
      </c>
      <c r="E58" s="207">
        <v>50770</v>
      </c>
      <c r="G58" s="228" t="s">
        <v>140</v>
      </c>
      <c r="H58" s="205" t="s">
        <v>141</v>
      </c>
      <c r="I58" s="229">
        <v>0</v>
      </c>
      <c r="K58" s="157">
        <v>23714956.780000001</v>
      </c>
      <c r="L58" s="145"/>
      <c r="M58" s="147">
        <v>22544706.98</v>
      </c>
      <c r="N58" s="147"/>
      <c r="O58" s="52">
        <f>ROUND((K58+(K58*-(I58/100)))-M58,0)</f>
        <v>1170250</v>
      </c>
      <c r="P58" s="27"/>
      <c r="Q58" s="27">
        <f t="shared" ref="Q58:Q62" si="13">O58/U58</f>
        <v>78016.666666666672</v>
      </c>
      <c r="R58" s="14"/>
      <c r="S58" s="28">
        <f>Q58/K58*100</f>
        <v>0.32897663441015412</v>
      </c>
      <c r="U58" s="49">
        <f t="shared" ref="U58:U62" si="14">AD58</f>
        <v>15</v>
      </c>
      <c r="Y58" s="239">
        <f t="shared" ref="Y58:Y62" si="15">ROUND((E58-Z58)/365.25,0)</f>
        <v>15</v>
      </c>
      <c r="Z58" s="240">
        <v>45291</v>
      </c>
      <c r="AA58" s="54"/>
      <c r="AB58" s="54"/>
      <c r="AC58" s="54">
        <v>0</v>
      </c>
      <c r="AD58" s="239">
        <f t="shared" ref="AD58:AD62" si="16">Y58+AC58</f>
        <v>15</v>
      </c>
    </row>
    <row r="59" spans="1:30">
      <c r="A59" s="30"/>
      <c r="C59" s="33" t="s">
        <v>39</v>
      </c>
      <c r="E59" s="207">
        <v>52231</v>
      </c>
      <c r="G59" s="228" t="s">
        <v>140</v>
      </c>
      <c r="H59" s="205" t="s">
        <v>141</v>
      </c>
      <c r="I59" s="229">
        <v>0</v>
      </c>
      <c r="K59" s="157">
        <v>42923558.049999997</v>
      </c>
      <c r="L59" s="145"/>
      <c r="M59" s="147">
        <v>25989475.84</v>
      </c>
      <c r="N59" s="147"/>
      <c r="O59" s="52">
        <f>ROUND((K59+(K59*-(I59/100)))-M59,0)</f>
        <v>16934082</v>
      </c>
      <c r="P59" s="27"/>
      <c r="Q59" s="27">
        <f t="shared" si="13"/>
        <v>891267.47368421056</v>
      </c>
      <c r="R59" s="14"/>
      <c r="S59" s="28">
        <f>Q59/K59*100</f>
        <v>2.076406323646347</v>
      </c>
      <c r="U59" s="49">
        <f t="shared" si="14"/>
        <v>19</v>
      </c>
      <c r="Y59" s="239">
        <f t="shared" si="15"/>
        <v>19</v>
      </c>
      <c r="Z59" s="240">
        <v>45291</v>
      </c>
      <c r="AA59" s="54"/>
      <c r="AB59" s="54"/>
      <c r="AC59" s="54">
        <v>0</v>
      </c>
      <c r="AD59" s="239">
        <f t="shared" si="16"/>
        <v>19</v>
      </c>
    </row>
    <row r="60" spans="1:30">
      <c r="A60" s="30"/>
      <c r="C60" s="33" t="s">
        <v>40</v>
      </c>
      <c r="E60" s="207">
        <v>52231</v>
      </c>
      <c r="G60" s="228" t="s">
        <v>140</v>
      </c>
      <c r="H60" s="205" t="s">
        <v>141</v>
      </c>
      <c r="I60" s="229">
        <v>0</v>
      </c>
      <c r="K60" s="157">
        <v>78018528.159999996</v>
      </c>
      <c r="L60" s="145"/>
      <c r="M60" s="147">
        <v>40526496.43</v>
      </c>
      <c r="N60" s="147"/>
      <c r="O60" s="52">
        <f>ROUND((K60+(K60*-(I60/100)))-M60,0)</f>
        <v>37492032</v>
      </c>
      <c r="P60" s="27"/>
      <c r="Q60" s="27">
        <f t="shared" si="13"/>
        <v>1973264.8421052631</v>
      </c>
      <c r="R60" s="14"/>
      <c r="S60" s="28">
        <f>Q60/K60*100</f>
        <v>2.5292259270240294</v>
      </c>
      <c r="U60" s="49">
        <f t="shared" si="14"/>
        <v>19</v>
      </c>
      <c r="Y60" s="239">
        <f t="shared" si="15"/>
        <v>19</v>
      </c>
      <c r="Z60" s="240">
        <v>45291</v>
      </c>
      <c r="AA60" s="54"/>
      <c r="AB60" s="54"/>
      <c r="AC60" s="54">
        <v>0</v>
      </c>
      <c r="AD60" s="239">
        <f t="shared" si="16"/>
        <v>19</v>
      </c>
    </row>
    <row r="61" spans="1:30">
      <c r="A61" s="30"/>
      <c r="C61" s="33" t="s">
        <v>41</v>
      </c>
      <c r="E61" s="207">
        <v>54788</v>
      </c>
      <c r="G61" s="228" t="s">
        <v>140</v>
      </c>
      <c r="H61" s="205" t="s">
        <v>141</v>
      </c>
      <c r="I61" s="229">
        <v>0</v>
      </c>
      <c r="K61" s="157">
        <v>81735044.379999995</v>
      </c>
      <c r="L61" s="145"/>
      <c r="M61" s="147">
        <v>27731410.670000002</v>
      </c>
      <c r="N61" s="147"/>
      <c r="O61" s="52">
        <f>ROUND((K61+(K61*-(I61/100)))-M61,0)</f>
        <v>54003634</v>
      </c>
      <c r="P61" s="27"/>
      <c r="Q61" s="27">
        <f t="shared" si="13"/>
        <v>2077062.8461538462</v>
      </c>
      <c r="R61" s="14"/>
      <c r="S61" s="28">
        <f>Q61/K61*100</f>
        <v>2.5412145572433178</v>
      </c>
      <c r="U61" s="49">
        <f t="shared" si="14"/>
        <v>26</v>
      </c>
      <c r="Y61" s="239">
        <f t="shared" si="15"/>
        <v>26</v>
      </c>
      <c r="Z61" s="240">
        <v>45291</v>
      </c>
      <c r="AA61" s="54"/>
      <c r="AB61" s="54"/>
      <c r="AC61" s="54">
        <v>0</v>
      </c>
      <c r="AD61" s="239">
        <f t="shared" si="16"/>
        <v>26</v>
      </c>
    </row>
    <row r="62" spans="1:30">
      <c r="A62" s="30"/>
      <c r="C62" s="33" t="s">
        <v>42</v>
      </c>
      <c r="E62" s="207">
        <v>54788</v>
      </c>
      <c r="G62" s="228" t="s">
        <v>140</v>
      </c>
      <c r="H62" s="205" t="s">
        <v>141</v>
      </c>
      <c r="I62" s="229">
        <v>0</v>
      </c>
      <c r="K62" s="144">
        <v>80326528.049999997</v>
      </c>
      <c r="L62" s="145"/>
      <c r="M62" s="148">
        <v>18513388.579999998</v>
      </c>
      <c r="N62" s="147"/>
      <c r="O62" s="55">
        <f>ROUND((K62+(K62*-(I62/100)))-M62,0)</f>
        <v>61813139</v>
      </c>
      <c r="P62" s="27"/>
      <c r="Q62" s="29">
        <f t="shared" si="13"/>
        <v>2377428.423076923</v>
      </c>
      <c r="R62" s="14"/>
      <c r="S62" s="28">
        <f>Q62/K62*100</f>
        <v>2.9597051942753838</v>
      </c>
      <c r="U62" s="49">
        <f t="shared" si="14"/>
        <v>26</v>
      </c>
      <c r="Y62" s="239">
        <f t="shared" si="15"/>
        <v>26</v>
      </c>
      <c r="Z62" s="240">
        <v>45291</v>
      </c>
      <c r="AA62" s="54"/>
      <c r="AB62" s="54"/>
      <c r="AC62" s="54">
        <v>0</v>
      </c>
      <c r="AD62" s="239">
        <f t="shared" si="16"/>
        <v>26</v>
      </c>
    </row>
    <row r="63" spans="1:30">
      <c r="A63" s="30"/>
      <c r="E63" s="205"/>
      <c r="G63" s="205"/>
      <c r="H63" s="205"/>
      <c r="I63" s="206"/>
      <c r="K63" s="157"/>
      <c r="L63" s="145"/>
      <c r="M63" s="147"/>
      <c r="N63" s="147"/>
      <c r="O63" s="147"/>
      <c r="P63" s="147"/>
      <c r="Q63" s="147"/>
      <c r="S63" s="26"/>
      <c r="U63" s="49"/>
      <c r="Y63" s="230"/>
    </row>
    <row r="64" spans="1:30">
      <c r="A64" s="30"/>
      <c r="C64" s="13" t="s">
        <v>51</v>
      </c>
      <c r="E64" s="205"/>
      <c r="G64" s="205"/>
      <c r="H64" s="205"/>
      <c r="I64" s="206"/>
      <c r="K64" s="157">
        <f>SUBTOTAL(9,K58:K63)</f>
        <v>306718615.42000002</v>
      </c>
      <c r="L64" s="145"/>
      <c r="M64" s="147">
        <f>SUBTOTAL(9,M58:M63)</f>
        <v>135305478.5</v>
      </c>
      <c r="N64" s="147"/>
      <c r="O64" s="147">
        <f>SUBTOTAL(9,O58:O63)</f>
        <v>171413137</v>
      </c>
      <c r="P64" s="147"/>
      <c r="Q64" s="147">
        <f>SUBTOTAL(9,Q58:Q63)</f>
        <v>7397040.2516869092</v>
      </c>
      <c r="S64" s="26">
        <f>+ROUND(Q64/K64*100,2)</f>
        <v>2.41</v>
      </c>
      <c r="U64" s="49"/>
      <c r="Y64" s="230"/>
    </row>
    <row r="65" spans="1:30">
      <c r="A65" s="30"/>
      <c r="E65" s="205"/>
      <c r="G65" s="205"/>
      <c r="H65" s="205"/>
      <c r="I65" s="206"/>
      <c r="K65" s="157"/>
      <c r="L65" s="145"/>
      <c r="M65" s="147"/>
      <c r="N65" s="147"/>
      <c r="O65" s="147"/>
      <c r="P65" s="147"/>
      <c r="Q65" s="147"/>
      <c r="S65" s="26"/>
      <c r="U65" s="49"/>
      <c r="Y65" s="230"/>
    </row>
    <row r="66" spans="1:30">
      <c r="A66" s="30">
        <v>315</v>
      </c>
      <c r="C66" s="13" t="s">
        <v>52</v>
      </c>
      <c r="E66" s="205"/>
      <c r="G66" s="205"/>
      <c r="H66" s="205"/>
      <c r="I66" s="206"/>
      <c r="K66" s="157"/>
      <c r="L66" s="145"/>
      <c r="M66" s="147"/>
      <c r="N66" s="147"/>
      <c r="O66" s="147"/>
      <c r="P66" s="147"/>
      <c r="Q66" s="147"/>
      <c r="S66" s="26"/>
      <c r="U66" s="49"/>
      <c r="Y66" s="230"/>
    </row>
    <row r="67" spans="1:30">
      <c r="A67" s="30"/>
      <c r="C67" s="33" t="s">
        <v>36</v>
      </c>
      <c r="E67" s="207">
        <v>50770</v>
      </c>
      <c r="G67" s="228" t="s">
        <v>140</v>
      </c>
      <c r="H67" s="205" t="s">
        <v>141</v>
      </c>
      <c r="I67" s="229">
        <v>0</v>
      </c>
      <c r="K67" s="157">
        <v>3473012</v>
      </c>
      <c r="L67" s="145"/>
      <c r="M67" s="147">
        <v>3440611.86</v>
      </c>
      <c r="N67" s="147"/>
      <c r="O67" s="52">
        <f t="shared" ref="O67:O76" si="17">ROUND((K67+(K67*-(I67/100)))-M67,0)</f>
        <v>32400</v>
      </c>
      <c r="P67" s="27"/>
      <c r="Q67" s="27">
        <f t="shared" ref="Q67:Q76" si="18">O67/U67</f>
        <v>2160</v>
      </c>
      <c r="R67" s="14"/>
      <c r="S67" s="28">
        <f t="shared" ref="S67:S76" si="19">Q67/K67*100</f>
        <v>6.2193853634827642E-2</v>
      </c>
      <c r="U67" s="49">
        <f t="shared" ref="U67:U76" si="20">AD67</f>
        <v>15</v>
      </c>
      <c r="Y67" s="239">
        <f t="shared" ref="Y67:Y76" si="21">ROUND((E67-Z67)/365.25,0)</f>
        <v>15</v>
      </c>
      <c r="Z67" s="240">
        <v>45291</v>
      </c>
      <c r="AA67" s="54"/>
      <c r="AB67" s="54"/>
      <c r="AC67" s="54">
        <v>0</v>
      </c>
      <c r="AD67" s="239">
        <f t="shared" ref="AD67:AD76" si="22">Y67+AC67</f>
        <v>15</v>
      </c>
    </row>
    <row r="68" spans="1:30">
      <c r="A68" s="30"/>
      <c r="C68" s="33" t="s">
        <v>47</v>
      </c>
      <c r="E68" s="207">
        <v>47848</v>
      </c>
      <c r="G68" s="228" t="s">
        <v>140</v>
      </c>
      <c r="H68" s="205" t="s">
        <v>141</v>
      </c>
      <c r="I68" s="229">
        <v>0</v>
      </c>
      <c r="K68" s="157">
        <v>108139.1</v>
      </c>
      <c r="L68" s="145"/>
      <c r="M68" s="147">
        <v>70330.009999999995</v>
      </c>
      <c r="N68" s="147"/>
      <c r="O68" s="52">
        <f t="shared" si="17"/>
        <v>37809</v>
      </c>
      <c r="P68" s="27"/>
      <c r="Q68" s="27">
        <f t="shared" si="18"/>
        <v>5401.2857142857147</v>
      </c>
      <c r="R68" s="14"/>
      <c r="S68" s="28">
        <f t="shared" si="19"/>
        <v>4.9947574136327324</v>
      </c>
      <c r="U68" s="49">
        <f t="shared" si="20"/>
        <v>7</v>
      </c>
      <c r="Y68" s="239">
        <f t="shared" si="21"/>
        <v>7</v>
      </c>
      <c r="Z68" s="240">
        <v>45291</v>
      </c>
      <c r="AA68" s="54"/>
      <c r="AB68" s="54"/>
      <c r="AC68" s="54">
        <v>0</v>
      </c>
      <c r="AD68" s="239">
        <f t="shared" si="22"/>
        <v>7</v>
      </c>
    </row>
    <row r="69" spans="1:30">
      <c r="A69" s="30"/>
      <c r="C69" s="33" t="s">
        <v>48</v>
      </c>
      <c r="E69" s="207">
        <v>50770</v>
      </c>
      <c r="G69" s="228" t="s">
        <v>140</v>
      </c>
      <c r="H69" s="205" t="s">
        <v>141</v>
      </c>
      <c r="I69" s="229">
        <v>0</v>
      </c>
      <c r="K69" s="157">
        <v>108269.09</v>
      </c>
      <c r="L69" s="145"/>
      <c r="M69" s="147">
        <v>43937.66</v>
      </c>
      <c r="N69" s="147"/>
      <c r="O69" s="52">
        <f t="shared" si="17"/>
        <v>64331</v>
      </c>
      <c r="P69" s="27"/>
      <c r="Q69" s="27">
        <f t="shared" si="18"/>
        <v>4288.7333333333336</v>
      </c>
      <c r="R69" s="14"/>
      <c r="S69" s="28">
        <f t="shared" si="19"/>
        <v>3.9611798097992081</v>
      </c>
      <c r="U69" s="49">
        <f t="shared" si="20"/>
        <v>15</v>
      </c>
      <c r="Y69" s="239">
        <f t="shared" si="21"/>
        <v>15</v>
      </c>
      <c r="Z69" s="240">
        <v>45291</v>
      </c>
      <c r="AA69" s="54"/>
      <c r="AB69" s="54"/>
      <c r="AC69" s="54">
        <v>0</v>
      </c>
      <c r="AD69" s="239">
        <f t="shared" si="22"/>
        <v>15</v>
      </c>
    </row>
    <row r="70" spans="1:30">
      <c r="A70" s="30"/>
      <c r="C70" s="33" t="s">
        <v>37</v>
      </c>
      <c r="E70" s="207">
        <v>50770</v>
      </c>
      <c r="G70" s="228" t="s">
        <v>140</v>
      </c>
      <c r="H70" s="205" t="s">
        <v>141</v>
      </c>
      <c r="I70" s="229">
        <v>0</v>
      </c>
      <c r="K70" s="157">
        <v>12060627.85</v>
      </c>
      <c r="L70" s="145"/>
      <c r="M70" s="147">
        <v>7467374.21</v>
      </c>
      <c r="N70" s="147"/>
      <c r="O70" s="52">
        <f t="shared" si="17"/>
        <v>4593254</v>
      </c>
      <c r="P70" s="27"/>
      <c r="Q70" s="27">
        <f t="shared" si="18"/>
        <v>306216.93333333335</v>
      </c>
      <c r="R70" s="14"/>
      <c r="S70" s="28">
        <f t="shared" si="19"/>
        <v>2.5389800360462442</v>
      </c>
      <c r="U70" s="49">
        <f t="shared" si="20"/>
        <v>15</v>
      </c>
      <c r="Y70" s="239">
        <f t="shared" si="21"/>
        <v>15</v>
      </c>
      <c r="Z70" s="240">
        <v>45291</v>
      </c>
      <c r="AA70" s="54"/>
      <c r="AB70" s="54"/>
      <c r="AC70" s="54">
        <v>0</v>
      </c>
      <c r="AD70" s="239">
        <f t="shared" si="22"/>
        <v>15</v>
      </c>
    </row>
    <row r="71" spans="1:30">
      <c r="A71" s="30"/>
      <c r="C71" s="33" t="s">
        <v>39</v>
      </c>
      <c r="E71" s="207">
        <v>52231</v>
      </c>
      <c r="G71" s="228" t="s">
        <v>140</v>
      </c>
      <c r="H71" s="205" t="s">
        <v>141</v>
      </c>
      <c r="I71" s="229">
        <v>0</v>
      </c>
      <c r="K71" s="157">
        <v>10670855.65</v>
      </c>
      <c r="L71" s="145"/>
      <c r="M71" s="147">
        <v>7498394.54</v>
      </c>
      <c r="N71" s="147"/>
      <c r="O71" s="52">
        <f t="shared" si="17"/>
        <v>3172461</v>
      </c>
      <c r="P71" s="27"/>
      <c r="Q71" s="27">
        <f t="shared" si="18"/>
        <v>166971.63157894736</v>
      </c>
      <c r="R71" s="14"/>
      <c r="S71" s="28">
        <f t="shared" si="19"/>
        <v>1.5647445439761649</v>
      </c>
      <c r="U71" s="49">
        <f t="shared" si="20"/>
        <v>19</v>
      </c>
      <c r="Y71" s="239">
        <f t="shared" si="21"/>
        <v>19</v>
      </c>
      <c r="Z71" s="240">
        <v>45291</v>
      </c>
      <c r="AA71" s="54"/>
      <c r="AB71" s="54"/>
      <c r="AC71" s="54">
        <v>0</v>
      </c>
      <c r="AD71" s="239">
        <f t="shared" si="22"/>
        <v>19</v>
      </c>
    </row>
    <row r="72" spans="1:30">
      <c r="A72" s="30"/>
      <c r="C72" s="33" t="s">
        <v>40</v>
      </c>
      <c r="E72" s="207">
        <v>52231</v>
      </c>
      <c r="G72" s="228" t="s">
        <v>140</v>
      </c>
      <c r="H72" s="205" t="s">
        <v>141</v>
      </c>
      <c r="I72" s="229">
        <v>0</v>
      </c>
      <c r="K72" s="157">
        <v>23193967.98</v>
      </c>
      <c r="L72" s="145"/>
      <c r="M72" s="147">
        <v>15966785.470000001</v>
      </c>
      <c r="N72" s="147"/>
      <c r="O72" s="52">
        <f t="shared" si="17"/>
        <v>7227183</v>
      </c>
      <c r="P72" s="27"/>
      <c r="Q72" s="27">
        <f t="shared" si="18"/>
        <v>380378.05263157893</v>
      </c>
      <c r="R72" s="14"/>
      <c r="S72" s="28">
        <f t="shared" si="19"/>
        <v>1.6399869697137477</v>
      </c>
      <c r="U72" s="49">
        <f t="shared" si="20"/>
        <v>19</v>
      </c>
      <c r="Y72" s="239">
        <f t="shared" si="21"/>
        <v>19</v>
      </c>
      <c r="Z72" s="240">
        <v>45291</v>
      </c>
      <c r="AA72" s="54"/>
      <c r="AB72" s="54"/>
      <c r="AC72" s="54">
        <v>0</v>
      </c>
      <c r="AD72" s="239">
        <f t="shared" si="22"/>
        <v>19</v>
      </c>
    </row>
    <row r="73" spans="1:30">
      <c r="A73" s="30"/>
      <c r="C73" s="33" t="s">
        <v>41</v>
      </c>
      <c r="E73" s="207">
        <v>54788</v>
      </c>
      <c r="G73" s="228" t="s">
        <v>140</v>
      </c>
      <c r="H73" s="205" t="s">
        <v>141</v>
      </c>
      <c r="I73" s="229">
        <v>0</v>
      </c>
      <c r="K73" s="157">
        <v>25044774.100000001</v>
      </c>
      <c r="L73" s="145"/>
      <c r="M73" s="147">
        <v>8072902.6799999997</v>
      </c>
      <c r="N73" s="147"/>
      <c r="O73" s="52">
        <f t="shared" si="17"/>
        <v>16971871</v>
      </c>
      <c r="P73" s="27"/>
      <c r="Q73" s="27">
        <f t="shared" si="18"/>
        <v>652764.26923076925</v>
      </c>
      <c r="R73" s="14"/>
      <c r="S73" s="28">
        <f t="shared" si="19"/>
        <v>2.6063891278251505</v>
      </c>
      <c r="U73" s="49">
        <f t="shared" si="20"/>
        <v>26</v>
      </c>
      <c r="Y73" s="239">
        <f t="shared" si="21"/>
        <v>26</v>
      </c>
      <c r="Z73" s="240">
        <v>45291</v>
      </c>
      <c r="AA73" s="54"/>
      <c r="AB73" s="54"/>
      <c r="AC73" s="54">
        <v>0</v>
      </c>
      <c r="AD73" s="239">
        <f t="shared" si="22"/>
        <v>26</v>
      </c>
    </row>
    <row r="74" spans="1:30">
      <c r="A74" s="30"/>
      <c r="C74" s="33" t="s">
        <v>42</v>
      </c>
      <c r="E74" s="207">
        <v>54788</v>
      </c>
      <c r="G74" s="228" t="s">
        <v>140</v>
      </c>
      <c r="H74" s="205" t="s">
        <v>141</v>
      </c>
      <c r="I74" s="229">
        <v>0</v>
      </c>
      <c r="K74" s="157">
        <v>12751242.41</v>
      </c>
      <c r="L74" s="145"/>
      <c r="M74" s="147">
        <v>3604702.43</v>
      </c>
      <c r="N74" s="147"/>
      <c r="O74" s="52">
        <f t="shared" si="17"/>
        <v>9146540</v>
      </c>
      <c r="P74" s="27"/>
      <c r="Q74" s="27">
        <f t="shared" si="18"/>
        <v>351790</v>
      </c>
      <c r="R74" s="14"/>
      <c r="S74" s="28">
        <f t="shared" si="19"/>
        <v>2.7588684199440294</v>
      </c>
      <c r="U74" s="49">
        <f t="shared" si="20"/>
        <v>26</v>
      </c>
      <c r="Y74" s="239">
        <f t="shared" si="21"/>
        <v>26</v>
      </c>
      <c r="Z74" s="240">
        <v>45291</v>
      </c>
      <c r="AA74" s="54"/>
      <c r="AB74" s="54"/>
      <c r="AC74" s="54">
        <v>0</v>
      </c>
      <c r="AD74" s="239">
        <f t="shared" si="22"/>
        <v>26</v>
      </c>
    </row>
    <row r="75" spans="1:30">
      <c r="A75" s="30"/>
      <c r="C75" s="33" t="s">
        <v>43</v>
      </c>
      <c r="E75" s="207">
        <v>52231</v>
      </c>
      <c r="G75" s="228" t="s">
        <v>140</v>
      </c>
      <c r="H75" s="205" t="s">
        <v>141</v>
      </c>
      <c r="I75" s="229">
        <v>0</v>
      </c>
      <c r="K75" s="157">
        <v>12513473.779999999</v>
      </c>
      <c r="L75" s="145"/>
      <c r="M75" s="147">
        <v>5887066.6900000004</v>
      </c>
      <c r="N75" s="147"/>
      <c r="O75" s="52">
        <f t="shared" si="17"/>
        <v>6626407</v>
      </c>
      <c r="P75" s="27"/>
      <c r="Q75" s="27">
        <f t="shared" si="18"/>
        <v>348758.26315789472</v>
      </c>
      <c r="R75" s="14"/>
      <c r="S75" s="28">
        <f t="shared" si="19"/>
        <v>2.7870619245257631</v>
      </c>
      <c r="U75" s="49">
        <f t="shared" si="20"/>
        <v>19</v>
      </c>
      <c r="Y75" s="239">
        <f t="shared" si="21"/>
        <v>19</v>
      </c>
      <c r="Z75" s="240">
        <v>45291</v>
      </c>
      <c r="AA75" s="54"/>
      <c r="AB75" s="54"/>
      <c r="AC75" s="54">
        <v>0</v>
      </c>
      <c r="AD75" s="239">
        <f t="shared" si="22"/>
        <v>19</v>
      </c>
    </row>
    <row r="76" spans="1:30">
      <c r="A76" s="30"/>
      <c r="C76" s="33" t="s">
        <v>44</v>
      </c>
      <c r="E76" s="207">
        <v>52231</v>
      </c>
      <c r="G76" s="228" t="s">
        <v>140</v>
      </c>
      <c r="H76" s="205" t="s">
        <v>141</v>
      </c>
      <c r="I76" s="229">
        <v>0</v>
      </c>
      <c r="K76" s="144">
        <v>17711668.739999998</v>
      </c>
      <c r="L76" s="145"/>
      <c r="M76" s="148">
        <v>8370097.9800000004</v>
      </c>
      <c r="N76" s="147"/>
      <c r="O76" s="55">
        <f t="shared" si="17"/>
        <v>9341571</v>
      </c>
      <c r="P76" s="27"/>
      <c r="Q76" s="29">
        <f t="shared" si="18"/>
        <v>491661.63157894736</v>
      </c>
      <c r="R76" s="14"/>
      <c r="S76" s="28">
        <f t="shared" si="19"/>
        <v>2.7759193038010004</v>
      </c>
      <c r="U76" s="49">
        <f t="shared" si="20"/>
        <v>19</v>
      </c>
      <c r="Y76" s="239">
        <f t="shared" si="21"/>
        <v>19</v>
      </c>
      <c r="Z76" s="240">
        <v>45291</v>
      </c>
      <c r="AA76" s="54"/>
      <c r="AB76" s="54"/>
      <c r="AC76" s="54">
        <v>0</v>
      </c>
      <c r="AD76" s="239">
        <f t="shared" si="22"/>
        <v>19</v>
      </c>
    </row>
    <row r="77" spans="1:30">
      <c r="A77" s="30"/>
      <c r="G77" s="205"/>
      <c r="H77" s="205"/>
      <c r="I77" s="206"/>
      <c r="K77" s="157"/>
      <c r="L77" s="145"/>
      <c r="M77" s="147"/>
      <c r="N77" s="147"/>
      <c r="O77" s="147"/>
      <c r="P77" s="147"/>
      <c r="Q77" s="147"/>
      <c r="S77" s="26"/>
      <c r="U77" s="49"/>
      <c r="Y77" s="230"/>
    </row>
    <row r="78" spans="1:30">
      <c r="A78" s="30"/>
      <c r="C78" s="13" t="s">
        <v>53</v>
      </c>
      <c r="G78" s="205"/>
      <c r="H78" s="205"/>
      <c r="I78" s="206"/>
      <c r="K78" s="157">
        <f>SUBTOTAL(9,K67:K77)</f>
        <v>117636030.7</v>
      </c>
      <c r="L78" s="145"/>
      <c r="M78" s="147">
        <f>SUBTOTAL(9,M67:M77)</f>
        <v>60422203.530000001</v>
      </c>
      <c r="N78" s="147"/>
      <c r="O78" s="147">
        <f>SUBTOTAL(9,O67:O77)</f>
        <v>57213827</v>
      </c>
      <c r="P78" s="147"/>
      <c r="Q78" s="147">
        <f>SUBTOTAL(9,Q67:Q77)</f>
        <v>2710390.80055909</v>
      </c>
      <c r="S78" s="26">
        <f>+ROUND(Q78/K78*100,2)</f>
        <v>2.2999999999999998</v>
      </c>
      <c r="U78" s="49"/>
      <c r="Y78" s="230"/>
    </row>
    <row r="79" spans="1:30">
      <c r="A79" s="30"/>
      <c r="G79" s="205"/>
      <c r="H79" s="205"/>
      <c r="I79" s="206"/>
      <c r="K79" s="157"/>
      <c r="L79" s="145"/>
      <c r="M79" s="147"/>
      <c r="N79" s="147"/>
      <c r="O79" s="147"/>
      <c r="P79" s="147"/>
      <c r="Q79" s="147"/>
      <c r="S79" s="26"/>
      <c r="U79" s="49"/>
      <c r="Y79" s="230"/>
    </row>
    <row r="80" spans="1:30">
      <c r="A80" s="30">
        <v>316</v>
      </c>
      <c r="C80" s="13" t="s">
        <v>54</v>
      </c>
      <c r="G80" s="205"/>
      <c r="H80" s="205"/>
      <c r="I80" s="206"/>
      <c r="K80" s="157"/>
      <c r="S80" s="26"/>
      <c r="U80" s="49"/>
      <c r="Y80" s="230"/>
    </row>
    <row r="81" spans="1:30">
      <c r="A81" s="30"/>
      <c r="C81" s="33" t="s">
        <v>35</v>
      </c>
      <c r="E81" s="207">
        <v>47848</v>
      </c>
      <c r="G81" s="228" t="s">
        <v>140</v>
      </c>
      <c r="H81" s="205" t="s">
        <v>141</v>
      </c>
      <c r="I81" s="229">
        <v>0</v>
      </c>
      <c r="K81" s="157">
        <v>1167329.42</v>
      </c>
      <c r="L81" s="145"/>
      <c r="M81" s="147">
        <v>840184.9</v>
      </c>
      <c r="N81" s="147"/>
      <c r="O81" s="52">
        <f t="shared" ref="O81:O88" si="23">ROUND((K81+(K81*-(I81/100)))-M81,0)</f>
        <v>327145</v>
      </c>
      <c r="P81" s="27"/>
      <c r="Q81" s="27">
        <f t="shared" ref="Q81:Q88" si="24">O81/U81</f>
        <v>46735</v>
      </c>
      <c r="R81" s="14"/>
      <c r="S81" s="28">
        <f t="shared" ref="S81:S88" si="25">Q81/K81*100</f>
        <v>4.0035828104118201</v>
      </c>
      <c r="U81" s="49">
        <f t="shared" ref="U81:U88" si="26">AD81</f>
        <v>7</v>
      </c>
      <c r="Y81" s="239">
        <f t="shared" ref="Y81:Y88" si="27">ROUND((E81-Z81)/365.25,0)</f>
        <v>7</v>
      </c>
      <c r="Z81" s="240">
        <v>45291</v>
      </c>
      <c r="AA81" s="54"/>
      <c r="AB81" s="54"/>
      <c r="AC81" s="54">
        <v>0</v>
      </c>
      <c r="AD81" s="239">
        <f t="shared" ref="AD81:AD88" si="28">Y81+AC81</f>
        <v>7</v>
      </c>
    </row>
    <row r="82" spans="1:30">
      <c r="A82" s="30"/>
      <c r="C82" s="33" t="s">
        <v>36</v>
      </c>
      <c r="E82" s="207">
        <v>50770</v>
      </c>
      <c r="G82" s="228" t="s">
        <v>140</v>
      </c>
      <c r="H82" s="205" t="s">
        <v>141</v>
      </c>
      <c r="I82" s="229">
        <v>0</v>
      </c>
      <c r="K82" s="157">
        <v>2918709.21</v>
      </c>
      <c r="L82" s="145"/>
      <c r="M82" s="147">
        <v>1911960.87</v>
      </c>
      <c r="N82" s="147"/>
      <c r="O82" s="52">
        <f t="shared" si="23"/>
        <v>1006748</v>
      </c>
      <c r="P82" s="27"/>
      <c r="Q82" s="27">
        <f t="shared" si="24"/>
        <v>67116.53333333334</v>
      </c>
      <c r="R82" s="14"/>
      <c r="S82" s="28">
        <f t="shared" si="25"/>
        <v>2.2995279249943965</v>
      </c>
      <c r="U82" s="49">
        <f t="shared" si="26"/>
        <v>15</v>
      </c>
      <c r="Y82" s="239">
        <f t="shared" si="27"/>
        <v>15</v>
      </c>
      <c r="Z82" s="240">
        <v>45291</v>
      </c>
      <c r="AA82" s="54"/>
      <c r="AB82" s="54"/>
      <c r="AC82" s="54">
        <v>0</v>
      </c>
      <c r="AD82" s="239">
        <f t="shared" si="28"/>
        <v>15</v>
      </c>
    </row>
    <row r="83" spans="1:30">
      <c r="A83" s="30"/>
      <c r="C83" s="33" t="s">
        <v>47</v>
      </c>
      <c r="E83" s="207">
        <v>47848</v>
      </c>
      <c r="G83" s="228" t="s">
        <v>140</v>
      </c>
      <c r="H83" s="205" t="s">
        <v>141</v>
      </c>
      <c r="I83" s="229">
        <v>0</v>
      </c>
      <c r="K83" s="157">
        <v>2010174.77</v>
      </c>
      <c r="L83" s="145"/>
      <c r="M83" s="147">
        <v>190055.3</v>
      </c>
      <c r="N83" s="147"/>
      <c r="O83" s="52">
        <f t="shared" si="23"/>
        <v>1820119</v>
      </c>
      <c r="P83" s="27"/>
      <c r="Q83" s="27">
        <f t="shared" si="24"/>
        <v>260017</v>
      </c>
      <c r="R83" s="14"/>
      <c r="S83" s="28">
        <f t="shared" si="25"/>
        <v>12.935044448896353</v>
      </c>
      <c r="U83" s="49">
        <f t="shared" si="26"/>
        <v>7</v>
      </c>
      <c r="Y83" s="239">
        <f t="shared" si="27"/>
        <v>7</v>
      </c>
      <c r="Z83" s="240">
        <v>45291</v>
      </c>
      <c r="AA83" s="54"/>
      <c r="AB83" s="54"/>
      <c r="AC83" s="54">
        <v>0</v>
      </c>
      <c r="AD83" s="239">
        <f t="shared" si="28"/>
        <v>7</v>
      </c>
    </row>
    <row r="84" spans="1:30">
      <c r="A84" s="30"/>
      <c r="C84" s="33" t="s">
        <v>37</v>
      </c>
      <c r="E84" s="207">
        <v>50770</v>
      </c>
      <c r="G84" s="228" t="s">
        <v>140</v>
      </c>
      <c r="H84" s="205" t="s">
        <v>141</v>
      </c>
      <c r="I84" s="229">
        <v>0</v>
      </c>
      <c r="K84" s="157">
        <v>2139985.1800000002</v>
      </c>
      <c r="L84" s="145"/>
      <c r="M84" s="147">
        <v>1360219.16</v>
      </c>
      <c r="N84" s="147"/>
      <c r="O84" s="52">
        <f t="shared" si="23"/>
        <v>779766</v>
      </c>
      <c r="P84" s="27"/>
      <c r="Q84" s="27">
        <f t="shared" si="24"/>
        <v>51984.4</v>
      </c>
      <c r="R84" s="14"/>
      <c r="S84" s="28">
        <f t="shared" si="25"/>
        <v>2.4291943928321973</v>
      </c>
      <c r="U84" s="49">
        <f t="shared" si="26"/>
        <v>15</v>
      </c>
      <c r="Y84" s="239">
        <f t="shared" si="27"/>
        <v>15</v>
      </c>
      <c r="Z84" s="240">
        <v>45291</v>
      </c>
      <c r="AA84" s="54"/>
      <c r="AB84" s="54"/>
      <c r="AC84" s="54">
        <v>0</v>
      </c>
      <c r="AD84" s="239">
        <f t="shared" si="28"/>
        <v>15</v>
      </c>
    </row>
    <row r="85" spans="1:30">
      <c r="A85" s="30"/>
      <c r="C85" s="33" t="s">
        <v>38</v>
      </c>
      <c r="E85" s="207">
        <v>54788</v>
      </c>
      <c r="G85" s="228" t="s">
        <v>140</v>
      </c>
      <c r="H85" s="205" t="s">
        <v>141</v>
      </c>
      <c r="I85" s="229">
        <v>0</v>
      </c>
      <c r="K85" s="157">
        <v>8375944.4500000002</v>
      </c>
      <c r="L85" s="145"/>
      <c r="M85" s="147">
        <v>2161823.14</v>
      </c>
      <c r="N85" s="147"/>
      <c r="O85" s="52">
        <f t="shared" si="23"/>
        <v>6214121</v>
      </c>
      <c r="P85" s="27"/>
      <c r="Q85" s="27">
        <f t="shared" si="24"/>
        <v>239004.65384615384</v>
      </c>
      <c r="R85" s="14"/>
      <c r="S85" s="28">
        <f t="shared" si="25"/>
        <v>2.8534651259077277</v>
      </c>
      <c r="U85" s="49">
        <f t="shared" si="26"/>
        <v>26</v>
      </c>
      <c r="Y85" s="239">
        <f t="shared" si="27"/>
        <v>26</v>
      </c>
      <c r="Z85" s="240">
        <v>45291</v>
      </c>
      <c r="AA85" s="54"/>
      <c r="AB85" s="54"/>
      <c r="AC85" s="54">
        <v>0</v>
      </c>
      <c r="AD85" s="239">
        <f t="shared" si="28"/>
        <v>26</v>
      </c>
    </row>
    <row r="86" spans="1:30">
      <c r="A86" s="30"/>
      <c r="C86" s="33" t="s">
        <v>39</v>
      </c>
      <c r="E86" s="207">
        <v>52231</v>
      </c>
      <c r="G86" s="228" t="s">
        <v>140</v>
      </c>
      <c r="H86" s="205" t="s">
        <v>141</v>
      </c>
      <c r="I86" s="229">
        <v>0</v>
      </c>
      <c r="K86" s="157">
        <v>182562.7</v>
      </c>
      <c r="L86" s="145"/>
      <c r="M86" s="147">
        <v>138675.63</v>
      </c>
      <c r="N86" s="147"/>
      <c r="O86" s="52">
        <f t="shared" si="23"/>
        <v>43887</v>
      </c>
      <c r="P86" s="27"/>
      <c r="Q86" s="27">
        <f t="shared" si="24"/>
        <v>2309.8421052631579</v>
      </c>
      <c r="R86" s="14"/>
      <c r="S86" s="28">
        <f t="shared" si="25"/>
        <v>1.2652322217315792</v>
      </c>
      <c r="U86" s="49">
        <f t="shared" si="26"/>
        <v>19</v>
      </c>
      <c r="Y86" s="239">
        <f t="shared" si="27"/>
        <v>19</v>
      </c>
      <c r="Z86" s="240">
        <v>45291</v>
      </c>
      <c r="AA86" s="54"/>
      <c r="AB86" s="54"/>
      <c r="AC86" s="54">
        <v>0</v>
      </c>
      <c r="AD86" s="239">
        <f t="shared" si="28"/>
        <v>19</v>
      </c>
    </row>
    <row r="87" spans="1:30">
      <c r="A87" s="30"/>
      <c r="C87" s="33" t="s">
        <v>41</v>
      </c>
      <c r="E87" s="207">
        <v>54788</v>
      </c>
      <c r="G87" s="228" t="s">
        <v>140</v>
      </c>
      <c r="H87" s="205" t="s">
        <v>141</v>
      </c>
      <c r="I87" s="229">
        <v>0</v>
      </c>
      <c r="K87" s="157">
        <v>2192469.65</v>
      </c>
      <c r="L87" s="145"/>
      <c r="M87" s="147">
        <v>450040.59</v>
      </c>
      <c r="N87" s="147"/>
      <c r="O87" s="52">
        <f t="shared" si="23"/>
        <v>1742429</v>
      </c>
      <c r="P87" s="27"/>
      <c r="Q87" s="27">
        <f t="shared" si="24"/>
        <v>67016.5</v>
      </c>
      <c r="R87" s="14"/>
      <c r="S87" s="28">
        <f t="shared" si="25"/>
        <v>3.0566671698283256</v>
      </c>
      <c r="U87" s="49">
        <f t="shared" si="26"/>
        <v>26</v>
      </c>
      <c r="Y87" s="239">
        <f t="shared" si="27"/>
        <v>26</v>
      </c>
      <c r="Z87" s="240">
        <v>45291</v>
      </c>
      <c r="AA87" s="54"/>
      <c r="AB87" s="54"/>
      <c r="AC87" s="54">
        <v>0</v>
      </c>
      <c r="AD87" s="239">
        <f t="shared" si="28"/>
        <v>26</v>
      </c>
    </row>
    <row r="88" spans="1:30">
      <c r="A88" s="30"/>
      <c r="C88" s="33" t="s">
        <v>42</v>
      </c>
      <c r="E88" s="207">
        <v>54788</v>
      </c>
      <c r="G88" s="228" t="s">
        <v>140</v>
      </c>
      <c r="H88" s="205" t="s">
        <v>141</v>
      </c>
      <c r="I88" s="229">
        <v>0</v>
      </c>
      <c r="K88" s="144">
        <v>2721199.41</v>
      </c>
      <c r="L88" s="145"/>
      <c r="M88" s="148">
        <v>730264.02</v>
      </c>
      <c r="N88" s="147"/>
      <c r="O88" s="55">
        <f t="shared" si="23"/>
        <v>1990935</v>
      </c>
      <c r="P88" s="27"/>
      <c r="Q88" s="29">
        <f t="shared" si="24"/>
        <v>76574.423076923078</v>
      </c>
      <c r="R88" s="14"/>
      <c r="S88" s="28">
        <f t="shared" si="25"/>
        <v>2.8139952844147893</v>
      </c>
      <c r="U88" s="49">
        <f t="shared" si="26"/>
        <v>26</v>
      </c>
      <c r="Y88" s="239">
        <f t="shared" si="27"/>
        <v>26</v>
      </c>
      <c r="Z88" s="240">
        <v>45291</v>
      </c>
      <c r="AA88" s="54"/>
      <c r="AB88" s="54"/>
      <c r="AC88" s="54">
        <v>0</v>
      </c>
      <c r="AD88" s="239">
        <f t="shared" si="28"/>
        <v>26</v>
      </c>
    </row>
    <row r="89" spans="1:30">
      <c r="A89" s="30"/>
      <c r="G89" s="205"/>
      <c r="H89" s="205"/>
      <c r="I89" s="206"/>
      <c r="K89" s="157"/>
      <c r="L89" s="145"/>
      <c r="M89" s="147"/>
      <c r="N89" s="147"/>
      <c r="O89" s="147"/>
      <c r="P89" s="147"/>
      <c r="Q89" s="147"/>
      <c r="S89" s="26"/>
      <c r="U89" s="49"/>
      <c r="Y89" s="230"/>
    </row>
    <row r="90" spans="1:30">
      <c r="A90" s="30"/>
      <c r="C90" s="13" t="s">
        <v>55</v>
      </c>
      <c r="G90" s="205"/>
      <c r="H90" s="205"/>
      <c r="I90" s="206"/>
      <c r="K90" s="144">
        <f>SUBTOTAL(9,K81:K89)</f>
        <v>21708374.789999999</v>
      </c>
      <c r="L90" s="145"/>
      <c r="M90" s="148">
        <f>SUBTOTAL(9,M81:M89)</f>
        <v>7783223.6099999994</v>
      </c>
      <c r="N90" s="147"/>
      <c r="O90" s="148">
        <f>SUBTOTAL(9,O81:O89)</f>
        <v>13925150</v>
      </c>
      <c r="P90" s="147"/>
      <c r="Q90" s="148">
        <f>SUBTOTAL(9,Q81:Q89)</f>
        <v>810758.35236167349</v>
      </c>
      <c r="S90" s="26">
        <f>+ROUND(Q90/K90*100,2)</f>
        <v>3.73</v>
      </c>
      <c r="U90" s="49"/>
      <c r="Y90" s="230"/>
    </row>
    <row r="91" spans="1:30" ht="15.75">
      <c r="C91" s="18"/>
      <c r="K91" s="157"/>
      <c r="L91" s="145"/>
      <c r="M91" s="147"/>
      <c r="N91" s="147"/>
      <c r="O91" s="147"/>
      <c r="P91" s="147"/>
      <c r="Q91" s="147"/>
      <c r="S91" s="26"/>
      <c r="U91" s="49"/>
      <c r="Y91" s="230"/>
    </row>
    <row r="92" spans="1:30" ht="15.75">
      <c r="A92" s="30"/>
      <c r="C92" s="31" t="s">
        <v>56</v>
      </c>
      <c r="G92" s="205"/>
      <c r="H92" s="205"/>
      <c r="I92" s="206"/>
      <c r="K92" s="151">
        <f>SUBTOTAL(9,K20:K91)</f>
        <v>2801845065.1100001</v>
      </c>
      <c r="L92" s="22"/>
      <c r="M92" s="35">
        <f>SUBTOTAL(9,M20:M91)</f>
        <v>1192950131.5600004</v>
      </c>
      <c r="N92" s="35"/>
      <c r="O92" s="35">
        <f>SUBTOTAL(9,O20:O91)</f>
        <v>1608894932</v>
      </c>
      <c r="P92" s="35"/>
      <c r="Q92" s="35">
        <f>SUBTOTAL(9,Q20:Q91)</f>
        <v>73147937.442645088</v>
      </c>
      <c r="S92" s="23">
        <f>+ROUND(Q92/K92*100,2)</f>
        <v>2.61</v>
      </c>
      <c r="T92" s="22"/>
      <c r="U92" s="50"/>
      <c r="Y92" s="230"/>
    </row>
    <row r="93" spans="1:30">
      <c r="A93" s="30"/>
      <c r="C93" s="34"/>
      <c r="G93" s="205"/>
      <c r="H93" s="205"/>
      <c r="I93" s="206"/>
      <c r="K93" s="157"/>
      <c r="S93" s="26"/>
      <c r="U93" s="49"/>
      <c r="Y93" s="230"/>
    </row>
    <row r="94" spans="1:30" ht="15.75">
      <c r="C94" s="18" t="s">
        <v>57</v>
      </c>
      <c r="S94" s="26"/>
      <c r="U94" s="49"/>
      <c r="Y94" s="230"/>
    </row>
    <row r="95" spans="1:30" ht="15.75">
      <c r="C95" s="25"/>
      <c r="S95" s="26"/>
      <c r="U95" s="49"/>
      <c r="Y95" s="230"/>
    </row>
    <row r="96" spans="1:30">
      <c r="A96" s="30">
        <v>341</v>
      </c>
      <c r="C96" s="13" t="s">
        <v>34</v>
      </c>
      <c r="S96" s="26"/>
      <c r="U96" s="49"/>
      <c r="Y96" s="230"/>
    </row>
    <row r="97" spans="1:30">
      <c r="A97" s="30"/>
      <c r="C97" s="33" t="s">
        <v>58</v>
      </c>
      <c r="E97" s="207">
        <v>55153</v>
      </c>
      <c r="G97" s="228" t="s">
        <v>140</v>
      </c>
      <c r="H97" s="205" t="s">
        <v>141</v>
      </c>
      <c r="I97" s="229">
        <v>0</v>
      </c>
      <c r="K97" s="157">
        <v>18449493.530000001</v>
      </c>
      <c r="L97" s="145"/>
      <c r="M97" s="147">
        <v>7054844.1500000004</v>
      </c>
      <c r="N97" s="147"/>
      <c r="O97" s="52">
        <f t="shared" ref="O97:O115" si="29">ROUND((K97+(K97*-(I97/100)))-M97,0)</f>
        <v>11394649</v>
      </c>
      <c r="P97" s="27"/>
      <c r="Q97" s="27">
        <f t="shared" ref="Q97:Q115" si="30">O97/U97</f>
        <v>422024.03703703702</v>
      </c>
      <c r="R97" s="14"/>
      <c r="S97" s="28">
        <f t="shared" ref="S97:S115" si="31">Q97/K97*100</f>
        <v>2.2874559475077199</v>
      </c>
      <c r="U97" s="49">
        <f t="shared" ref="U97:U115" si="32">AD97</f>
        <v>27</v>
      </c>
      <c r="Y97" s="239">
        <f t="shared" ref="Y97:Y114" si="33">ROUND((E97-Z97)/365.25,0)</f>
        <v>27</v>
      </c>
      <c r="Z97" s="240">
        <v>45291</v>
      </c>
      <c r="AA97" s="54"/>
      <c r="AB97" s="54"/>
      <c r="AC97" s="54">
        <v>0</v>
      </c>
      <c r="AD97" s="239">
        <f t="shared" ref="AD97:AD115" si="34">Y97+AC97</f>
        <v>27</v>
      </c>
    </row>
    <row r="98" spans="1:30">
      <c r="A98" s="30"/>
      <c r="C98" s="33" t="s">
        <v>59</v>
      </c>
      <c r="E98" s="207">
        <v>50040</v>
      </c>
      <c r="G98" s="228" t="s">
        <v>140</v>
      </c>
      <c r="H98" s="205" t="s">
        <v>141</v>
      </c>
      <c r="I98" s="229">
        <v>0</v>
      </c>
      <c r="K98" s="157">
        <v>2666719.81</v>
      </c>
      <c r="L98" s="145"/>
      <c r="M98" s="147">
        <v>1514239.92</v>
      </c>
      <c r="N98" s="147"/>
      <c r="O98" s="52">
        <f t="shared" si="29"/>
        <v>1152480</v>
      </c>
      <c r="P98" s="27"/>
      <c r="Q98" s="27">
        <f t="shared" si="30"/>
        <v>88652.307692307688</v>
      </c>
      <c r="R98" s="14"/>
      <c r="S98" s="28">
        <f t="shared" si="31"/>
        <v>3.324395287418954</v>
      </c>
      <c r="U98" s="49">
        <f t="shared" si="32"/>
        <v>13</v>
      </c>
      <c r="Y98" s="239">
        <f t="shared" si="33"/>
        <v>13</v>
      </c>
      <c r="Z98" s="240">
        <v>45291</v>
      </c>
      <c r="AA98" s="54"/>
      <c r="AB98" s="54"/>
      <c r="AC98" s="54">
        <v>0</v>
      </c>
      <c r="AD98" s="239">
        <f t="shared" si="34"/>
        <v>13</v>
      </c>
    </row>
    <row r="99" spans="1:30">
      <c r="A99" s="30"/>
      <c r="C99" s="33" t="s">
        <v>60</v>
      </c>
      <c r="E99" s="207">
        <v>50040</v>
      </c>
      <c r="G99" s="228" t="s">
        <v>140</v>
      </c>
      <c r="H99" s="205" t="s">
        <v>141</v>
      </c>
      <c r="I99" s="229">
        <v>0</v>
      </c>
      <c r="K99" s="157">
        <v>2666719.81</v>
      </c>
      <c r="L99" s="145"/>
      <c r="M99" s="147">
        <v>1535563.88</v>
      </c>
      <c r="N99" s="147"/>
      <c r="O99" s="52">
        <f t="shared" si="29"/>
        <v>1131156</v>
      </c>
      <c r="P99" s="27"/>
      <c r="Q99" s="27">
        <f t="shared" si="30"/>
        <v>87012</v>
      </c>
      <c r="R99" s="14"/>
      <c r="S99" s="28">
        <f t="shared" si="31"/>
        <v>3.2628849747810587</v>
      </c>
      <c r="U99" s="49">
        <f t="shared" si="32"/>
        <v>13</v>
      </c>
      <c r="Y99" s="239">
        <f t="shared" si="33"/>
        <v>13</v>
      </c>
      <c r="Z99" s="240">
        <v>45291</v>
      </c>
      <c r="AA99" s="54"/>
      <c r="AB99" s="54"/>
      <c r="AC99" s="54">
        <v>0</v>
      </c>
      <c r="AD99" s="239">
        <f t="shared" si="34"/>
        <v>13</v>
      </c>
    </row>
    <row r="100" spans="1:30">
      <c r="A100" s="30"/>
      <c r="C100" s="33" t="s">
        <v>61</v>
      </c>
      <c r="E100" s="207">
        <v>50040</v>
      </c>
      <c r="G100" s="228" t="s">
        <v>140</v>
      </c>
      <c r="H100" s="205" t="s">
        <v>141</v>
      </c>
      <c r="I100" s="229">
        <v>0</v>
      </c>
      <c r="K100" s="157">
        <v>2666719.81</v>
      </c>
      <c r="L100" s="145"/>
      <c r="M100" s="147">
        <v>1483354.58</v>
      </c>
      <c r="N100" s="147"/>
      <c r="O100" s="52">
        <f t="shared" si="29"/>
        <v>1183365</v>
      </c>
      <c r="P100" s="27"/>
      <c r="Q100" s="27">
        <f t="shared" si="30"/>
        <v>91028.076923076922</v>
      </c>
      <c r="R100" s="14"/>
      <c r="S100" s="28">
        <f t="shared" si="31"/>
        <v>3.413484858129018</v>
      </c>
      <c r="U100" s="49">
        <f t="shared" si="32"/>
        <v>13</v>
      </c>
      <c r="Y100" s="239">
        <f t="shared" si="33"/>
        <v>13</v>
      </c>
      <c r="Z100" s="240">
        <v>45291</v>
      </c>
      <c r="AA100" s="54"/>
      <c r="AB100" s="54"/>
      <c r="AC100" s="54">
        <v>0</v>
      </c>
      <c r="AD100" s="239">
        <f t="shared" si="34"/>
        <v>13</v>
      </c>
    </row>
    <row r="101" spans="1:30">
      <c r="A101" s="30"/>
      <c r="C101" s="33" t="s">
        <v>62</v>
      </c>
      <c r="E101" s="207">
        <v>51866</v>
      </c>
      <c r="G101" s="228" t="s">
        <v>140</v>
      </c>
      <c r="H101" s="205" t="s">
        <v>141</v>
      </c>
      <c r="I101" s="229">
        <v>0</v>
      </c>
      <c r="K101" s="157">
        <v>1937757.41</v>
      </c>
      <c r="L101" s="145"/>
      <c r="M101" s="147">
        <v>914665.65</v>
      </c>
      <c r="N101" s="147"/>
      <c r="O101" s="52">
        <f t="shared" si="29"/>
        <v>1023092</v>
      </c>
      <c r="P101" s="27"/>
      <c r="Q101" s="27">
        <f t="shared" si="30"/>
        <v>56838.444444444445</v>
      </c>
      <c r="R101" s="14"/>
      <c r="S101" s="28">
        <f t="shared" si="31"/>
        <v>2.9332074361384817</v>
      </c>
      <c r="U101" s="49">
        <f t="shared" si="32"/>
        <v>18</v>
      </c>
      <c r="Y101" s="239">
        <f t="shared" si="33"/>
        <v>18</v>
      </c>
      <c r="Z101" s="240">
        <v>45291</v>
      </c>
      <c r="AA101" s="54"/>
      <c r="AB101" s="54"/>
      <c r="AC101" s="54">
        <v>0</v>
      </c>
      <c r="AD101" s="239">
        <f t="shared" si="34"/>
        <v>18</v>
      </c>
    </row>
    <row r="102" spans="1:30">
      <c r="A102" s="30"/>
      <c r="C102" s="33" t="s">
        <v>63</v>
      </c>
      <c r="E102" s="207">
        <v>51866</v>
      </c>
      <c r="G102" s="228" t="s">
        <v>140</v>
      </c>
      <c r="H102" s="205" t="s">
        <v>141</v>
      </c>
      <c r="I102" s="229">
        <v>0</v>
      </c>
      <c r="K102" s="157">
        <v>1599135.43</v>
      </c>
      <c r="L102" s="145"/>
      <c r="M102" s="147">
        <v>750866.73</v>
      </c>
      <c r="N102" s="147"/>
      <c r="O102" s="52">
        <f t="shared" si="29"/>
        <v>848269</v>
      </c>
      <c r="P102" s="27"/>
      <c r="Q102" s="27">
        <f t="shared" si="30"/>
        <v>47126.055555555555</v>
      </c>
      <c r="R102" s="14"/>
      <c r="S102" s="28">
        <f t="shared" si="31"/>
        <v>2.9469708863592343</v>
      </c>
      <c r="U102" s="49">
        <f t="shared" si="32"/>
        <v>18</v>
      </c>
      <c r="Y102" s="239">
        <f t="shared" si="33"/>
        <v>18</v>
      </c>
      <c r="Z102" s="240">
        <v>45291</v>
      </c>
      <c r="AA102" s="54"/>
      <c r="AB102" s="54"/>
      <c r="AC102" s="54">
        <v>0</v>
      </c>
      <c r="AD102" s="239">
        <f t="shared" si="34"/>
        <v>18</v>
      </c>
    </row>
    <row r="103" spans="1:30">
      <c r="A103" s="30"/>
      <c r="C103" s="33" t="s">
        <v>64</v>
      </c>
      <c r="E103" s="207">
        <v>53327</v>
      </c>
      <c r="G103" s="228" t="s">
        <v>140</v>
      </c>
      <c r="H103" s="205" t="s">
        <v>141</v>
      </c>
      <c r="I103" s="229">
        <v>0</v>
      </c>
      <c r="K103" s="157">
        <v>303524.78000000003</v>
      </c>
      <c r="L103" s="145"/>
      <c r="M103" s="147">
        <v>116602.85</v>
      </c>
      <c r="N103" s="147"/>
      <c r="O103" s="52">
        <f t="shared" si="29"/>
        <v>186922</v>
      </c>
      <c r="P103" s="27"/>
      <c r="Q103" s="27">
        <f t="shared" si="30"/>
        <v>8496.454545454546</v>
      </c>
      <c r="R103" s="14"/>
      <c r="S103" s="28">
        <f t="shared" si="31"/>
        <v>2.7992622366630315</v>
      </c>
      <c r="U103" s="49">
        <f t="shared" si="32"/>
        <v>22</v>
      </c>
      <c r="Y103" s="239">
        <f t="shared" si="33"/>
        <v>22</v>
      </c>
      <c r="Z103" s="240">
        <v>45291</v>
      </c>
      <c r="AA103" s="54"/>
      <c r="AB103" s="54"/>
      <c r="AC103" s="54">
        <v>0</v>
      </c>
      <c r="AD103" s="239">
        <f t="shared" si="34"/>
        <v>22</v>
      </c>
    </row>
    <row r="104" spans="1:30">
      <c r="A104" s="30"/>
      <c r="C104" s="33" t="s">
        <v>65</v>
      </c>
      <c r="E104" s="207">
        <v>53327</v>
      </c>
      <c r="G104" s="228" t="s">
        <v>140</v>
      </c>
      <c r="H104" s="205" t="s">
        <v>141</v>
      </c>
      <c r="I104" s="229">
        <v>0</v>
      </c>
      <c r="K104" s="157">
        <v>303524.78000000003</v>
      </c>
      <c r="L104" s="145"/>
      <c r="M104" s="147">
        <v>116857.06</v>
      </c>
      <c r="N104" s="147"/>
      <c r="O104" s="52">
        <f t="shared" si="29"/>
        <v>186668</v>
      </c>
      <c r="P104" s="27"/>
      <c r="Q104" s="27">
        <f t="shared" si="30"/>
        <v>8484.9090909090901</v>
      </c>
      <c r="R104" s="14"/>
      <c r="S104" s="28">
        <f t="shared" si="31"/>
        <v>2.7954584435936627</v>
      </c>
      <c r="U104" s="49">
        <f t="shared" si="32"/>
        <v>22</v>
      </c>
      <c r="Y104" s="239">
        <f t="shared" si="33"/>
        <v>22</v>
      </c>
      <c r="Z104" s="240">
        <v>45291</v>
      </c>
      <c r="AA104" s="54"/>
      <c r="AB104" s="54"/>
      <c r="AC104" s="54">
        <v>0</v>
      </c>
      <c r="AD104" s="239">
        <f t="shared" si="34"/>
        <v>22</v>
      </c>
    </row>
    <row r="105" spans="1:30">
      <c r="A105" s="30"/>
      <c r="C105" s="33" t="s">
        <v>66</v>
      </c>
      <c r="E105" s="207">
        <v>55153</v>
      </c>
      <c r="G105" s="228" t="s">
        <v>140</v>
      </c>
      <c r="H105" s="205" t="s">
        <v>141</v>
      </c>
      <c r="I105" s="229">
        <v>0</v>
      </c>
      <c r="K105" s="157">
        <v>4625823.04</v>
      </c>
      <c r="L105" s="145"/>
      <c r="M105" s="147">
        <v>1039877.1</v>
      </c>
      <c r="N105" s="147"/>
      <c r="O105" s="52">
        <f t="shared" si="29"/>
        <v>3585946</v>
      </c>
      <c r="P105" s="27"/>
      <c r="Q105" s="27">
        <f t="shared" si="30"/>
        <v>132812.8148148148</v>
      </c>
      <c r="R105" s="14"/>
      <c r="S105" s="28">
        <f t="shared" si="31"/>
        <v>2.871117499877704</v>
      </c>
      <c r="U105" s="49">
        <f t="shared" si="32"/>
        <v>27</v>
      </c>
      <c r="Y105" s="239">
        <f t="shared" si="33"/>
        <v>27</v>
      </c>
      <c r="Z105" s="240">
        <v>45291</v>
      </c>
      <c r="AA105" s="54"/>
      <c r="AB105" s="54"/>
      <c r="AC105" s="54">
        <v>0</v>
      </c>
      <c r="AD105" s="239">
        <f t="shared" si="34"/>
        <v>27</v>
      </c>
    </row>
    <row r="106" spans="1:30">
      <c r="A106" s="30"/>
      <c r="C106" s="33" t="s">
        <v>67</v>
      </c>
      <c r="E106" s="207">
        <v>55153</v>
      </c>
      <c r="G106" s="228" t="s">
        <v>140</v>
      </c>
      <c r="H106" s="205" t="s">
        <v>141</v>
      </c>
      <c r="I106" s="229">
        <v>0</v>
      </c>
      <c r="K106" s="157">
        <v>224532.24</v>
      </c>
      <c r="L106" s="145"/>
      <c r="M106" s="147">
        <v>45021.49</v>
      </c>
      <c r="N106" s="147"/>
      <c r="O106" s="52">
        <f t="shared" si="29"/>
        <v>179511</v>
      </c>
      <c r="P106" s="27"/>
      <c r="Q106" s="27">
        <f t="shared" si="30"/>
        <v>6648.5555555555557</v>
      </c>
      <c r="R106" s="14"/>
      <c r="S106" s="28">
        <f t="shared" si="31"/>
        <v>2.9610694462209772</v>
      </c>
      <c r="U106" s="49">
        <f t="shared" si="32"/>
        <v>27</v>
      </c>
      <c r="Y106" s="239">
        <f t="shared" si="33"/>
        <v>27</v>
      </c>
      <c r="Z106" s="240">
        <v>45291</v>
      </c>
      <c r="AA106" s="54"/>
      <c r="AB106" s="54"/>
      <c r="AC106" s="54">
        <v>0</v>
      </c>
      <c r="AD106" s="239">
        <f t="shared" si="34"/>
        <v>27</v>
      </c>
    </row>
    <row r="107" spans="1:30">
      <c r="A107" s="30"/>
      <c r="C107" s="33" t="s">
        <v>68</v>
      </c>
      <c r="E107" s="207">
        <v>50586</v>
      </c>
      <c r="G107" s="228" t="s">
        <v>140</v>
      </c>
      <c r="H107" s="205" t="s">
        <v>141</v>
      </c>
      <c r="I107" s="229">
        <v>0</v>
      </c>
      <c r="K107" s="157">
        <v>1119860.8</v>
      </c>
      <c r="L107" s="145"/>
      <c r="M107" s="147">
        <v>416160.91</v>
      </c>
      <c r="N107" s="147"/>
      <c r="O107" s="52">
        <f t="shared" si="29"/>
        <v>703700</v>
      </c>
      <c r="P107" s="27"/>
      <c r="Q107" s="27">
        <f t="shared" si="30"/>
        <v>48531.034482758623</v>
      </c>
      <c r="R107" s="14"/>
      <c r="S107" s="28">
        <f t="shared" si="31"/>
        <v>4.333666691677986</v>
      </c>
      <c r="U107" s="49">
        <f t="shared" si="32"/>
        <v>14.5</v>
      </c>
      <c r="Y107" s="239">
        <f>ROUND((AB107-Z107)/365.25,0)-0.5</f>
        <v>14.5</v>
      </c>
      <c r="Z107" s="240">
        <v>45291</v>
      </c>
      <c r="AA107" s="240">
        <f>E107</f>
        <v>50586</v>
      </c>
      <c r="AB107" s="240">
        <v>50770</v>
      </c>
      <c r="AC107" s="54">
        <v>0</v>
      </c>
      <c r="AD107" s="239">
        <f t="shared" si="34"/>
        <v>14.5</v>
      </c>
    </row>
    <row r="108" spans="1:30">
      <c r="A108" s="30"/>
      <c r="C108" s="33" t="s">
        <v>70</v>
      </c>
      <c r="E108" s="207">
        <v>50586</v>
      </c>
      <c r="G108" s="228" t="s">
        <v>140</v>
      </c>
      <c r="H108" s="205" t="s">
        <v>141</v>
      </c>
      <c r="I108" s="229">
        <v>0</v>
      </c>
      <c r="K108" s="157">
        <v>1135966.24</v>
      </c>
      <c r="L108" s="145"/>
      <c r="M108" s="147">
        <v>422145.64</v>
      </c>
      <c r="N108" s="147"/>
      <c r="O108" s="52">
        <f t="shared" si="29"/>
        <v>713821</v>
      </c>
      <c r="P108" s="27"/>
      <c r="Q108" s="27">
        <f t="shared" si="30"/>
        <v>49229.034482758623</v>
      </c>
      <c r="R108" s="14"/>
      <c r="S108" s="28">
        <f t="shared" si="31"/>
        <v>4.3336705572129173</v>
      </c>
      <c r="U108" s="49">
        <f t="shared" si="32"/>
        <v>14.5</v>
      </c>
      <c r="Y108" s="239">
        <f t="shared" ref="Y108:Y110" si="35">ROUND((AB108-Z108)/365.25,0)-0.5</f>
        <v>14.5</v>
      </c>
      <c r="Z108" s="240">
        <v>45291</v>
      </c>
      <c r="AA108" s="240">
        <f t="shared" ref="AA108:AA110" si="36">E108</f>
        <v>50586</v>
      </c>
      <c r="AB108" s="240">
        <v>50770</v>
      </c>
      <c r="AC108" s="54">
        <v>0</v>
      </c>
      <c r="AD108" s="239">
        <f t="shared" si="34"/>
        <v>14.5</v>
      </c>
    </row>
    <row r="109" spans="1:30">
      <c r="A109" s="30"/>
      <c r="C109" s="33" t="s">
        <v>71</v>
      </c>
      <c r="E109" s="207">
        <v>51682</v>
      </c>
      <c r="G109" s="228" t="s">
        <v>140</v>
      </c>
      <c r="H109" s="205" t="s">
        <v>141</v>
      </c>
      <c r="I109" s="229">
        <v>0</v>
      </c>
      <c r="K109" s="157">
        <v>1465228.09</v>
      </c>
      <c r="L109" s="145"/>
      <c r="M109" s="147">
        <v>468146.53</v>
      </c>
      <c r="N109" s="147"/>
      <c r="O109" s="52">
        <f t="shared" si="29"/>
        <v>997082</v>
      </c>
      <c r="P109" s="27"/>
      <c r="Q109" s="27">
        <f t="shared" si="30"/>
        <v>56976.114285714284</v>
      </c>
      <c r="R109" s="14"/>
      <c r="S109" s="28">
        <f t="shared" si="31"/>
        <v>3.8885491395209519</v>
      </c>
      <c r="U109" s="49">
        <f t="shared" si="32"/>
        <v>17.5</v>
      </c>
      <c r="Y109" s="239">
        <f t="shared" si="35"/>
        <v>17.5</v>
      </c>
      <c r="Z109" s="240">
        <v>45291</v>
      </c>
      <c r="AA109" s="240">
        <f t="shared" si="36"/>
        <v>51682</v>
      </c>
      <c r="AB109" s="240">
        <v>51866</v>
      </c>
      <c r="AC109" s="54">
        <v>0</v>
      </c>
      <c r="AD109" s="239">
        <f t="shared" si="34"/>
        <v>17.5</v>
      </c>
    </row>
    <row r="110" spans="1:30">
      <c r="A110" s="30"/>
      <c r="C110" s="33" t="s">
        <v>72</v>
      </c>
      <c r="E110" s="207">
        <v>52047</v>
      </c>
      <c r="G110" s="228" t="s">
        <v>140</v>
      </c>
      <c r="H110" s="205" t="s">
        <v>141</v>
      </c>
      <c r="I110" s="229">
        <v>0</v>
      </c>
      <c r="K110" s="157">
        <v>2033652.36</v>
      </c>
      <c r="L110" s="145"/>
      <c r="M110" s="147">
        <v>312972.96999999997</v>
      </c>
      <c r="N110" s="147"/>
      <c r="O110" s="52">
        <f t="shared" si="29"/>
        <v>1720679</v>
      </c>
      <c r="P110" s="27"/>
      <c r="Q110" s="27">
        <f t="shared" si="30"/>
        <v>93009.67567567568</v>
      </c>
      <c r="R110" s="14"/>
      <c r="S110" s="28">
        <f t="shared" si="31"/>
        <v>4.5735287655396366</v>
      </c>
      <c r="U110" s="49">
        <f t="shared" si="32"/>
        <v>18.5</v>
      </c>
      <c r="Y110" s="239">
        <f t="shared" si="35"/>
        <v>18.5</v>
      </c>
      <c r="Z110" s="240">
        <v>45291</v>
      </c>
      <c r="AA110" s="240">
        <f t="shared" si="36"/>
        <v>52047</v>
      </c>
      <c r="AB110" s="240">
        <v>52231</v>
      </c>
      <c r="AC110" s="54">
        <v>0</v>
      </c>
      <c r="AD110" s="239">
        <f t="shared" si="34"/>
        <v>18.5</v>
      </c>
    </row>
    <row r="111" spans="1:30">
      <c r="A111" s="30"/>
      <c r="C111" s="33" t="s">
        <v>73</v>
      </c>
      <c r="E111" s="207">
        <v>52962</v>
      </c>
      <c r="G111" s="228" t="s">
        <v>140</v>
      </c>
      <c r="H111" s="205" t="s">
        <v>141</v>
      </c>
      <c r="I111" s="229">
        <v>0</v>
      </c>
      <c r="K111" s="157">
        <v>7836172.29</v>
      </c>
      <c r="L111" s="145"/>
      <c r="M111" s="147">
        <v>2183825.9700000002</v>
      </c>
      <c r="N111" s="147"/>
      <c r="O111" s="52">
        <f t="shared" si="29"/>
        <v>5652346</v>
      </c>
      <c r="P111" s="27"/>
      <c r="Q111" s="27">
        <f t="shared" si="30"/>
        <v>269159.33333333331</v>
      </c>
      <c r="R111" s="14"/>
      <c r="S111" s="28">
        <f t="shared" si="31"/>
        <v>3.4348317440240113</v>
      </c>
      <c r="U111" s="49">
        <f t="shared" si="32"/>
        <v>21</v>
      </c>
      <c r="Y111" s="239">
        <f t="shared" si="33"/>
        <v>21</v>
      </c>
      <c r="Z111" s="240">
        <v>45291</v>
      </c>
      <c r="AA111" s="54"/>
      <c r="AB111" s="54"/>
      <c r="AC111" s="54">
        <v>0</v>
      </c>
      <c r="AD111" s="239">
        <f t="shared" si="34"/>
        <v>21</v>
      </c>
    </row>
    <row r="112" spans="1:30">
      <c r="A112" s="30"/>
      <c r="C112" s="33" t="s">
        <v>74</v>
      </c>
      <c r="E112" s="207">
        <v>52962</v>
      </c>
      <c r="G112" s="228" t="s">
        <v>140</v>
      </c>
      <c r="H112" s="205" t="s">
        <v>141</v>
      </c>
      <c r="I112" s="229">
        <v>0</v>
      </c>
      <c r="K112" s="157">
        <v>933680.4</v>
      </c>
      <c r="L112" s="145"/>
      <c r="M112" s="147">
        <v>369350.09</v>
      </c>
      <c r="N112" s="147"/>
      <c r="O112" s="52">
        <f t="shared" si="29"/>
        <v>564330</v>
      </c>
      <c r="P112" s="27"/>
      <c r="Q112" s="27">
        <f t="shared" si="30"/>
        <v>26872.857142857141</v>
      </c>
      <c r="R112" s="14"/>
      <c r="S112" s="28">
        <f t="shared" si="31"/>
        <v>2.8781644278767273</v>
      </c>
      <c r="U112" s="49">
        <f t="shared" si="32"/>
        <v>21</v>
      </c>
      <c r="Y112" s="239">
        <f t="shared" si="33"/>
        <v>21</v>
      </c>
      <c r="Z112" s="240">
        <v>45291</v>
      </c>
      <c r="AA112" s="54"/>
      <c r="AB112" s="54"/>
      <c r="AC112" s="54">
        <v>0</v>
      </c>
      <c r="AD112" s="239">
        <f t="shared" si="34"/>
        <v>21</v>
      </c>
    </row>
    <row r="113" spans="1:30">
      <c r="A113" s="30"/>
      <c r="C113" s="33" t="s">
        <v>75</v>
      </c>
      <c r="E113" s="207">
        <v>52962</v>
      </c>
      <c r="G113" s="228" t="s">
        <v>140</v>
      </c>
      <c r="H113" s="205" t="s">
        <v>141</v>
      </c>
      <c r="I113" s="229">
        <v>0</v>
      </c>
      <c r="K113" s="157">
        <v>933680.4</v>
      </c>
      <c r="L113" s="145"/>
      <c r="M113" s="147">
        <v>438271.13</v>
      </c>
      <c r="N113" s="147"/>
      <c r="O113" s="52">
        <f t="shared" si="29"/>
        <v>495409</v>
      </c>
      <c r="P113" s="27"/>
      <c r="Q113" s="27">
        <f t="shared" si="30"/>
        <v>23590.904761904763</v>
      </c>
      <c r="R113" s="14"/>
      <c r="S113" s="28">
        <f t="shared" si="31"/>
        <v>2.5266573831800221</v>
      </c>
      <c r="U113" s="49">
        <f t="shared" si="32"/>
        <v>21</v>
      </c>
      <c r="Y113" s="239">
        <f t="shared" si="33"/>
        <v>21</v>
      </c>
      <c r="Z113" s="240">
        <v>45291</v>
      </c>
      <c r="AA113" s="54"/>
      <c r="AB113" s="54"/>
      <c r="AC113" s="54">
        <v>0</v>
      </c>
      <c r="AD113" s="239">
        <f t="shared" si="34"/>
        <v>21</v>
      </c>
    </row>
    <row r="114" spans="1:30">
      <c r="A114" s="30"/>
      <c r="C114" s="33" t="s">
        <v>76</v>
      </c>
      <c r="E114" s="207">
        <v>52962</v>
      </c>
      <c r="G114" s="228" t="s">
        <v>140</v>
      </c>
      <c r="H114" s="205" t="s">
        <v>141</v>
      </c>
      <c r="I114" s="229">
        <v>0</v>
      </c>
      <c r="K114" s="157">
        <v>933680.4</v>
      </c>
      <c r="L114" s="145"/>
      <c r="M114" s="147">
        <v>504298.32</v>
      </c>
      <c r="N114" s="147"/>
      <c r="O114" s="52">
        <f t="shared" si="29"/>
        <v>429382</v>
      </c>
      <c r="P114" s="27"/>
      <c r="Q114" s="27">
        <f t="shared" si="30"/>
        <v>20446.761904761905</v>
      </c>
      <c r="R114" s="14"/>
      <c r="S114" s="28">
        <f t="shared" si="31"/>
        <v>2.1899101560621714</v>
      </c>
      <c r="U114" s="49">
        <f t="shared" si="32"/>
        <v>21</v>
      </c>
      <c r="Y114" s="239">
        <f t="shared" si="33"/>
        <v>21</v>
      </c>
      <c r="Z114" s="240">
        <v>45291</v>
      </c>
      <c r="AA114" s="54"/>
      <c r="AB114" s="54"/>
      <c r="AC114" s="54">
        <v>0</v>
      </c>
      <c r="AD114" s="239">
        <f t="shared" si="34"/>
        <v>21</v>
      </c>
    </row>
    <row r="115" spans="1:30">
      <c r="A115" s="30"/>
      <c r="C115" s="33" t="s">
        <v>77</v>
      </c>
      <c r="E115" s="207">
        <v>53873</v>
      </c>
      <c r="G115" s="228" t="s">
        <v>140</v>
      </c>
      <c r="H115" s="205" t="s">
        <v>141</v>
      </c>
      <c r="I115" s="229">
        <v>-1</v>
      </c>
      <c r="K115" s="144">
        <v>625882</v>
      </c>
      <c r="L115" s="145"/>
      <c r="M115" s="148">
        <v>159616.29999999999</v>
      </c>
      <c r="N115" s="147"/>
      <c r="O115" s="55">
        <f t="shared" si="29"/>
        <v>472525</v>
      </c>
      <c r="P115" s="27"/>
      <c r="Q115" s="29">
        <f t="shared" si="30"/>
        <v>20107.446808510638</v>
      </c>
      <c r="R115" s="14"/>
      <c r="S115" s="28">
        <f t="shared" si="31"/>
        <v>3.212657786693121</v>
      </c>
      <c r="U115" s="49">
        <f t="shared" si="32"/>
        <v>23.5</v>
      </c>
      <c r="Y115" s="239">
        <f>ROUND((AB115-Z115)/365.25,0)-0.5</f>
        <v>23.5</v>
      </c>
      <c r="Z115" s="240">
        <v>45291</v>
      </c>
      <c r="AA115" s="240">
        <f>E115</f>
        <v>53873</v>
      </c>
      <c r="AB115" s="240">
        <v>54057</v>
      </c>
      <c r="AC115" s="54">
        <v>0</v>
      </c>
      <c r="AD115" s="239">
        <f t="shared" si="34"/>
        <v>23.5</v>
      </c>
    </row>
    <row r="116" spans="1:30">
      <c r="A116" s="30"/>
      <c r="E116" s="54" t="s">
        <v>321</v>
      </c>
      <c r="F116" s="54"/>
      <c r="G116" s="228"/>
      <c r="H116" s="228"/>
      <c r="I116" s="229"/>
      <c r="K116" s="157"/>
      <c r="L116" s="145"/>
      <c r="M116" s="147"/>
      <c r="N116" s="147"/>
      <c r="O116" s="147"/>
      <c r="P116" s="147"/>
      <c r="Q116" s="147"/>
      <c r="S116" s="26"/>
      <c r="U116" s="49"/>
      <c r="Y116" s="230"/>
    </row>
    <row r="117" spans="1:30">
      <c r="A117" s="30"/>
      <c r="C117" s="13" t="s">
        <v>45</v>
      </c>
      <c r="G117" s="205"/>
      <c r="H117" s="205"/>
      <c r="I117" s="206"/>
      <c r="K117" s="157">
        <f>SUBTOTAL(9,K97:K116)</f>
        <v>52461753.619999997</v>
      </c>
      <c r="L117" s="145"/>
      <c r="M117" s="147">
        <f>SUBTOTAL(9,M97:M116)</f>
        <v>19846681.27</v>
      </c>
      <c r="N117" s="147"/>
      <c r="O117" s="147">
        <f>SUBTOTAL(9,O97:O116)</f>
        <v>32621332</v>
      </c>
      <c r="P117" s="147"/>
      <c r="Q117" s="147">
        <f>SUBTOTAL(9,Q97:Q116)</f>
        <v>1557046.8185374306</v>
      </c>
      <c r="S117" s="26">
        <f>+ROUND(Q117/K117*100,2)</f>
        <v>2.97</v>
      </c>
      <c r="U117" s="49"/>
      <c r="Y117" s="230"/>
    </row>
    <row r="118" spans="1:30">
      <c r="A118" s="30"/>
      <c r="G118" s="205"/>
      <c r="H118" s="205"/>
      <c r="I118" s="206"/>
      <c r="K118" s="157"/>
      <c r="L118" s="145"/>
      <c r="M118" s="147"/>
      <c r="N118" s="147"/>
      <c r="O118" s="147"/>
      <c r="P118" s="147"/>
      <c r="Q118" s="147"/>
      <c r="S118" s="26"/>
      <c r="U118" s="49"/>
      <c r="Y118" s="230"/>
    </row>
    <row r="119" spans="1:30">
      <c r="A119" s="30">
        <v>342</v>
      </c>
      <c r="C119" s="13" t="s">
        <v>266</v>
      </c>
      <c r="S119" s="26"/>
      <c r="U119" s="49"/>
      <c r="Y119" s="230"/>
    </row>
    <row r="120" spans="1:30">
      <c r="A120" s="30"/>
      <c r="C120" s="33" t="s">
        <v>58</v>
      </c>
      <c r="E120" s="207">
        <v>55153</v>
      </c>
      <c r="G120" s="228" t="s">
        <v>140</v>
      </c>
      <c r="H120" s="205" t="s">
        <v>141</v>
      </c>
      <c r="I120" s="229">
        <v>0</v>
      </c>
      <c r="K120" s="157">
        <v>13766120.51</v>
      </c>
      <c r="L120" s="145"/>
      <c r="M120" s="147">
        <v>5537459.1299999999</v>
      </c>
      <c r="N120" s="147"/>
      <c r="O120" s="52">
        <f t="shared" ref="O120:O126" si="37">ROUND((K120+(K120*-(I120/100)))-M120,0)</f>
        <v>8228661</v>
      </c>
      <c r="P120" s="27"/>
      <c r="Q120" s="27">
        <f t="shared" ref="Q120:Q126" si="38">O120/U120</f>
        <v>304765.22222222225</v>
      </c>
      <c r="R120" s="14"/>
      <c r="S120" s="28">
        <f t="shared" ref="S120:S126" si="39">Q120/K120*100</f>
        <v>2.2138787903304666</v>
      </c>
      <c r="U120" s="49">
        <f t="shared" ref="U120:U126" si="40">AD120</f>
        <v>27</v>
      </c>
      <c r="Y120" s="239">
        <f t="shared" ref="Y120:Y126" si="41">ROUND((E120-Z120)/365.25,0)</f>
        <v>27</v>
      </c>
      <c r="Z120" s="240">
        <v>45291</v>
      </c>
      <c r="AA120" s="54"/>
      <c r="AB120" s="54"/>
      <c r="AC120" s="54">
        <v>0</v>
      </c>
      <c r="AD120" s="239">
        <f t="shared" ref="AD120:AD126" si="42">Y120+AC120</f>
        <v>27</v>
      </c>
    </row>
    <row r="121" spans="1:30">
      <c r="A121" s="30"/>
      <c r="C121" s="33" t="s">
        <v>64</v>
      </c>
      <c r="E121" s="207">
        <v>53327</v>
      </c>
      <c r="G121" s="228" t="s">
        <v>140</v>
      </c>
      <c r="H121" s="205" t="s">
        <v>141</v>
      </c>
      <c r="I121" s="229">
        <v>0</v>
      </c>
      <c r="K121" s="157">
        <v>70051.649999999994</v>
      </c>
      <c r="L121" s="145"/>
      <c r="M121" s="147">
        <v>27987.56</v>
      </c>
      <c r="N121" s="147"/>
      <c r="O121" s="52">
        <f t="shared" si="37"/>
        <v>42064</v>
      </c>
      <c r="P121" s="27"/>
      <c r="Q121" s="27">
        <f t="shared" si="38"/>
        <v>1912</v>
      </c>
      <c r="R121" s="14"/>
      <c r="S121" s="28">
        <f t="shared" si="39"/>
        <v>2.7294146533307928</v>
      </c>
      <c r="U121" s="49">
        <f t="shared" si="40"/>
        <v>22</v>
      </c>
      <c r="Y121" s="239">
        <f t="shared" si="41"/>
        <v>22</v>
      </c>
      <c r="Z121" s="240">
        <v>45291</v>
      </c>
      <c r="AA121" s="54"/>
      <c r="AB121" s="54"/>
      <c r="AC121" s="54">
        <v>0</v>
      </c>
      <c r="AD121" s="239">
        <f t="shared" si="42"/>
        <v>22</v>
      </c>
    </row>
    <row r="122" spans="1:30">
      <c r="A122" s="30"/>
      <c r="C122" s="33" t="s">
        <v>65</v>
      </c>
      <c r="E122" s="207">
        <v>53327</v>
      </c>
      <c r="G122" s="228" t="s">
        <v>140</v>
      </c>
      <c r="H122" s="205" t="s">
        <v>141</v>
      </c>
      <c r="I122" s="229">
        <v>0</v>
      </c>
      <c r="K122" s="157">
        <v>70051.649999999994</v>
      </c>
      <c r="L122" s="145"/>
      <c r="M122" s="147">
        <v>28048.65</v>
      </c>
      <c r="N122" s="147"/>
      <c r="O122" s="52">
        <f t="shared" si="37"/>
        <v>42003</v>
      </c>
      <c r="P122" s="27"/>
      <c r="Q122" s="27">
        <f t="shared" si="38"/>
        <v>1909.2272727272727</v>
      </c>
      <c r="R122" s="14"/>
      <c r="S122" s="28">
        <f t="shared" si="39"/>
        <v>2.7254565348957134</v>
      </c>
      <c r="U122" s="49">
        <f t="shared" si="40"/>
        <v>22</v>
      </c>
      <c r="Y122" s="239">
        <f t="shared" si="41"/>
        <v>22</v>
      </c>
      <c r="Z122" s="240">
        <v>45291</v>
      </c>
      <c r="AA122" s="54"/>
      <c r="AB122" s="54"/>
      <c r="AC122" s="54">
        <v>0</v>
      </c>
      <c r="AD122" s="239">
        <f t="shared" si="42"/>
        <v>22</v>
      </c>
    </row>
    <row r="123" spans="1:30">
      <c r="A123" s="30"/>
      <c r="C123" s="33" t="s">
        <v>66</v>
      </c>
      <c r="E123" s="207">
        <v>55153</v>
      </c>
      <c r="G123" s="228" t="s">
        <v>140</v>
      </c>
      <c r="H123" s="205" t="s">
        <v>141</v>
      </c>
      <c r="I123" s="229">
        <v>0</v>
      </c>
      <c r="K123" s="157">
        <v>2384532.85</v>
      </c>
      <c r="L123" s="145"/>
      <c r="M123" s="147">
        <v>551700.31999999995</v>
      </c>
      <c r="N123" s="147"/>
      <c r="O123" s="52">
        <f t="shared" si="37"/>
        <v>1832833</v>
      </c>
      <c r="P123" s="27"/>
      <c r="Q123" s="27">
        <f t="shared" si="38"/>
        <v>67882.703703703708</v>
      </c>
      <c r="R123" s="14"/>
      <c r="S123" s="28">
        <f t="shared" si="39"/>
        <v>2.846792557448043</v>
      </c>
      <c r="U123" s="49">
        <f t="shared" si="40"/>
        <v>27</v>
      </c>
      <c r="Y123" s="239">
        <f t="shared" si="41"/>
        <v>27</v>
      </c>
      <c r="Z123" s="240">
        <v>45291</v>
      </c>
      <c r="AA123" s="54"/>
      <c r="AB123" s="54"/>
      <c r="AC123" s="54">
        <v>0</v>
      </c>
      <c r="AD123" s="239">
        <f t="shared" si="42"/>
        <v>27</v>
      </c>
    </row>
    <row r="124" spans="1:30">
      <c r="A124" s="30"/>
      <c r="C124" s="33" t="s">
        <v>67</v>
      </c>
      <c r="E124" s="207">
        <v>55153</v>
      </c>
      <c r="G124" s="228" t="s">
        <v>140</v>
      </c>
      <c r="H124" s="205" t="s">
        <v>141</v>
      </c>
      <c r="I124" s="229">
        <v>0</v>
      </c>
      <c r="K124" s="157">
        <v>2116650.59</v>
      </c>
      <c r="L124" s="145"/>
      <c r="M124" s="147">
        <v>667242.99</v>
      </c>
      <c r="N124" s="147"/>
      <c r="O124" s="52">
        <f t="shared" si="37"/>
        <v>1449408</v>
      </c>
      <c r="P124" s="27"/>
      <c r="Q124" s="27">
        <f t="shared" si="38"/>
        <v>53681.777777777781</v>
      </c>
      <c r="R124" s="14"/>
      <c r="S124" s="28">
        <f t="shared" si="39"/>
        <v>2.5361662445088675</v>
      </c>
      <c r="U124" s="49">
        <f t="shared" si="40"/>
        <v>27</v>
      </c>
      <c r="Y124" s="239">
        <f t="shared" si="41"/>
        <v>27</v>
      </c>
      <c r="Z124" s="240">
        <v>45291</v>
      </c>
      <c r="AA124" s="54"/>
      <c r="AB124" s="54"/>
      <c r="AC124" s="54">
        <v>0</v>
      </c>
      <c r="AD124" s="239">
        <f t="shared" si="42"/>
        <v>27</v>
      </c>
    </row>
    <row r="125" spans="1:30">
      <c r="A125" s="30"/>
      <c r="C125" s="33" t="s">
        <v>70</v>
      </c>
      <c r="E125" s="207">
        <v>50586</v>
      </c>
      <c r="G125" s="228" t="s">
        <v>140</v>
      </c>
      <c r="H125" s="205" t="s">
        <v>141</v>
      </c>
      <c r="I125" s="229">
        <v>0</v>
      </c>
      <c r="K125" s="157">
        <v>357670.24</v>
      </c>
      <c r="L125" s="145"/>
      <c r="M125" s="147">
        <v>135434.97</v>
      </c>
      <c r="N125" s="147"/>
      <c r="O125" s="52">
        <f t="shared" si="37"/>
        <v>222235</v>
      </c>
      <c r="P125" s="27"/>
      <c r="Q125" s="27">
        <f t="shared" si="38"/>
        <v>15326.551724137931</v>
      </c>
      <c r="R125" s="14"/>
      <c r="S125" s="28">
        <f t="shared" si="39"/>
        <v>4.2851067855513865</v>
      </c>
      <c r="U125" s="49">
        <f t="shared" si="40"/>
        <v>14.5</v>
      </c>
      <c r="Y125" s="239">
        <f>ROUND((AB125-Z125)/365.25,0)-0.5</f>
        <v>14.5</v>
      </c>
      <c r="Z125" s="240">
        <v>45291</v>
      </c>
      <c r="AA125" s="240">
        <f>E125</f>
        <v>50586</v>
      </c>
      <c r="AB125" s="240">
        <v>50770</v>
      </c>
      <c r="AC125" s="54">
        <v>0</v>
      </c>
      <c r="AD125" s="239">
        <f t="shared" si="42"/>
        <v>14.5</v>
      </c>
    </row>
    <row r="126" spans="1:30">
      <c r="A126" s="30"/>
      <c r="C126" s="33" t="s">
        <v>73</v>
      </c>
      <c r="E126" s="207">
        <v>52962</v>
      </c>
      <c r="G126" s="228" t="s">
        <v>140</v>
      </c>
      <c r="H126" s="205" t="s">
        <v>141</v>
      </c>
      <c r="I126" s="229">
        <v>0</v>
      </c>
      <c r="K126" s="144">
        <v>1162203.57</v>
      </c>
      <c r="L126" s="145"/>
      <c r="M126" s="148">
        <v>331031.62</v>
      </c>
      <c r="N126" s="147"/>
      <c r="O126" s="55">
        <f t="shared" si="37"/>
        <v>831172</v>
      </c>
      <c r="P126" s="27"/>
      <c r="Q126" s="29">
        <f t="shared" si="38"/>
        <v>39579.619047619046</v>
      </c>
      <c r="R126" s="14"/>
      <c r="S126" s="28">
        <f t="shared" si="39"/>
        <v>3.4055668102636307</v>
      </c>
      <c r="U126" s="49">
        <f t="shared" si="40"/>
        <v>21</v>
      </c>
      <c r="Y126" s="239">
        <f t="shared" si="41"/>
        <v>21</v>
      </c>
      <c r="Z126" s="240">
        <v>45291</v>
      </c>
      <c r="AA126" s="54"/>
      <c r="AB126" s="54"/>
      <c r="AC126" s="54">
        <v>0</v>
      </c>
      <c r="AD126" s="239">
        <f t="shared" si="42"/>
        <v>21</v>
      </c>
    </row>
    <row r="127" spans="1:30">
      <c r="A127" s="30"/>
      <c r="G127" s="205"/>
      <c r="H127" s="205"/>
      <c r="I127" s="206"/>
      <c r="K127" s="157"/>
      <c r="L127" s="145"/>
      <c r="M127" s="147"/>
      <c r="N127" s="147"/>
      <c r="O127" s="147"/>
      <c r="P127" s="147"/>
      <c r="Q127" s="147"/>
      <c r="S127" s="26"/>
      <c r="U127" s="49"/>
      <c r="Y127" s="230"/>
    </row>
    <row r="128" spans="1:30">
      <c r="A128" s="30"/>
      <c r="C128" s="13" t="s">
        <v>79</v>
      </c>
      <c r="G128" s="205"/>
      <c r="H128" s="205"/>
      <c r="I128" s="206"/>
      <c r="K128" s="157">
        <f>SUBTOTAL(9,K120:K127)</f>
        <v>19927281.059999999</v>
      </c>
      <c r="L128" s="145"/>
      <c r="M128" s="147">
        <f>SUBTOTAL(9,M120:M127)</f>
        <v>7278905.2400000002</v>
      </c>
      <c r="N128" s="147"/>
      <c r="O128" s="147">
        <f>SUBTOTAL(9,O120:O127)</f>
        <v>12648376</v>
      </c>
      <c r="P128" s="147"/>
      <c r="Q128" s="147">
        <f>SUBTOTAL(9,Q120:Q127)</f>
        <v>485057.10174818797</v>
      </c>
      <c r="S128" s="26">
        <f>+ROUND(Q128/K128*100,2)</f>
        <v>2.4300000000000002</v>
      </c>
      <c r="U128" s="49"/>
      <c r="Y128" s="230"/>
    </row>
    <row r="129" spans="1:30">
      <c r="A129" s="30"/>
      <c r="G129" s="205"/>
      <c r="H129" s="205"/>
      <c r="I129" s="206"/>
      <c r="K129" s="157"/>
      <c r="L129" s="145"/>
      <c r="M129" s="147"/>
      <c r="N129" s="147"/>
      <c r="O129" s="147"/>
      <c r="P129" s="147"/>
      <c r="Q129" s="147"/>
      <c r="S129" s="26"/>
      <c r="U129" s="49"/>
      <c r="Y129" s="230"/>
    </row>
    <row r="130" spans="1:30">
      <c r="A130" s="30">
        <v>343</v>
      </c>
      <c r="C130" s="13" t="s">
        <v>80</v>
      </c>
      <c r="S130" s="26"/>
      <c r="U130" s="49"/>
      <c r="Y130" s="230"/>
    </row>
    <row r="131" spans="1:30">
      <c r="A131" s="30"/>
      <c r="C131" s="33" t="s">
        <v>58</v>
      </c>
      <c r="E131" s="207">
        <v>55153</v>
      </c>
      <c r="G131" s="228" t="s">
        <v>140</v>
      </c>
      <c r="H131" s="205" t="s">
        <v>141</v>
      </c>
      <c r="I131" s="229">
        <v>0</v>
      </c>
      <c r="K131" s="157">
        <v>21780283.59</v>
      </c>
      <c r="L131" s="145"/>
      <c r="M131" s="147">
        <v>8406987.7799999993</v>
      </c>
      <c r="N131" s="147"/>
      <c r="O131" s="52">
        <f t="shared" ref="O131:O148" si="43">ROUND((K131+(K131*-(I131/100)))-M131,0)</f>
        <v>13373296</v>
      </c>
      <c r="P131" s="27"/>
      <c r="Q131" s="27">
        <f t="shared" ref="Q131:Q148" si="44">O131/U131</f>
        <v>495307.25925925927</v>
      </c>
      <c r="R131" s="14"/>
      <c r="S131" s="28">
        <f t="shared" ref="S131:S148" si="45">Q131/K131*100</f>
        <v>2.2741084027329657</v>
      </c>
      <c r="U131" s="49">
        <f t="shared" ref="U131:U148" si="46">AD131</f>
        <v>27</v>
      </c>
      <c r="Y131" s="239">
        <f t="shared" ref="Y131:Y148" si="47">ROUND((E131-Z131)/365.25,0)</f>
        <v>27</v>
      </c>
      <c r="Z131" s="240">
        <v>45291</v>
      </c>
      <c r="AA131" s="54"/>
      <c r="AB131" s="54"/>
      <c r="AC131" s="54">
        <v>0</v>
      </c>
      <c r="AD131" s="239">
        <f t="shared" ref="AD131:AD148" si="48">Y131+AC131</f>
        <v>27</v>
      </c>
    </row>
    <row r="132" spans="1:30">
      <c r="A132" s="30"/>
      <c r="C132" s="33" t="s">
        <v>59</v>
      </c>
      <c r="E132" s="207">
        <v>50040</v>
      </c>
      <c r="G132" s="228" t="s">
        <v>140</v>
      </c>
      <c r="H132" s="205" t="s">
        <v>141</v>
      </c>
      <c r="I132" s="229">
        <v>0</v>
      </c>
      <c r="K132" s="157">
        <v>24250302.120000001</v>
      </c>
      <c r="L132" s="145"/>
      <c r="M132" s="147">
        <v>10963902.15</v>
      </c>
      <c r="N132" s="147"/>
      <c r="O132" s="52">
        <f t="shared" si="43"/>
        <v>13286400</v>
      </c>
      <c r="P132" s="27"/>
      <c r="Q132" s="27">
        <f t="shared" si="44"/>
        <v>1022030.7692307692</v>
      </c>
      <c r="R132" s="14"/>
      <c r="S132" s="28">
        <f t="shared" si="45"/>
        <v>4.2145073664375827</v>
      </c>
      <c r="U132" s="49">
        <f t="shared" si="46"/>
        <v>13</v>
      </c>
      <c r="Y132" s="239">
        <f t="shared" si="47"/>
        <v>13</v>
      </c>
      <c r="Z132" s="240">
        <v>45291</v>
      </c>
      <c r="AA132" s="54"/>
      <c r="AB132" s="54"/>
      <c r="AC132" s="54">
        <v>0</v>
      </c>
      <c r="AD132" s="239">
        <f t="shared" si="48"/>
        <v>13</v>
      </c>
    </row>
    <row r="133" spans="1:30">
      <c r="A133" s="30"/>
      <c r="C133" s="33" t="s">
        <v>60</v>
      </c>
      <c r="E133" s="207">
        <v>50040</v>
      </c>
      <c r="G133" s="228" t="s">
        <v>140</v>
      </c>
      <c r="H133" s="205" t="s">
        <v>141</v>
      </c>
      <c r="I133" s="229">
        <v>0</v>
      </c>
      <c r="K133" s="157">
        <v>16948244.77</v>
      </c>
      <c r="L133" s="145"/>
      <c r="M133" s="147">
        <v>10018781.130000001</v>
      </c>
      <c r="N133" s="147"/>
      <c r="O133" s="52">
        <f t="shared" si="43"/>
        <v>6929464</v>
      </c>
      <c r="P133" s="27"/>
      <c r="Q133" s="27">
        <f t="shared" si="44"/>
        <v>533035.69230769225</v>
      </c>
      <c r="R133" s="14"/>
      <c r="S133" s="28">
        <f t="shared" si="45"/>
        <v>3.1450790305507978</v>
      </c>
      <c r="U133" s="49">
        <f t="shared" si="46"/>
        <v>13</v>
      </c>
      <c r="Y133" s="239">
        <f t="shared" si="47"/>
        <v>13</v>
      </c>
      <c r="Z133" s="240">
        <v>45291</v>
      </c>
      <c r="AA133" s="54"/>
      <c r="AB133" s="54"/>
      <c r="AC133" s="54">
        <v>0</v>
      </c>
      <c r="AD133" s="239">
        <f t="shared" si="48"/>
        <v>13</v>
      </c>
    </row>
    <row r="134" spans="1:30">
      <c r="A134" s="30"/>
      <c r="C134" s="33" t="s">
        <v>61</v>
      </c>
      <c r="E134" s="207">
        <v>50040</v>
      </c>
      <c r="G134" s="228" t="s">
        <v>140</v>
      </c>
      <c r="H134" s="205" t="s">
        <v>141</v>
      </c>
      <c r="I134" s="229">
        <v>0</v>
      </c>
      <c r="K134" s="157">
        <v>16247189.43</v>
      </c>
      <c r="L134" s="145"/>
      <c r="M134" s="147">
        <v>9231709.7200000007</v>
      </c>
      <c r="N134" s="147"/>
      <c r="O134" s="52">
        <f t="shared" si="43"/>
        <v>7015480</v>
      </c>
      <c r="P134" s="27"/>
      <c r="Q134" s="27">
        <f t="shared" si="44"/>
        <v>539652.30769230775</v>
      </c>
      <c r="R134" s="14"/>
      <c r="S134" s="28">
        <f t="shared" si="45"/>
        <v>3.3215117606486091</v>
      </c>
      <c r="U134" s="49">
        <f t="shared" si="46"/>
        <v>13</v>
      </c>
      <c r="Y134" s="239">
        <f t="shared" si="47"/>
        <v>13</v>
      </c>
      <c r="Z134" s="240">
        <v>45291</v>
      </c>
      <c r="AA134" s="54"/>
      <c r="AB134" s="54"/>
      <c r="AC134" s="54">
        <v>0</v>
      </c>
      <c r="AD134" s="239">
        <f t="shared" si="48"/>
        <v>13</v>
      </c>
    </row>
    <row r="135" spans="1:30">
      <c r="A135" s="30"/>
      <c r="C135" s="33" t="s">
        <v>62</v>
      </c>
      <c r="E135" s="207">
        <v>51866</v>
      </c>
      <c r="G135" s="228" t="s">
        <v>140</v>
      </c>
      <c r="H135" s="205" t="s">
        <v>141</v>
      </c>
      <c r="I135" s="229">
        <v>0</v>
      </c>
      <c r="K135" s="157">
        <v>25858484.41</v>
      </c>
      <c r="L135" s="145"/>
      <c r="M135" s="147">
        <v>12301096.98</v>
      </c>
      <c r="N135" s="147"/>
      <c r="O135" s="52">
        <f t="shared" si="43"/>
        <v>13557387</v>
      </c>
      <c r="P135" s="27"/>
      <c r="Q135" s="27">
        <f t="shared" si="44"/>
        <v>753188.16666666663</v>
      </c>
      <c r="R135" s="14"/>
      <c r="S135" s="28">
        <f t="shared" si="45"/>
        <v>2.9127312905291287</v>
      </c>
      <c r="U135" s="49">
        <f t="shared" si="46"/>
        <v>18</v>
      </c>
      <c r="Y135" s="239">
        <f t="shared" si="47"/>
        <v>18</v>
      </c>
      <c r="Z135" s="240">
        <v>45291</v>
      </c>
      <c r="AA135" s="54"/>
      <c r="AB135" s="54"/>
      <c r="AC135" s="54">
        <v>0</v>
      </c>
      <c r="AD135" s="239">
        <f t="shared" si="48"/>
        <v>18</v>
      </c>
    </row>
    <row r="136" spans="1:30">
      <c r="A136" s="30"/>
      <c r="C136" s="33" t="s">
        <v>63</v>
      </c>
      <c r="E136" s="207">
        <v>51866</v>
      </c>
      <c r="G136" s="228" t="s">
        <v>140</v>
      </c>
      <c r="H136" s="205" t="s">
        <v>141</v>
      </c>
      <c r="I136" s="229">
        <v>0</v>
      </c>
      <c r="K136" s="157">
        <v>21295538.73</v>
      </c>
      <c r="L136" s="145"/>
      <c r="M136" s="147">
        <v>10224571</v>
      </c>
      <c r="N136" s="147"/>
      <c r="O136" s="52">
        <f t="shared" si="43"/>
        <v>11070968</v>
      </c>
      <c r="P136" s="27"/>
      <c r="Q136" s="27">
        <f t="shared" si="44"/>
        <v>615053.77777777775</v>
      </c>
      <c r="R136" s="14"/>
      <c r="S136" s="28">
        <f t="shared" si="45"/>
        <v>2.8881813490415404</v>
      </c>
      <c r="U136" s="49">
        <f t="shared" si="46"/>
        <v>18</v>
      </c>
      <c r="Y136" s="239">
        <f t="shared" si="47"/>
        <v>18</v>
      </c>
      <c r="Z136" s="240">
        <v>45291</v>
      </c>
      <c r="AA136" s="54"/>
      <c r="AB136" s="54"/>
      <c r="AC136" s="54">
        <v>0</v>
      </c>
      <c r="AD136" s="239">
        <f t="shared" si="48"/>
        <v>18</v>
      </c>
    </row>
    <row r="137" spans="1:30">
      <c r="A137" s="30"/>
      <c r="C137" s="33" t="s">
        <v>64</v>
      </c>
      <c r="E137" s="207">
        <v>53327</v>
      </c>
      <c r="G137" s="228" t="s">
        <v>140</v>
      </c>
      <c r="H137" s="205" t="s">
        <v>141</v>
      </c>
      <c r="I137" s="229">
        <v>0</v>
      </c>
      <c r="K137" s="157">
        <v>18332746.16</v>
      </c>
      <c r="L137" s="145"/>
      <c r="M137" s="147">
        <v>6529338.7800000003</v>
      </c>
      <c r="N137" s="147"/>
      <c r="O137" s="52">
        <f t="shared" si="43"/>
        <v>11803407</v>
      </c>
      <c r="P137" s="27"/>
      <c r="Q137" s="27">
        <f t="shared" si="44"/>
        <v>536518.5</v>
      </c>
      <c r="R137" s="14"/>
      <c r="S137" s="28">
        <f t="shared" si="45"/>
        <v>2.9265582761988123</v>
      </c>
      <c r="U137" s="49">
        <f t="shared" si="46"/>
        <v>22</v>
      </c>
      <c r="Y137" s="239">
        <f t="shared" si="47"/>
        <v>22</v>
      </c>
      <c r="Z137" s="240">
        <v>45291</v>
      </c>
      <c r="AA137" s="54"/>
      <c r="AB137" s="54"/>
      <c r="AC137" s="54">
        <v>0</v>
      </c>
      <c r="AD137" s="239">
        <f t="shared" si="48"/>
        <v>22</v>
      </c>
    </row>
    <row r="138" spans="1:30">
      <c r="A138" s="30"/>
      <c r="C138" s="33" t="s">
        <v>65</v>
      </c>
      <c r="E138" s="207">
        <v>53327</v>
      </c>
      <c r="G138" s="228" t="s">
        <v>140</v>
      </c>
      <c r="H138" s="205" t="s">
        <v>141</v>
      </c>
      <c r="I138" s="229">
        <v>0</v>
      </c>
      <c r="K138" s="157">
        <v>16754183.57</v>
      </c>
      <c r="L138" s="145"/>
      <c r="M138" s="147">
        <v>6428695.0599999996</v>
      </c>
      <c r="N138" s="147"/>
      <c r="O138" s="52">
        <f t="shared" si="43"/>
        <v>10325489</v>
      </c>
      <c r="P138" s="27"/>
      <c r="Q138" s="27">
        <f t="shared" si="44"/>
        <v>469340.40909090912</v>
      </c>
      <c r="R138" s="14"/>
      <c r="S138" s="28">
        <f t="shared" si="45"/>
        <v>2.8013326171936477</v>
      </c>
      <c r="U138" s="49">
        <f t="shared" si="46"/>
        <v>22</v>
      </c>
      <c r="Y138" s="239">
        <f t="shared" si="47"/>
        <v>22</v>
      </c>
      <c r="Z138" s="240">
        <v>45291</v>
      </c>
      <c r="AA138" s="54"/>
      <c r="AB138" s="54"/>
      <c r="AC138" s="54">
        <v>0</v>
      </c>
      <c r="AD138" s="239">
        <f t="shared" si="48"/>
        <v>22</v>
      </c>
    </row>
    <row r="139" spans="1:30">
      <c r="A139" s="30"/>
      <c r="C139" s="33" t="s">
        <v>66</v>
      </c>
      <c r="E139" s="207">
        <v>55153</v>
      </c>
      <c r="G139" s="228" t="s">
        <v>140</v>
      </c>
      <c r="H139" s="205" t="s">
        <v>141</v>
      </c>
      <c r="I139" s="229">
        <v>0</v>
      </c>
      <c r="K139" s="157">
        <v>41179391.759999998</v>
      </c>
      <c r="L139" s="145"/>
      <c r="M139" s="147">
        <v>7964081</v>
      </c>
      <c r="N139" s="147"/>
      <c r="O139" s="52">
        <f t="shared" si="43"/>
        <v>33215311</v>
      </c>
      <c r="P139" s="27"/>
      <c r="Q139" s="27">
        <f t="shared" si="44"/>
        <v>1230196.7037037036</v>
      </c>
      <c r="R139" s="14"/>
      <c r="S139" s="28">
        <f t="shared" si="45"/>
        <v>2.9874086311752355</v>
      </c>
      <c r="U139" s="49">
        <f t="shared" si="46"/>
        <v>27</v>
      </c>
      <c r="Y139" s="239">
        <f t="shared" si="47"/>
        <v>27</v>
      </c>
      <c r="Z139" s="240">
        <v>45291</v>
      </c>
      <c r="AA139" s="54"/>
      <c r="AB139" s="54"/>
      <c r="AC139" s="54">
        <v>0</v>
      </c>
      <c r="AD139" s="239">
        <f t="shared" si="48"/>
        <v>27</v>
      </c>
    </row>
    <row r="140" spans="1:30">
      <c r="A140" s="30"/>
      <c r="C140" s="33" t="s">
        <v>67</v>
      </c>
      <c r="E140" s="207">
        <v>55153</v>
      </c>
      <c r="G140" s="228" t="s">
        <v>140</v>
      </c>
      <c r="H140" s="205" t="s">
        <v>141</v>
      </c>
      <c r="I140" s="229">
        <v>0</v>
      </c>
      <c r="K140" s="157">
        <v>38525568.210000001</v>
      </c>
      <c r="L140" s="145"/>
      <c r="M140" s="147">
        <v>10498931.800000001</v>
      </c>
      <c r="N140" s="147"/>
      <c r="O140" s="52">
        <f t="shared" si="43"/>
        <v>28026636</v>
      </c>
      <c r="P140" s="27"/>
      <c r="Q140" s="27">
        <f t="shared" si="44"/>
        <v>1038023.5555555555</v>
      </c>
      <c r="R140" s="14"/>
      <c r="S140" s="28">
        <f t="shared" si="45"/>
        <v>2.6943757192557589</v>
      </c>
      <c r="U140" s="49">
        <f t="shared" si="46"/>
        <v>27</v>
      </c>
      <c r="Y140" s="239">
        <f t="shared" si="47"/>
        <v>27</v>
      </c>
      <c r="Z140" s="240">
        <v>45291</v>
      </c>
      <c r="AA140" s="54"/>
      <c r="AB140" s="54"/>
      <c r="AC140" s="54">
        <v>0</v>
      </c>
      <c r="AD140" s="239">
        <f t="shared" si="48"/>
        <v>27</v>
      </c>
    </row>
    <row r="141" spans="1:30">
      <c r="A141" s="30"/>
      <c r="C141" s="33" t="s">
        <v>68</v>
      </c>
      <c r="E141" s="207">
        <v>50586</v>
      </c>
      <c r="G141" s="228" t="s">
        <v>140</v>
      </c>
      <c r="H141" s="205" t="s">
        <v>141</v>
      </c>
      <c r="I141" s="229">
        <v>0</v>
      </c>
      <c r="K141" s="157">
        <v>354200.3</v>
      </c>
      <c r="L141" s="145"/>
      <c r="M141" s="147">
        <v>124578.89</v>
      </c>
      <c r="N141" s="147"/>
      <c r="O141" s="52">
        <f t="shared" si="43"/>
        <v>229621</v>
      </c>
      <c r="P141" s="27"/>
      <c r="Q141" s="27">
        <f t="shared" si="44"/>
        <v>15835.931034482759</v>
      </c>
      <c r="R141" s="14"/>
      <c r="S141" s="28">
        <f t="shared" si="45"/>
        <v>4.4708971264233153</v>
      </c>
      <c r="U141" s="49">
        <f t="shared" si="46"/>
        <v>14.5</v>
      </c>
      <c r="Y141" s="239">
        <f t="shared" ref="Y141:Y144" si="49">ROUND((AB141-Z141)/365.25,0)-0.5</f>
        <v>14.5</v>
      </c>
      <c r="Z141" s="240">
        <v>45291</v>
      </c>
      <c r="AA141" s="240">
        <f t="shared" ref="AA141:AA144" si="50">E141</f>
        <v>50586</v>
      </c>
      <c r="AB141" s="240">
        <v>50770</v>
      </c>
      <c r="AC141" s="54">
        <v>0</v>
      </c>
      <c r="AD141" s="239">
        <f t="shared" si="48"/>
        <v>14.5</v>
      </c>
    </row>
    <row r="142" spans="1:30">
      <c r="A142" s="30"/>
      <c r="C142" s="33" t="s">
        <v>70</v>
      </c>
      <c r="E142" s="207">
        <v>50586</v>
      </c>
      <c r="G142" s="228" t="s">
        <v>140</v>
      </c>
      <c r="H142" s="205" t="s">
        <v>141</v>
      </c>
      <c r="I142" s="229">
        <v>0</v>
      </c>
      <c r="K142" s="157">
        <v>387999.31</v>
      </c>
      <c r="L142" s="145"/>
      <c r="M142" s="147">
        <v>133688.01999999999</v>
      </c>
      <c r="N142" s="147"/>
      <c r="O142" s="52">
        <f t="shared" si="43"/>
        <v>254311</v>
      </c>
      <c r="P142" s="27"/>
      <c r="Q142" s="27">
        <f t="shared" si="44"/>
        <v>17538.689655172413</v>
      </c>
      <c r="R142" s="14"/>
      <c r="S142" s="28">
        <f t="shared" si="45"/>
        <v>4.5202888776200174</v>
      </c>
      <c r="U142" s="49">
        <f t="shared" si="46"/>
        <v>14.5</v>
      </c>
      <c r="Y142" s="239">
        <f t="shared" si="49"/>
        <v>14.5</v>
      </c>
      <c r="Z142" s="240">
        <v>45291</v>
      </c>
      <c r="AA142" s="240">
        <f t="shared" si="50"/>
        <v>50586</v>
      </c>
      <c r="AB142" s="240">
        <v>50770</v>
      </c>
      <c r="AC142" s="54">
        <v>0</v>
      </c>
      <c r="AD142" s="239">
        <f t="shared" si="48"/>
        <v>14.5</v>
      </c>
    </row>
    <row r="143" spans="1:30">
      <c r="A143" s="30"/>
      <c r="C143" s="33" t="s">
        <v>71</v>
      </c>
      <c r="E143" s="207">
        <v>51682</v>
      </c>
      <c r="G143" s="228" t="s">
        <v>140</v>
      </c>
      <c r="H143" s="205" t="s">
        <v>141</v>
      </c>
      <c r="I143" s="229">
        <v>0</v>
      </c>
      <c r="K143" s="157">
        <v>201654.6</v>
      </c>
      <c r="L143" s="145"/>
      <c r="M143" s="147">
        <v>64321.63</v>
      </c>
      <c r="N143" s="147"/>
      <c r="O143" s="52">
        <f t="shared" si="43"/>
        <v>137333</v>
      </c>
      <c r="P143" s="27"/>
      <c r="Q143" s="27">
        <f t="shared" si="44"/>
        <v>7847.6</v>
      </c>
      <c r="R143" s="14"/>
      <c r="S143" s="28">
        <f t="shared" si="45"/>
        <v>3.8916047538712237</v>
      </c>
      <c r="U143" s="49">
        <f t="shared" si="46"/>
        <v>17.5</v>
      </c>
      <c r="Y143" s="239">
        <f t="shared" si="49"/>
        <v>17.5</v>
      </c>
      <c r="Z143" s="240">
        <v>45291</v>
      </c>
      <c r="AA143" s="240">
        <f t="shared" si="50"/>
        <v>51682</v>
      </c>
      <c r="AB143" s="240">
        <v>51866</v>
      </c>
      <c r="AC143" s="54">
        <v>0</v>
      </c>
      <c r="AD143" s="239">
        <f t="shared" si="48"/>
        <v>17.5</v>
      </c>
    </row>
    <row r="144" spans="1:30">
      <c r="A144" s="30"/>
      <c r="C144" s="33" t="s">
        <v>72</v>
      </c>
      <c r="E144" s="207">
        <v>52047</v>
      </c>
      <c r="G144" s="228" t="s">
        <v>140</v>
      </c>
      <c r="H144" s="205" t="s">
        <v>141</v>
      </c>
      <c r="I144" s="229">
        <v>0</v>
      </c>
      <c r="K144" s="157">
        <v>275099.08</v>
      </c>
      <c r="L144" s="145"/>
      <c r="M144" s="147">
        <v>82817.759999999995</v>
      </c>
      <c r="N144" s="147"/>
      <c r="O144" s="52">
        <f t="shared" si="43"/>
        <v>192281</v>
      </c>
      <c r="P144" s="27"/>
      <c r="Q144" s="27">
        <f t="shared" si="44"/>
        <v>10393.567567567568</v>
      </c>
      <c r="R144" s="14"/>
      <c r="S144" s="28">
        <f t="shared" si="45"/>
        <v>3.7781178939484525</v>
      </c>
      <c r="U144" s="49">
        <f t="shared" si="46"/>
        <v>18.5</v>
      </c>
      <c r="Y144" s="239">
        <f t="shared" si="49"/>
        <v>18.5</v>
      </c>
      <c r="Z144" s="240">
        <v>45291</v>
      </c>
      <c r="AA144" s="240">
        <f t="shared" si="50"/>
        <v>52047</v>
      </c>
      <c r="AB144" s="240">
        <v>52231</v>
      </c>
      <c r="AC144" s="54">
        <v>0</v>
      </c>
      <c r="AD144" s="239">
        <f t="shared" si="48"/>
        <v>18.5</v>
      </c>
    </row>
    <row r="145" spans="1:30">
      <c r="A145" s="30"/>
      <c r="C145" s="33" t="s">
        <v>73</v>
      </c>
      <c r="E145" s="207">
        <v>52962</v>
      </c>
      <c r="G145" s="228" t="s">
        <v>140</v>
      </c>
      <c r="H145" s="205" t="s">
        <v>141</v>
      </c>
      <c r="I145" s="229">
        <v>0</v>
      </c>
      <c r="K145" s="157">
        <v>57861908.030000001</v>
      </c>
      <c r="L145" s="145"/>
      <c r="M145" s="147">
        <v>8136032.75</v>
      </c>
      <c r="N145" s="147"/>
      <c r="O145" s="52">
        <f t="shared" si="43"/>
        <v>49725875</v>
      </c>
      <c r="P145" s="27"/>
      <c r="Q145" s="27">
        <f t="shared" si="44"/>
        <v>2367898.8095238097</v>
      </c>
      <c r="R145" s="14"/>
      <c r="S145" s="28">
        <f t="shared" si="45"/>
        <v>4.0923275608127394</v>
      </c>
      <c r="U145" s="49">
        <f t="shared" si="46"/>
        <v>21</v>
      </c>
      <c r="Y145" s="239">
        <f t="shared" si="47"/>
        <v>21</v>
      </c>
      <c r="Z145" s="240">
        <v>45291</v>
      </c>
      <c r="AA145" s="54"/>
      <c r="AB145" s="54"/>
      <c r="AC145" s="54">
        <v>0</v>
      </c>
      <c r="AD145" s="239">
        <f t="shared" si="48"/>
        <v>21</v>
      </c>
    </row>
    <row r="146" spans="1:30">
      <c r="A146" s="30"/>
      <c r="C146" s="33" t="s">
        <v>74</v>
      </c>
      <c r="E146" s="207">
        <v>52962</v>
      </c>
      <c r="G146" s="228" t="s">
        <v>140</v>
      </c>
      <c r="H146" s="205" t="s">
        <v>141</v>
      </c>
      <c r="I146" s="229">
        <v>0</v>
      </c>
      <c r="K146" s="157">
        <v>44185201.950000003</v>
      </c>
      <c r="L146" s="145"/>
      <c r="M146" s="147">
        <v>15999848.33</v>
      </c>
      <c r="N146" s="147"/>
      <c r="O146" s="52">
        <f t="shared" si="43"/>
        <v>28185354</v>
      </c>
      <c r="P146" s="27"/>
      <c r="Q146" s="27">
        <f t="shared" si="44"/>
        <v>1342159.7142857143</v>
      </c>
      <c r="R146" s="14"/>
      <c r="S146" s="28">
        <f t="shared" si="45"/>
        <v>3.0375774129187025</v>
      </c>
      <c r="U146" s="49">
        <f t="shared" si="46"/>
        <v>21</v>
      </c>
      <c r="Y146" s="239">
        <f t="shared" si="47"/>
        <v>21</v>
      </c>
      <c r="Z146" s="240">
        <v>45291</v>
      </c>
      <c r="AA146" s="54"/>
      <c r="AB146" s="54"/>
      <c r="AC146" s="54">
        <v>0</v>
      </c>
      <c r="AD146" s="239">
        <f t="shared" si="48"/>
        <v>21</v>
      </c>
    </row>
    <row r="147" spans="1:30">
      <c r="A147" s="30"/>
      <c r="C147" s="33" t="s">
        <v>75</v>
      </c>
      <c r="E147" s="207">
        <v>52962</v>
      </c>
      <c r="G147" s="228" t="s">
        <v>140</v>
      </c>
      <c r="H147" s="205" t="s">
        <v>141</v>
      </c>
      <c r="I147" s="229">
        <v>0</v>
      </c>
      <c r="K147" s="157">
        <v>45507960.020000003</v>
      </c>
      <c r="L147" s="145"/>
      <c r="M147" s="147">
        <v>19640774.829999998</v>
      </c>
      <c r="N147" s="147"/>
      <c r="O147" s="52">
        <f t="shared" si="43"/>
        <v>25867185</v>
      </c>
      <c r="P147" s="27"/>
      <c r="Q147" s="27">
        <f t="shared" si="44"/>
        <v>1231770.7142857143</v>
      </c>
      <c r="R147" s="14"/>
      <c r="S147" s="28">
        <f t="shared" si="45"/>
        <v>2.7067148554766489</v>
      </c>
      <c r="U147" s="49">
        <f t="shared" si="46"/>
        <v>21</v>
      </c>
      <c r="Y147" s="239">
        <f t="shared" si="47"/>
        <v>21</v>
      </c>
      <c r="Z147" s="240">
        <v>45291</v>
      </c>
      <c r="AA147" s="54"/>
      <c r="AB147" s="54"/>
      <c r="AC147" s="54">
        <v>0</v>
      </c>
      <c r="AD147" s="239">
        <f t="shared" si="48"/>
        <v>21</v>
      </c>
    </row>
    <row r="148" spans="1:30">
      <c r="A148" s="30"/>
      <c r="C148" s="33" t="s">
        <v>76</v>
      </c>
      <c r="E148" s="207">
        <v>52962</v>
      </c>
      <c r="G148" s="228" t="s">
        <v>140</v>
      </c>
      <c r="H148" s="205" t="s">
        <v>141</v>
      </c>
      <c r="I148" s="229">
        <v>0</v>
      </c>
      <c r="K148" s="144">
        <v>39171021.640000001</v>
      </c>
      <c r="L148" s="145"/>
      <c r="M148" s="148">
        <v>19052233.73</v>
      </c>
      <c r="N148" s="147"/>
      <c r="O148" s="55">
        <f t="shared" si="43"/>
        <v>20118788</v>
      </c>
      <c r="P148" s="27"/>
      <c r="Q148" s="29">
        <f t="shared" si="44"/>
        <v>958037.52380952379</v>
      </c>
      <c r="R148" s="14"/>
      <c r="S148" s="28">
        <f t="shared" si="45"/>
        <v>2.4457813038790168</v>
      </c>
      <c r="U148" s="49">
        <f t="shared" si="46"/>
        <v>21</v>
      </c>
      <c r="Y148" s="239">
        <f t="shared" si="47"/>
        <v>21</v>
      </c>
      <c r="Z148" s="240">
        <v>45291</v>
      </c>
      <c r="AA148" s="54"/>
      <c r="AB148" s="54"/>
      <c r="AC148" s="54">
        <v>0</v>
      </c>
      <c r="AD148" s="239">
        <f t="shared" si="48"/>
        <v>21</v>
      </c>
    </row>
    <row r="149" spans="1:30">
      <c r="A149" s="30"/>
      <c r="G149" s="205"/>
      <c r="H149" s="205"/>
      <c r="I149" s="206"/>
      <c r="K149" s="157"/>
      <c r="L149" s="145"/>
      <c r="M149" s="147"/>
      <c r="N149" s="147"/>
      <c r="O149" s="147"/>
      <c r="P149" s="147"/>
      <c r="Q149" s="147"/>
      <c r="S149" s="26"/>
      <c r="U149" s="49"/>
      <c r="Y149" s="230"/>
    </row>
    <row r="150" spans="1:30">
      <c r="A150" s="30"/>
      <c r="C150" s="13" t="s">
        <v>81</v>
      </c>
      <c r="G150" s="205"/>
      <c r="H150" s="205"/>
      <c r="I150" s="206"/>
      <c r="K150" s="157">
        <f>SUBTOTAL(9,K131:K149)</f>
        <v>429116977.68000001</v>
      </c>
      <c r="L150" s="145"/>
      <c r="M150" s="147">
        <f>SUBTOTAL(9,M131:M149)</f>
        <v>155802391.34</v>
      </c>
      <c r="N150" s="147"/>
      <c r="O150" s="147">
        <f>SUBTOTAL(9,O131:O149)</f>
        <v>273314586</v>
      </c>
      <c r="P150" s="147"/>
      <c r="Q150" s="147">
        <f>SUBTOTAL(9,Q131:Q149)</f>
        <v>13183829.691446627</v>
      </c>
      <c r="S150" s="26">
        <f>+ROUND(Q150/K150*100,2)</f>
        <v>3.07</v>
      </c>
      <c r="U150" s="49"/>
      <c r="Y150" s="230"/>
    </row>
    <row r="151" spans="1:30">
      <c r="A151" s="30"/>
      <c r="G151" s="205"/>
      <c r="H151" s="205"/>
      <c r="I151" s="206"/>
      <c r="K151" s="157"/>
      <c r="L151" s="145"/>
      <c r="M151" s="147"/>
      <c r="N151" s="147"/>
      <c r="O151" s="147"/>
      <c r="P151" s="147"/>
      <c r="Q151" s="147"/>
      <c r="S151" s="26"/>
      <c r="U151" s="49"/>
      <c r="Y151" s="230"/>
    </row>
    <row r="152" spans="1:30">
      <c r="A152" s="30">
        <v>344</v>
      </c>
      <c r="C152" s="13" t="s">
        <v>82</v>
      </c>
      <c r="S152" s="26"/>
      <c r="U152" s="49"/>
      <c r="Y152" s="230"/>
    </row>
    <row r="153" spans="1:30">
      <c r="A153" s="30"/>
      <c r="C153" s="33" t="s">
        <v>58</v>
      </c>
      <c r="E153" s="207">
        <v>55153</v>
      </c>
      <c r="G153" s="228" t="s">
        <v>140</v>
      </c>
      <c r="H153" s="205" t="s">
        <v>141</v>
      </c>
      <c r="I153" s="229">
        <v>0</v>
      </c>
      <c r="K153" s="157">
        <v>385287.95</v>
      </c>
      <c r="L153" s="145"/>
      <c r="M153" s="147">
        <v>112500.83</v>
      </c>
      <c r="N153" s="147"/>
      <c r="O153" s="52">
        <f t="shared" ref="O153:O172" si="51">ROUND((K153+(K153*-(I153/100)))-M153,0)</f>
        <v>272787</v>
      </c>
      <c r="P153" s="27"/>
      <c r="Q153" s="27">
        <f t="shared" ref="Q153:Q172" si="52">O153/U153</f>
        <v>10103.222222222223</v>
      </c>
      <c r="R153" s="14"/>
      <c r="S153" s="28">
        <f t="shared" ref="S153:S172" si="53">Q153/K153*100</f>
        <v>2.6222523238067068</v>
      </c>
      <c r="U153" s="49">
        <f t="shared" ref="U153:U172" si="54">AD153</f>
        <v>27</v>
      </c>
      <c r="Y153" s="239">
        <f t="shared" ref="Y153:Y171" si="55">ROUND((E153-Z153)/365.25,0)</f>
        <v>27</v>
      </c>
      <c r="Z153" s="240">
        <v>45291</v>
      </c>
      <c r="AA153" s="54"/>
      <c r="AB153" s="54"/>
      <c r="AC153" s="54">
        <v>0</v>
      </c>
      <c r="AD153" s="239">
        <f t="shared" ref="AD153:AD172" si="56">Y153+AC153</f>
        <v>27</v>
      </c>
    </row>
    <row r="154" spans="1:30">
      <c r="A154" s="30"/>
      <c r="C154" s="33" t="s">
        <v>59</v>
      </c>
      <c r="E154" s="207">
        <v>50040</v>
      </c>
      <c r="G154" s="228" t="s">
        <v>140</v>
      </c>
      <c r="H154" s="205" t="s">
        <v>141</v>
      </c>
      <c r="I154" s="229">
        <v>0</v>
      </c>
      <c r="K154" s="157">
        <v>4960295.58</v>
      </c>
      <c r="L154" s="145"/>
      <c r="M154" s="147">
        <v>2938099.42</v>
      </c>
      <c r="N154" s="147"/>
      <c r="O154" s="52">
        <f t="shared" si="51"/>
        <v>2022196</v>
      </c>
      <c r="P154" s="27"/>
      <c r="Q154" s="27">
        <f t="shared" si="52"/>
        <v>155553.53846153847</v>
      </c>
      <c r="R154" s="14"/>
      <c r="S154" s="28">
        <f t="shared" si="53"/>
        <v>3.135973168388051</v>
      </c>
      <c r="U154" s="49">
        <f t="shared" si="54"/>
        <v>13</v>
      </c>
      <c r="Y154" s="239">
        <f t="shared" si="55"/>
        <v>13</v>
      </c>
      <c r="Z154" s="240">
        <v>45291</v>
      </c>
      <c r="AA154" s="54"/>
      <c r="AB154" s="54"/>
      <c r="AC154" s="54">
        <v>0</v>
      </c>
      <c r="AD154" s="239">
        <f t="shared" si="56"/>
        <v>13</v>
      </c>
    </row>
    <row r="155" spans="1:30">
      <c r="A155" s="30"/>
      <c r="C155" s="33" t="s">
        <v>60</v>
      </c>
      <c r="E155" s="207">
        <v>50040</v>
      </c>
      <c r="G155" s="228" t="s">
        <v>140</v>
      </c>
      <c r="H155" s="205" t="s">
        <v>141</v>
      </c>
      <c r="I155" s="229">
        <v>0</v>
      </c>
      <c r="K155" s="157">
        <v>5083402.2400000002</v>
      </c>
      <c r="L155" s="145"/>
      <c r="M155" s="147">
        <v>3000111.74</v>
      </c>
      <c r="N155" s="147"/>
      <c r="O155" s="52">
        <f t="shared" si="51"/>
        <v>2083291</v>
      </c>
      <c r="P155" s="27"/>
      <c r="Q155" s="27">
        <f t="shared" si="52"/>
        <v>160253.15384615384</v>
      </c>
      <c r="R155" s="14"/>
      <c r="S155" s="28">
        <f t="shared" si="53"/>
        <v>3.1524783261328904</v>
      </c>
      <c r="U155" s="49">
        <f t="shared" si="54"/>
        <v>13</v>
      </c>
      <c r="Y155" s="239">
        <f t="shared" si="55"/>
        <v>13</v>
      </c>
      <c r="Z155" s="240">
        <v>45291</v>
      </c>
      <c r="AA155" s="54"/>
      <c r="AB155" s="54"/>
      <c r="AC155" s="54">
        <v>0</v>
      </c>
      <c r="AD155" s="239">
        <f t="shared" si="56"/>
        <v>13</v>
      </c>
    </row>
    <row r="156" spans="1:30">
      <c r="A156" s="30"/>
      <c r="C156" s="33" t="s">
        <v>61</v>
      </c>
      <c r="E156" s="207">
        <v>50040</v>
      </c>
      <c r="G156" s="228" t="s">
        <v>140</v>
      </c>
      <c r="H156" s="205" t="s">
        <v>141</v>
      </c>
      <c r="I156" s="229">
        <v>0</v>
      </c>
      <c r="K156" s="157">
        <v>2283154.23</v>
      </c>
      <c r="L156" s="145"/>
      <c r="M156" s="147">
        <v>1074252.4099999999</v>
      </c>
      <c r="N156" s="147"/>
      <c r="O156" s="52">
        <f t="shared" si="51"/>
        <v>1208902</v>
      </c>
      <c r="P156" s="27"/>
      <c r="Q156" s="27">
        <f t="shared" si="52"/>
        <v>92992.461538461532</v>
      </c>
      <c r="R156" s="14"/>
      <c r="S156" s="28">
        <f t="shared" si="53"/>
        <v>4.0729820314618665</v>
      </c>
      <c r="U156" s="49">
        <f t="shared" si="54"/>
        <v>13</v>
      </c>
      <c r="Y156" s="239">
        <f t="shared" si="55"/>
        <v>13</v>
      </c>
      <c r="Z156" s="240">
        <v>45291</v>
      </c>
      <c r="AA156" s="54"/>
      <c r="AB156" s="54"/>
      <c r="AC156" s="54">
        <v>0</v>
      </c>
      <c r="AD156" s="239">
        <f t="shared" si="56"/>
        <v>13</v>
      </c>
    </row>
    <row r="157" spans="1:30">
      <c r="A157" s="30"/>
      <c r="C157" s="33" t="s">
        <v>62</v>
      </c>
      <c r="E157" s="207">
        <v>51866</v>
      </c>
      <c r="G157" s="228" t="s">
        <v>140</v>
      </c>
      <c r="H157" s="205" t="s">
        <v>141</v>
      </c>
      <c r="I157" s="229">
        <v>0</v>
      </c>
      <c r="K157" s="157">
        <v>7839449.8600000003</v>
      </c>
      <c r="L157" s="145"/>
      <c r="M157" s="147">
        <v>3867941.4</v>
      </c>
      <c r="N157" s="147"/>
      <c r="O157" s="52">
        <f t="shared" si="51"/>
        <v>3971508</v>
      </c>
      <c r="P157" s="27"/>
      <c r="Q157" s="27">
        <f t="shared" si="52"/>
        <v>220639.33333333334</v>
      </c>
      <c r="R157" s="14"/>
      <c r="S157" s="28">
        <f t="shared" si="53"/>
        <v>2.8144747051591366</v>
      </c>
      <c r="U157" s="49">
        <f t="shared" si="54"/>
        <v>18</v>
      </c>
      <c r="Y157" s="239">
        <f t="shared" si="55"/>
        <v>18</v>
      </c>
      <c r="Z157" s="240">
        <v>45291</v>
      </c>
      <c r="AA157" s="54"/>
      <c r="AB157" s="54"/>
      <c r="AC157" s="54">
        <v>0</v>
      </c>
      <c r="AD157" s="239">
        <f t="shared" si="56"/>
        <v>18</v>
      </c>
    </row>
    <row r="158" spans="1:30">
      <c r="A158" s="30"/>
      <c r="C158" s="33" t="s">
        <v>63</v>
      </c>
      <c r="E158" s="207">
        <v>51866</v>
      </c>
      <c r="G158" s="228" t="s">
        <v>140</v>
      </c>
      <c r="H158" s="205" t="s">
        <v>141</v>
      </c>
      <c r="I158" s="229">
        <v>0</v>
      </c>
      <c r="K158" s="157">
        <v>7775759.6900000004</v>
      </c>
      <c r="L158" s="145"/>
      <c r="M158" s="147">
        <v>3839731.27</v>
      </c>
      <c r="N158" s="147"/>
      <c r="O158" s="52">
        <f t="shared" si="51"/>
        <v>3936028</v>
      </c>
      <c r="P158" s="27"/>
      <c r="Q158" s="27">
        <f t="shared" si="52"/>
        <v>218668.22222222222</v>
      </c>
      <c r="R158" s="14"/>
      <c r="S158" s="28">
        <f t="shared" si="53"/>
        <v>2.8121782428981188</v>
      </c>
      <c r="U158" s="49">
        <f t="shared" si="54"/>
        <v>18</v>
      </c>
      <c r="Y158" s="239">
        <f t="shared" si="55"/>
        <v>18</v>
      </c>
      <c r="Z158" s="240">
        <v>45291</v>
      </c>
      <c r="AA158" s="54"/>
      <c r="AB158" s="54"/>
      <c r="AC158" s="54">
        <v>0</v>
      </c>
      <c r="AD158" s="239">
        <f t="shared" si="56"/>
        <v>18</v>
      </c>
    </row>
    <row r="159" spans="1:30">
      <c r="A159" s="30"/>
      <c r="C159" s="33" t="s">
        <v>64</v>
      </c>
      <c r="E159" s="207">
        <v>53327</v>
      </c>
      <c r="G159" s="228" t="s">
        <v>140</v>
      </c>
      <c r="H159" s="205" t="s">
        <v>141</v>
      </c>
      <c r="I159" s="229">
        <v>0</v>
      </c>
      <c r="K159" s="157">
        <v>4831725.68</v>
      </c>
      <c r="L159" s="145"/>
      <c r="M159" s="147">
        <v>1988705.91</v>
      </c>
      <c r="N159" s="147"/>
      <c r="O159" s="52">
        <f t="shared" si="51"/>
        <v>2843020</v>
      </c>
      <c r="P159" s="27"/>
      <c r="Q159" s="27">
        <f t="shared" si="52"/>
        <v>129228.18181818182</v>
      </c>
      <c r="R159" s="14"/>
      <c r="S159" s="28">
        <f t="shared" si="53"/>
        <v>2.6745761323557145</v>
      </c>
      <c r="U159" s="49">
        <f t="shared" si="54"/>
        <v>22</v>
      </c>
      <c r="Y159" s="239">
        <f t="shared" si="55"/>
        <v>22</v>
      </c>
      <c r="Z159" s="240">
        <v>45291</v>
      </c>
      <c r="AA159" s="54"/>
      <c r="AB159" s="54"/>
      <c r="AC159" s="54">
        <v>0</v>
      </c>
      <c r="AD159" s="239">
        <f t="shared" si="56"/>
        <v>22</v>
      </c>
    </row>
    <row r="160" spans="1:30">
      <c r="A160" s="30"/>
      <c r="C160" s="33" t="s">
        <v>65</v>
      </c>
      <c r="E160" s="207">
        <v>53327</v>
      </c>
      <c r="G160" s="228" t="s">
        <v>140</v>
      </c>
      <c r="H160" s="205" t="s">
        <v>141</v>
      </c>
      <c r="I160" s="229">
        <v>0</v>
      </c>
      <c r="K160" s="157">
        <v>4838938.32</v>
      </c>
      <c r="L160" s="145"/>
      <c r="M160" s="147">
        <v>1996016.06</v>
      </c>
      <c r="N160" s="147"/>
      <c r="O160" s="52">
        <f t="shared" si="51"/>
        <v>2842922</v>
      </c>
      <c r="P160" s="27"/>
      <c r="Q160" s="27">
        <f t="shared" si="52"/>
        <v>129223.72727272728</v>
      </c>
      <c r="R160" s="14"/>
      <c r="S160" s="28">
        <f t="shared" si="53"/>
        <v>2.670497508485028</v>
      </c>
      <c r="U160" s="49">
        <f t="shared" si="54"/>
        <v>22</v>
      </c>
      <c r="Y160" s="239">
        <f t="shared" si="55"/>
        <v>22</v>
      </c>
      <c r="Z160" s="240">
        <v>45291</v>
      </c>
      <c r="AA160" s="54"/>
      <c r="AB160" s="54"/>
      <c r="AC160" s="54">
        <v>0</v>
      </c>
      <c r="AD160" s="239">
        <f t="shared" si="56"/>
        <v>22</v>
      </c>
    </row>
    <row r="161" spans="1:30">
      <c r="A161" s="30"/>
      <c r="C161" s="33" t="s">
        <v>66</v>
      </c>
      <c r="E161" s="207">
        <v>55153</v>
      </c>
      <c r="G161" s="228" t="s">
        <v>140</v>
      </c>
      <c r="H161" s="205" t="s">
        <v>141</v>
      </c>
      <c r="I161" s="229">
        <v>0</v>
      </c>
      <c r="K161" s="157">
        <v>4442193.82</v>
      </c>
      <c r="L161" s="145"/>
      <c r="M161" s="147">
        <v>1063394.57</v>
      </c>
      <c r="N161" s="147"/>
      <c r="O161" s="52">
        <f t="shared" si="51"/>
        <v>3378799</v>
      </c>
      <c r="P161" s="27"/>
      <c r="Q161" s="27">
        <f t="shared" si="52"/>
        <v>125140.70370370371</v>
      </c>
      <c r="R161" s="14"/>
      <c r="S161" s="28">
        <f t="shared" si="53"/>
        <v>2.8170923821532781</v>
      </c>
      <c r="U161" s="49">
        <f t="shared" si="54"/>
        <v>27</v>
      </c>
      <c r="Y161" s="239">
        <f t="shared" si="55"/>
        <v>27</v>
      </c>
      <c r="Z161" s="240">
        <v>45291</v>
      </c>
      <c r="AA161" s="54"/>
      <c r="AB161" s="54"/>
      <c r="AC161" s="54">
        <v>0</v>
      </c>
      <c r="AD161" s="239">
        <f t="shared" si="56"/>
        <v>27</v>
      </c>
    </row>
    <row r="162" spans="1:30">
      <c r="A162" s="30"/>
      <c r="C162" s="33" t="s">
        <v>67</v>
      </c>
      <c r="E162" s="207">
        <v>55153</v>
      </c>
      <c r="G162" s="228" t="s">
        <v>140</v>
      </c>
      <c r="H162" s="205" t="s">
        <v>141</v>
      </c>
      <c r="I162" s="229">
        <v>0</v>
      </c>
      <c r="K162" s="157">
        <v>4442193.82</v>
      </c>
      <c r="L162" s="145"/>
      <c r="M162" s="147">
        <v>1448871.44</v>
      </c>
      <c r="N162" s="147"/>
      <c r="O162" s="52">
        <f t="shared" si="51"/>
        <v>2993322</v>
      </c>
      <c r="P162" s="27"/>
      <c r="Q162" s="27">
        <f t="shared" si="52"/>
        <v>110863.77777777778</v>
      </c>
      <c r="R162" s="14"/>
      <c r="S162" s="28">
        <f t="shared" si="53"/>
        <v>2.4956987981622505</v>
      </c>
      <c r="U162" s="49">
        <f t="shared" si="54"/>
        <v>27</v>
      </c>
      <c r="Y162" s="239">
        <f t="shared" si="55"/>
        <v>27</v>
      </c>
      <c r="Z162" s="240">
        <v>45291</v>
      </c>
      <c r="AA162" s="54"/>
      <c r="AB162" s="54"/>
      <c r="AC162" s="54">
        <v>0</v>
      </c>
      <c r="AD162" s="239">
        <f t="shared" si="56"/>
        <v>27</v>
      </c>
    </row>
    <row r="163" spans="1:30">
      <c r="A163" s="30"/>
      <c r="C163" s="33" t="s">
        <v>68</v>
      </c>
      <c r="E163" s="207">
        <v>50586</v>
      </c>
      <c r="G163" s="228" t="s">
        <v>140</v>
      </c>
      <c r="H163" s="205" t="s">
        <v>141</v>
      </c>
      <c r="I163" s="229">
        <v>0</v>
      </c>
      <c r="K163" s="157">
        <v>1098205.33</v>
      </c>
      <c r="L163" s="145"/>
      <c r="M163" s="147">
        <v>430052.22</v>
      </c>
      <c r="N163" s="147"/>
      <c r="O163" s="52">
        <f t="shared" si="51"/>
        <v>668153</v>
      </c>
      <c r="P163" s="27"/>
      <c r="Q163" s="27">
        <f t="shared" si="52"/>
        <v>46079.517241379312</v>
      </c>
      <c r="R163" s="14"/>
      <c r="S163" s="28">
        <f t="shared" si="53"/>
        <v>4.1958926971679613</v>
      </c>
      <c r="U163" s="49">
        <f t="shared" si="54"/>
        <v>14.5</v>
      </c>
      <c r="Y163" s="239">
        <f t="shared" ref="Y163:Y167" si="57">ROUND((AB163-Z163)/365.25,0)-0.5</f>
        <v>14.5</v>
      </c>
      <c r="Z163" s="240">
        <v>45291</v>
      </c>
      <c r="AA163" s="240">
        <f t="shared" ref="AA163:AA167" si="58">E163</f>
        <v>50586</v>
      </c>
      <c r="AB163" s="240">
        <v>50770</v>
      </c>
      <c r="AC163" s="54">
        <v>0</v>
      </c>
      <c r="AD163" s="239">
        <f t="shared" si="56"/>
        <v>14.5</v>
      </c>
    </row>
    <row r="164" spans="1:30">
      <c r="A164" s="30"/>
      <c r="C164" s="33" t="s">
        <v>70</v>
      </c>
      <c r="E164" s="207">
        <v>50586</v>
      </c>
      <c r="G164" s="228" t="s">
        <v>140</v>
      </c>
      <c r="H164" s="205" t="s">
        <v>141</v>
      </c>
      <c r="I164" s="229">
        <v>0</v>
      </c>
      <c r="K164" s="157">
        <v>4525028.84</v>
      </c>
      <c r="L164" s="145"/>
      <c r="M164" s="147">
        <v>1361216.87</v>
      </c>
      <c r="N164" s="147"/>
      <c r="O164" s="52">
        <f t="shared" si="51"/>
        <v>3163812</v>
      </c>
      <c r="P164" s="27"/>
      <c r="Q164" s="27">
        <f t="shared" si="52"/>
        <v>218193.93103448275</v>
      </c>
      <c r="R164" s="14"/>
      <c r="S164" s="28">
        <f t="shared" si="53"/>
        <v>4.8219345942220064</v>
      </c>
      <c r="U164" s="49">
        <f t="shared" si="54"/>
        <v>14.5</v>
      </c>
      <c r="Y164" s="239">
        <f t="shared" si="57"/>
        <v>14.5</v>
      </c>
      <c r="Z164" s="240">
        <v>45291</v>
      </c>
      <c r="AA164" s="240">
        <f t="shared" si="58"/>
        <v>50586</v>
      </c>
      <c r="AB164" s="240">
        <v>50770</v>
      </c>
      <c r="AC164" s="54">
        <v>0</v>
      </c>
      <c r="AD164" s="239">
        <f t="shared" si="56"/>
        <v>14.5</v>
      </c>
    </row>
    <row r="165" spans="1:30">
      <c r="A165" s="30"/>
      <c r="C165" s="33" t="s">
        <v>71</v>
      </c>
      <c r="E165" s="207">
        <v>51682</v>
      </c>
      <c r="G165" s="228" t="s">
        <v>140</v>
      </c>
      <c r="H165" s="205" t="s">
        <v>141</v>
      </c>
      <c r="I165" s="229">
        <v>0</v>
      </c>
      <c r="K165" s="157">
        <v>3171144.21</v>
      </c>
      <c r="L165" s="145"/>
      <c r="M165" s="147">
        <v>1154319.1299999999</v>
      </c>
      <c r="N165" s="147"/>
      <c r="O165" s="52">
        <f t="shared" si="51"/>
        <v>2016825</v>
      </c>
      <c r="P165" s="27"/>
      <c r="Q165" s="27">
        <f t="shared" si="52"/>
        <v>115247.14285714286</v>
      </c>
      <c r="R165" s="14"/>
      <c r="S165" s="28">
        <f t="shared" si="53"/>
        <v>3.6342447780746889</v>
      </c>
      <c r="U165" s="49">
        <f t="shared" si="54"/>
        <v>17.5</v>
      </c>
      <c r="Y165" s="239">
        <f t="shared" si="57"/>
        <v>17.5</v>
      </c>
      <c r="Z165" s="240">
        <v>45291</v>
      </c>
      <c r="AA165" s="240">
        <f t="shared" si="58"/>
        <v>51682</v>
      </c>
      <c r="AB165" s="240">
        <v>51866</v>
      </c>
      <c r="AC165" s="54">
        <v>0</v>
      </c>
      <c r="AD165" s="239">
        <f t="shared" si="56"/>
        <v>17.5</v>
      </c>
    </row>
    <row r="166" spans="1:30">
      <c r="A166" s="30"/>
      <c r="C166" s="33" t="s">
        <v>72</v>
      </c>
      <c r="E166" s="207">
        <v>52047</v>
      </c>
      <c r="G166" s="228" t="s">
        <v>140</v>
      </c>
      <c r="H166" s="205" t="s">
        <v>141</v>
      </c>
      <c r="I166" s="229">
        <v>0</v>
      </c>
      <c r="K166" s="157">
        <v>1684823.61</v>
      </c>
      <c r="L166" s="145"/>
      <c r="M166" s="147">
        <v>534320.88</v>
      </c>
      <c r="N166" s="147"/>
      <c r="O166" s="52">
        <f t="shared" si="51"/>
        <v>1150503</v>
      </c>
      <c r="P166" s="27"/>
      <c r="Q166" s="27">
        <f t="shared" si="52"/>
        <v>62189.351351351354</v>
      </c>
      <c r="R166" s="14"/>
      <c r="S166" s="28">
        <f t="shared" si="53"/>
        <v>3.691149090162106</v>
      </c>
      <c r="U166" s="49">
        <f t="shared" si="54"/>
        <v>18.5</v>
      </c>
      <c r="Y166" s="239">
        <f t="shared" si="57"/>
        <v>18.5</v>
      </c>
      <c r="Z166" s="240">
        <v>45291</v>
      </c>
      <c r="AA166" s="240">
        <f t="shared" si="58"/>
        <v>52047</v>
      </c>
      <c r="AB166" s="240">
        <v>52231</v>
      </c>
      <c r="AC166" s="54">
        <v>0</v>
      </c>
      <c r="AD166" s="239">
        <f t="shared" si="56"/>
        <v>18.5</v>
      </c>
    </row>
    <row r="167" spans="1:30">
      <c r="A167" s="30"/>
      <c r="C167" s="33" t="s">
        <v>83</v>
      </c>
      <c r="E167" s="207">
        <v>53508</v>
      </c>
      <c r="G167" s="228" t="s">
        <v>140</v>
      </c>
      <c r="H167" s="205" t="s">
        <v>141</v>
      </c>
      <c r="I167" s="229">
        <v>0</v>
      </c>
      <c r="K167" s="157">
        <v>2993753.87</v>
      </c>
      <c r="L167" s="145"/>
      <c r="M167" s="147">
        <v>577655.16</v>
      </c>
      <c r="N167" s="147"/>
      <c r="O167" s="52">
        <f t="shared" si="51"/>
        <v>2416099</v>
      </c>
      <c r="P167" s="27"/>
      <c r="Q167" s="27">
        <f t="shared" si="52"/>
        <v>107382.17777777778</v>
      </c>
      <c r="R167" s="14"/>
      <c r="S167" s="28">
        <f t="shared" si="53"/>
        <v>3.586873952927125</v>
      </c>
      <c r="U167" s="49">
        <f t="shared" si="54"/>
        <v>22.5</v>
      </c>
      <c r="Y167" s="239">
        <f t="shared" si="57"/>
        <v>22.5</v>
      </c>
      <c r="Z167" s="240">
        <v>45291</v>
      </c>
      <c r="AA167" s="240">
        <f t="shared" si="58"/>
        <v>53508</v>
      </c>
      <c r="AB167" s="240">
        <v>53692</v>
      </c>
      <c r="AC167" s="54">
        <v>0</v>
      </c>
      <c r="AD167" s="239">
        <f t="shared" si="56"/>
        <v>22.5</v>
      </c>
    </row>
    <row r="168" spans="1:30">
      <c r="A168" s="30"/>
      <c r="C168" s="33" t="s">
        <v>73</v>
      </c>
      <c r="E168" s="207">
        <v>52962</v>
      </c>
      <c r="G168" s="228" t="s">
        <v>140</v>
      </c>
      <c r="H168" s="205" t="s">
        <v>141</v>
      </c>
      <c r="I168" s="229">
        <v>0</v>
      </c>
      <c r="K168" s="157">
        <v>17086.14</v>
      </c>
      <c r="L168" s="145"/>
      <c r="M168" s="147">
        <v>4627.6899999999996</v>
      </c>
      <c r="N168" s="147"/>
      <c r="O168" s="52">
        <f t="shared" si="51"/>
        <v>12458</v>
      </c>
      <c r="P168" s="27"/>
      <c r="Q168" s="27">
        <f t="shared" si="52"/>
        <v>593.23809523809518</v>
      </c>
      <c r="R168" s="14"/>
      <c r="S168" s="28">
        <f t="shared" si="53"/>
        <v>3.4720428091897597</v>
      </c>
      <c r="U168" s="49">
        <f t="shared" si="54"/>
        <v>21</v>
      </c>
      <c r="Y168" s="239">
        <f t="shared" si="55"/>
        <v>21</v>
      </c>
      <c r="Z168" s="240">
        <v>45291</v>
      </c>
      <c r="AA168" s="54"/>
      <c r="AB168" s="54"/>
      <c r="AC168" s="54">
        <v>0</v>
      </c>
      <c r="AD168" s="239">
        <f t="shared" si="56"/>
        <v>21</v>
      </c>
    </row>
    <row r="169" spans="1:30">
      <c r="A169" s="30"/>
      <c r="C169" s="33" t="s">
        <v>74</v>
      </c>
      <c r="E169" s="207">
        <v>52962</v>
      </c>
      <c r="G169" s="228" t="s">
        <v>140</v>
      </c>
      <c r="H169" s="205" t="s">
        <v>141</v>
      </c>
      <c r="I169" s="229">
        <v>0</v>
      </c>
      <c r="K169" s="157">
        <v>12907984.9</v>
      </c>
      <c r="L169" s="145"/>
      <c r="M169" s="147">
        <v>3224198.61</v>
      </c>
      <c r="N169" s="147"/>
      <c r="O169" s="52">
        <f t="shared" si="51"/>
        <v>9683786</v>
      </c>
      <c r="P169" s="27"/>
      <c r="Q169" s="27">
        <f t="shared" si="52"/>
        <v>461132.66666666669</v>
      </c>
      <c r="R169" s="14"/>
      <c r="S169" s="28">
        <f t="shared" si="53"/>
        <v>3.5724605369399418</v>
      </c>
      <c r="U169" s="49">
        <f t="shared" si="54"/>
        <v>21</v>
      </c>
      <c r="Y169" s="239">
        <f t="shared" si="55"/>
        <v>21</v>
      </c>
      <c r="Z169" s="240">
        <v>45291</v>
      </c>
      <c r="AA169" s="54"/>
      <c r="AB169" s="54"/>
      <c r="AC169" s="54">
        <v>0</v>
      </c>
      <c r="AD169" s="239">
        <f t="shared" si="56"/>
        <v>21</v>
      </c>
    </row>
    <row r="170" spans="1:30">
      <c r="A170" s="30"/>
      <c r="C170" s="33" t="s">
        <v>75</v>
      </c>
      <c r="E170" s="207">
        <v>52962</v>
      </c>
      <c r="G170" s="228" t="s">
        <v>140</v>
      </c>
      <c r="H170" s="205" t="s">
        <v>141</v>
      </c>
      <c r="I170" s="229">
        <v>0</v>
      </c>
      <c r="K170" s="157">
        <v>7457690.5700000003</v>
      </c>
      <c r="L170" s="145"/>
      <c r="M170" s="147">
        <v>3616888.57</v>
      </c>
      <c r="N170" s="147"/>
      <c r="O170" s="52">
        <f t="shared" si="51"/>
        <v>3840802</v>
      </c>
      <c r="P170" s="27"/>
      <c r="Q170" s="27">
        <f t="shared" si="52"/>
        <v>182895.33333333334</v>
      </c>
      <c r="R170" s="14"/>
      <c r="S170" s="28">
        <f t="shared" si="53"/>
        <v>2.4524392855486004</v>
      </c>
      <c r="U170" s="49">
        <f t="shared" si="54"/>
        <v>21</v>
      </c>
      <c r="Y170" s="239">
        <f t="shared" si="55"/>
        <v>21</v>
      </c>
      <c r="Z170" s="240">
        <v>45291</v>
      </c>
      <c r="AA170" s="54"/>
      <c r="AB170" s="54"/>
      <c r="AC170" s="54">
        <v>0</v>
      </c>
      <c r="AD170" s="239">
        <f t="shared" si="56"/>
        <v>21</v>
      </c>
    </row>
    <row r="171" spans="1:30">
      <c r="A171" s="30"/>
      <c r="C171" s="33" t="s">
        <v>76</v>
      </c>
      <c r="E171" s="207">
        <v>52962</v>
      </c>
      <c r="G171" s="228" t="s">
        <v>140</v>
      </c>
      <c r="H171" s="205" t="s">
        <v>141</v>
      </c>
      <c r="I171" s="229">
        <v>0</v>
      </c>
      <c r="K171" s="157">
        <v>7457690.5700000003</v>
      </c>
      <c r="L171" s="145"/>
      <c r="M171" s="147">
        <v>4161782.32</v>
      </c>
      <c r="N171" s="147"/>
      <c r="O171" s="52">
        <f t="shared" si="51"/>
        <v>3295908</v>
      </c>
      <c r="P171" s="27"/>
      <c r="Q171" s="27">
        <f t="shared" si="52"/>
        <v>156948</v>
      </c>
      <c r="R171" s="14"/>
      <c r="S171" s="28">
        <f t="shared" si="53"/>
        <v>2.1045120942849738</v>
      </c>
      <c r="U171" s="49">
        <f t="shared" si="54"/>
        <v>21</v>
      </c>
      <c r="Y171" s="239">
        <f t="shared" si="55"/>
        <v>21</v>
      </c>
      <c r="Z171" s="240">
        <v>45291</v>
      </c>
      <c r="AA171" s="54"/>
      <c r="AB171" s="54"/>
      <c r="AC171" s="54">
        <v>0</v>
      </c>
      <c r="AD171" s="239">
        <f t="shared" si="56"/>
        <v>21</v>
      </c>
    </row>
    <row r="172" spans="1:30">
      <c r="A172" s="30"/>
      <c r="C172" s="33" t="s">
        <v>77</v>
      </c>
      <c r="E172" s="207">
        <v>53873</v>
      </c>
      <c r="G172" s="228" t="s">
        <v>140</v>
      </c>
      <c r="H172" s="205" t="s">
        <v>141</v>
      </c>
      <c r="I172" s="229">
        <v>-1</v>
      </c>
      <c r="K172" s="144">
        <v>15810305.550000001</v>
      </c>
      <c r="L172" s="145"/>
      <c r="M172" s="148">
        <v>4136942.16</v>
      </c>
      <c r="N172" s="147"/>
      <c r="O172" s="55">
        <f t="shared" si="51"/>
        <v>11831466</v>
      </c>
      <c r="P172" s="27"/>
      <c r="Q172" s="29">
        <f t="shared" si="52"/>
        <v>503466.63829787233</v>
      </c>
      <c r="R172" s="14"/>
      <c r="S172" s="28">
        <f t="shared" si="53"/>
        <v>3.1844206723624784</v>
      </c>
      <c r="U172" s="49">
        <f t="shared" si="54"/>
        <v>23.5</v>
      </c>
      <c r="Y172" s="239">
        <f>ROUND((AB172-Z172)/365.25,0)-0.5</f>
        <v>23.5</v>
      </c>
      <c r="Z172" s="240">
        <v>45291</v>
      </c>
      <c r="AA172" s="240">
        <f>E172</f>
        <v>53873</v>
      </c>
      <c r="AB172" s="240">
        <v>54057</v>
      </c>
      <c r="AC172" s="54">
        <v>0</v>
      </c>
      <c r="AD172" s="239">
        <f t="shared" si="56"/>
        <v>23.5</v>
      </c>
    </row>
    <row r="173" spans="1:30">
      <c r="A173" s="30"/>
      <c r="E173" s="54" t="s">
        <v>321</v>
      </c>
      <c r="F173" s="54"/>
      <c r="G173" s="228"/>
      <c r="H173" s="228"/>
      <c r="I173" s="229"/>
      <c r="K173" s="157"/>
      <c r="L173" s="145"/>
      <c r="M173" s="147"/>
      <c r="N173" s="147"/>
      <c r="O173" s="147"/>
      <c r="P173" s="147"/>
      <c r="Q173" s="147"/>
      <c r="S173" s="26"/>
      <c r="U173" s="49"/>
      <c r="Y173" s="230"/>
    </row>
    <row r="174" spans="1:30">
      <c r="A174" s="30"/>
      <c r="C174" s="13" t="s">
        <v>84</v>
      </c>
      <c r="G174" s="205"/>
      <c r="H174" s="205"/>
      <c r="I174" s="206"/>
      <c r="K174" s="157">
        <f>SUBTOTAL(9,K153:K173)</f>
        <v>104006114.77999999</v>
      </c>
      <c r="L174" s="145"/>
      <c r="M174" s="147">
        <f>SUBTOTAL(9,M153:M173)</f>
        <v>40531628.659999996</v>
      </c>
      <c r="N174" s="147"/>
      <c r="O174" s="147">
        <f>SUBTOTAL(9,O153:O173)</f>
        <v>63632587</v>
      </c>
      <c r="P174" s="147"/>
      <c r="Q174" s="147">
        <f>SUBTOTAL(9,Q153:Q173)</f>
        <v>3206794.3188515669</v>
      </c>
      <c r="S174" s="26">
        <f>+ROUND(Q174/K174*100,2)</f>
        <v>3.08</v>
      </c>
      <c r="U174" s="49"/>
      <c r="Y174" s="230"/>
    </row>
    <row r="175" spans="1:30">
      <c r="A175" s="30"/>
      <c r="G175" s="205"/>
      <c r="H175" s="205"/>
      <c r="I175" s="206"/>
      <c r="K175" s="157"/>
      <c r="L175" s="145"/>
      <c r="M175" s="147"/>
      <c r="N175" s="147"/>
      <c r="O175" s="147"/>
      <c r="P175" s="147"/>
      <c r="Q175" s="147"/>
      <c r="S175" s="26"/>
      <c r="U175" s="49"/>
      <c r="Y175" s="230"/>
    </row>
    <row r="176" spans="1:30">
      <c r="A176" s="30">
        <v>345</v>
      </c>
      <c r="C176" s="13" t="s">
        <v>52</v>
      </c>
      <c r="S176" s="26"/>
      <c r="U176" s="49"/>
      <c r="Y176" s="230"/>
    </row>
    <row r="177" spans="1:30">
      <c r="A177" s="30"/>
      <c r="C177" s="33" t="s">
        <v>58</v>
      </c>
      <c r="E177" s="207">
        <v>55153</v>
      </c>
      <c r="G177" s="228" t="s">
        <v>140</v>
      </c>
      <c r="H177" s="205" t="s">
        <v>141</v>
      </c>
      <c r="I177" s="229">
        <v>0</v>
      </c>
      <c r="K177" s="157">
        <v>9906844.2300000004</v>
      </c>
      <c r="L177" s="145"/>
      <c r="M177" s="147">
        <v>3804943.8</v>
      </c>
      <c r="N177" s="147"/>
      <c r="O177" s="52">
        <f t="shared" ref="O177:O195" si="59">ROUND((K177+(K177*-(I177/100)))-M177,0)</f>
        <v>6101900</v>
      </c>
      <c r="P177" s="27"/>
      <c r="Q177" s="27">
        <f t="shared" ref="Q177:Q195" si="60">O177/U177</f>
        <v>225996.29629629629</v>
      </c>
      <c r="R177" s="14"/>
      <c r="S177" s="28">
        <f t="shared" ref="S177:S195" si="61">Q177/K177*100</f>
        <v>2.2812137856365213</v>
      </c>
      <c r="U177" s="49">
        <f t="shared" ref="U177:U195" si="62">AD177</f>
        <v>27</v>
      </c>
      <c r="Y177" s="239">
        <f t="shared" ref="Y177:Y194" si="63">ROUND((E177-Z177)/365.25,0)</f>
        <v>27</v>
      </c>
      <c r="Z177" s="240">
        <v>45291</v>
      </c>
      <c r="AA177" s="54"/>
      <c r="AB177" s="54"/>
      <c r="AC177" s="54">
        <v>0</v>
      </c>
      <c r="AD177" s="239">
        <f t="shared" ref="AD177:AD195" si="64">Y177+AC177</f>
        <v>27</v>
      </c>
    </row>
    <row r="178" spans="1:30">
      <c r="A178" s="30"/>
      <c r="C178" s="33" t="s">
        <v>59</v>
      </c>
      <c r="E178" s="207">
        <v>50040</v>
      </c>
      <c r="G178" s="228" t="s">
        <v>140</v>
      </c>
      <c r="H178" s="205" t="s">
        <v>141</v>
      </c>
      <c r="I178" s="229">
        <v>0</v>
      </c>
      <c r="K178" s="157">
        <v>881261.16</v>
      </c>
      <c r="L178" s="145"/>
      <c r="M178" s="147">
        <v>511509.77</v>
      </c>
      <c r="N178" s="147"/>
      <c r="O178" s="52">
        <f t="shared" si="59"/>
        <v>369751</v>
      </c>
      <c r="P178" s="27"/>
      <c r="Q178" s="27">
        <f t="shared" si="60"/>
        <v>28442.384615384617</v>
      </c>
      <c r="R178" s="14"/>
      <c r="S178" s="28">
        <f t="shared" si="61"/>
        <v>3.2274637651549982</v>
      </c>
      <c r="U178" s="49">
        <f t="shared" si="62"/>
        <v>13</v>
      </c>
      <c r="Y178" s="239">
        <f t="shared" si="63"/>
        <v>13</v>
      </c>
      <c r="Z178" s="240">
        <v>45291</v>
      </c>
      <c r="AA178" s="54"/>
      <c r="AB178" s="54"/>
      <c r="AC178" s="54">
        <v>0</v>
      </c>
      <c r="AD178" s="239">
        <f t="shared" si="64"/>
        <v>13</v>
      </c>
    </row>
    <row r="179" spans="1:30">
      <c r="A179" s="30"/>
      <c r="C179" s="33" t="s">
        <v>60</v>
      </c>
      <c r="E179" s="207">
        <v>50040</v>
      </c>
      <c r="G179" s="228" t="s">
        <v>140</v>
      </c>
      <c r="H179" s="205" t="s">
        <v>141</v>
      </c>
      <c r="I179" s="229">
        <v>0</v>
      </c>
      <c r="K179" s="157">
        <v>881262.26</v>
      </c>
      <c r="L179" s="145"/>
      <c r="M179" s="147">
        <v>518712.34</v>
      </c>
      <c r="N179" s="147"/>
      <c r="O179" s="52">
        <f t="shared" si="59"/>
        <v>362550</v>
      </c>
      <c r="P179" s="27"/>
      <c r="Q179" s="27">
        <f t="shared" si="60"/>
        <v>27888.461538461539</v>
      </c>
      <c r="R179" s="14"/>
      <c r="S179" s="28">
        <f t="shared" si="61"/>
        <v>3.1646040916879317</v>
      </c>
      <c r="U179" s="49">
        <f t="shared" si="62"/>
        <v>13</v>
      </c>
      <c r="Y179" s="239">
        <f t="shared" si="63"/>
        <v>13</v>
      </c>
      <c r="Z179" s="240">
        <v>45291</v>
      </c>
      <c r="AA179" s="54"/>
      <c r="AB179" s="54"/>
      <c r="AC179" s="54">
        <v>0</v>
      </c>
      <c r="AD179" s="239">
        <f t="shared" si="64"/>
        <v>13</v>
      </c>
    </row>
    <row r="180" spans="1:30">
      <c r="A180" s="30"/>
      <c r="C180" s="33" t="s">
        <v>61</v>
      </c>
      <c r="E180" s="207">
        <v>50040</v>
      </c>
      <c r="G180" s="228" t="s">
        <v>140</v>
      </c>
      <c r="H180" s="205" t="s">
        <v>141</v>
      </c>
      <c r="I180" s="229">
        <v>0</v>
      </c>
      <c r="K180" s="157">
        <v>881262.26</v>
      </c>
      <c r="L180" s="145"/>
      <c r="M180" s="147">
        <v>501077.37</v>
      </c>
      <c r="N180" s="147"/>
      <c r="O180" s="52">
        <f t="shared" si="59"/>
        <v>380185</v>
      </c>
      <c r="P180" s="27"/>
      <c r="Q180" s="27">
        <f t="shared" si="60"/>
        <v>29245</v>
      </c>
      <c r="R180" s="14"/>
      <c r="S180" s="28">
        <f t="shared" si="61"/>
        <v>3.3185353926310195</v>
      </c>
      <c r="U180" s="49">
        <f t="shared" si="62"/>
        <v>13</v>
      </c>
      <c r="Y180" s="239">
        <f t="shared" si="63"/>
        <v>13</v>
      </c>
      <c r="Z180" s="240">
        <v>45291</v>
      </c>
      <c r="AA180" s="54"/>
      <c r="AB180" s="54"/>
      <c r="AC180" s="54">
        <v>0</v>
      </c>
      <c r="AD180" s="239">
        <f t="shared" si="64"/>
        <v>13</v>
      </c>
    </row>
    <row r="181" spans="1:30">
      <c r="A181" s="30"/>
      <c r="C181" s="33" t="s">
        <v>62</v>
      </c>
      <c r="E181" s="207">
        <v>51866</v>
      </c>
      <c r="G181" s="228" t="s">
        <v>140</v>
      </c>
      <c r="H181" s="205" t="s">
        <v>141</v>
      </c>
      <c r="I181" s="229">
        <v>0</v>
      </c>
      <c r="K181" s="157">
        <v>993996.86</v>
      </c>
      <c r="L181" s="145"/>
      <c r="M181" s="147">
        <v>477032.99</v>
      </c>
      <c r="N181" s="147"/>
      <c r="O181" s="52">
        <f t="shared" si="59"/>
        <v>516964</v>
      </c>
      <c r="P181" s="27"/>
      <c r="Q181" s="27">
        <f t="shared" si="60"/>
        <v>28720.222222222223</v>
      </c>
      <c r="R181" s="14"/>
      <c r="S181" s="28">
        <f t="shared" si="61"/>
        <v>2.889367499835183</v>
      </c>
      <c r="U181" s="49">
        <f t="shared" si="62"/>
        <v>18</v>
      </c>
      <c r="Y181" s="239">
        <f t="shared" si="63"/>
        <v>18</v>
      </c>
      <c r="Z181" s="240">
        <v>45291</v>
      </c>
      <c r="AA181" s="54"/>
      <c r="AB181" s="54"/>
      <c r="AC181" s="54">
        <v>0</v>
      </c>
      <c r="AD181" s="239">
        <f t="shared" si="64"/>
        <v>18</v>
      </c>
    </row>
    <row r="182" spans="1:30">
      <c r="A182" s="30"/>
      <c r="C182" s="33" t="s">
        <v>63</v>
      </c>
      <c r="E182" s="207">
        <v>51866</v>
      </c>
      <c r="G182" s="228" t="s">
        <v>140</v>
      </c>
      <c r="H182" s="205" t="s">
        <v>141</v>
      </c>
      <c r="I182" s="229">
        <v>0</v>
      </c>
      <c r="K182" s="157">
        <v>993996.86</v>
      </c>
      <c r="L182" s="145"/>
      <c r="M182" s="147">
        <v>475967.88</v>
      </c>
      <c r="N182" s="147"/>
      <c r="O182" s="52">
        <f t="shared" si="59"/>
        <v>518029</v>
      </c>
      <c r="P182" s="27"/>
      <c r="Q182" s="27">
        <f t="shared" si="60"/>
        <v>28779.388888888891</v>
      </c>
      <c r="R182" s="14"/>
      <c r="S182" s="28">
        <f t="shared" si="61"/>
        <v>2.8953198995909193</v>
      </c>
      <c r="U182" s="49">
        <f t="shared" si="62"/>
        <v>18</v>
      </c>
      <c r="Y182" s="239">
        <f t="shared" si="63"/>
        <v>18</v>
      </c>
      <c r="Z182" s="240">
        <v>45291</v>
      </c>
      <c r="AA182" s="54"/>
      <c r="AB182" s="54"/>
      <c r="AC182" s="54">
        <v>0</v>
      </c>
      <c r="AD182" s="239">
        <f t="shared" si="64"/>
        <v>18</v>
      </c>
    </row>
    <row r="183" spans="1:30">
      <c r="A183" s="30"/>
      <c r="C183" s="33" t="s">
        <v>64</v>
      </c>
      <c r="E183" s="207">
        <v>53327</v>
      </c>
      <c r="G183" s="228" t="s">
        <v>140</v>
      </c>
      <c r="H183" s="205" t="s">
        <v>141</v>
      </c>
      <c r="I183" s="229">
        <v>0</v>
      </c>
      <c r="K183" s="157">
        <v>1251472.92</v>
      </c>
      <c r="L183" s="145"/>
      <c r="M183" s="147">
        <v>485453.4</v>
      </c>
      <c r="N183" s="147"/>
      <c r="O183" s="52">
        <f t="shared" si="59"/>
        <v>766020</v>
      </c>
      <c r="P183" s="27"/>
      <c r="Q183" s="27">
        <f t="shared" si="60"/>
        <v>34819.090909090912</v>
      </c>
      <c r="R183" s="14"/>
      <c r="S183" s="28">
        <f t="shared" si="61"/>
        <v>2.7822488487478347</v>
      </c>
      <c r="U183" s="49">
        <f t="shared" si="62"/>
        <v>22</v>
      </c>
      <c r="Y183" s="239">
        <f t="shared" si="63"/>
        <v>22</v>
      </c>
      <c r="Z183" s="240">
        <v>45291</v>
      </c>
      <c r="AA183" s="54"/>
      <c r="AB183" s="54"/>
      <c r="AC183" s="54">
        <v>0</v>
      </c>
      <c r="AD183" s="239">
        <f t="shared" si="64"/>
        <v>22</v>
      </c>
    </row>
    <row r="184" spans="1:30">
      <c r="A184" s="30"/>
      <c r="C184" s="33" t="s">
        <v>65</v>
      </c>
      <c r="E184" s="207">
        <v>53327</v>
      </c>
      <c r="G184" s="228" t="s">
        <v>140</v>
      </c>
      <c r="H184" s="205" t="s">
        <v>141</v>
      </c>
      <c r="I184" s="229">
        <v>0</v>
      </c>
      <c r="K184" s="157">
        <v>1220275.5900000001</v>
      </c>
      <c r="L184" s="145"/>
      <c r="M184" s="147">
        <v>474383.51</v>
      </c>
      <c r="N184" s="147"/>
      <c r="O184" s="52">
        <f t="shared" si="59"/>
        <v>745892</v>
      </c>
      <c r="P184" s="27"/>
      <c r="Q184" s="27">
        <f t="shared" si="60"/>
        <v>33904.181818181816</v>
      </c>
      <c r="R184" s="14"/>
      <c r="S184" s="28">
        <f t="shared" si="61"/>
        <v>2.778403673401499</v>
      </c>
      <c r="U184" s="49">
        <f t="shared" si="62"/>
        <v>22</v>
      </c>
      <c r="Y184" s="239">
        <f t="shared" si="63"/>
        <v>22</v>
      </c>
      <c r="Z184" s="240">
        <v>45291</v>
      </c>
      <c r="AA184" s="54"/>
      <c r="AB184" s="54"/>
      <c r="AC184" s="54">
        <v>0</v>
      </c>
      <c r="AD184" s="239">
        <f t="shared" si="64"/>
        <v>22</v>
      </c>
    </row>
    <row r="185" spans="1:30">
      <c r="A185" s="30"/>
      <c r="C185" s="33" t="s">
        <v>66</v>
      </c>
      <c r="E185" s="207">
        <v>55153</v>
      </c>
      <c r="G185" s="228" t="s">
        <v>140</v>
      </c>
      <c r="H185" s="205" t="s">
        <v>141</v>
      </c>
      <c r="I185" s="229">
        <v>0</v>
      </c>
      <c r="K185" s="157">
        <v>11825999.57</v>
      </c>
      <c r="L185" s="145"/>
      <c r="M185" s="147">
        <v>2572037.7400000002</v>
      </c>
      <c r="N185" s="147"/>
      <c r="O185" s="52">
        <f t="shared" si="59"/>
        <v>9253962</v>
      </c>
      <c r="P185" s="27"/>
      <c r="Q185" s="27">
        <f t="shared" si="60"/>
        <v>342739.33333333331</v>
      </c>
      <c r="R185" s="14"/>
      <c r="S185" s="28">
        <f t="shared" si="61"/>
        <v>2.8981848959540706</v>
      </c>
      <c r="U185" s="49">
        <f t="shared" si="62"/>
        <v>27</v>
      </c>
      <c r="Y185" s="239">
        <f t="shared" si="63"/>
        <v>27</v>
      </c>
      <c r="Z185" s="240">
        <v>45291</v>
      </c>
      <c r="AA185" s="54"/>
      <c r="AB185" s="54"/>
      <c r="AC185" s="54">
        <v>0</v>
      </c>
      <c r="AD185" s="239">
        <f t="shared" si="64"/>
        <v>27</v>
      </c>
    </row>
    <row r="186" spans="1:30">
      <c r="A186" s="30"/>
      <c r="C186" s="33" t="s">
        <v>67</v>
      </c>
      <c r="E186" s="207">
        <v>55153</v>
      </c>
      <c r="G186" s="228" t="s">
        <v>140</v>
      </c>
      <c r="H186" s="205" t="s">
        <v>141</v>
      </c>
      <c r="I186" s="229">
        <v>0</v>
      </c>
      <c r="K186" s="157">
        <v>2021825.43</v>
      </c>
      <c r="L186" s="145"/>
      <c r="M186" s="147">
        <v>595564.09</v>
      </c>
      <c r="N186" s="147"/>
      <c r="O186" s="52">
        <f t="shared" si="59"/>
        <v>1426261</v>
      </c>
      <c r="P186" s="27"/>
      <c r="Q186" s="27">
        <f t="shared" si="60"/>
        <v>52824.481481481482</v>
      </c>
      <c r="R186" s="14"/>
      <c r="S186" s="28">
        <f t="shared" si="61"/>
        <v>2.6127122894819599</v>
      </c>
      <c r="U186" s="49">
        <f t="shared" si="62"/>
        <v>27</v>
      </c>
      <c r="Y186" s="239">
        <f t="shared" si="63"/>
        <v>27</v>
      </c>
      <c r="Z186" s="240">
        <v>45291</v>
      </c>
      <c r="AA186" s="54"/>
      <c r="AB186" s="54"/>
      <c r="AC186" s="54">
        <v>0</v>
      </c>
      <c r="AD186" s="239">
        <f t="shared" si="64"/>
        <v>27</v>
      </c>
    </row>
    <row r="187" spans="1:30">
      <c r="A187" s="30"/>
      <c r="C187" s="33" t="s">
        <v>68</v>
      </c>
      <c r="E187" s="207">
        <v>50586</v>
      </c>
      <c r="G187" s="228" t="s">
        <v>140</v>
      </c>
      <c r="H187" s="205" t="s">
        <v>141</v>
      </c>
      <c r="I187" s="229">
        <v>0</v>
      </c>
      <c r="K187" s="157">
        <v>344891.29</v>
      </c>
      <c r="L187" s="145"/>
      <c r="M187" s="147">
        <v>127777.18</v>
      </c>
      <c r="N187" s="147"/>
      <c r="O187" s="52">
        <f t="shared" si="59"/>
        <v>217114</v>
      </c>
      <c r="P187" s="27"/>
      <c r="Q187" s="27">
        <f t="shared" si="60"/>
        <v>14973.379310344828</v>
      </c>
      <c r="R187" s="14"/>
      <c r="S187" s="28">
        <f t="shared" si="61"/>
        <v>4.3414779510218509</v>
      </c>
      <c r="U187" s="49">
        <f t="shared" si="62"/>
        <v>14.5</v>
      </c>
      <c r="Y187" s="239">
        <f t="shared" ref="Y187:Y190" si="65">ROUND((AB187-Z187)/365.25,0)-0.5</f>
        <v>14.5</v>
      </c>
      <c r="Z187" s="240">
        <v>45291</v>
      </c>
      <c r="AA187" s="240">
        <f t="shared" ref="AA187:AA190" si="66">E187</f>
        <v>50586</v>
      </c>
      <c r="AB187" s="240">
        <v>50770</v>
      </c>
      <c r="AC187" s="54">
        <v>0</v>
      </c>
      <c r="AD187" s="239">
        <f t="shared" si="64"/>
        <v>14.5</v>
      </c>
    </row>
    <row r="188" spans="1:30">
      <c r="A188" s="30"/>
      <c r="C188" s="33" t="s">
        <v>70</v>
      </c>
      <c r="E188" s="207">
        <v>50586</v>
      </c>
      <c r="G188" s="228" t="s">
        <v>140</v>
      </c>
      <c r="H188" s="205" t="s">
        <v>141</v>
      </c>
      <c r="I188" s="229">
        <v>0</v>
      </c>
      <c r="K188" s="157">
        <v>380225.22</v>
      </c>
      <c r="L188" s="145"/>
      <c r="M188" s="147">
        <v>135228.04999999999</v>
      </c>
      <c r="N188" s="147"/>
      <c r="O188" s="52">
        <f t="shared" si="59"/>
        <v>244997</v>
      </c>
      <c r="P188" s="27"/>
      <c r="Q188" s="27">
        <f t="shared" si="60"/>
        <v>16896.344827586207</v>
      </c>
      <c r="R188" s="14"/>
      <c r="S188" s="28">
        <f t="shared" si="61"/>
        <v>4.4437727796136741</v>
      </c>
      <c r="U188" s="49">
        <f t="shared" si="62"/>
        <v>14.5</v>
      </c>
      <c r="Y188" s="239">
        <f t="shared" si="65"/>
        <v>14.5</v>
      </c>
      <c r="Z188" s="240">
        <v>45291</v>
      </c>
      <c r="AA188" s="240">
        <f t="shared" si="66"/>
        <v>50586</v>
      </c>
      <c r="AB188" s="240">
        <v>50770</v>
      </c>
      <c r="AC188" s="54">
        <v>0</v>
      </c>
      <c r="AD188" s="239">
        <f t="shared" si="64"/>
        <v>14.5</v>
      </c>
    </row>
    <row r="189" spans="1:30">
      <c r="A189" s="30"/>
      <c r="C189" s="33" t="s">
        <v>71</v>
      </c>
      <c r="E189" s="207">
        <v>51682</v>
      </c>
      <c r="G189" s="228" t="s">
        <v>140</v>
      </c>
      <c r="H189" s="205" t="s">
        <v>141</v>
      </c>
      <c r="I189" s="229">
        <v>0</v>
      </c>
      <c r="K189" s="157">
        <v>452676.95</v>
      </c>
      <c r="L189" s="145"/>
      <c r="M189" s="147">
        <v>143725.31</v>
      </c>
      <c r="N189" s="147"/>
      <c r="O189" s="52">
        <f t="shared" si="59"/>
        <v>308952</v>
      </c>
      <c r="P189" s="27"/>
      <c r="Q189" s="27">
        <f t="shared" si="60"/>
        <v>17654.400000000001</v>
      </c>
      <c r="R189" s="14"/>
      <c r="S189" s="28">
        <f t="shared" si="61"/>
        <v>3.8999997680465066</v>
      </c>
      <c r="U189" s="49">
        <f t="shared" si="62"/>
        <v>17.5</v>
      </c>
      <c r="Y189" s="239">
        <f t="shared" si="65"/>
        <v>17.5</v>
      </c>
      <c r="Z189" s="240">
        <v>45291</v>
      </c>
      <c r="AA189" s="240">
        <f t="shared" si="66"/>
        <v>51682</v>
      </c>
      <c r="AB189" s="240">
        <v>51866</v>
      </c>
      <c r="AC189" s="54">
        <v>0</v>
      </c>
      <c r="AD189" s="239">
        <f t="shared" si="64"/>
        <v>17.5</v>
      </c>
    </row>
    <row r="190" spans="1:30">
      <c r="A190" s="30"/>
      <c r="C190" s="33" t="s">
        <v>72</v>
      </c>
      <c r="E190" s="207">
        <v>52047</v>
      </c>
      <c r="G190" s="228" t="s">
        <v>140</v>
      </c>
      <c r="H190" s="205" t="s">
        <v>141</v>
      </c>
      <c r="I190" s="229">
        <v>0</v>
      </c>
      <c r="K190" s="157">
        <v>406784.25</v>
      </c>
      <c r="L190" s="145"/>
      <c r="M190" s="147">
        <v>121915.61</v>
      </c>
      <c r="N190" s="147"/>
      <c r="O190" s="52">
        <f t="shared" si="59"/>
        <v>284869</v>
      </c>
      <c r="P190" s="27"/>
      <c r="Q190" s="27">
        <f t="shared" si="60"/>
        <v>15398.324324324325</v>
      </c>
      <c r="R190" s="14"/>
      <c r="S190" s="28">
        <f t="shared" si="61"/>
        <v>3.7853786925930208</v>
      </c>
      <c r="U190" s="49">
        <f t="shared" si="62"/>
        <v>18.5</v>
      </c>
      <c r="Y190" s="239">
        <f t="shared" si="65"/>
        <v>18.5</v>
      </c>
      <c r="Z190" s="240">
        <v>45291</v>
      </c>
      <c r="AA190" s="240">
        <f t="shared" si="66"/>
        <v>52047</v>
      </c>
      <c r="AB190" s="240">
        <v>52231</v>
      </c>
      <c r="AC190" s="54">
        <v>0</v>
      </c>
      <c r="AD190" s="239">
        <f t="shared" si="64"/>
        <v>18.5</v>
      </c>
    </row>
    <row r="191" spans="1:30">
      <c r="A191" s="30"/>
      <c r="C191" s="33" t="s">
        <v>73</v>
      </c>
      <c r="E191" s="207">
        <v>52962</v>
      </c>
      <c r="G191" s="228" t="s">
        <v>140</v>
      </c>
      <c r="H191" s="205" t="s">
        <v>141</v>
      </c>
      <c r="I191" s="229">
        <v>0</v>
      </c>
      <c r="K191" s="157">
        <v>3028262.11</v>
      </c>
      <c r="L191" s="145"/>
      <c r="M191" s="147">
        <v>849171.5</v>
      </c>
      <c r="N191" s="147"/>
      <c r="O191" s="52">
        <f t="shared" si="59"/>
        <v>2179091</v>
      </c>
      <c r="P191" s="27"/>
      <c r="Q191" s="27">
        <f t="shared" si="60"/>
        <v>103766.23809523809</v>
      </c>
      <c r="R191" s="14"/>
      <c r="S191" s="28">
        <f t="shared" si="61"/>
        <v>3.426593680665182</v>
      </c>
      <c r="U191" s="49">
        <f t="shared" si="62"/>
        <v>21</v>
      </c>
      <c r="Y191" s="239">
        <f t="shared" si="63"/>
        <v>21</v>
      </c>
      <c r="Z191" s="240">
        <v>45291</v>
      </c>
      <c r="AA191" s="54"/>
      <c r="AB191" s="54"/>
      <c r="AC191" s="54">
        <v>0</v>
      </c>
      <c r="AD191" s="239">
        <f t="shared" si="64"/>
        <v>21</v>
      </c>
    </row>
    <row r="192" spans="1:30">
      <c r="A192" s="30"/>
      <c r="C192" s="33" t="s">
        <v>74</v>
      </c>
      <c r="E192" s="207">
        <v>52962</v>
      </c>
      <c r="G192" s="228" t="s">
        <v>140</v>
      </c>
      <c r="H192" s="205" t="s">
        <v>141</v>
      </c>
      <c r="I192" s="229">
        <v>0</v>
      </c>
      <c r="K192" s="157">
        <v>386034.41</v>
      </c>
      <c r="L192" s="145"/>
      <c r="M192" s="147">
        <v>149341.54999999999</v>
      </c>
      <c r="N192" s="147"/>
      <c r="O192" s="52">
        <f t="shared" si="59"/>
        <v>236693</v>
      </c>
      <c r="P192" s="27"/>
      <c r="Q192" s="27">
        <f t="shared" si="60"/>
        <v>11271.095238095239</v>
      </c>
      <c r="R192" s="14"/>
      <c r="S192" s="28">
        <f t="shared" si="61"/>
        <v>2.9197125816051579</v>
      </c>
      <c r="U192" s="49">
        <f t="shared" si="62"/>
        <v>21</v>
      </c>
      <c r="Y192" s="239">
        <f t="shared" si="63"/>
        <v>21</v>
      </c>
      <c r="Z192" s="240">
        <v>45291</v>
      </c>
      <c r="AA192" s="54"/>
      <c r="AB192" s="54"/>
      <c r="AC192" s="54">
        <v>0</v>
      </c>
      <c r="AD192" s="239">
        <f t="shared" si="64"/>
        <v>21</v>
      </c>
    </row>
    <row r="193" spans="1:30">
      <c r="A193" s="30"/>
      <c r="C193" s="33" t="s">
        <v>75</v>
      </c>
      <c r="E193" s="207">
        <v>52962</v>
      </c>
      <c r="G193" s="228" t="s">
        <v>140</v>
      </c>
      <c r="H193" s="205" t="s">
        <v>141</v>
      </c>
      <c r="I193" s="229">
        <v>0</v>
      </c>
      <c r="K193" s="157">
        <v>386034.41</v>
      </c>
      <c r="L193" s="145"/>
      <c r="M193" s="147">
        <v>177208.9</v>
      </c>
      <c r="N193" s="147"/>
      <c r="O193" s="52">
        <f t="shared" si="59"/>
        <v>208826</v>
      </c>
      <c r="P193" s="27"/>
      <c r="Q193" s="27">
        <f t="shared" si="60"/>
        <v>9944.0952380952385</v>
      </c>
      <c r="R193" s="14"/>
      <c r="S193" s="28">
        <f t="shared" si="61"/>
        <v>2.5759608419610154</v>
      </c>
      <c r="U193" s="49">
        <f t="shared" si="62"/>
        <v>21</v>
      </c>
      <c r="Y193" s="239">
        <f t="shared" si="63"/>
        <v>21</v>
      </c>
      <c r="Z193" s="240">
        <v>45291</v>
      </c>
      <c r="AA193" s="54"/>
      <c r="AB193" s="54"/>
      <c r="AC193" s="54">
        <v>0</v>
      </c>
      <c r="AD193" s="239">
        <f t="shared" si="64"/>
        <v>21</v>
      </c>
    </row>
    <row r="194" spans="1:30">
      <c r="A194" s="30"/>
      <c r="C194" s="33" t="s">
        <v>76</v>
      </c>
      <c r="E194" s="207">
        <v>52962</v>
      </c>
      <c r="G194" s="228" t="s">
        <v>140</v>
      </c>
      <c r="H194" s="205" t="s">
        <v>141</v>
      </c>
      <c r="I194" s="229">
        <v>0</v>
      </c>
      <c r="K194" s="157">
        <v>386034.41</v>
      </c>
      <c r="L194" s="145"/>
      <c r="M194" s="147">
        <v>203906.7</v>
      </c>
      <c r="N194" s="147"/>
      <c r="O194" s="52">
        <f t="shared" si="59"/>
        <v>182128</v>
      </c>
      <c r="P194" s="27"/>
      <c r="Q194" s="27">
        <f t="shared" si="60"/>
        <v>8672.7619047619046</v>
      </c>
      <c r="R194" s="14"/>
      <c r="S194" s="28">
        <f t="shared" si="61"/>
        <v>2.2466292330680848</v>
      </c>
      <c r="U194" s="49">
        <f t="shared" si="62"/>
        <v>21</v>
      </c>
      <c r="Y194" s="239">
        <f t="shared" si="63"/>
        <v>21</v>
      </c>
      <c r="Z194" s="240">
        <v>45291</v>
      </c>
      <c r="AA194" s="54"/>
      <c r="AB194" s="54"/>
      <c r="AC194" s="54">
        <v>0</v>
      </c>
      <c r="AD194" s="239">
        <f t="shared" si="64"/>
        <v>21</v>
      </c>
    </row>
    <row r="195" spans="1:30">
      <c r="A195" s="30"/>
      <c r="C195" s="33" t="s">
        <v>77</v>
      </c>
      <c r="E195" s="207">
        <v>53873</v>
      </c>
      <c r="G195" s="228" t="s">
        <v>140</v>
      </c>
      <c r="H195" s="205" t="s">
        <v>141</v>
      </c>
      <c r="I195" s="229">
        <v>-1</v>
      </c>
      <c r="K195" s="144">
        <v>779800</v>
      </c>
      <c r="L195" s="145"/>
      <c r="M195" s="148">
        <v>193176.74</v>
      </c>
      <c r="N195" s="147"/>
      <c r="O195" s="55">
        <f t="shared" si="59"/>
        <v>594421</v>
      </c>
      <c r="P195" s="27"/>
      <c r="Q195" s="29">
        <f t="shared" si="60"/>
        <v>25294.510638297874</v>
      </c>
      <c r="R195" s="14"/>
      <c r="S195" s="28">
        <f t="shared" si="61"/>
        <v>3.2437177017565886</v>
      </c>
      <c r="U195" s="49">
        <f t="shared" si="62"/>
        <v>23.5</v>
      </c>
      <c r="Y195" s="239">
        <f>ROUND((AB195-Z195)/365.25,0)-0.5</f>
        <v>23.5</v>
      </c>
      <c r="Z195" s="240">
        <v>45291</v>
      </c>
      <c r="AA195" s="240">
        <f>E195</f>
        <v>53873</v>
      </c>
      <c r="AB195" s="240">
        <v>54057</v>
      </c>
      <c r="AC195" s="54">
        <v>0</v>
      </c>
      <c r="AD195" s="239">
        <f t="shared" si="64"/>
        <v>23.5</v>
      </c>
    </row>
    <row r="196" spans="1:30">
      <c r="A196" s="30"/>
      <c r="E196" s="54" t="s">
        <v>321</v>
      </c>
      <c r="F196" s="54"/>
      <c r="G196" s="228"/>
      <c r="H196" s="228"/>
      <c r="I196" s="229"/>
      <c r="K196" s="157"/>
      <c r="L196" s="145"/>
      <c r="M196" s="147"/>
      <c r="N196" s="147"/>
      <c r="O196" s="147"/>
      <c r="P196" s="147"/>
      <c r="Q196" s="147"/>
      <c r="S196" s="26"/>
      <c r="U196" s="49"/>
      <c r="Y196" s="230"/>
    </row>
    <row r="197" spans="1:30">
      <c r="A197" s="30"/>
      <c r="C197" s="13" t="s">
        <v>53</v>
      </c>
      <c r="G197" s="205"/>
      <c r="H197" s="205"/>
      <c r="I197" s="206"/>
      <c r="K197" s="157">
        <f>SUBTOTAL(9,K177:K196)</f>
        <v>37408940.18999999</v>
      </c>
      <c r="L197" s="145"/>
      <c r="M197" s="147">
        <f>SUBTOTAL(9,M177:M196)</f>
        <v>12518134.430000002</v>
      </c>
      <c r="N197" s="147"/>
      <c r="O197" s="147">
        <f>SUBTOTAL(9,O177:O196)</f>
        <v>24898605</v>
      </c>
      <c r="P197" s="147"/>
      <c r="Q197" s="147">
        <f>SUBTOTAL(9,Q177:Q196)</f>
        <v>1057229.9906800848</v>
      </c>
      <c r="S197" s="26">
        <f>+ROUND(Q197/K197*100,2)</f>
        <v>2.83</v>
      </c>
      <c r="U197" s="49"/>
      <c r="Y197" s="230"/>
    </row>
    <row r="198" spans="1:30">
      <c r="A198" s="30"/>
      <c r="G198" s="205"/>
      <c r="H198" s="205"/>
      <c r="I198" s="206"/>
      <c r="K198" s="157"/>
      <c r="L198" s="145"/>
      <c r="M198" s="147"/>
      <c r="N198" s="147"/>
      <c r="O198" s="147"/>
      <c r="P198" s="147"/>
      <c r="Q198" s="147"/>
      <c r="S198" s="26"/>
      <c r="U198" s="49"/>
      <c r="Y198" s="230"/>
    </row>
    <row r="199" spans="1:30">
      <c r="A199" s="30">
        <v>346</v>
      </c>
      <c r="C199" s="13" t="s">
        <v>54</v>
      </c>
      <c r="S199" s="26"/>
      <c r="U199" s="49"/>
      <c r="Y199" s="230"/>
    </row>
    <row r="200" spans="1:30">
      <c r="A200" s="30"/>
      <c r="C200" s="33" t="s">
        <v>58</v>
      </c>
      <c r="E200" s="207">
        <v>55153</v>
      </c>
      <c r="G200" s="228" t="s">
        <v>140</v>
      </c>
      <c r="H200" s="205" t="s">
        <v>141</v>
      </c>
      <c r="I200" s="229">
        <v>0</v>
      </c>
      <c r="K200" s="157">
        <v>15806989.609999999</v>
      </c>
      <c r="L200" s="145"/>
      <c r="M200" s="147">
        <v>4628649.1399999997</v>
      </c>
      <c r="N200" s="147"/>
      <c r="O200" s="52">
        <f t="shared" ref="O200:O207" si="67">ROUND((K200+(K200*-(I200/100)))-M200,0)</f>
        <v>11178340</v>
      </c>
      <c r="P200" s="27"/>
      <c r="Q200" s="233">
        <f t="shared" ref="Q200:Q207" si="68">O200/U200</f>
        <v>414012.59259259258</v>
      </c>
      <c r="R200" s="14"/>
      <c r="S200" s="28">
        <f t="shared" ref="S200:S207" si="69">Q200/K200*100</f>
        <v>2.6191741932358528</v>
      </c>
      <c r="U200" s="49">
        <f t="shared" ref="U200:U207" si="70">AD200</f>
        <v>27</v>
      </c>
      <c r="Y200" s="239">
        <f t="shared" ref="Y200:Y207" si="71">ROUND((E200-Z200)/365.25,0)</f>
        <v>27</v>
      </c>
      <c r="Z200" s="240">
        <v>45291</v>
      </c>
      <c r="AA200" s="54"/>
      <c r="AB200" s="54"/>
      <c r="AC200" s="54">
        <v>0</v>
      </c>
      <c r="AD200" s="239">
        <f t="shared" ref="AD200:AD207" si="72">Y200+AC200</f>
        <v>27</v>
      </c>
    </row>
    <row r="201" spans="1:30">
      <c r="A201" s="30"/>
      <c r="C201" s="33" t="s">
        <v>61</v>
      </c>
      <c r="E201" s="207">
        <v>50040</v>
      </c>
      <c r="G201" s="228" t="s">
        <v>140</v>
      </c>
      <c r="H201" s="205" t="s">
        <v>141</v>
      </c>
      <c r="I201" s="229">
        <v>0</v>
      </c>
      <c r="K201" s="157">
        <v>35097.11</v>
      </c>
      <c r="L201" s="145"/>
      <c r="M201" s="147">
        <v>3184.5</v>
      </c>
      <c r="N201" s="147"/>
      <c r="O201" s="52">
        <f t="shared" si="67"/>
        <v>31913</v>
      </c>
      <c r="P201" s="27"/>
      <c r="Q201" s="233">
        <f t="shared" si="68"/>
        <v>2454.8461538461538</v>
      </c>
      <c r="R201" s="14"/>
      <c r="S201" s="28">
        <f t="shared" si="69"/>
        <v>6.9944395816241105</v>
      </c>
      <c r="U201" s="49">
        <f t="shared" si="70"/>
        <v>13</v>
      </c>
      <c r="Y201" s="239">
        <f t="shared" si="71"/>
        <v>13</v>
      </c>
      <c r="Z201" s="240">
        <v>45291</v>
      </c>
      <c r="AA201" s="54"/>
      <c r="AB201" s="54"/>
      <c r="AC201" s="54">
        <v>0</v>
      </c>
      <c r="AD201" s="239">
        <f t="shared" si="72"/>
        <v>13</v>
      </c>
    </row>
    <row r="202" spans="1:30">
      <c r="A202" s="30"/>
      <c r="C202" s="33" t="s">
        <v>68</v>
      </c>
      <c r="E202" s="207">
        <v>50586</v>
      </c>
      <c r="G202" s="228" t="s">
        <v>140</v>
      </c>
      <c r="H202" s="205" t="s">
        <v>141</v>
      </c>
      <c r="I202" s="229">
        <v>0</v>
      </c>
      <c r="K202" s="157">
        <v>104001.15</v>
      </c>
      <c r="L202" s="145"/>
      <c r="M202" s="147">
        <v>35975.42</v>
      </c>
      <c r="N202" s="147"/>
      <c r="O202" s="52">
        <f t="shared" si="67"/>
        <v>68026</v>
      </c>
      <c r="P202" s="27"/>
      <c r="Q202" s="233">
        <f t="shared" si="68"/>
        <v>4691.4482758620688</v>
      </c>
      <c r="R202" s="14"/>
      <c r="S202" s="28">
        <f t="shared" si="69"/>
        <v>4.5109580767732558</v>
      </c>
      <c r="U202" s="49">
        <f t="shared" si="70"/>
        <v>14.5</v>
      </c>
      <c r="Y202" s="239">
        <f t="shared" ref="Y202" si="73">ROUND((AB202-Z202)/365.25,0)-0.5</f>
        <v>14.5</v>
      </c>
      <c r="Z202" s="240">
        <v>45291</v>
      </c>
      <c r="AA202" s="240">
        <f t="shared" ref="AA202" si="74">E202</f>
        <v>50586</v>
      </c>
      <c r="AB202" s="240">
        <v>50770</v>
      </c>
      <c r="AC202" s="54">
        <v>0</v>
      </c>
      <c r="AD202" s="239">
        <f t="shared" si="72"/>
        <v>14.5</v>
      </c>
    </row>
    <row r="203" spans="1:30">
      <c r="A203" s="30"/>
      <c r="C203" s="33" t="s">
        <v>69</v>
      </c>
      <c r="E203" s="207">
        <v>45657</v>
      </c>
      <c r="G203" s="228" t="s">
        <v>140</v>
      </c>
      <c r="H203" s="205" t="s">
        <v>141</v>
      </c>
      <c r="I203" s="229">
        <v>0</v>
      </c>
      <c r="K203" s="157">
        <v>64992.35</v>
      </c>
      <c r="L203" s="145"/>
      <c r="M203" s="147">
        <v>36640.5</v>
      </c>
      <c r="N203" s="147"/>
      <c r="O203" s="52">
        <f t="shared" si="67"/>
        <v>28352</v>
      </c>
      <c r="P203" s="27"/>
      <c r="Q203" s="233">
        <f t="shared" si="68"/>
        <v>28352</v>
      </c>
      <c r="R203" s="14"/>
      <c r="S203" s="28">
        <f t="shared" si="69"/>
        <v>43.62359570010932</v>
      </c>
      <c r="U203" s="49">
        <f t="shared" si="70"/>
        <v>1</v>
      </c>
      <c r="Y203" s="239">
        <f t="shared" si="71"/>
        <v>1</v>
      </c>
      <c r="Z203" s="240">
        <v>45291</v>
      </c>
      <c r="AA203" s="54"/>
      <c r="AB203" s="54"/>
      <c r="AC203" s="54">
        <v>0</v>
      </c>
      <c r="AD203" s="239">
        <f t="shared" si="72"/>
        <v>1</v>
      </c>
    </row>
    <row r="204" spans="1:30">
      <c r="A204" s="30"/>
      <c r="C204" s="33" t="s">
        <v>70</v>
      </c>
      <c r="E204" s="207">
        <v>50586</v>
      </c>
      <c r="G204" s="228" t="s">
        <v>140</v>
      </c>
      <c r="H204" s="205" t="s">
        <v>141</v>
      </c>
      <c r="I204" s="229">
        <v>0</v>
      </c>
      <c r="K204" s="157">
        <v>60998.54</v>
      </c>
      <c r="L204" s="145"/>
      <c r="M204" s="147">
        <v>23296.52</v>
      </c>
      <c r="N204" s="147"/>
      <c r="O204" s="52">
        <f t="shared" si="67"/>
        <v>37702</v>
      </c>
      <c r="P204" s="27"/>
      <c r="Q204" s="233">
        <f t="shared" si="68"/>
        <v>2600.1379310344828</v>
      </c>
      <c r="R204" s="14"/>
      <c r="S204" s="28">
        <f t="shared" si="69"/>
        <v>4.2626232218582327</v>
      </c>
      <c r="U204" s="49">
        <f t="shared" si="70"/>
        <v>14.5</v>
      </c>
      <c r="Y204" s="239">
        <f t="shared" ref="Y204:Y206" si="75">ROUND((AB204-Z204)/365.25,0)-0.5</f>
        <v>14.5</v>
      </c>
      <c r="Z204" s="240">
        <v>45291</v>
      </c>
      <c r="AA204" s="240">
        <f t="shared" ref="AA204:AA206" si="76">E204</f>
        <v>50586</v>
      </c>
      <c r="AB204" s="240">
        <v>50770</v>
      </c>
      <c r="AC204" s="54">
        <v>0</v>
      </c>
      <c r="AD204" s="239">
        <f t="shared" si="72"/>
        <v>14.5</v>
      </c>
    </row>
    <row r="205" spans="1:30">
      <c r="A205" s="30"/>
      <c r="C205" s="33" t="s">
        <v>71</v>
      </c>
      <c r="E205" s="207">
        <v>51682</v>
      </c>
      <c r="G205" s="228" t="s">
        <v>140</v>
      </c>
      <c r="H205" s="205" t="s">
        <v>141</v>
      </c>
      <c r="I205" s="229">
        <v>0</v>
      </c>
      <c r="K205" s="157">
        <v>494973.87</v>
      </c>
      <c r="L205" s="145"/>
      <c r="M205" s="147">
        <v>28619.14</v>
      </c>
      <c r="N205" s="147"/>
      <c r="O205" s="52">
        <f t="shared" si="67"/>
        <v>466355</v>
      </c>
      <c r="P205" s="27"/>
      <c r="Q205" s="233">
        <f t="shared" si="68"/>
        <v>26648.857142857141</v>
      </c>
      <c r="R205" s="14"/>
      <c r="S205" s="28">
        <f t="shared" si="69"/>
        <v>5.3838917078303838</v>
      </c>
      <c r="U205" s="49">
        <f t="shared" si="70"/>
        <v>17.5</v>
      </c>
      <c r="Y205" s="239">
        <f t="shared" si="75"/>
        <v>17.5</v>
      </c>
      <c r="Z205" s="240">
        <v>45291</v>
      </c>
      <c r="AA205" s="240">
        <f t="shared" si="76"/>
        <v>51682</v>
      </c>
      <c r="AB205" s="240">
        <v>51866</v>
      </c>
      <c r="AC205" s="54">
        <v>0</v>
      </c>
      <c r="AD205" s="239">
        <f t="shared" si="72"/>
        <v>17.5</v>
      </c>
    </row>
    <row r="206" spans="1:30">
      <c r="A206" s="30"/>
      <c r="C206" s="33" t="s">
        <v>72</v>
      </c>
      <c r="E206" s="207">
        <v>52047</v>
      </c>
      <c r="G206" s="228" t="s">
        <v>140</v>
      </c>
      <c r="H206" s="205" t="s">
        <v>141</v>
      </c>
      <c r="I206" s="229">
        <v>0</v>
      </c>
      <c r="K206" s="157">
        <v>50361.67</v>
      </c>
      <c r="L206" s="145"/>
      <c r="M206" s="147">
        <v>15622.98</v>
      </c>
      <c r="N206" s="147"/>
      <c r="O206" s="52">
        <f t="shared" si="67"/>
        <v>34739</v>
      </c>
      <c r="P206" s="27"/>
      <c r="Q206" s="233">
        <f t="shared" si="68"/>
        <v>1877.7837837837837</v>
      </c>
      <c r="R206" s="14"/>
      <c r="S206" s="28">
        <f t="shared" si="69"/>
        <v>3.7285971330652536</v>
      </c>
      <c r="U206" s="49">
        <f t="shared" si="70"/>
        <v>18.5</v>
      </c>
      <c r="Y206" s="239">
        <f t="shared" si="75"/>
        <v>18.5</v>
      </c>
      <c r="Z206" s="240">
        <v>45291</v>
      </c>
      <c r="AA206" s="240">
        <f t="shared" si="76"/>
        <v>52047</v>
      </c>
      <c r="AB206" s="240">
        <v>52231</v>
      </c>
      <c r="AC206" s="54">
        <v>0</v>
      </c>
      <c r="AD206" s="239">
        <f t="shared" si="72"/>
        <v>18.5</v>
      </c>
    </row>
    <row r="207" spans="1:30">
      <c r="A207" s="30"/>
      <c r="C207" s="33" t="s">
        <v>73</v>
      </c>
      <c r="E207" s="207">
        <v>52962</v>
      </c>
      <c r="G207" s="228" t="s">
        <v>140</v>
      </c>
      <c r="H207" s="205" t="s">
        <v>141</v>
      </c>
      <c r="I207" s="229">
        <v>0</v>
      </c>
      <c r="K207" s="144">
        <v>245217.08</v>
      </c>
      <c r="L207" s="145"/>
      <c r="M207" s="148">
        <v>52203.38</v>
      </c>
      <c r="N207" s="147"/>
      <c r="O207" s="55">
        <f t="shared" si="67"/>
        <v>193014</v>
      </c>
      <c r="P207" s="27"/>
      <c r="Q207" s="29">
        <f t="shared" si="68"/>
        <v>9191.1428571428569</v>
      </c>
      <c r="R207" s="14"/>
      <c r="S207" s="28">
        <f t="shared" si="69"/>
        <v>3.7481658525347656</v>
      </c>
      <c r="U207" s="49">
        <f t="shared" si="70"/>
        <v>21</v>
      </c>
      <c r="Y207" s="239">
        <f t="shared" si="71"/>
        <v>21</v>
      </c>
      <c r="Z207" s="240">
        <v>45291</v>
      </c>
      <c r="AA207" s="54"/>
      <c r="AB207" s="54"/>
      <c r="AC207" s="54">
        <v>0</v>
      </c>
      <c r="AD207" s="239">
        <f t="shared" si="72"/>
        <v>21</v>
      </c>
    </row>
    <row r="208" spans="1:30">
      <c r="A208" s="30"/>
      <c r="G208" s="205"/>
      <c r="H208" s="205"/>
      <c r="I208" s="206"/>
      <c r="K208" s="157"/>
      <c r="L208" s="145"/>
      <c r="M208" s="147"/>
      <c r="N208" s="147"/>
      <c r="O208" s="147"/>
      <c r="P208" s="147"/>
      <c r="Q208" s="147"/>
      <c r="S208" s="26"/>
      <c r="U208" s="49"/>
    </row>
    <row r="209" spans="1:21">
      <c r="A209" s="30"/>
      <c r="C209" s="13" t="s">
        <v>55</v>
      </c>
      <c r="G209" s="205"/>
      <c r="H209" s="205"/>
      <c r="I209" s="206"/>
      <c r="K209" s="144">
        <f>SUBTOTAL(9,K200:K208)</f>
        <v>16862631.379999995</v>
      </c>
      <c r="L209" s="145"/>
      <c r="M209" s="148">
        <f>SUBTOTAL(9,M200:M208)</f>
        <v>4824191.5799999991</v>
      </c>
      <c r="N209" s="147"/>
      <c r="O209" s="148">
        <f>SUBTOTAL(9,O200:O208)</f>
        <v>12038441</v>
      </c>
      <c r="P209" s="147"/>
      <c r="Q209" s="148">
        <f>SUBTOTAL(9,Q200:Q208)</f>
        <v>489828.80873711908</v>
      </c>
      <c r="S209" s="26">
        <f>+ROUND(Q209/K209*100,2)</f>
        <v>2.9</v>
      </c>
      <c r="U209" s="49"/>
    </row>
    <row r="210" spans="1:21" ht="15.75">
      <c r="C210" s="18"/>
      <c r="K210" s="157"/>
      <c r="L210" s="145"/>
      <c r="M210" s="147"/>
      <c r="N210" s="147"/>
      <c r="O210" s="147"/>
      <c r="P210" s="147"/>
      <c r="Q210" s="147"/>
      <c r="S210" s="26"/>
      <c r="U210" s="49"/>
    </row>
    <row r="211" spans="1:21" ht="15.75">
      <c r="A211" s="30"/>
      <c r="C211" s="31" t="s">
        <v>85</v>
      </c>
      <c r="G211" s="205"/>
      <c r="H211" s="205"/>
      <c r="I211" s="206"/>
      <c r="K211" s="151">
        <f>SUBTOTAL(9,K97:K210)</f>
        <v>659783698.71000016</v>
      </c>
      <c r="L211" s="22"/>
      <c r="M211" s="35">
        <f>SUBTOTAL(9,M97:M210)</f>
        <v>240801932.52000004</v>
      </c>
      <c r="N211" s="35"/>
      <c r="O211" s="35">
        <f>SUBTOTAL(9,O97:O210)</f>
        <v>419153927</v>
      </c>
      <c r="P211" s="35"/>
      <c r="Q211" s="35">
        <f>SUBTOTAL(9,Q97:Q210)</f>
        <v>19979786.730001006</v>
      </c>
      <c r="S211" s="23">
        <f>+ROUND(Q211/K211*100,2)</f>
        <v>3.03</v>
      </c>
      <c r="T211" s="22"/>
      <c r="U211" s="50"/>
    </row>
    <row r="212" spans="1:21">
      <c r="A212" s="30"/>
      <c r="C212" s="34"/>
      <c r="G212" s="205"/>
      <c r="H212" s="205"/>
      <c r="I212" s="206"/>
      <c r="K212" s="157"/>
      <c r="S212" s="26"/>
      <c r="U212" s="49"/>
    </row>
    <row r="213" spans="1:21" ht="15.75">
      <c r="A213" s="30"/>
      <c r="C213" s="18" t="s">
        <v>86</v>
      </c>
      <c r="G213" s="205"/>
      <c r="I213" s="206"/>
      <c r="K213" s="157"/>
      <c r="S213" s="26"/>
      <c r="U213" s="49"/>
    </row>
    <row r="214" spans="1:21" ht="15.75">
      <c r="A214" s="30"/>
      <c r="C214" s="25"/>
      <c r="G214" s="205"/>
      <c r="I214" s="206"/>
      <c r="K214" s="157"/>
      <c r="S214" s="26"/>
      <c r="U214" s="49"/>
    </row>
    <row r="215" spans="1:21">
      <c r="A215" s="30">
        <v>353</v>
      </c>
      <c r="C215" s="13" t="s">
        <v>87</v>
      </c>
      <c r="E215" s="205"/>
      <c r="G215" s="205" t="s">
        <v>270</v>
      </c>
      <c r="H215" s="205"/>
      <c r="I215" s="206">
        <v>-30</v>
      </c>
      <c r="K215" s="157">
        <v>309555391</v>
      </c>
      <c r="L215" s="145"/>
      <c r="M215" s="147">
        <v>76311552.280000001</v>
      </c>
      <c r="N215" s="147"/>
      <c r="O215" s="147">
        <v>326110456</v>
      </c>
      <c r="P215" s="147"/>
      <c r="Q215" s="147">
        <v>8829790</v>
      </c>
      <c r="S215" s="26">
        <v>2.85</v>
      </c>
      <c r="U215" s="49">
        <v>36.9</v>
      </c>
    </row>
    <row r="216" spans="1:21">
      <c r="A216" s="30">
        <v>353.1</v>
      </c>
      <c r="C216" s="13" t="s">
        <v>88</v>
      </c>
      <c r="E216" s="205"/>
      <c r="G216" s="205" t="s">
        <v>271</v>
      </c>
      <c r="H216" s="205"/>
      <c r="I216" s="206">
        <v>-10</v>
      </c>
      <c r="K216" s="157">
        <v>9834245.3499999996</v>
      </c>
      <c r="L216" s="145"/>
      <c r="M216" s="147">
        <v>5008331.13</v>
      </c>
      <c r="N216" s="147"/>
      <c r="O216" s="147">
        <v>5809339</v>
      </c>
      <c r="P216" s="147"/>
      <c r="Q216" s="147">
        <v>1292108</v>
      </c>
      <c r="S216" s="26">
        <v>13.14</v>
      </c>
      <c r="U216" s="49">
        <v>4.5</v>
      </c>
    </row>
    <row r="217" spans="1:21">
      <c r="A217" s="30">
        <v>354</v>
      </c>
      <c r="C217" s="13" t="s">
        <v>89</v>
      </c>
      <c r="E217" s="205"/>
      <c r="G217" s="205" t="s">
        <v>272</v>
      </c>
      <c r="H217" s="205"/>
      <c r="I217" s="206">
        <v>0</v>
      </c>
      <c r="K217" s="157">
        <v>3853520.91</v>
      </c>
      <c r="L217" s="145"/>
      <c r="M217" s="147">
        <v>1588212.61</v>
      </c>
      <c r="N217" s="147"/>
      <c r="O217" s="147">
        <v>2265308</v>
      </c>
      <c r="P217" s="147"/>
      <c r="Q217" s="147">
        <v>72129</v>
      </c>
      <c r="S217" s="26">
        <v>1.87</v>
      </c>
      <c r="U217" s="49">
        <v>31.4</v>
      </c>
    </row>
    <row r="218" spans="1:21">
      <c r="A218" s="30">
        <v>355</v>
      </c>
      <c r="C218" s="13" t="s">
        <v>90</v>
      </c>
      <c r="E218" s="205"/>
      <c r="G218" s="205" t="s">
        <v>273</v>
      </c>
      <c r="H218" s="205"/>
      <c r="I218" s="206">
        <v>-75</v>
      </c>
      <c r="K218" s="157">
        <v>240192196.53</v>
      </c>
      <c r="L218" s="145"/>
      <c r="M218" s="147">
        <v>63396059.149999999</v>
      </c>
      <c r="N218" s="147"/>
      <c r="O218" s="147">
        <v>356940285</v>
      </c>
      <c r="P218" s="147"/>
      <c r="Q218" s="147">
        <v>7790779</v>
      </c>
      <c r="S218" s="26">
        <v>3.24</v>
      </c>
      <c r="U218" s="49">
        <v>45.8</v>
      </c>
    </row>
    <row r="219" spans="1:21">
      <c r="A219" s="30">
        <v>356</v>
      </c>
      <c r="C219" s="13" t="s">
        <v>91</v>
      </c>
      <c r="E219" s="205"/>
      <c r="G219" s="205" t="s">
        <v>144</v>
      </c>
      <c r="H219" s="205"/>
      <c r="I219" s="206">
        <v>-75</v>
      </c>
      <c r="K219" s="157">
        <v>141259051.86000001</v>
      </c>
      <c r="L219" s="145"/>
      <c r="M219" s="147">
        <v>63715251.359999999</v>
      </c>
      <c r="N219" s="147"/>
      <c r="O219" s="147">
        <v>183488089</v>
      </c>
      <c r="P219" s="147"/>
      <c r="Q219" s="147">
        <v>5110882</v>
      </c>
      <c r="S219" s="26">
        <v>3.62</v>
      </c>
      <c r="U219" s="49">
        <v>35.9</v>
      </c>
    </row>
    <row r="220" spans="1:21">
      <c r="A220" s="30">
        <v>359</v>
      </c>
      <c r="C220" s="13" t="s">
        <v>92</v>
      </c>
      <c r="G220" s="205" t="s">
        <v>272</v>
      </c>
      <c r="H220" s="205"/>
      <c r="I220" s="206">
        <v>0</v>
      </c>
      <c r="K220" s="157">
        <v>22927.11</v>
      </c>
      <c r="L220" s="145"/>
      <c r="M220" s="147">
        <v>12100.51</v>
      </c>
      <c r="N220" s="147"/>
      <c r="O220" s="147">
        <v>10827</v>
      </c>
      <c r="P220" s="147"/>
      <c r="Q220" s="147">
        <v>557</v>
      </c>
      <c r="S220" s="26">
        <v>2.4300000000000002</v>
      </c>
      <c r="U220" s="49">
        <v>19.399999999999999</v>
      </c>
    </row>
    <row r="221" spans="1:21">
      <c r="A221" s="30"/>
      <c r="G221" s="205"/>
      <c r="I221" s="206"/>
      <c r="K221" s="165"/>
      <c r="M221" s="32"/>
      <c r="O221" s="32"/>
      <c r="Q221" s="32"/>
      <c r="S221" s="26"/>
      <c r="U221" s="49"/>
    </row>
    <row r="222" spans="1:21" ht="15.75">
      <c r="A222" s="30"/>
      <c r="C222" s="31" t="s">
        <v>93</v>
      </c>
      <c r="G222" s="18"/>
      <c r="H222" s="22"/>
      <c r="I222" s="41"/>
      <c r="J222" s="22"/>
      <c r="K222" s="151">
        <f>SUBTOTAL(9,K215:K221)</f>
        <v>704717332.76000011</v>
      </c>
      <c r="L222" s="22"/>
      <c r="M222" s="35">
        <f>SUBTOTAL(9,M215:M221)</f>
        <v>210031507.03999996</v>
      </c>
      <c r="N222" s="35"/>
      <c r="O222" s="35">
        <f>SUBTOTAL(9,O215:O221)</f>
        <v>874624304</v>
      </c>
      <c r="P222" s="35"/>
      <c r="Q222" s="35">
        <f>SUBTOTAL(9,Q215:Q221)</f>
        <v>23096245</v>
      </c>
      <c r="S222" s="23">
        <f>+ROUND(Q222/K222*100,2)</f>
        <v>3.28</v>
      </c>
      <c r="T222" s="22"/>
      <c r="U222" s="50"/>
    </row>
    <row r="223" spans="1:21">
      <c r="A223" s="30"/>
      <c r="G223" s="205"/>
      <c r="I223" s="206"/>
      <c r="K223" s="157"/>
      <c r="S223" s="26"/>
      <c r="U223" s="49"/>
    </row>
    <row r="224" spans="1:21" ht="15.75">
      <c r="A224" s="30"/>
      <c r="C224" s="18" t="s">
        <v>94</v>
      </c>
      <c r="G224" s="205"/>
      <c r="I224" s="206"/>
      <c r="K224" s="157"/>
      <c r="S224" s="26"/>
      <c r="U224" s="49"/>
    </row>
    <row r="225" spans="1:21" ht="15.75">
      <c r="A225" s="30"/>
      <c r="C225" s="25"/>
      <c r="G225" s="205"/>
      <c r="I225" s="206"/>
      <c r="K225" s="157"/>
      <c r="S225" s="26"/>
      <c r="U225" s="49"/>
    </row>
    <row r="226" spans="1:21">
      <c r="A226" s="30">
        <v>362</v>
      </c>
      <c r="C226" s="13" t="s">
        <v>87</v>
      </c>
      <c r="G226" s="205" t="s">
        <v>147</v>
      </c>
      <c r="H226" s="205"/>
      <c r="I226" s="206">
        <v>-5</v>
      </c>
      <c r="K226" s="157">
        <v>325863839.04000002</v>
      </c>
      <c r="L226" s="145"/>
      <c r="M226" s="147">
        <v>95248438.450000003</v>
      </c>
      <c r="N226" s="147"/>
      <c r="O226" s="147">
        <v>246908593</v>
      </c>
      <c r="P226" s="147"/>
      <c r="Q226" s="147">
        <v>8410892</v>
      </c>
      <c r="S226" s="26">
        <v>2.58</v>
      </c>
      <c r="U226" s="49">
        <v>29.4</v>
      </c>
    </row>
    <row r="227" spans="1:21">
      <c r="A227" s="30">
        <v>362.1</v>
      </c>
      <c r="C227" s="13" t="s">
        <v>95</v>
      </c>
      <c r="G227" s="205" t="s">
        <v>148</v>
      </c>
      <c r="H227" s="205"/>
      <c r="I227" s="206">
        <v>-5</v>
      </c>
      <c r="K227" s="157">
        <v>7799614.71</v>
      </c>
      <c r="L227" s="145"/>
      <c r="M227" s="147">
        <v>4607402.04</v>
      </c>
      <c r="N227" s="147"/>
      <c r="O227" s="147">
        <v>3582193</v>
      </c>
      <c r="P227" s="147"/>
      <c r="Q227" s="147">
        <v>149696</v>
      </c>
      <c r="S227" s="26">
        <v>1.92</v>
      </c>
      <c r="U227" s="49">
        <v>23.9</v>
      </c>
    </row>
    <row r="228" spans="1:21">
      <c r="A228" s="30">
        <v>368</v>
      </c>
      <c r="C228" s="13" t="s">
        <v>96</v>
      </c>
      <c r="G228" s="205" t="s">
        <v>274</v>
      </c>
      <c r="H228" s="205"/>
      <c r="I228" s="206">
        <v>0</v>
      </c>
      <c r="K228" s="157">
        <v>2409681</v>
      </c>
      <c r="L228" s="145"/>
      <c r="M228" s="147">
        <v>1320682.8500000001</v>
      </c>
      <c r="N228" s="147"/>
      <c r="O228" s="147">
        <v>1088998</v>
      </c>
      <c r="P228" s="147"/>
      <c r="Q228" s="147">
        <v>26019</v>
      </c>
      <c r="S228" s="26">
        <v>1.08</v>
      </c>
      <c r="U228" s="49">
        <v>41.9</v>
      </c>
    </row>
    <row r="229" spans="1:21">
      <c r="A229" s="30"/>
      <c r="G229" s="205"/>
      <c r="I229" s="206"/>
      <c r="K229" s="165"/>
      <c r="M229" s="32"/>
      <c r="O229" s="32"/>
      <c r="Q229" s="32"/>
      <c r="S229" s="26"/>
      <c r="U229" s="49"/>
    </row>
    <row r="230" spans="1:21" ht="15.75">
      <c r="A230" s="30"/>
      <c r="C230" s="31" t="s">
        <v>97</v>
      </c>
      <c r="G230" s="18"/>
      <c r="H230" s="22"/>
      <c r="I230" s="41"/>
      <c r="J230" s="22"/>
      <c r="K230" s="151">
        <f>SUBTOTAL(9,K226:K229)</f>
        <v>336073134.75</v>
      </c>
      <c r="L230" s="22"/>
      <c r="M230" s="35">
        <f>SUBTOTAL(9,M226:M229)</f>
        <v>101176523.34</v>
      </c>
      <c r="N230" s="35"/>
      <c r="O230" s="35">
        <f>SUBTOTAL(9,O226:O229)</f>
        <v>251579784</v>
      </c>
      <c r="P230" s="35"/>
      <c r="Q230" s="35">
        <f>SUBTOTAL(9,Q226:Q229)</f>
        <v>8586607</v>
      </c>
      <c r="R230" s="22"/>
      <c r="S230" s="23">
        <f>+ROUND(Q230/K230*100,2)</f>
        <v>2.5499999999999998</v>
      </c>
      <c r="T230" s="22"/>
      <c r="U230" s="50"/>
    </row>
    <row r="231" spans="1:21">
      <c r="A231" s="30"/>
      <c r="G231" s="205"/>
      <c r="I231" s="206"/>
      <c r="K231" s="157"/>
      <c r="S231" s="26"/>
      <c r="U231" s="49"/>
    </row>
    <row r="232" spans="1:21" ht="15.75">
      <c r="A232" s="30"/>
      <c r="C232" s="18" t="s">
        <v>98</v>
      </c>
      <c r="G232" s="205"/>
      <c r="I232" s="206"/>
      <c r="K232" s="157"/>
      <c r="S232" s="26"/>
      <c r="U232" s="49"/>
    </row>
    <row r="233" spans="1:21" ht="15.75">
      <c r="A233" s="30"/>
      <c r="C233" s="25"/>
      <c r="G233" s="205"/>
      <c r="I233" s="206"/>
      <c r="K233" s="157"/>
      <c r="S233" s="26"/>
      <c r="U233" s="49"/>
    </row>
    <row r="234" spans="1:21">
      <c r="A234" s="30">
        <v>390</v>
      </c>
      <c r="C234" s="34" t="s">
        <v>99</v>
      </c>
      <c r="G234" s="205" t="s">
        <v>149</v>
      </c>
      <c r="H234" s="205"/>
      <c r="I234" s="206">
        <v>-10</v>
      </c>
      <c r="K234" s="157">
        <v>19910932.050000001</v>
      </c>
      <c r="L234" s="145"/>
      <c r="M234" s="147">
        <v>8927206</v>
      </c>
      <c r="N234" s="147"/>
      <c r="O234" s="147">
        <v>12974819</v>
      </c>
      <c r="P234" s="147"/>
      <c r="Q234" s="147">
        <v>325154</v>
      </c>
      <c r="S234" s="26">
        <v>1.63</v>
      </c>
      <c r="U234" s="49">
        <v>39.9</v>
      </c>
    </row>
    <row r="235" spans="1:21">
      <c r="A235" s="30">
        <v>391</v>
      </c>
      <c r="C235" s="13" t="s">
        <v>100</v>
      </c>
      <c r="G235" s="205" t="s">
        <v>150</v>
      </c>
      <c r="H235" s="205"/>
      <c r="I235" s="206">
        <v>0</v>
      </c>
      <c r="K235" s="157">
        <v>13849222.77</v>
      </c>
      <c r="L235" s="145"/>
      <c r="M235" s="147">
        <v>4129175</v>
      </c>
      <c r="N235" s="147"/>
      <c r="O235" s="147">
        <v>9720048</v>
      </c>
      <c r="P235" s="147"/>
      <c r="Q235" s="147">
        <v>692290</v>
      </c>
      <c r="S235" s="26">
        <v>5</v>
      </c>
      <c r="U235" s="49">
        <v>14</v>
      </c>
    </row>
    <row r="236" spans="1:21">
      <c r="A236" s="30">
        <v>391.1</v>
      </c>
      <c r="C236" s="13" t="s">
        <v>101</v>
      </c>
      <c r="G236" s="205" t="s">
        <v>151</v>
      </c>
      <c r="H236" s="205"/>
      <c r="I236" s="206">
        <v>0</v>
      </c>
      <c r="K236" s="157">
        <v>21265400.890000001</v>
      </c>
      <c r="L236" s="145"/>
      <c r="M236" s="147">
        <v>11948538</v>
      </c>
      <c r="N236" s="147"/>
      <c r="O236" s="147">
        <v>9316863</v>
      </c>
      <c r="P236" s="147"/>
      <c r="Q236" s="147">
        <v>1417691</v>
      </c>
      <c r="S236" s="26">
        <v>6.67</v>
      </c>
      <c r="U236" s="49">
        <v>6.6</v>
      </c>
    </row>
    <row r="237" spans="1:21">
      <c r="A237" s="30">
        <v>392</v>
      </c>
      <c r="C237" s="13" t="s">
        <v>102</v>
      </c>
      <c r="G237" s="205" t="s">
        <v>275</v>
      </c>
      <c r="H237" s="205"/>
      <c r="I237" s="206">
        <v>0</v>
      </c>
      <c r="K237" s="157">
        <v>21791109.350000001</v>
      </c>
      <c r="L237" s="145"/>
      <c r="M237" s="147">
        <v>8321066</v>
      </c>
      <c r="N237" s="147"/>
      <c r="O237" s="147">
        <v>13470043</v>
      </c>
      <c r="P237" s="147"/>
      <c r="Q237" s="147">
        <v>1753581</v>
      </c>
      <c r="S237" s="26">
        <v>8.0500000000000007</v>
      </c>
      <c r="U237" s="49">
        <v>7.7</v>
      </c>
    </row>
    <row r="238" spans="1:21">
      <c r="A238" s="30">
        <v>393</v>
      </c>
      <c r="C238" s="34" t="s">
        <v>103</v>
      </c>
      <c r="G238" s="205" t="s">
        <v>152</v>
      </c>
      <c r="H238" s="205"/>
      <c r="I238" s="206">
        <v>0</v>
      </c>
      <c r="K238" s="157">
        <v>80885.399999999994</v>
      </c>
      <c r="L238" s="145"/>
      <c r="M238" s="147">
        <v>60546</v>
      </c>
      <c r="N238" s="147"/>
      <c r="O238" s="147">
        <v>20339</v>
      </c>
      <c r="P238" s="147"/>
      <c r="Q238" s="147">
        <v>3236</v>
      </c>
      <c r="S238" s="26">
        <v>4</v>
      </c>
      <c r="U238" s="49">
        <v>6.3</v>
      </c>
    </row>
    <row r="239" spans="1:21">
      <c r="A239" s="30">
        <v>394</v>
      </c>
      <c r="C239" s="34" t="s">
        <v>104</v>
      </c>
      <c r="G239" s="205" t="s">
        <v>150</v>
      </c>
      <c r="H239" s="205"/>
      <c r="I239" s="206">
        <v>0</v>
      </c>
      <c r="K239" s="157">
        <v>2014232.77</v>
      </c>
      <c r="L239" s="145"/>
      <c r="M239" s="147">
        <v>688131</v>
      </c>
      <c r="N239" s="147"/>
      <c r="O239" s="147">
        <v>1326102</v>
      </c>
      <c r="P239" s="147"/>
      <c r="Q239" s="147">
        <v>100716</v>
      </c>
      <c r="S239" s="26">
        <v>5</v>
      </c>
      <c r="U239" s="49">
        <v>13.2</v>
      </c>
    </row>
    <row r="240" spans="1:21">
      <c r="A240" s="30">
        <v>395</v>
      </c>
      <c r="C240" s="34" t="s">
        <v>105</v>
      </c>
      <c r="G240" s="205" t="s">
        <v>150</v>
      </c>
      <c r="H240" s="205"/>
      <c r="I240" s="206">
        <v>0</v>
      </c>
      <c r="K240" s="157">
        <v>4366162.6500000004</v>
      </c>
      <c r="L240" s="145"/>
      <c r="M240" s="147">
        <v>2130387</v>
      </c>
      <c r="N240" s="147"/>
      <c r="O240" s="147">
        <v>2235776</v>
      </c>
      <c r="P240" s="147"/>
      <c r="Q240" s="147">
        <v>218492</v>
      </c>
      <c r="S240" s="26">
        <v>5</v>
      </c>
      <c r="U240" s="49">
        <v>10.199999999999999</v>
      </c>
    </row>
    <row r="241" spans="1:21">
      <c r="A241" s="30">
        <v>396</v>
      </c>
      <c r="C241" s="13" t="s">
        <v>106</v>
      </c>
      <c r="G241" s="205" t="s">
        <v>276</v>
      </c>
      <c r="H241" s="205"/>
      <c r="I241" s="206">
        <v>0</v>
      </c>
      <c r="K241" s="157">
        <v>24030802.09</v>
      </c>
      <c r="L241" s="145"/>
      <c r="M241" s="147">
        <v>9245260</v>
      </c>
      <c r="N241" s="147"/>
      <c r="O241" s="147">
        <v>14785542</v>
      </c>
      <c r="P241" s="147"/>
      <c r="Q241" s="147">
        <v>1159617</v>
      </c>
      <c r="S241" s="26">
        <v>4.83</v>
      </c>
      <c r="U241" s="49">
        <v>12.8</v>
      </c>
    </row>
    <row r="242" spans="1:21">
      <c r="A242" s="30">
        <v>397</v>
      </c>
      <c r="C242" s="13" t="s">
        <v>107</v>
      </c>
      <c r="G242" s="205" t="s">
        <v>151</v>
      </c>
      <c r="H242" s="205"/>
      <c r="I242" s="206">
        <v>0</v>
      </c>
      <c r="K242" s="157">
        <v>22301164.09</v>
      </c>
      <c r="L242" s="145"/>
      <c r="M242" s="147">
        <v>9655523</v>
      </c>
      <c r="N242" s="147"/>
      <c r="O242" s="147">
        <v>12645641</v>
      </c>
      <c r="P242" s="147"/>
      <c r="Q242" s="147">
        <v>1487391</v>
      </c>
      <c r="S242" s="26">
        <v>6.67</v>
      </c>
      <c r="U242" s="49">
        <v>8.5</v>
      </c>
    </row>
    <row r="243" spans="1:21">
      <c r="A243" s="30">
        <v>398</v>
      </c>
      <c r="C243" s="13" t="s">
        <v>108</v>
      </c>
      <c r="G243" s="205" t="s">
        <v>150</v>
      </c>
      <c r="H243" s="205"/>
      <c r="I243" s="206">
        <v>0</v>
      </c>
      <c r="K243" s="157">
        <v>2513134.77</v>
      </c>
      <c r="L243" s="145"/>
      <c r="M243" s="147">
        <v>1024082</v>
      </c>
      <c r="N243" s="147"/>
      <c r="O243" s="147">
        <v>1489053</v>
      </c>
      <c r="P243" s="147"/>
      <c r="Q243" s="147">
        <v>125661</v>
      </c>
      <c r="S243" s="26">
        <v>5</v>
      </c>
      <c r="U243" s="49">
        <v>11.8</v>
      </c>
    </row>
    <row r="244" spans="1:21">
      <c r="A244" s="30"/>
      <c r="G244" s="205"/>
      <c r="I244" s="206"/>
      <c r="K244" s="165"/>
      <c r="M244" s="166"/>
      <c r="O244" s="166"/>
      <c r="Q244" s="166"/>
      <c r="S244" s="26"/>
      <c r="U244" s="49"/>
    </row>
    <row r="245" spans="1:21" ht="15.75">
      <c r="C245" s="31" t="s">
        <v>109</v>
      </c>
      <c r="G245" s="205"/>
      <c r="I245" s="206"/>
      <c r="K245" s="151">
        <f>SUBTOTAL(9,K234:K244)</f>
        <v>132123046.83000001</v>
      </c>
      <c r="L245" s="22"/>
      <c r="M245" s="35">
        <f>SUBTOTAL(9,M234:M244)</f>
        <v>56129914</v>
      </c>
      <c r="N245" s="35"/>
      <c r="O245" s="35">
        <f>SUBTOTAL(9,O234:O244)</f>
        <v>77984226</v>
      </c>
      <c r="P245" s="35"/>
      <c r="Q245" s="35">
        <f>SUBTOTAL(9,Q234:Q244)</f>
        <v>7283829</v>
      </c>
      <c r="R245" s="22"/>
      <c r="S245" s="23">
        <f>+ROUND(Q245/K245*100,2)</f>
        <v>5.51</v>
      </c>
      <c r="T245" s="22"/>
      <c r="U245" s="50"/>
    </row>
    <row r="246" spans="1:21" ht="15.75">
      <c r="C246" s="31"/>
      <c r="G246" s="205"/>
      <c r="I246" s="206"/>
      <c r="K246" s="151"/>
      <c r="L246" s="22"/>
      <c r="M246" s="35"/>
      <c r="N246" s="35"/>
      <c r="O246" s="35"/>
      <c r="P246" s="35"/>
      <c r="Q246" s="35"/>
      <c r="R246" s="22"/>
      <c r="S246" s="23"/>
      <c r="T246" s="22"/>
      <c r="U246" s="50"/>
    </row>
    <row r="247" spans="1:21" ht="15.75">
      <c r="C247" s="21" t="s">
        <v>277</v>
      </c>
      <c r="G247" s="205"/>
      <c r="I247" s="206"/>
      <c r="K247" s="151"/>
      <c r="L247" s="22"/>
      <c r="M247" s="35"/>
      <c r="N247" s="35"/>
      <c r="O247" s="35"/>
      <c r="P247" s="35"/>
      <c r="Q247" s="35"/>
      <c r="R247" s="22"/>
      <c r="S247" s="23"/>
      <c r="T247" s="22"/>
      <c r="U247" s="50"/>
    </row>
    <row r="248" spans="1:21" ht="15.75">
      <c r="C248" s="31"/>
      <c r="G248" s="205"/>
      <c r="I248" s="206"/>
      <c r="K248" s="151"/>
      <c r="L248" s="22"/>
      <c r="M248" s="35"/>
      <c r="N248" s="35"/>
      <c r="O248" s="35"/>
      <c r="P248" s="35"/>
      <c r="Q248" s="35"/>
      <c r="R248" s="22"/>
      <c r="S248" s="23"/>
      <c r="T248" s="22"/>
      <c r="U248" s="50"/>
    </row>
    <row r="249" spans="1:21" ht="15.75">
      <c r="A249" s="30">
        <v>391</v>
      </c>
      <c r="C249" s="13" t="s">
        <v>100</v>
      </c>
      <c r="G249" s="205"/>
      <c r="I249" s="206"/>
      <c r="K249" s="151"/>
      <c r="L249" s="22"/>
      <c r="M249" s="15">
        <v>183061</v>
      </c>
      <c r="N249" s="35"/>
      <c r="O249" s="35"/>
      <c r="P249" s="35"/>
      <c r="Q249" s="15">
        <f>-M249/5</f>
        <v>-36612.199999999997</v>
      </c>
      <c r="R249" s="22" t="s">
        <v>153</v>
      </c>
      <c r="S249" s="23"/>
      <c r="T249" s="22"/>
      <c r="U249" s="50"/>
    </row>
    <row r="250" spans="1:21" ht="15.75">
      <c r="A250" s="30">
        <v>391.1</v>
      </c>
      <c r="C250" s="13" t="s">
        <v>101</v>
      </c>
      <c r="G250" s="205"/>
      <c r="I250" s="206"/>
      <c r="K250" s="151"/>
      <c r="L250" s="22"/>
      <c r="M250" s="15">
        <v>15654354.949999997</v>
      </c>
      <c r="N250" s="35"/>
      <c r="O250" s="35"/>
      <c r="P250" s="35"/>
      <c r="Q250" s="15">
        <f t="shared" ref="Q250:Q255" si="77">-M250/5</f>
        <v>-3130870.9899999993</v>
      </c>
      <c r="R250" s="22" t="s">
        <v>153</v>
      </c>
      <c r="S250" s="23"/>
      <c r="T250" s="22"/>
      <c r="U250" s="50"/>
    </row>
    <row r="251" spans="1:21" ht="15.75">
      <c r="A251" s="30">
        <v>393</v>
      </c>
      <c r="C251" s="34" t="s">
        <v>103</v>
      </c>
      <c r="G251" s="205"/>
      <c r="I251" s="206"/>
      <c r="K251" s="151"/>
      <c r="L251" s="22"/>
      <c r="M251" s="15">
        <v>2304</v>
      </c>
      <c r="N251" s="35"/>
      <c r="O251" s="35"/>
      <c r="P251" s="35"/>
      <c r="Q251" s="15">
        <f t="shared" si="77"/>
        <v>-460.8</v>
      </c>
      <c r="R251" s="22" t="s">
        <v>153</v>
      </c>
      <c r="S251" s="23"/>
      <c r="T251" s="22"/>
      <c r="U251" s="50"/>
    </row>
    <row r="252" spans="1:21" ht="15.75">
      <c r="A252" s="30">
        <v>394</v>
      </c>
      <c r="C252" s="34" t="s">
        <v>104</v>
      </c>
      <c r="G252" s="205"/>
      <c r="I252" s="206"/>
      <c r="K252" s="151"/>
      <c r="L252" s="22"/>
      <c r="M252" s="15">
        <v>42791</v>
      </c>
      <c r="N252" s="35"/>
      <c r="O252" s="35"/>
      <c r="P252" s="35"/>
      <c r="Q252" s="15">
        <f t="shared" si="77"/>
        <v>-8558.2000000000007</v>
      </c>
      <c r="R252" s="22" t="s">
        <v>153</v>
      </c>
      <c r="S252" s="23"/>
      <c r="T252" s="22"/>
      <c r="U252" s="50"/>
    </row>
    <row r="253" spans="1:21" ht="15.75">
      <c r="A253" s="30">
        <v>395</v>
      </c>
      <c r="C253" s="34" t="s">
        <v>105</v>
      </c>
      <c r="G253" s="205"/>
      <c r="I253" s="206"/>
      <c r="K253" s="151"/>
      <c r="L253" s="22"/>
      <c r="M253" s="15">
        <v>86768</v>
      </c>
      <c r="N253" s="35"/>
      <c r="O253" s="35"/>
      <c r="P253" s="35"/>
      <c r="Q253" s="15">
        <f t="shared" si="77"/>
        <v>-17353.599999999999</v>
      </c>
      <c r="R253" s="22" t="s">
        <v>153</v>
      </c>
      <c r="S253" s="23"/>
      <c r="T253" s="22"/>
      <c r="U253" s="50"/>
    </row>
    <row r="254" spans="1:21" ht="15.75">
      <c r="A254" s="30">
        <v>397</v>
      </c>
      <c r="C254" s="13" t="s">
        <v>107</v>
      </c>
      <c r="G254" s="205"/>
      <c r="I254" s="206"/>
      <c r="K254" s="151"/>
      <c r="L254" s="22"/>
      <c r="M254" s="15">
        <v>377760</v>
      </c>
      <c r="N254" s="35"/>
      <c r="O254" s="35"/>
      <c r="P254" s="35"/>
      <c r="Q254" s="15">
        <f t="shared" si="77"/>
        <v>-75552</v>
      </c>
      <c r="R254" s="22" t="s">
        <v>153</v>
      </c>
      <c r="S254" s="23"/>
      <c r="T254" s="22"/>
      <c r="U254" s="50"/>
    </row>
    <row r="255" spans="1:21" ht="15.75">
      <c r="A255" s="30">
        <v>398</v>
      </c>
      <c r="C255" s="13" t="s">
        <v>108</v>
      </c>
      <c r="G255" s="205"/>
      <c r="I255" s="206"/>
      <c r="K255" s="151"/>
      <c r="L255" s="22"/>
      <c r="M255" s="15">
        <v>43117</v>
      </c>
      <c r="N255" s="35"/>
      <c r="O255" s="35"/>
      <c r="P255" s="35"/>
      <c r="Q255" s="15">
        <f t="shared" si="77"/>
        <v>-8623.4</v>
      </c>
      <c r="R255" s="22" t="s">
        <v>153</v>
      </c>
      <c r="S255" s="23"/>
      <c r="T255" s="22"/>
      <c r="U255" s="50"/>
    </row>
    <row r="256" spans="1:21" ht="15.75">
      <c r="C256" s="31"/>
      <c r="G256" s="205"/>
      <c r="I256" s="206"/>
      <c r="K256" s="151"/>
      <c r="L256" s="22"/>
      <c r="M256" s="169"/>
      <c r="N256" s="35"/>
      <c r="O256" s="35"/>
      <c r="P256" s="35"/>
      <c r="Q256" s="169"/>
      <c r="R256" s="22"/>
      <c r="S256" s="23"/>
      <c r="T256" s="22"/>
      <c r="U256" s="50"/>
    </row>
    <row r="257" spans="1:21" ht="15.75">
      <c r="C257" s="31" t="s">
        <v>278</v>
      </c>
      <c r="G257" s="205"/>
      <c r="I257" s="206"/>
      <c r="K257" s="151"/>
      <c r="L257" s="22"/>
      <c r="M257" s="36">
        <f>SUBTOTAL(9,M249:M256)</f>
        <v>16390155.949999997</v>
      </c>
      <c r="N257" s="35"/>
      <c r="O257" s="35"/>
      <c r="P257" s="35"/>
      <c r="Q257" s="36">
        <f>SUBTOTAL(9,Q249:Q256)</f>
        <v>-3278031.1899999995</v>
      </c>
      <c r="R257" s="22"/>
      <c r="S257" s="23"/>
      <c r="T257" s="22"/>
      <c r="U257" s="50"/>
    </row>
    <row r="258" spans="1:21" ht="15.75">
      <c r="C258" s="31"/>
      <c r="G258" s="205"/>
      <c r="I258" s="206"/>
      <c r="K258" s="151"/>
      <c r="L258" s="22"/>
      <c r="M258" s="35"/>
      <c r="N258" s="35"/>
      <c r="O258" s="35"/>
      <c r="P258" s="35"/>
      <c r="Q258" s="35"/>
      <c r="R258" s="22"/>
      <c r="S258" s="26"/>
      <c r="U258" s="50"/>
    </row>
    <row r="259" spans="1:21" ht="16.5" thickBot="1">
      <c r="C259" s="31" t="s">
        <v>111</v>
      </c>
      <c r="G259" s="205"/>
      <c r="I259" s="206"/>
      <c r="K259" s="171">
        <f>SUBTOTAL(9,K13:K258)</f>
        <v>4654637456.0800037</v>
      </c>
      <c r="L259" s="22"/>
      <c r="M259" s="51">
        <f>SUBTOTAL(9,M13:M258)</f>
        <v>1820887036.7100012</v>
      </c>
      <c r="N259" s="35"/>
      <c r="O259" s="51">
        <f>SUBTOTAL(9,O13:O258)</f>
        <v>3248925479</v>
      </c>
      <c r="P259" s="35"/>
      <c r="Q259" s="51">
        <f>SUBTOTAL(9,Q13:Q258)</f>
        <v>129552029.98264608</v>
      </c>
      <c r="R259" s="22"/>
      <c r="S259" s="23">
        <f>+ROUND(Q259/K259*100,2)</f>
        <v>2.78</v>
      </c>
      <c r="T259" s="22"/>
      <c r="U259" s="50"/>
    </row>
    <row r="260" spans="1:21" ht="16.5" thickTop="1">
      <c r="C260" s="22"/>
      <c r="G260" s="205"/>
      <c r="I260" s="206"/>
      <c r="K260" s="151"/>
      <c r="L260" s="22"/>
      <c r="M260" s="35"/>
      <c r="N260" s="35"/>
      <c r="O260" s="35"/>
      <c r="P260" s="35"/>
      <c r="Q260" s="35"/>
      <c r="R260" s="22"/>
      <c r="S260" s="26"/>
      <c r="U260" s="50"/>
    </row>
    <row r="261" spans="1:21" ht="15.75">
      <c r="C261" s="21" t="s">
        <v>112</v>
      </c>
      <c r="G261" s="205"/>
      <c r="I261" s="206"/>
      <c r="K261" s="151"/>
      <c r="L261" s="22"/>
      <c r="M261" s="35"/>
      <c r="N261" s="35"/>
      <c r="O261" s="35"/>
      <c r="P261" s="35"/>
      <c r="Q261" s="35"/>
      <c r="R261" s="22"/>
      <c r="S261" s="26"/>
      <c r="U261" s="50"/>
    </row>
    <row r="262" spans="1:21" ht="15.75">
      <c r="C262" s="22"/>
      <c r="G262" s="205"/>
      <c r="I262" s="206"/>
      <c r="K262" s="151"/>
      <c r="L262" s="22"/>
      <c r="M262" s="35"/>
      <c r="N262" s="35"/>
      <c r="O262" s="35"/>
      <c r="P262" s="35"/>
      <c r="Q262" s="35"/>
      <c r="R262" s="22"/>
      <c r="S262" s="26"/>
      <c r="U262" s="50"/>
    </row>
    <row r="263" spans="1:21" ht="15.75">
      <c r="A263" s="30">
        <v>301</v>
      </c>
      <c r="C263" s="13" t="s">
        <v>113</v>
      </c>
      <c r="G263" s="205"/>
      <c r="I263" s="206"/>
      <c r="K263" s="157">
        <v>5040.43</v>
      </c>
      <c r="N263" s="35"/>
      <c r="O263" s="35"/>
      <c r="P263" s="35"/>
      <c r="Q263" s="35"/>
      <c r="R263" s="22"/>
      <c r="S263" s="26"/>
      <c r="U263" s="50"/>
    </row>
    <row r="264" spans="1:21" ht="15.75">
      <c r="A264" s="30">
        <v>310</v>
      </c>
      <c r="C264" s="13" t="s">
        <v>114</v>
      </c>
      <c r="G264" s="205"/>
      <c r="I264" s="206"/>
      <c r="K264" s="157">
        <v>7074844.4300000006</v>
      </c>
      <c r="N264" s="35"/>
      <c r="O264" s="35"/>
      <c r="P264" s="35"/>
      <c r="Q264" s="35"/>
      <c r="R264" s="22"/>
      <c r="S264" s="26"/>
      <c r="U264" s="50"/>
    </row>
    <row r="265" spans="1:21" ht="15.75">
      <c r="A265" s="30">
        <v>340</v>
      </c>
      <c r="C265" s="13" t="s">
        <v>114</v>
      </c>
      <c r="G265" s="205"/>
      <c r="I265" s="206"/>
      <c r="K265" s="157">
        <v>5964035.6900000004</v>
      </c>
      <c r="N265" s="35"/>
      <c r="O265" s="35"/>
      <c r="P265" s="35"/>
      <c r="Q265" s="35"/>
      <c r="R265" s="22"/>
      <c r="S265" s="26"/>
      <c r="U265" s="50"/>
    </row>
    <row r="266" spans="1:21" ht="15.75">
      <c r="A266" s="30">
        <v>350</v>
      </c>
      <c r="C266" s="13" t="s">
        <v>114</v>
      </c>
      <c r="G266" s="205"/>
      <c r="I266" s="206"/>
      <c r="K266" s="157">
        <v>4673025.2200000007</v>
      </c>
      <c r="N266" s="35"/>
      <c r="O266" s="35"/>
      <c r="P266" s="35"/>
      <c r="Q266" s="35"/>
      <c r="R266" s="22"/>
      <c r="S266" s="26"/>
      <c r="U266" s="50"/>
    </row>
    <row r="267" spans="1:21" ht="15.75">
      <c r="A267" s="30">
        <v>350.1</v>
      </c>
      <c r="C267" s="13" t="s">
        <v>27</v>
      </c>
      <c r="G267" s="205"/>
      <c r="I267" s="206"/>
      <c r="K267" s="157">
        <v>58324160.971999988</v>
      </c>
      <c r="N267" s="35"/>
      <c r="O267" s="35"/>
      <c r="P267" s="35"/>
      <c r="Q267" s="35"/>
      <c r="R267" s="22"/>
      <c r="S267" s="26"/>
      <c r="U267" s="50"/>
    </row>
    <row r="268" spans="1:21" ht="15.75">
      <c r="A268" s="30">
        <v>354.1</v>
      </c>
      <c r="C268" s="13" t="s">
        <v>251</v>
      </c>
      <c r="G268" s="205"/>
      <c r="I268" s="206"/>
      <c r="K268" s="157">
        <v>564962.57000000007</v>
      </c>
      <c r="M268" s="15">
        <v>325366.93</v>
      </c>
      <c r="N268" s="35"/>
      <c r="O268" s="35"/>
      <c r="P268" s="35"/>
      <c r="Q268" s="35"/>
      <c r="R268" s="22"/>
      <c r="S268" s="26"/>
      <c r="U268" s="50"/>
    </row>
    <row r="269" spans="1:21" ht="15.75">
      <c r="A269" s="30">
        <v>360</v>
      </c>
      <c r="C269" s="13" t="s">
        <v>114</v>
      </c>
      <c r="G269" s="205"/>
      <c r="I269" s="206"/>
      <c r="K269" s="157">
        <v>13132104.219999999</v>
      </c>
      <c r="N269" s="35"/>
      <c r="O269" s="35"/>
      <c r="P269" s="35"/>
      <c r="Q269" s="35"/>
      <c r="R269" s="22"/>
      <c r="S269" s="26"/>
      <c r="U269" s="50"/>
    </row>
    <row r="270" spans="1:21" ht="15.75">
      <c r="A270" s="30">
        <v>389</v>
      </c>
      <c r="C270" s="13" t="s">
        <v>114</v>
      </c>
      <c r="G270" s="205"/>
      <c r="I270" s="206"/>
      <c r="K270" s="157">
        <v>1587642.56</v>
      </c>
      <c r="N270" s="35"/>
      <c r="O270" s="35"/>
      <c r="P270" s="35"/>
      <c r="Q270" s="35"/>
      <c r="R270" s="22"/>
      <c r="S270" s="26"/>
      <c r="U270" s="50"/>
    </row>
    <row r="271" spans="1:21" ht="15.75">
      <c r="A271" s="30">
        <v>389.1</v>
      </c>
      <c r="C271" s="13" t="s">
        <v>27</v>
      </c>
      <c r="G271" s="205"/>
      <c r="I271" s="206"/>
      <c r="K271" s="157">
        <v>244222.03</v>
      </c>
      <c r="N271" s="35"/>
      <c r="O271" s="35"/>
      <c r="P271" s="35"/>
      <c r="Q271" s="35"/>
      <c r="R271" s="22"/>
      <c r="S271" s="26"/>
      <c r="U271" s="50"/>
    </row>
    <row r="272" spans="1:21" ht="15.75">
      <c r="A272" s="30">
        <v>398.1</v>
      </c>
      <c r="C272" s="13" t="s">
        <v>252</v>
      </c>
      <c r="G272" s="205"/>
      <c r="I272" s="206"/>
      <c r="K272" s="157">
        <v>448268.6</v>
      </c>
      <c r="M272" s="15">
        <v>448268.6</v>
      </c>
      <c r="N272" s="35"/>
      <c r="O272" s="35"/>
      <c r="P272" s="35"/>
      <c r="Q272" s="35"/>
      <c r="R272" s="22"/>
      <c r="S272" s="26"/>
      <c r="U272" s="50"/>
    </row>
    <row r="273" spans="2:21" ht="15.75">
      <c r="C273" s="22"/>
      <c r="G273" s="205"/>
      <c r="I273" s="206"/>
      <c r="K273" s="174"/>
      <c r="L273" s="22"/>
      <c r="M273" s="169"/>
      <c r="N273" s="35"/>
      <c r="O273" s="35"/>
      <c r="P273" s="35"/>
      <c r="Q273" s="35"/>
      <c r="R273" s="22"/>
      <c r="S273" s="26"/>
      <c r="U273" s="50"/>
    </row>
    <row r="274" spans="2:21" ht="15.75">
      <c r="C274" s="31" t="s">
        <v>115</v>
      </c>
      <c r="G274" s="205"/>
      <c r="I274" s="206"/>
      <c r="K274" s="175">
        <f>SUBTOTAL(9,K263:K273)</f>
        <v>92018306.721999973</v>
      </c>
      <c r="L274" s="22"/>
      <c r="M274" s="36">
        <f>SUBTOTAL(9,M263:M273)</f>
        <v>773635.53</v>
      </c>
      <c r="N274" s="35"/>
      <c r="O274" s="35"/>
      <c r="P274" s="35"/>
      <c r="Q274" s="35"/>
      <c r="R274" s="22"/>
      <c r="S274" s="26"/>
      <c r="U274" s="50"/>
    </row>
    <row r="275" spans="2:21" ht="15.75">
      <c r="C275" s="22"/>
      <c r="G275" s="205"/>
      <c r="I275" s="206"/>
      <c r="K275" s="151"/>
      <c r="L275" s="22"/>
      <c r="M275" s="35"/>
      <c r="N275" s="35"/>
      <c r="O275" s="35"/>
      <c r="P275" s="35"/>
      <c r="Q275" s="35"/>
      <c r="R275" s="22"/>
      <c r="S275" s="26"/>
      <c r="U275" s="50"/>
    </row>
    <row r="276" spans="2:21" ht="16.5" thickBot="1">
      <c r="C276" s="31" t="s">
        <v>116</v>
      </c>
      <c r="G276" s="205"/>
      <c r="I276" s="206"/>
      <c r="K276" s="171">
        <f>SUBTOTAL(9,K13:K275)</f>
        <v>4746655762.8020048</v>
      </c>
      <c r="L276" s="22"/>
      <c r="M276" s="51">
        <f>SUBTOTAL(9,M13:M275)</f>
        <v>1821660672.2400012</v>
      </c>
      <c r="N276" s="35"/>
      <c r="O276" s="35"/>
      <c r="P276" s="35"/>
      <c r="Q276" s="35"/>
      <c r="R276" s="22"/>
      <c r="S276" s="26"/>
      <c r="U276" s="50"/>
    </row>
    <row r="277" spans="2:21" ht="16.5" thickTop="1">
      <c r="C277" s="31"/>
      <c r="G277" s="205"/>
      <c r="I277" s="206"/>
      <c r="K277" s="157"/>
      <c r="L277" s="22"/>
      <c r="M277" s="35"/>
      <c r="N277" s="35"/>
      <c r="O277" s="35"/>
      <c r="P277" s="35"/>
      <c r="Q277" s="35"/>
      <c r="R277" s="22"/>
      <c r="S277" s="26"/>
      <c r="U277" s="50"/>
    </row>
    <row r="278" spans="2:21">
      <c r="B278" s="176" t="s">
        <v>141</v>
      </c>
      <c r="C278" s="13" t="s">
        <v>155</v>
      </c>
    </row>
    <row r="279" spans="2:21" ht="15.75">
      <c r="B279" s="35" t="s">
        <v>153</v>
      </c>
      <c r="C279" s="34" t="s">
        <v>279</v>
      </c>
    </row>
    <row r="280" spans="2:21">
      <c r="B280" s="176"/>
    </row>
  </sheetData>
  <mergeCells count="2">
    <mergeCell ref="AA8:AB8"/>
    <mergeCell ref="AA9:AB9"/>
  </mergeCells>
  <conditionalFormatting sqref="O249:O257">
    <cfRule type="cellIs" dxfId="1" priority="1" operator="lessThan">
      <formula>0</formula>
    </cfRule>
  </conditionalFormatting>
  <printOptions horizontalCentered="1"/>
  <pageMargins left="0.75" right="0.75" top="1" bottom="0.75" header="0.3" footer="0.3"/>
  <pageSetup scale="41" fitToHeight="0" orientation="landscape" r:id="rId1"/>
  <rowBreaks count="3" manualBreakCount="3">
    <brk id="78" max="20" man="1"/>
    <brk id="146" max="20" man="1"/>
    <brk id="212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0"/>
  <sheetViews>
    <sheetView zoomScale="70" zoomScaleNormal="70" workbookViewId="0">
      <pane xSplit="4" ySplit="9" topLeftCell="E253" activePane="bottomRight" state="frozen"/>
      <selection pane="topRight" activeCell="E1" sqref="E1"/>
      <selection pane="bottomLeft" activeCell="A10" sqref="A10"/>
      <selection pane="bottomRight" activeCell="O256" sqref="O256"/>
    </sheetView>
  </sheetViews>
  <sheetFormatPr defaultColWidth="12.5703125" defaultRowHeight="15"/>
  <cols>
    <col min="1" max="1" width="10" style="13" customWidth="1"/>
    <col min="2" max="2" width="3.7109375" style="13" customWidth="1"/>
    <col min="3" max="3" width="74" style="13" customWidth="1"/>
    <col min="4" max="4" width="3.5703125" style="13" customWidth="1"/>
    <col min="5" max="5" width="18.28515625" style="13" customWidth="1"/>
    <col min="6" max="6" width="3.5703125" style="13" customWidth="1"/>
    <col min="7" max="7" width="18.140625" style="13" customWidth="1"/>
    <col min="8" max="8" width="3.7109375" style="13" customWidth="1"/>
    <col min="9" max="9" width="19" style="48" customWidth="1"/>
    <col min="10" max="10" width="3.5703125" style="13" customWidth="1"/>
    <col min="11" max="11" width="31.140625" style="13" customWidth="1"/>
    <col min="12" max="12" width="3.5703125" style="13" customWidth="1"/>
    <col min="13" max="13" width="23.85546875" style="15" bestFit="1" customWidth="1"/>
    <col min="14" max="14" width="3.5703125" style="15" customWidth="1"/>
    <col min="15" max="15" width="25" style="15" customWidth="1"/>
    <col min="16" max="16" width="3.5703125" style="15" customWidth="1"/>
    <col min="17" max="17" width="22.140625" style="15" customWidth="1"/>
    <col min="18" max="18" width="3.5703125" style="13" customWidth="1"/>
    <col min="19" max="19" width="16.28515625" style="13" customWidth="1"/>
    <col min="20" max="20" width="3.5703125" style="13" customWidth="1"/>
    <col min="21" max="21" width="19.5703125" style="13" customWidth="1"/>
    <col min="22" max="23" width="12.5703125" style="13"/>
    <col min="24" max="24" width="14.28515625" style="13" bestFit="1" customWidth="1"/>
    <col min="25" max="25" width="13.5703125" style="13" bestFit="1" customWidth="1"/>
    <col min="26" max="26" width="12.5703125" style="13"/>
    <col min="27" max="27" width="11.7109375" style="13" customWidth="1"/>
    <col min="28" max="16384" width="12.5703125" style="13"/>
  </cols>
  <sheetData>
    <row r="1" spans="1:30" ht="15.75">
      <c r="A1" s="16" t="s">
        <v>258</v>
      </c>
      <c r="B1" s="16"/>
      <c r="C1" s="16"/>
      <c r="D1" s="16"/>
      <c r="E1" s="16"/>
      <c r="F1" s="16"/>
      <c r="G1" s="16"/>
      <c r="H1" s="16"/>
      <c r="I1" s="3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30" ht="15.75">
      <c r="A2" s="16"/>
      <c r="B2" s="16"/>
      <c r="C2" s="16"/>
      <c r="D2" s="16"/>
      <c r="E2" s="16"/>
      <c r="F2" s="16"/>
      <c r="G2" s="16"/>
      <c r="H2" s="16"/>
      <c r="I2" s="37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30" ht="15.75">
      <c r="A3" s="16" t="s">
        <v>259</v>
      </c>
      <c r="B3" s="16"/>
      <c r="C3" s="16"/>
      <c r="D3" s="16"/>
      <c r="E3" s="16"/>
      <c r="F3" s="16"/>
      <c r="G3" s="16"/>
      <c r="H3" s="16"/>
      <c r="I3" s="37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30" ht="15.75">
      <c r="A4" s="16" t="s">
        <v>260</v>
      </c>
      <c r="B4" s="16"/>
      <c r="C4" s="16"/>
      <c r="D4" s="16"/>
      <c r="E4" s="16"/>
      <c r="F4" s="16"/>
      <c r="G4" s="16"/>
      <c r="H4" s="16"/>
      <c r="I4" s="37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AD4" s="13" t="s">
        <v>140</v>
      </c>
    </row>
    <row r="5" spans="1:30" ht="15.75">
      <c r="A5" s="16"/>
      <c r="B5" s="17"/>
      <c r="C5" s="17"/>
      <c r="D5" s="17"/>
      <c r="E5" s="53" t="s">
        <v>304</v>
      </c>
      <c r="F5" s="17"/>
      <c r="G5" s="17"/>
      <c r="H5" s="17"/>
      <c r="I5" s="38"/>
      <c r="J5" s="17"/>
      <c r="K5" s="17"/>
      <c r="L5" s="17"/>
      <c r="M5" s="39"/>
      <c r="N5" s="39"/>
      <c r="O5" s="39"/>
      <c r="P5" s="39"/>
      <c r="AD5" s="13" t="s">
        <v>188</v>
      </c>
    </row>
    <row r="6" spans="1:30" ht="15.75">
      <c r="B6" s="22"/>
      <c r="C6" s="18"/>
      <c r="D6" s="18"/>
      <c r="E6" s="40" t="s">
        <v>117</v>
      </c>
      <c r="F6" s="18"/>
      <c r="G6" s="18"/>
      <c r="H6" s="18"/>
      <c r="I6" s="41" t="s">
        <v>118</v>
      </c>
      <c r="J6" s="18"/>
      <c r="K6" s="18" t="s">
        <v>119</v>
      </c>
      <c r="L6" s="18"/>
      <c r="M6" s="209" t="s">
        <v>120</v>
      </c>
      <c r="N6" s="209"/>
      <c r="O6" s="209"/>
      <c r="P6" s="209"/>
      <c r="Q6" s="42" t="s">
        <v>245</v>
      </c>
      <c r="R6" s="17"/>
      <c r="S6" s="17"/>
      <c r="T6" s="205"/>
      <c r="U6" s="18" t="s">
        <v>121</v>
      </c>
      <c r="AD6" s="13" t="s">
        <v>327</v>
      </c>
    </row>
    <row r="7" spans="1:30" ht="15.75">
      <c r="B7" s="22"/>
      <c r="C7" s="18"/>
      <c r="D7" s="18"/>
      <c r="E7" s="40" t="s">
        <v>122</v>
      </c>
      <c r="F7" s="18"/>
      <c r="G7" s="18" t="s">
        <v>123</v>
      </c>
      <c r="H7" s="18"/>
      <c r="I7" s="41" t="s">
        <v>124</v>
      </c>
      <c r="J7" s="18"/>
      <c r="K7" s="18" t="s">
        <v>125</v>
      </c>
      <c r="L7" s="18"/>
      <c r="M7" s="209" t="s">
        <v>126</v>
      </c>
      <c r="N7" s="209"/>
      <c r="O7" s="209" t="s">
        <v>127</v>
      </c>
      <c r="P7" s="209"/>
      <c r="Q7" s="45" t="s">
        <v>261</v>
      </c>
      <c r="R7" s="25"/>
      <c r="S7" s="25" t="s">
        <v>246</v>
      </c>
      <c r="T7" s="205"/>
      <c r="U7" s="18" t="s">
        <v>128</v>
      </c>
      <c r="Y7" s="13" t="s">
        <v>140</v>
      </c>
      <c r="AC7" s="13" t="s">
        <v>326</v>
      </c>
      <c r="AD7" s="13" t="s">
        <v>328</v>
      </c>
    </row>
    <row r="8" spans="1:30" ht="15.75">
      <c r="B8" s="22"/>
      <c r="C8" s="18" t="s">
        <v>23</v>
      </c>
      <c r="D8" s="18"/>
      <c r="E8" s="43" t="s">
        <v>129</v>
      </c>
      <c r="F8" s="18"/>
      <c r="G8" s="18" t="s">
        <v>130</v>
      </c>
      <c r="H8" s="18"/>
      <c r="I8" s="41" t="s">
        <v>131</v>
      </c>
      <c r="J8" s="18"/>
      <c r="K8" s="44" t="s">
        <v>250</v>
      </c>
      <c r="L8" s="18"/>
      <c r="M8" s="209" t="s">
        <v>132</v>
      </c>
      <c r="N8" s="209"/>
      <c r="O8" s="209" t="s">
        <v>133</v>
      </c>
      <c r="P8" s="209"/>
      <c r="Q8" s="209" t="s">
        <v>134</v>
      </c>
      <c r="R8" s="18"/>
      <c r="S8" s="18" t="s">
        <v>135</v>
      </c>
      <c r="T8" s="205"/>
      <c r="U8" s="18" t="s">
        <v>136</v>
      </c>
      <c r="Y8" s="13" t="s">
        <v>188</v>
      </c>
      <c r="Z8" s="205" t="s">
        <v>318</v>
      </c>
      <c r="AA8" s="343" t="s">
        <v>330</v>
      </c>
      <c r="AB8" s="343"/>
      <c r="AC8" s="13" t="s">
        <v>324</v>
      </c>
      <c r="AD8" s="13" t="s">
        <v>329</v>
      </c>
    </row>
    <row r="9" spans="1:30" ht="15.75">
      <c r="B9" s="22"/>
      <c r="C9" s="45">
        <v>-1</v>
      </c>
      <c r="D9" s="19"/>
      <c r="E9" s="45">
        <v>-2</v>
      </c>
      <c r="F9" s="19"/>
      <c r="G9" s="46">
        <v>-3</v>
      </c>
      <c r="H9" s="19"/>
      <c r="I9" s="45">
        <v>-4</v>
      </c>
      <c r="J9" s="19"/>
      <c r="K9" s="45">
        <v>-5</v>
      </c>
      <c r="L9" s="209"/>
      <c r="M9" s="45">
        <v>-6</v>
      </c>
      <c r="N9" s="209"/>
      <c r="O9" s="45">
        <v>-7</v>
      </c>
      <c r="P9" s="209"/>
      <c r="Q9" s="45">
        <v>-8</v>
      </c>
      <c r="R9" s="19"/>
      <c r="S9" s="47" t="s">
        <v>137</v>
      </c>
      <c r="U9" s="47" t="s">
        <v>138</v>
      </c>
      <c r="Y9" s="234" t="s">
        <v>322</v>
      </c>
      <c r="Z9" s="235" t="s">
        <v>319</v>
      </c>
      <c r="AA9" s="344" t="s">
        <v>331</v>
      </c>
      <c r="AB9" s="344"/>
      <c r="AC9" s="234" t="s">
        <v>325</v>
      </c>
      <c r="AD9" s="234" t="s">
        <v>325</v>
      </c>
    </row>
    <row r="10" spans="1:30" ht="15.75">
      <c r="B10" s="22"/>
      <c r="C10" s="19"/>
      <c r="D10" s="19"/>
      <c r="E10" s="19"/>
      <c r="F10" s="19"/>
      <c r="G10" s="19"/>
      <c r="H10" s="19"/>
      <c r="I10" s="41"/>
      <c r="J10" s="19"/>
      <c r="K10" s="19"/>
      <c r="L10" s="19"/>
      <c r="M10" s="209"/>
      <c r="N10" s="209"/>
      <c r="O10" s="209"/>
      <c r="P10" s="209"/>
      <c r="Q10" s="209"/>
      <c r="R10" s="19"/>
      <c r="S10" s="19"/>
      <c r="U10" s="19"/>
    </row>
    <row r="11" spans="1:30" ht="15.75">
      <c r="B11" s="22"/>
      <c r="C11" s="21" t="s">
        <v>24</v>
      </c>
      <c r="D11" s="19"/>
      <c r="E11" s="19"/>
      <c r="F11" s="19"/>
      <c r="G11" s="19"/>
      <c r="H11" s="19"/>
      <c r="I11" s="41"/>
      <c r="J11" s="19"/>
      <c r="K11" s="19"/>
      <c r="L11" s="19"/>
      <c r="M11" s="209"/>
      <c r="N11" s="209"/>
      <c r="O11" s="209"/>
      <c r="P11" s="209"/>
      <c r="Q11" s="209"/>
      <c r="R11" s="19"/>
      <c r="S11" s="19"/>
      <c r="U11" s="19"/>
    </row>
    <row r="12" spans="1:30" ht="15.75">
      <c r="B12" s="22"/>
      <c r="C12" s="19"/>
      <c r="D12" s="19"/>
      <c r="E12" s="19"/>
      <c r="F12" s="19"/>
      <c r="G12" s="19"/>
      <c r="H12" s="19"/>
      <c r="I12" s="41"/>
      <c r="J12" s="19"/>
      <c r="K12" s="19"/>
      <c r="L12" s="19"/>
      <c r="M12" s="209"/>
      <c r="N12" s="209"/>
      <c r="O12" s="209"/>
      <c r="P12" s="209"/>
      <c r="Q12" s="209"/>
      <c r="R12" s="19"/>
      <c r="S12" s="19"/>
      <c r="U12" s="19"/>
    </row>
    <row r="13" spans="1:30" ht="15.75">
      <c r="A13" s="30">
        <v>303</v>
      </c>
      <c r="C13" s="13" t="s">
        <v>25</v>
      </c>
      <c r="D13" s="19"/>
      <c r="E13" s="205"/>
      <c r="G13" s="205" t="s">
        <v>152</v>
      </c>
      <c r="H13" s="205"/>
      <c r="I13" s="206">
        <v>0</v>
      </c>
      <c r="K13" s="144">
        <v>20095177.920000002</v>
      </c>
      <c r="L13" s="145"/>
      <c r="M13" s="148">
        <v>3406872.3</v>
      </c>
      <c r="N13" s="147"/>
      <c r="O13" s="148">
        <v>16688306</v>
      </c>
      <c r="P13" s="147"/>
      <c r="Q13" s="148">
        <v>735656</v>
      </c>
      <c r="S13" s="26">
        <v>3.66</v>
      </c>
      <c r="U13" s="49">
        <v>22.7</v>
      </c>
      <c r="X13" s="26"/>
    </row>
    <row r="14" spans="1:30" ht="15.75">
      <c r="B14" s="22"/>
      <c r="C14" s="19"/>
      <c r="D14" s="19"/>
      <c r="E14" s="19"/>
      <c r="F14" s="19"/>
      <c r="G14" s="19"/>
      <c r="H14" s="19"/>
      <c r="I14" s="41"/>
      <c r="J14" s="19"/>
      <c r="K14" s="19"/>
      <c r="L14" s="19"/>
      <c r="M14" s="209"/>
      <c r="N14" s="209"/>
      <c r="O14" s="209"/>
      <c r="P14" s="209"/>
      <c r="Q14" s="209"/>
      <c r="R14" s="19"/>
      <c r="S14" s="19"/>
      <c r="U14" s="19"/>
    </row>
    <row r="15" spans="1:30" ht="15.75">
      <c r="B15" s="22"/>
      <c r="C15" s="31" t="s">
        <v>139</v>
      </c>
      <c r="D15" s="19"/>
      <c r="E15" s="19"/>
      <c r="F15" s="19"/>
      <c r="G15" s="19"/>
      <c r="H15" s="19"/>
      <c r="I15" s="41"/>
      <c r="J15" s="19"/>
      <c r="K15" s="151">
        <f>SUBTOTAL(9,K13:K14)</f>
        <v>20095177.920000002</v>
      </c>
      <c r="L15" s="152"/>
      <c r="M15" s="154">
        <f>SUBTOTAL(9,M13:M14)</f>
        <v>3406872.3</v>
      </c>
      <c r="N15" s="154"/>
      <c r="O15" s="154">
        <f>SUBTOTAL(9,O13:O14)</f>
        <v>16688306</v>
      </c>
      <c r="P15" s="154"/>
      <c r="Q15" s="154">
        <f>SUBTOTAL(9,Q13:Q14)</f>
        <v>735656</v>
      </c>
      <c r="R15" s="22"/>
      <c r="S15" s="23">
        <f>+ROUND(Q15/K15*100,2)</f>
        <v>3.66</v>
      </c>
      <c r="U15" s="19"/>
    </row>
    <row r="16" spans="1:30" ht="15.75">
      <c r="B16" s="22"/>
      <c r="C16" s="19"/>
      <c r="D16" s="19"/>
      <c r="E16" s="19"/>
      <c r="F16" s="19"/>
      <c r="G16" s="19"/>
      <c r="H16" s="19"/>
      <c r="I16" s="41"/>
      <c r="J16" s="19"/>
      <c r="K16" s="19"/>
      <c r="L16" s="19"/>
      <c r="M16" s="209"/>
      <c r="N16" s="209"/>
      <c r="O16" s="209"/>
      <c r="P16" s="209"/>
      <c r="Q16" s="209"/>
      <c r="R16" s="19"/>
      <c r="S16" s="19"/>
      <c r="U16" s="19"/>
    </row>
    <row r="17" spans="1:31" ht="15.75">
      <c r="C17" s="18" t="s">
        <v>26</v>
      </c>
      <c r="S17" s="24"/>
      <c r="U17" s="30"/>
    </row>
    <row r="18" spans="1:31" ht="15.75">
      <c r="C18" s="25"/>
      <c r="S18" s="26"/>
      <c r="U18" s="49"/>
    </row>
    <row r="19" spans="1:31">
      <c r="A19" s="30">
        <v>310.10000000000002</v>
      </c>
      <c r="C19" s="13" t="s">
        <v>27</v>
      </c>
      <c r="S19" s="26"/>
      <c r="U19" s="49"/>
      <c r="X19" s="13" t="s">
        <v>15</v>
      </c>
    </row>
    <row r="20" spans="1:31">
      <c r="C20" s="33" t="s">
        <v>28</v>
      </c>
      <c r="E20" s="207">
        <v>50770</v>
      </c>
      <c r="G20" s="205" t="s">
        <v>140</v>
      </c>
      <c r="H20" s="205" t="s">
        <v>141</v>
      </c>
      <c r="I20" s="206">
        <v>0</v>
      </c>
      <c r="K20" s="157">
        <v>5325571.5599999996</v>
      </c>
      <c r="L20" s="145"/>
      <c r="M20" s="147">
        <v>2634053.77</v>
      </c>
      <c r="N20" s="147"/>
      <c r="O20" s="52">
        <f>ROUND((K20+(K20*-(I20/100)))-M20,0)</f>
        <v>2691518</v>
      </c>
      <c r="P20" s="27"/>
      <c r="Q20" s="27">
        <f>O20/U20</f>
        <v>179434.53333333333</v>
      </c>
      <c r="R20" s="14"/>
      <c r="S20" s="28">
        <f>Q20/K20*100</f>
        <v>3.3693009531794429</v>
      </c>
      <c r="U20" s="49">
        <f t="shared" ref="U20:U24" si="0">AD20</f>
        <v>15</v>
      </c>
      <c r="X20" s="24">
        <f>'Adj 2 Depr-No Int NS or Retire '!U20</f>
        <v>15</v>
      </c>
      <c r="Y20" s="231" t="s">
        <v>323</v>
      </c>
      <c r="Z20" s="207"/>
      <c r="AC20" s="242">
        <v>0</v>
      </c>
      <c r="AD20" s="256">
        <f>X20+AC20</f>
        <v>15</v>
      </c>
      <c r="AE20" s="242"/>
    </row>
    <row r="21" spans="1:31">
      <c r="C21" s="33" t="s">
        <v>29</v>
      </c>
      <c r="E21" s="207">
        <v>50770</v>
      </c>
      <c r="G21" s="205" t="s">
        <v>140</v>
      </c>
      <c r="H21" s="205" t="s">
        <v>141</v>
      </c>
      <c r="I21" s="206">
        <v>0</v>
      </c>
      <c r="K21" s="157">
        <v>480134.08</v>
      </c>
      <c r="L21" s="145"/>
      <c r="M21" s="147">
        <v>322717</v>
      </c>
      <c r="N21" s="147"/>
      <c r="O21" s="52">
        <f>ROUND((K21+(K21*-(I21/100)))-M21,0)</f>
        <v>157417</v>
      </c>
      <c r="P21" s="27"/>
      <c r="Q21" s="27">
        <f t="shared" ref="Q21:Q24" si="1">O21/U21</f>
        <v>10494.466666666667</v>
      </c>
      <c r="R21" s="14"/>
      <c r="S21" s="28">
        <f>Q21/K21*100</f>
        <v>2.1857366731115331</v>
      </c>
      <c r="U21" s="49">
        <f t="shared" si="0"/>
        <v>15</v>
      </c>
      <c r="X21" s="24">
        <f>'Adj 2 Depr-No Int NS or Retire '!U21</f>
        <v>15</v>
      </c>
      <c r="Y21" s="231" t="s">
        <v>323</v>
      </c>
      <c r="Z21" s="207"/>
      <c r="AC21" s="242">
        <v>0</v>
      </c>
      <c r="AD21" s="256">
        <f t="shared" ref="AD21:AD24" si="2">X21+AC21</f>
        <v>15</v>
      </c>
      <c r="AE21" s="242"/>
    </row>
    <row r="22" spans="1:31">
      <c r="C22" s="33" t="s">
        <v>30</v>
      </c>
      <c r="E22" s="207">
        <v>54788</v>
      </c>
      <c r="G22" s="205" t="s">
        <v>140</v>
      </c>
      <c r="H22" s="205" t="s">
        <v>141</v>
      </c>
      <c r="I22" s="206">
        <v>0</v>
      </c>
      <c r="K22" s="157">
        <v>54040615.270000003</v>
      </c>
      <c r="L22" s="145"/>
      <c r="M22" s="147">
        <v>6181596.7400000002</v>
      </c>
      <c r="N22" s="147"/>
      <c r="O22" s="52">
        <f>ROUND((K22+(K22*-(I22/100)))-M22,0)</f>
        <v>47859019</v>
      </c>
      <c r="P22" s="27"/>
      <c r="Q22" s="27">
        <f t="shared" si="1"/>
        <v>997062.89583333337</v>
      </c>
      <c r="R22" s="14"/>
      <c r="S22" s="28">
        <f>Q22/K22*100</f>
        <v>1.8450250628194473</v>
      </c>
      <c r="U22" s="49">
        <f t="shared" si="0"/>
        <v>48</v>
      </c>
      <c r="X22" s="24">
        <f>'Adj 2 Depr-No Int NS or Retire '!U22</f>
        <v>26</v>
      </c>
      <c r="Y22" s="231" t="s">
        <v>323</v>
      </c>
      <c r="Z22" s="207"/>
      <c r="AC22" s="54">
        <v>22</v>
      </c>
      <c r="AD22" s="239">
        <f t="shared" si="2"/>
        <v>48</v>
      </c>
      <c r="AE22" s="242"/>
    </row>
    <row r="23" spans="1:31">
      <c r="C23" s="33" t="s">
        <v>31</v>
      </c>
      <c r="E23" s="207">
        <v>54788</v>
      </c>
      <c r="G23" s="205" t="s">
        <v>140</v>
      </c>
      <c r="H23" s="205" t="s">
        <v>141</v>
      </c>
      <c r="I23" s="206">
        <v>0</v>
      </c>
      <c r="K23" s="157">
        <v>1050779.8600000001</v>
      </c>
      <c r="L23" s="145"/>
      <c r="M23" s="147">
        <v>159403</v>
      </c>
      <c r="N23" s="147"/>
      <c r="O23" s="52">
        <f>ROUND((K23+(K23*-(I23/100)))-M23,0)</f>
        <v>891377</v>
      </c>
      <c r="P23" s="27"/>
      <c r="Q23" s="27">
        <f t="shared" si="1"/>
        <v>18570.354166666668</v>
      </c>
      <c r="R23" s="14"/>
      <c r="S23" s="28">
        <f>Q23/K23*100</f>
        <v>1.7672925484760116</v>
      </c>
      <c r="U23" s="49">
        <f t="shared" si="0"/>
        <v>48</v>
      </c>
      <c r="X23" s="24">
        <f>'Adj 2 Depr-No Int NS or Retire '!U23</f>
        <v>26</v>
      </c>
      <c r="Y23" s="231" t="s">
        <v>323</v>
      </c>
      <c r="Z23" s="207"/>
      <c r="AC23" s="54">
        <v>22</v>
      </c>
      <c r="AD23" s="239">
        <f t="shared" si="2"/>
        <v>48</v>
      </c>
      <c r="AE23" s="242"/>
    </row>
    <row r="24" spans="1:31">
      <c r="C24" s="33" t="s">
        <v>32</v>
      </c>
      <c r="E24" s="207">
        <v>46387</v>
      </c>
      <c r="G24" s="205" t="s">
        <v>140</v>
      </c>
      <c r="H24" s="205" t="s">
        <v>141</v>
      </c>
      <c r="I24" s="206">
        <v>0</v>
      </c>
      <c r="K24" s="144">
        <v>6050424.8700000001</v>
      </c>
      <c r="L24" s="145"/>
      <c r="M24" s="148">
        <v>3611585.76</v>
      </c>
      <c r="N24" s="147"/>
      <c r="O24" s="55">
        <f>ROUND((K24+(K24*-(I24/100)))-M24,0)</f>
        <v>2438839</v>
      </c>
      <c r="P24" s="27"/>
      <c r="Q24" s="29">
        <f t="shared" si="1"/>
        <v>812946.33333333337</v>
      </c>
      <c r="R24" s="14"/>
      <c r="S24" s="28">
        <f>Q24/K24*100</f>
        <v>13.436185900996625</v>
      </c>
      <c r="U24" s="49">
        <f t="shared" si="0"/>
        <v>3</v>
      </c>
      <c r="X24" s="24">
        <f>'Adj 2 Depr-No Int NS or Retire '!U24</f>
        <v>3</v>
      </c>
      <c r="Y24" s="231" t="s">
        <v>323</v>
      </c>
      <c r="Z24" s="207"/>
      <c r="AC24" s="242">
        <v>0</v>
      </c>
      <c r="AD24" s="256">
        <f t="shared" si="2"/>
        <v>3</v>
      </c>
      <c r="AE24" s="242"/>
    </row>
    <row r="25" spans="1:31">
      <c r="G25" s="205"/>
      <c r="H25" s="205"/>
      <c r="I25" s="206"/>
      <c r="K25" s="157"/>
      <c r="L25" s="145"/>
      <c r="M25" s="147"/>
      <c r="N25" s="147"/>
      <c r="O25" s="147"/>
      <c r="P25" s="147"/>
      <c r="Q25" s="147"/>
      <c r="S25" s="26"/>
      <c r="U25" s="49"/>
      <c r="AC25" s="242"/>
      <c r="AD25" s="242"/>
      <c r="AE25" s="242"/>
    </row>
    <row r="26" spans="1:31">
      <c r="C26" s="13" t="s">
        <v>33</v>
      </c>
      <c r="G26" s="205"/>
      <c r="H26" s="205"/>
      <c r="I26" s="206"/>
      <c r="K26" s="157">
        <f>SUBTOTAL(9,K20:K25)</f>
        <v>66947525.640000001</v>
      </c>
      <c r="L26" s="145"/>
      <c r="M26" s="147">
        <f>SUBTOTAL(9,M20:M25)</f>
        <v>12909356.27</v>
      </c>
      <c r="N26" s="147"/>
      <c r="O26" s="147">
        <f>SUBTOTAL(9,O20:O25)</f>
        <v>54038170</v>
      </c>
      <c r="P26" s="147"/>
      <c r="Q26" s="147">
        <f>SUBTOTAL(9,Q20:Q25)</f>
        <v>2018508.5833333335</v>
      </c>
      <c r="S26" s="26">
        <f>+ROUND(Q26/K26*100,2)</f>
        <v>3.02</v>
      </c>
      <c r="U26" s="49"/>
      <c r="AC26" s="242"/>
      <c r="AD26" s="242"/>
      <c r="AE26" s="242"/>
    </row>
    <row r="27" spans="1:31" ht="15.75">
      <c r="C27" s="18"/>
      <c r="S27" s="26"/>
      <c r="U27" s="49"/>
      <c r="AC27" s="242"/>
      <c r="AD27" s="242"/>
      <c r="AE27" s="242"/>
    </row>
    <row r="28" spans="1:31">
      <c r="A28" s="30">
        <v>311</v>
      </c>
      <c r="C28" s="13" t="s">
        <v>34</v>
      </c>
      <c r="S28" s="26"/>
      <c r="U28" s="49"/>
    </row>
    <row r="29" spans="1:31">
      <c r="A29" s="30"/>
      <c r="C29" s="33" t="s">
        <v>35</v>
      </c>
      <c r="E29" s="207">
        <v>47848</v>
      </c>
      <c r="G29" s="228" t="s">
        <v>140</v>
      </c>
      <c r="H29" s="205" t="s">
        <v>141</v>
      </c>
      <c r="I29" s="229">
        <v>0</v>
      </c>
      <c r="K29" s="157">
        <v>619445.56000000006</v>
      </c>
      <c r="L29" s="145"/>
      <c r="M29" s="147">
        <v>546724.53</v>
      </c>
      <c r="N29" s="147"/>
      <c r="O29" s="52">
        <f t="shared" ref="O29:O38" si="3">ROUND((K29+(K29*-(I29/100)))-M29,0)</f>
        <v>72721</v>
      </c>
      <c r="P29" s="27"/>
      <c r="Q29" s="27">
        <f t="shared" ref="Q29:Q38" si="4">O29/U29</f>
        <v>10388.714285714286</v>
      </c>
      <c r="R29" s="14"/>
      <c r="S29" s="28">
        <f t="shared" ref="S29:S38" si="5">Q29/K29*100</f>
        <v>1.6770988375014402</v>
      </c>
      <c r="U29" s="49">
        <f>AD29</f>
        <v>7</v>
      </c>
      <c r="Y29" s="239">
        <f>ROUND((E29-Z29)/365.25,0)</f>
        <v>7</v>
      </c>
      <c r="Z29" s="240">
        <v>45291</v>
      </c>
      <c r="AA29" s="54"/>
      <c r="AB29" s="54"/>
      <c r="AC29" s="54">
        <v>0</v>
      </c>
      <c r="AD29" s="239">
        <f>Y29+AC29</f>
        <v>7</v>
      </c>
    </row>
    <row r="30" spans="1:31">
      <c r="A30" s="30"/>
      <c r="C30" s="33" t="s">
        <v>36</v>
      </c>
      <c r="E30" s="207">
        <v>50770</v>
      </c>
      <c r="G30" s="228" t="s">
        <v>140</v>
      </c>
      <c r="H30" s="205" t="s">
        <v>141</v>
      </c>
      <c r="I30" s="229">
        <v>0</v>
      </c>
      <c r="K30" s="157">
        <v>11594469.07</v>
      </c>
      <c r="L30" s="145"/>
      <c r="M30" s="147">
        <v>10886217.75</v>
      </c>
      <c r="N30" s="147"/>
      <c r="O30" s="52">
        <f t="shared" si="3"/>
        <v>708251</v>
      </c>
      <c r="P30" s="27"/>
      <c r="Q30" s="27">
        <f t="shared" si="4"/>
        <v>47216.73333333333</v>
      </c>
      <c r="R30" s="14"/>
      <c r="S30" s="28">
        <f t="shared" si="5"/>
        <v>0.40723497598957614</v>
      </c>
      <c r="U30" s="49">
        <f t="shared" ref="U30:U38" si="6">AD30</f>
        <v>15</v>
      </c>
      <c r="Y30" s="239">
        <f t="shared" ref="Y30:Y38" si="7">ROUND((E30-Z30)/365.25,0)</f>
        <v>15</v>
      </c>
      <c r="Z30" s="240">
        <v>45291</v>
      </c>
      <c r="AA30" s="54"/>
      <c r="AB30" s="54"/>
      <c r="AC30" s="54">
        <v>0</v>
      </c>
      <c r="AD30" s="239">
        <f t="shared" ref="AD30:AD38" si="8">Y30+AC30</f>
        <v>15</v>
      </c>
    </row>
    <row r="31" spans="1:31">
      <c r="A31" s="30"/>
      <c r="C31" s="33" t="s">
        <v>37</v>
      </c>
      <c r="E31" s="207">
        <v>50770</v>
      </c>
      <c r="G31" s="228" t="s">
        <v>140</v>
      </c>
      <c r="H31" s="205" t="s">
        <v>141</v>
      </c>
      <c r="I31" s="229">
        <v>0</v>
      </c>
      <c r="K31" s="157">
        <v>16839214.859999999</v>
      </c>
      <c r="L31" s="145"/>
      <c r="M31" s="147">
        <v>10420392.59</v>
      </c>
      <c r="N31" s="147"/>
      <c r="O31" s="52">
        <f t="shared" si="3"/>
        <v>6418822</v>
      </c>
      <c r="P31" s="27"/>
      <c r="Q31" s="27">
        <f t="shared" si="4"/>
        <v>427921.46666666667</v>
      </c>
      <c r="R31" s="14"/>
      <c r="S31" s="28">
        <f t="shared" si="5"/>
        <v>2.5412198266034043</v>
      </c>
      <c r="U31" s="49">
        <f t="shared" si="6"/>
        <v>15</v>
      </c>
      <c r="Y31" s="239">
        <f t="shared" si="7"/>
        <v>15</v>
      </c>
      <c r="Z31" s="240">
        <v>45291</v>
      </c>
      <c r="AA31" s="54"/>
      <c r="AB31" s="54"/>
      <c r="AC31" s="54">
        <v>0</v>
      </c>
      <c r="AD31" s="239">
        <f t="shared" si="8"/>
        <v>15</v>
      </c>
    </row>
    <row r="32" spans="1:31">
      <c r="A32" s="30"/>
      <c r="C32" s="33" t="s">
        <v>38</v>
      </c>
      <c r="E32" s="207">
        <v>54788</v>
      </c>
      <c r="G32" s="228" t="s">
        <v>140</v>
      </c>
      <c r="H32" s="205" t="s">
        <v>141</v>
      </c>
      <c r="I32" s="229">
        <v>0</v>
      </c>
      <c r="K32" s="157">
        <v>71702335.620000005</v>
      </c>
      <c r="L32" s="145"/>
      <c r="M32" s="147">
        <v>10053669.310000001</v>
      </c>
      <c r="N32" s="147"/>
      <c r="O32" s="52">
        <f t="shared" si="3"/>
        <v>61648666</v>
      </c>
      <c r="P32" s="27"/>
      <c r="Q32" s="27">
        <f t="shared" si="4"/>
        <v>1284347.2083333333</v>
      </c>
      <c r="R32" s="14"/>
      <c r="S32" s="28">
        <f t="shared" si="5"/>
        <v>1.7912208817575659</v>
      </c>
      <c r="U32" s="49">
        <f t="shared" si="6"/>
        <v>48</v>
      </c>
      <c r="Y32" s="239">
        <f t="shared" si="7"/>
        <v>26</v>
      </c>
      <c r="Z32" s="240">
        <v>45291</v>
      </c>
      <c r="AA32" s="54"/>
      <c r="AB32" s="54"/>
      <c r="AC32" s="54">
        <v>22</v>
      </c>
      <c r="AD32" s="239">
        <f t="shared" si="8"/>
        <v>48</v>
      </c>
    </row>
    <row r="33" spans="1:30">
      <c r="A33" s="30"/>
      <c r="C33" s="33" t="s">
        <v>39</v>
      </c>
      <c r="E33" s="207">
        <v>52231</v>
      </c>
      <c r="G33" s="228" t="s">
        <v>140</v>
      </c>
      <c r="H33" s="205" t="s">
        <v>141</v>
      </c>
      <c r="I33" s="229">
        <v>0</v>
      </c>
      <c r="K33" s="157">
        <v>27725671.460000001</v>
      </c>
      <c r="L33" s="145"/>
      <c r="M33" s="147">
        <v>20154585.920000002</v>
      </c>
      <c r="N33" s="147"/>
      <c r="O33" s="52">
        <f t="shared" si="3"/>
        <v>7571086</v>
      </c>
      <c r="P33" s="27"/>
      <c r="Q33" s="27">
        <f t="shared" si="4"/>
        <v>398478.21052631579</v>
      </c>
      <c r="R33" s="14"/>
      <c r="S33" s="28">
        <f t="shared" si="5"/>
        <v>1.4372175299747123</v>
      </c>
      <c r="U33" s="49">
        <f t="shared" si="6"/>
        <v>19</v>
      </c>
      <c r="Y33" s="239">
        <f t="shared" si="7"/>
        <v>19</v>
      </c>
      <c r="Z33" s="240">
        <v>45291</v>
      </c>
      <c r="AA33" s="54"/>
      <c r="AB33" s="54"/>
      <c r="AC33" s="54">
        <v>0</v>
      </c>
      <c r="AD33" s="239">
        <f t="shared" si="8"/>
        <v>19</v>
      </c>
    </row>
    <row r="34" spans="1:30">
      <c r="A34" s="30"/>
      <c r="C34" s="33" t="s">
        <v>40</v>
      </c>
      <c r="E34" s="207">
        <v>52231</v>
      </c>
      <c r="G34" s="228" t="s">
        <v>140</v>
      </c>
      <c r="H34" s="205" t="s">
        <v>141</v>
      </c>
      <c r="I34" s="229">
        <v>0</v>
      </c>
      <c r="K34" s="157">
        <v>33813856.219999999</v>
      </c>
      <c r="L34" s="145"/>
      <c r="M34" s="147">
        <v>24929129.039999999</v>
      </c>
      <c r="N34" s="147"/>
      <c r="O34" s="52">
        <f t="shared" si="3"/>
        <v>8884727</v>
      </c>
      <c r="P34" s="27"/>
      <c r="Q34" s="27">
        <f t="shared" si="4"/>
        <v>423082.23809523811</v>
      </c>
      <c r="R34" s="14"/>
      <c r="S34" s="28">
        <f t="shared" si="5"/>
        <v>1.2512096678431968</v>
      </c>
      <c r="U34" s="49">
        <f t="shared" si="6"/>
        <v>21</v>
      </c>
      <c r="Y34" s="239">
        <f t="shared" si="7"/>
        <v>19</v>
      </c>
      <c r="Z34" s="240">
        <v>45291</v>
      </c>
      <c r="AA34" s="54"/>
      <c r="AB34" s="54"/>
      <c r="AC34" s="54">
        <v>2</v>
      </c>
      <c r="AD34" s="239">
        <f t="shared" si="8"/>
        <v>21</v>
      </c>
    </row>
    <row r="35" spans="1:30">
      <c r="A35" s="30"/>
      <c r="C35" s="33" t="s">
        <v>41</v>
      </c>
      <c r="E35" s="207">
        <v>54788</v>
      </c>
      <c r="G35" s="228" t="s">
        <v>140</v>
      </c>
      <c r="H35" s="205" t="s">
        <v>141</v>
      </c>
      <c r="I35" s="229">
        <v>0</v>
      </c>
      <c r="K35" s="157">
        <v>135449284.44</v>
      </c>
      <c r="L35" s="145"/>
      <c r="M35" s="147">
        <v>46960727.109999999</v>
      </c>
      <c r="N35" s="147"/>
      <c r="O35" s="52">
        <f t="shared" si="3"/>
        <v>88488557</v>
      </c>
      <c r="P35" s="27"/>
      <c r="Q35" s="27">
        <f t="shared" si="4"/>
        <v>2011103.5681818181</v>
      </c>
      <c r="R35" s="14"/>
      <c r="S35" s="28">
        <f t="shared" si="5"/>
        <v>1.4847650000489128</v>
      </c>
      <c r="U35" s="49">
        <f t="shared" si="6"/>
        <v>44</v>
      </c>
      <c r="Y35" s="239">
        <f t="shared" si="7"/>
        <v>26</v>
      </c>
      <c r="Z35" s="240">
        <v>45291</v>
      </c>
      <c r="AA35" s="54"/>
      <c r="AB35" s="54"/>
      <c r="AC35" s="54">
        <v>18</v>
      </c>
      <c r="AD35" s="239">
        <f t="shared" si="8"/>
        <v>44</v>
      </c>
    </row>
    <row r="36" spans="1:30">
      <c r="A36" s="30"/>
      <c r="C36" s="33" t="s">
        <v>42</v>
      </c>
      <c r="E36" s="207">
        <v>54788</v>
      </c>
      <c r="G36" s="228" t="s">
        <v>140</v>
      </c>
      <c r="H36" s="205" t="s">
        <v>141</v>
      </c>
      <c r="I36" s="229">
        <v>0</v>
      </c>
      <c r="K36" s="157">
        <v>91570829.790000007</v>
      </c>
      <c r="L36" s="145"/>
      <c r="M36" s="147">
        <v>25565458.120000001</v>
      </c>
      <c r="N36" s="147"/>
      <c r="O36" s="52">
        <f t="shared" si="3"/>
        <v>66005372</v>
      </c>
      <c r="P36" s="27"/>
      <c r="Q36" s="27">
        <f t="shared" si="4"/>
        <v>1375111.9166666667</v>
      </c>
      <c r="R36" s="14"/>
      <c r="S36" s="28">
        <f t="shared" si="5"/>
        <v>1.5016920997879128</v>
      </c>
      <c r="U36" s="49">
        <f t="shared" si="6"/>
        <v>48</v>
      </c>
      <c r="Y36" s="239">
        <f t="shared" si="7"/>
        <v>26</v>
      </c>
      <c r="Z36" s="240">
        <v>45291</v>
      </c>
      <c r="AA36" s="54"/>
      <c r="AB36" s="54"/>
      <c r="AC36" s="54">
        <v>22</v>
      </c>
      <c r="AD36" s="239">
        <f t="shared" si="8"/>
        <v>48</v>
      </c>
    </row>
    <row r="37" spans="1:30">
      <c r="A37" s="30"/>
      <c r="C37" s="33" t="s">
        <v>43</v>
      </c>
      <c r="E37" s="207">
        <v>52231</v>
      </c>
      <c r="G37" s="228" t="s">
        <v>140</v>
      </c>
      <c r="H37" s="205" t="s">
        <v>141</v>
      </c>
      <c r="I37" s="229">
        <v>0</v>
      </c>
      <c r="K37" s="157">
        <v>25327525.350000001</v>
      </c>
      <c r="L37" s="145"/>
      <c r="M37" s="147">
        <v>11932283.550000001</v>
      </c>
      <c r="N37" s="147"/>
      <c r="O37" s="52">
        <f t="shared" si="3"/>
        <v>13395242</v>
      </c>
      <c r="P37" s="27"/>
      <c r="Q37" s="27">
        <f t="shared" si="4"/>
        <v>705012.73684210528</v>
      </c>
      <c r="R37" s="14"/>
      <c r="S37" s="28">
        <f t="shared" si="5"/>
        <v>2.7835831850903872</v>
      </c>
      <c r="U37" s="49">
        <f t="shared" si="6"/>
        <v>19</v>
      </c>
      <c r="Y37" s="239">
        <f t="shared" si="7"/>
        <v>19</v>
      </c>
      <c r="Z37" s="240">
        <v>45291</v>
      </c>
      <c r="AA37" s="54"/>
      <c r="AB37" s="54"/>
      <c r="AC37" s="54">
        <v>0</v>
      </c>
      <c r="AD37" s="239">
        <f t="shared" si="8"/>
        <v>19</v>
      </c>
    </row>
    <row r="38" spans="1:30">
      <c r="A38" s="30"/>
      <c r="C38" s="33" t="s">
        <v>44</v>
      </c>
      <c r="E38" s="207">
        <v>52231</v>
      </c>
      <c r="G38" s="228" t="s">
        <v>140</v>
      </c>
      <c r="H38" s="205" t="s">
        <v>141</v>
      </c>
      <c r="I38" s="229">
        <v>0</v>
      </c>
      <c r="K38" s="144">
        <v>22295947.370000001</v>
      </c>
      <c r="L38" s="145"/>
      <c r="M38" s="148">
        <v>10551317.82</v>
      </c>
      <c r="N38" s="147"/>
      <c r="O38" s="55">
        <f t="shared" si="3"/>
        <v>11744630</v>
      </c>
      <c r="P38" s="27"/>
      <c r="Q38" s="29">
        <f t="shared" si="4"/>
        <v>559268.09523809527</v>
      </c>
      <c r="R38" s="14"/>
      <c r="S38" s="28">
        <f t="shared" si="5"/>
        <v>2.5083845326555201</v>
      </c>
      <c r="U38" s="49">
        <f t="shared" si="6"/>
        <v>21</v>
      </c>
      <c r="Y38" s="239">
        <f t="shared" si="7"/>
        <v>19</v>
      </c>
      <c r="Z38" s="240">
        <v>45291</v>
      </c>
      <c r="AA38" s="54"/>
      <c r="AB38" s="54"/>
      <c r="AC38" s="54">
        <v>2</v>
      </c>
      <c r="AD38" s="239">
        <f t="shared" si="8"/>
        <v>21</v>
      </c>
    </row>
    <row r="39" spans="1:30">
      <c r="A39" s="30"/>
      <c r="G39" s="205"/>
      <c r="H39" s="205"/>
      <c r="I39" s="206"/>
      <c r="K39" s="157"/>
      <c r="L39" s="145"/>
      <c r="M39" s="147"/>
      <c r="N39" s="147"/>
      <c r="O39" s="147"/>
      <c r="P39" s="147"/>
      <c r="Q39" s="147"/>
      <c r="S39" s="26"/>
      <c r="U39" s="49"/>
      <c r="Y39" s="230"/>
    </row>
    <row r="40" spans="1:30">
      <c r="A40" s="30"/>
      <c r="C40" s="13" t="s">
        <v>45</v>
      </c>
      <c r="G40" s="205"/>
      <c r="H40" s="205"/>
      <c r="I40" s="206"/>
      <c r="K40" s="157">
        <f>SUBTOTAL(9,K29:K39)</f>
        <v>436938579.74000007</v>
      </c>
      <c r="L40" s="145"/>
      <c r="M40" s="147">
        <f>SUBTOTAL(9,M29:M39)</f>
        <v>172000505.74000001</v>
      </c>
      <c r="N40" s="147"/>
      <c r="O40" s="147">
        <f>SUBTOTAL(9,O29:O39)</f>
        <v>264938074</v>
      </c>
      <c r="P40" s="147"/>
      <c r="Q40" s="147">
        <f>SUBTOTAL(9,Q29:Q39)</f>
        <v>7241930.8881692868</v>
      </c>
      <c r="S40" s="26">
        <f>+ROUND(Q40/K40*100,2)</f>
        <v>1.66</v>
      </c>
      <c r="U40" s="49"/>
      <c r="Y40" s="230"/>
    </row>
    <row r="41" spans="1:30">
      <c r="A41" s="30"/>
      <c r="G41" s="205"/>
      <c r="H41" s="205"/>
      <c r="I41" s="206"/>
      <c r="K41" s="157"/>
      <c r="L41" s="145"/>
      <c r="M41" s="147"/>
      <c r="N41" s="147"/>
      <c r="O41" s="147"/>
      <c r="P41" s="147"/>
      <c r="Q41" s="147"/>
      <c r="S41" s="26"/>
      <c r="U41" s="49"/>
      <c r="Y41" s="230"/>
    </row>
    <row r="42" spans="1:30">
      <c r="A42" s="30">
        <v>312</v>
      </c>
      <c r="C42" s="13" t="s">
        <v>46</v>
      </c>
      <c r="G42" s="205"/>
      <c r="H42" s="205"/>
      <c r="I42" s="206"/>
      <c r="K42" s="157"/>
      <c r="L42" s="145"/>
      <c r="M42" s="147"/>
      <c r="N42" s="147"/>
      <c r="O42" s="147"/>
      <c r="P42" s="147"/>
      <c r="Q42" s="147"/>
      <c r="S42" s="26"/>
      <c r="U42" s="49"/>
      <c r="Y42" s="230"/>
    </row>
    <row r="43" spans="1:30">
      <c r="A43" s="30"/>
      <c r="C43" s="33" t="s">
        <v>36</v>
      </c>
      <c r="E43" s="207">
        <v>50770</v>
      </c>
      <c r="G43" s="228" t="s">
        <v>140</v>
      </c>
      <c r="H43" s="205" t="s">
        <v>141</v>
      </c>
      <c r="I43" s="229">
        <v>0</v>
      </c>
      <c r="K43" s="157">
        <v>101123705.05</v>
      </c>
      <c r="L43" s="145"/>
      <c r="M43" s="147">
        <v>79902414.879999995</v>
      </c>
      <c r="N43" s="147"/>
      <c r="O43" s="52">
        <f t="shared" ref="O43:O53" si="9">ROUND((K43+(K43*-(I43/100)))-M43,0)</f>
        <v>21221290</v>
      </c>
      <c r="P43" s="27"/>
      <c r="Q43" s="27">
        <f t="shared" ref="Q43:Q53" si="10">O43/U43</f>
        <v>1414752.6666666667</v>
      </c>
      <c r="R43" s="14"/>
      <c r="S43" s="28">
        <f t="shared" ref="S43:S53" si="11">Q43/K43*100</f>
        <v>1.399031677060439</v>
      </c>
      <c r="U43" s="49">
        <f t="shared" ref="U43:U53" si="12">AD43</f>
        <v>15</v>
      </c>
      <c r="Y43" s="239">
        <f t="shared" ref="Y43:Y53" si="13">ROUND((E43-Z43)/365.25,0)</f>
        <v>15</v>
      </c>
      <c r="Z43" s="240">
        <v>45291</v>
      </c>
      <c r="AA43" s="54"/>
      <c r="AB43" s="54"/>
      <c r="AC43" s="54">
        <v>0</v>
      </c>
      <c r="AD43" s="239">
        <f t="shared" ref="AD43:AD53" si="14">Y43+AC43</f>
        <v>15</v>
      </c>
    </row>
    <row r="44" spans="1:30">
      <c r="A44" s="30"/>
      <c r="C44" s="33" t="s">
        <v>47</v>
      </c>
      <c r="E44" s="207">
        <v>47848</v>
      </c>
      <c r="G44" s="228" t="s">
        <v>140</v>
      </c>
      <c r="H44" s="205" t="s">
        <v>141</v>
      </c>
      <c r="I44" s="229">
        <v>0</v>
      </c>
      <c r="K44" s="157">
        <v>7772878.4500000002</v>
      </c>
      <c r="L44" s="145"/>
      <c r="M44" s="147">
        <v>7964995.1399999997</v>
      </c>
      <c r="N44" s="147"/>
      <c r="O44" s="52">
        <f t="shared" si="9"/>
        <v>-192117</v>
      </c>
      <c r="P44" s="27"/>
      <c r="Q44" s="27">
        <v>0</v>
      </c>
      <c r="R44" s="14"/>
      <c r="S44" s="28">
        <f t="shared" si="11"/>
        <v>0</v>
      </c>
      <c r="U44" s="49">
        <f t="shared" si="12"/>
        <v>7</v>
      </c>
      <c r="Y44" s="239">
        <f t="shared" si="13"/>
        <v>7</v>
      </c>
      <c r="Z44" s="240">
        <v>45291</v>
      </c>
      <c r="AA44" s="54"/>
      <c r="AB44" s="54"/>
      <c r="AC44" s="54">
        <v>0</v>
      </c>
      <c r="AD44" s="239">
        <f t="shared" si="14"/>
        <v>7</v>
      </c>
    </row>
    <row r="45" spans="1:30">
      <c r="A45" s="30"/>
      <c r="C45" s="33" t="s">
        <v>48</v>
      </c>
      <c r="E45" s="207">
        <v>50770</v>
      </c>
      <c r="G45" s="228" t="s">
        <v>140</v>
      </c>
      <c r="H45" s="205" t="s">
        <v>141</v>
      </c>
      <c r="I45" s="229">
        <v>0</v>
      </c>
      <c r="K45" s="157">
        <v>10041434.960000001</v>
      </c>
      <c r="L45" s="145"/>
      <c r="M45" s="147">
        <v>7985989.9900000002</v>
      </c>
      <c r="N45" s="147"/>
      <c r="O45" s="52">
        <f t="shared" si="9"/>
        <v>2055445</v>
      </c>
      <c r="P45" s="27"/>
      <c r="Q45" s="27">
        <f t="shared" si="10"/>
        <v>137029.66666666666</v>
      </c>
      <c r="R45" s="14"/>
      <c r="S45" s="28">
        <f t="shared" si="11"/>
        <v>1.3646422768511031</v>
      </c>
      <c r="U45" s="49">
        <f t="shared" si="12"/>
        <v>15</v>
      </c>
      <c r="Y45" s="239">
        <f t="shared" si="13"/>
        <v>15</v>
      </c>
      <c r="Z45" s="240">
        <v>45291</v>
      </c>
      <c r="AA45" s="54"/>
      <c r="AB45" s="54"/>
      <c r="AC45" s="54">
        <v>0</v>
      </c>
      <c r="AD45" s="239">
        <f t="shared" si="14"/>
        <v>15</v>
      </c>
    </row>
    <row r="46" spans="1:30">
      <c r="A46" s="30"/>
      <c r="C46" s="33" t="s">
        <v>37</v>
      </c>
      <c r="E46" s="207">
        <v>50770</v>
      </c>
      <c r="G46" s="228" t="s">
        <v>140</v>
      </c>
      <c r="H46" s="205" t="s">
        <v>141</v>
      </c>
      <c r="I46" s="229">
        <v>0</v>
      </c>
      <c r="K46" s="157">
        <v>193947398</v>
      </c>
      <c r="L46" s="145"/>
      <c r="M46" s="147">
        <v>120251809.87</v>
      </c>
      <c r="N46" s="147"/>
      <c r="O46" s="52">
        <f t="shared" si="9"/>
        <v>73695588</v>
      </c>
      <c r="P46" s="27"/>
      <c r="Q46" s="27">
        <f t="shared" si="10"/>
        <v>4913039.2</v>
      </c>
      <c r="R46" s="14"/>
      <c r="S46" s="28">
        <f t="shared" si="11"/>
        <v>2.5331812907332742</v>
      </c>
      <c r="U46" s="49">
        <f t="shared" si="12"/>
        <v>15</v>
      </c>
      <c r="Y46" s="239">
        <f t="shared" si="13"/>
        <v>15</v>
      </c>
      <c r="Z46" s="240">
        <v>45291</v>
      </c>
      <c r="AA46" s="54"/>
      <c r="AB46" s="54"/>
      <c r="AC46" s="54">
        <v>0</v>
      </c>
      <c r="AD46" s="239">
        <f t="shared" si="14"/>
        <v>15</v>
      </c>
    </row>
    <row r="47" spans="1:30">
      <c r="A47" s="30"/>
      <c r="C47" s="33" t="s">
        <v>38</v>
      </c>
      <c r="E47" s="207">
        <v>54788</v>
      </c>
      <c r="G47" s="228" t="s">
        <v>140</v>
      </c>
      <c r="H47" s="205" t="s">
        <v>141</v>
      </c>
      <c r="I47" s="229">
        <v>0</v>
      </c>
      <c r="K47" s="157">
        <v>242346947.83000001</v>
      </c>
      <c r="L47" s="145"/>
      <c r="M47" s="147">
        <v>28417369.07</v>
      </c>
      <c r="N47" s="147"/>
      <c r="O47" s="52">
        <f t="shared" si="9"/>
        <v>213929579</v>
      </c>
      <c r="P47" s="27"/>
      <c r="Q47" s="27">
        <f t="shared" si="10"/>
        <v>4456866.229166667</v>
      </c>
      <c r="R47" s="14"/>
      <c r="S47" s="28">
        <f t="shared" si="11"/>
        <v>1.8390436805884764</v>
      </c>
      <c r="U47" s="49">
        <f t="shared" si="12"/>
        <v>48</v>
      </c>
      <c r="Y47" s="239">
        <f t="shared" si="13"/>
        <v>26</v>
      </c>
      <c r="Z47" s="240">
        <v>45291</v>
      </c>
      <c r="AA47" s="54"/>
      <c r="AB47" s="54"/>
      <c r="AC47" s="54">
        <v>22</v>
      </c>
      <c r="AD47" s="239">
        <f t="shared" si="14"/>
        <v>48</v>
      </c>
    </row>
    <row r="48" spans="1:30">
      <c r="A48" s="30"/>
      <c r="C48" s="33" t="s">
        <v>39</v>
      </c>
      <c r="E48" s="207">
        <v>52231</v>
      </c>
      <c r="G48" s="228" t="s">
        <v>140</v>
      </c>
      <c r="H48" s="205" t="s">
        <v>141</v>
      </c>
      <c r="I48" s="229">
        <v>0</v>
      </c>
      <c r="K48" s="157">
        <v>234286878.19</v>
      </c>
      <c r="L48" s="145"/>
      <c r="M48" s="147">
        <v>124550728.67</v>
      </c>
      <c r="N48" s="147"/>
      <c r="O48" s="52">
        <f t="shared" si="9"/>
        <v>109736150</v>
      </c>
      <c r="P48" s="27"/>
      <c r="Q48" s="27">
        <f t="shared" si="10"/>
        <v>5775586.8421052629</v>
      </c>
      <c r="R48" s="14"/>
      <c r="S48" s="28">
        <f t="shared" si="11"/>
        <v>2.4651772590616137</v>
      </c>
      <c r="U48" s="49">
        <f t="shared" si="12"/>
        <v>19</v>
      </c>
      <c r="Y48" s="239">
        <f t="shared" si="13"/>
        <v>19</v>
      </c>
      <c r="Z48" s="240">
        <v>45291</v>
      </c>
      <c r="AA48" s="54"/>
      <c r="AB48" s="54"/>
      <c r="AC48" s="54">
        <v>0</v>
      </c>
      <c r="AD48" s="239">
        <f t="shared" si="14"/>
        <v>19</v>
      </c>
    </row>
    <row r="49" spans="1:30">
      <c r="A49" s="30"/>
      <c r="C49" s="33" t="s">
        <v>40</v>
      </c>
      <c r="E49" s="207">
        <v>52231</v>
      </c>
      <c r="G49" s="228" t="s">
        <v>140</v>
      </c>
      <c r="H49" s="205" t="s">
        <v>141</v>
      </c>
      <c r="I49" s="229">
        <v>0</v>
      </c>
      <c r="K49" s="157">
        <v>298973833.27999997</v>
      </c>
      <c r="L49" s="145"/>
      <c r="M49" s="147">
        <v>167717075.88</v>
      </c>
      <c r="N49" s="147"/>
      <c r="O49" s="52">
        <f t="shared" si="9"/>
        <v>131256757</v>
      </c>
      <c r="P49" s="27"/>
      <c r="Q49" s="27">
        <f t="shared" si="10"/>
        <v>6250321.7619047621</v>
      </c>
      <c r="R49" s="14"/>
      <c r="S49" s="28">
        <f t="shared" si="11"/>
        <v>2.0905915722902435</v>
      </c>
      <c r="U49" s="49">
        <f t="shared" si="12"/>
        <v>21</v>
      </c>
      <c r="Y49" s="239">
        <f t="shared" si="13"/>
        <v>19</v>
      </c>
      <c r="Z49" s="240">
        <v>45291</v>
      </c>
      <c r="AA49" s="54"/>
      <c r="AB49" s="54"/>
      <c r="AC49" s="54">
        <v>2</v>
      </c>
      <c r="AD49" s="239">
        <f t="shared" si="14"/>
        <v>21</v>
      </c>
    </row>
    <row r="50" spans="1:30">
      <c r="A50" s="30"/>
      <c r="C50" s="33" t="s">
        <v>41</v>
      </c>
      <c r="E50" s="207">
        <v>54788</v>
      </c>
      <c r="G50" s="228" t="s">
        <v>140</v>
      </c>
      <c r="H50" s="205" t="s">
        <v>141</v>
      </c>
      <c r="I50" s="229">
        <v>0</v>
      </c>
      <c r="K50" s="157">
        <v>204062486.12</v>
      </c>
      <c r="L50" s="145"/>
      <c r="M50" s="147">
        <v>64111196.75</v>
      </c>
      <c r="N50" s="147"/>
      <c r="O50" s="52">
        <f t="shared" si="9"/>
        <v>139951289</v>
      </c>
      <c r="P50" s="27"/>
      <c r="Q50" s="27">
        <f t="shared" si="10"/>
        <v>3180711.1136363638</v>
      </c>
      <c r="R50" s="14"/>
      <c r="S50" s="28">
        <f t="shared" si="11"/>
        <v>1.5586946793179468</v>
      </c>
      <c r="U50" s="49">
        <f t="shared" si="12"/>
        <v>44</v>
      </c>
      <c r="Y50" s="239">
        <f t="shared" si="13"/>
        <v>26</v>
      </c>
      <c r="Z50" s="240">
        <v>45291</v>
      </c>
      <c r="AA50" s="54"/>
      <c r="AB50" s="54"/>
      <c r="AC50" s="54">
        <v>18</v>
      </c>
      <c r="AD50" s="239">
        <f t="shared" si="14"/>
        <v>44</v>
      </c>
    </row>
    <row r="51" spans="1:30">
      <c r="A51" s="30"/>
      <c r="C51" s="33" t="s">
        <v>42</v>
      </c>
      <c r="E51" s="207">
        <v>54788</v>
      </c>
      <c r="G51" s="228" t="s">
        <v>140</v>
      </c>
      <c r="H51" s="205" t="s">
        <v>141</v>
      </c>
      <c r="I51" s="229">
        <v>0</v>
      </c>
      <c r="K51" s="157">
        <v>302101587.54000002</v>
      </c>
      <c r="L51" s="145"/>
      <c r="M51" s="147">
        <v>82111423.780000001</v>
      </c>
      <c r="N51" s="147"/>
      <c r="O51" s="52">
        <f t="shared" si="9"/>
        <v>219990164</v>
      </c>
      <c r="P51" s="27"/>
      <c r="Q51" s="27">
        <f t="shared" si="10"/>
        <v>4583128.416666667</v>
      </c>
      <c r="R51" s="14"/>
      <c r="S51" s="28">
        <f t="shared" si="11"/>
        <v>1.5170818710311589</v>
      </c>
      <c r="U51" s="49">
        <f t="shared" si="12"/>
        <v>48</v>
      </c>
      <c r="Y51" s="239">
        <f t="shared" si="13"/>
        <v>26</v>
      </c>
      <c r="Z51" s="240">
        <v>45291</v>
      </c>
      <c r="AA51" s="54"/>
      <c r="AB51" s="54"/>
      <c r="AC51" s="54">
        <v>22</v>
      </c>
      <c r="AD51" s="239">
        <f t="shared" si="14"/>
        <v>48</v>
      </c>
    </row>
    <row r="52" spans="1:30">
      <c r="A52" s="30"/>
      <c r="C52" s="33" t="s">
        <v>43</v>
      </c>
      <c r="E52" s="207">
        <v>52231</v>
      </c>
      <c r="G52" s="228" t="s">
        <v>140</v>
      </c>
      <c r="H52" s="205" t="s">
        <v>141</v>
      </c>
      <c r="I52" s="229">
        <v>0</v>
      </c>
      <c r="K52" s="157">
        <v>101115917.65000001</v>
      </c>
      <c r="L52" s="145"/>
      <c r="M52" s="147">
        <v>47632570.479999997</v>
      </c>
      <c r="N52" s="147"/>
      <c r="O52" s="52">
        <f t="shared" si="9"/>
        <v>53483347</v>
      </c>
      <c r="P52" s="27"/>
      <c r="Q52" s="27">
        <f t="shared" si="10"/>
        <v>2814913</v>
      </c>
      <c r="R52" s="14"/>
      <c r="S52" s="28">
        <f t="shared" si="11"/>
        <v>2.7838475537980738</v>
      </c>
      <c r="U52" s="49">
        <f t="shared" si="12"/>
        <v>19</v>
      </c>
      <c r="Y52" s="239">
        <f t="shared" si="13"/>
        <v>19</v>
      </c>
      <c r="Z52" s="240">
        <v>45291</v>
      </c>
      <c r="AA52" s="54"/>
      <c r="AB52" s="54"/>
      <c r="AC52" s="54">
        <v>0</v>
      </c>
      <c r="AD52" s="239">
        <f t="shared" si="14"/>
        <v>19</v>
      </c>
    </row>
    <row r="53" spans="1:30">
      <c r="A53" s="30"/>
      <c r="C53" s="33" t="s">
        <v>44</v>
      </c>
      <c r="E53" s="207">
        <v>52231</v>
      </c>
      <c r="G53" s="228" t="s">
        <v>140</v>
      </c>
      <c r="H53" s="205" t="s">
        <v>141</v>
      </c>
      <c r="I53" s="229">
        <v>0</v>
      </c>
      <c r="K53" s="144">
        <v>156122871.75</v>
      </c>
      <c r="L53" s="145"/>
      <c r="M53" s="148">
        <v>73883789.400000006</v>
      </c>
      <c r="N53" s="147"/>
      <c r="O53" s="55">
        <f t="shared" si="9"/>
        <v>82239082</v>
      </c>
      <c r="P53" s="27"/>
      <c r="Q53" s="29">
        <f t="shared" si="10"/>
        <v>3916146.7619047621</v>
      </c>
      <c r="R53" s="14"/>
      <c r="S53" s="28">
        <f t="shared" si="11"/>
        <v>2.5083747935252556</v>
      </c>
      <c r="U53" s="49">
        <f t="shared" si="12"/>
        <v>21</v>
      </c>
      <c r="Y53" s="239">
        <f t="shared" si="13"/>
        <v>19</v>
      </c>
      <c r="Z53" s="240">
        <v>45291</v>
      </c>
      <c r="AA53" s="54"/>
      <c r="AB53" s="54"/>
      <c r="AC53" s="54">
        <v>2</v>
      </c>
      <c r="AD53" s="239">
        <f t="shared" si="14"/>
        <v>21</v>
      </c>
    </row>
    <row r="54" spans="1:30">
      <c r="A54" s="30"/>
      <c r="E54" s="205"/>
      <c r="G54" s="205"/>
      <c r="H54" s="205"/>
      <c r="I54" s="206"/>
      <c r="K54" s="157"/>
      <c r="L54" s="145"/>
      <c r="M54" s="147"/>
      <c r="N54" s="147"/>
      <c r="O54" s="147"/>
      <c r="P54" s="147"/>
      <c r="Q54" s="147"/>
      <c r="S54" s="26"/>
      <c r="U54" s="49"/>
      <c r="Y54" s="230"/>
    </row>
    <row r="55" spans="1:30">
      <c r="A55" s="30"/>
      <c r="C55" s="13" t="s">
        <v>49</v>
      </c>
      <c r="G55" s="205"/>
      <c r="H55" s="205"/>
      <c r="I55" s="206"/>
      <c r="K55" s="157">
        <f>SUBTOTAL(9,K43:K54)</f>
        <v>1851895938.8200002</v>
      </c>
      <c r="L55" s="145"/>
      <c r="M55" s="147">
        <f>SUBTOTAL(9,M43:M54)</f>
        <v>804529363.90999997</v>
      </c>
      <c r="N55" s="147"/>
      <c r="O55" s="147">
        <f>SUBTOTAL(9,O43:O54)</f>
        <v>1047366574</v>
      </c>
      <c r="P55" s="147"/>
      <c r="Q55" s="147">
        <f>SUBTOTAL(9,Q43:Q54)</f>
        <v>37442495.658717819</v>
      </c>
      <c r="S55" s="26">
        <f>+ROUND(Q55/K55*100,2)</f>
        <v>2.02</v>
      </c>
      <c r="U55" s="49"/>
      <c r="Y55" s="230"/>
    </row>
    <row r="56" spans="1:30">
      <c r="A56" s="30"/>
      <c r="G56" s="205"/>
      <c r="H56" s="205"/>
      <c r="I56" s="206"/>
      <c r="K56" s="157"/>
      <c r="L56" s="145"/>
      <c r="M56" s="147"/>
      <c r="N56" s="147"/>
      <c r="O56" s="147"/>
      <c r="P56" s="147"/>
      <c r="Q56" s="147"/>
      <c r="S56" s="26"/>
      <c r="U56" s="49"/>
      <c r="Y56" s="230"/>
    </row>
    <row r="57" spans="1:30">
      <c r="A57" s="30">
        <v>314</v>
      </c>
      <c r="C57" s="13" t="s">
        <v>50</v>
      </c>
      <c r="G57" s="205"/>
      <c r="H57" s="205"/>
      <c r="I57" s="206"/>
      <c r="K57" s="157"/>
      <c r="L57" s="145"/>
      <c r="M57" s="147"/>
      <c r="N57" s="147"/>
      <c r="O57" s="147"/>
      <c r="P57" s="147"/>
      <c r="Q57" s="147"/>
      <c r="S57" s="26"/>
      <c r="U57" s="49"/>
      <c r="Y57" s="230"/>
    </row>
    <row r="58" spans="1:30">
      <c r="A58" s="30"/>
      <c r="C58" s="33" t="s">
        <v>36</v>
      </c>
      <c r="E58" s="207">
        <v>50770</v>
      </c>
      <c r="G58" s="228" t="s">
        <v>140</v>
      </c>
      <c r="H58" s="205" t="s">
        <v>141</v>
      </c>
      <c r="I58" s="229">
        <v>0</v>
      </c>
      <c r="K58" s="157">
        <v>23714956.780000001</v>
      </c>
      <c r="L58" s="145"/>
      <c r="M58" s="147">
        <v>22544706.98</v>
      </c>
      <c r="N58" s="147"/>
      <c r="O58" s="52">
        <f>ROUND((K58+(K58*-(I58/100)))-M58,0)</f>
        <v>1170250</v>
      </c>
      <c r="P58" s="27"/>
      <c r="Q58" s="27">
        <f t="shared" ref="Q58:Q62" si="15">O58/U58</f>
        <v>78016.666666666672</v>
      </c>
      <c r="R58" s="14"/>
      <c r="S58" s="28">
        <f>Q58/K58*100</f>
        <v>0.32897663441015412</v>
      </c>
      <c r="U58" s="49">
        <f t="shared" ref="U58:U62" si="16">AD58</f>
        <v>15</v>
      </c>
      <c r="Y58" s="239">
        <f t="shared" ref="Y58:Y62" si="17">ROUND((E58-Z58)/365.25,0)</f>
        <v>15</v>
      </c>
      <c r="Z58" s="240">
        <v>45291</v>
      </c>
      <c r="AA58" s="54"/>
      <c r="AB58" s="54"/>
      <c r="AC58" s="54">
        <v>0</v>
      </c>
      <c r="AD58" s="239">
        <f t="shared" ref="AD58:AD62" si="18">Y58+AC58</f>
        <v>15</v>
      </c>
    </row>
    <row r="59" spans="1:30">
      <c r="A59" s="30"/>
      <c r="C59" s="33" t="s">
        <v>39</v>
      </c>
      <c r="E59" s="207">
        <v>52231</v>
      </c>
      <c r="G59" s="228" t="s">
        <v>140</v>
      </c>
      <c r="H59" s="205" t="s">
        <v>141</v>
      </c>
      <c r="I59" s="229">
        <v>0</v>
      </c>
      <c r="K59" s="157">
        <v>42923558.049999997</v>
      </c>
      <c r="L59" s="145"/>
      <c r="M59" s="147">
        <v>25989475.84</v>
      </c>
      <c r="N59" s="147"/>
      <c r="O59" s="52">
        <f>ROUND((K59+(K59*-(I59/100)))-M59,0)</f>
        <v>16934082</v>
      </c>
      <c r="P59" s="27"/>
      <c r="Q59" s="27">
        <f t="shared" si="15"/>
        <v>891267.47368421056</v>
      </c>
      <c r="R59" s="14"/>
      <c r="S59" s="28">
        <f>Q59/K59*100</f>
        <v>2.076406323646347</v>
      </c>
      <c r="U59" s="49">
        <f t="shared" si="16"/>
        <v>19</v>
      </c>
      <c r="Y59" s="239">
        <f t="shared" si="17"/>
        <v>19</v>
      </c>
      <c r="Z59" s="240">
        <v>45291</v>
      </c>
      <c r="AA59" s="54"/>
      <c r="AB59" s="54"/>
      <c r="AC59" s="54">
        <v>0</v>
      </c>
      <c r="AD59" s="239">
        <f t="shared" si="18"/>
        <v>19</v>
      </c>
    </row>
    <row r="60" spans="1:30">
      <c r="A60" s="30"/>
      <c r="C60" s="33" t="s">
        <v>40</v>
      </c>
      <c r="E60" s="207">
        <v>52231</v>
      </c>
      <c r="G60" s="228" t="s">
        <v>140</v>
      </c>
      <c r="H60" s="205" t="s">
        <v>141</v>
      </c>
      <c r="I60" s="229">
        <v>0</v>
      </c>
      <c r="K60" s="157">
        <v>78018528.159999996</v>
      </c>
      <c r="L60" s="145"/>
      <c r="M60" s="147">
        <v>40526496.43</v>
      </c>
      <c r="N60" s="147"/>
      <c r="O60" s="52">
        <f>ROUND((K60+(K60*-(I60/100)))-M60,0)</f>
        <v>37492032</v>
      </c>
      <c r="P60" s="27"/>
      <c r="Q60" s="27">
        <f t="shared" si="15"/>
        <v>1785334.857142857</v>
      </c>
      <c r="R60" s="14"/>
      <c r="S60" s="28">
        <f>Q60/K60*100</f>
        <v>2.2883472673074547</v>
      </c>
      <c r="U60" s="49">
        <f t="shared" si="16"/>
        <v>21</v>
      </c>
      <c r="Y60" s="239">
        <f t="shared" si="17"/>
        <v>19</v>
      </c>
      <c r="Z60" s="240">
        <v>45291</v>
      </c>
      <c r="AA60" s="54"/>
      <c r="AB60" s="54"/>
      <c r="AC60" s="54">
        <v>2</v>
      </c>
      <c r="AD60" s="239">
        <f t="shared" si="18"/>
        <v>21</v>
      </c>
    </row>
    <row r="61" spans="1:30">
      <c r="A61" s="30"/>
      <c r="C61" s="33" t="s">
        <v>41</v>
      </c>
      <c r="E61" s="207">
        <v>54788</v>
      </c>
      <c r="G61" s="228" t="s">
        <v>140</v>
      </c>
      <c r="H61" s="205" t="s">
        <v>141</v>
      </c>
      <c r="I61" s="229">
        <v>0</v>
      </c>
      <c r="K61" s="157">
        <v>81735044.379999995</v>
      </c>
      <c r="L61" s="145"/>
      <c r="M61" s="147">
        <v>27731410.670000002</v>
      </c>
      <c r="N61" s="147"/>
      <c r="O61" s="52">
        <f>ROUND((K61+(K61*-(I61/100)))-M61,0)</f>
        <v>54003634</v>
      </c>
      <c r="P61" s="27"/>
      <c r="Q61" s="27">
        <f t="shared" si="15"/>
        <v>1227355.3181818181</v>
      </c>
      <c r="R61" s="14"/>
      <c r="S61" s="28">
        <f>Q61/K61*100</f>
        <v>1.5016267838255968</v>
      </c>
      <c r="U61" s="49">
        <f t="shared" si="16"/>
        <v>44</v>
      </c>
      <c r="Y61" s="239">
        <f t="shared" si="17"/>
        <v>26</v>
      </c>
      <c r="Z61" s="240">
        <v>45291</v>
      </c>
      <c r="AA61" s="54"/>
      <c r="AB61" s="54"/>
      <c r="AC61" s="54">
        <v>18</v>
      </c>
      <c r="AD61" s="239">
        <f t="shared" si="18"/>
        <v>44</v>
      </c>
    </row>
    <row r="62" spans="1:30">
      <c r="A62" s="30"/>
      <c r="C62" s="33" t="s">
        <v>42</v>
      </c>
      <c r="E62" s="207">
        <v>54788</v>
      </c>
      <c r="G62" s="228" t="s">
        <v>140</v>
      </c>
      <c r="H62" s="205" t="s">
        <v>141</v>
      </c>
      <c r="I62" s="229">
        <v>0</v>
      </c>
      <c r="K62" s="144">
        <v>80326528.049999997</v>
      </c>
      <c r="L62" s="145"/>
      <c r="M62" s="148">
        <v>18513388.579999998</v>
      </c>
      <c r="N62" s="147"/>
      <c r="O62" s="55">
        <f>ROUND((K62+(K62*-(I62/100)))-M62,0)</f>
        <v>61813139</v>
      </c>
      <c r="P62" s="27"/>
      <c r="Q62" s="29">
        <f t="shared" si="15"/>
        <v>1287773.7291666667</v>
      </c>
      <c r="R62" s="14"/>
      <c r="S62" s="28">
        <f>Q62/K62*100</f>
        <v>1.6031736468991662</v>
      </c>
      <c r="U62" s="49">
        <f t="shared" si="16"/>
        <v>48</v>
      </c>
      <c r="Y62" s="239">
        <f t="shared" si="17"/>
        <v>26</v>
      </c>
      <c r="Z62" s="240">
        <v>45291</v>
      </c>
      <c r="AA62" s="54"/>
      <c r="AB62" s="54"/>
      <c r="AC62" s="54">
        <v>22</v>
      </c>
      <c r="AD62" s="239">
        <f t="shared" si="18"/>
        <v>48</v>
      </c>
    </row>
    <row r="63" spans="1:30">
      <c r="A63" s="30"/>
      <c r="E63" s="205"/>
      <c r="G63" s="205"/>
      <c r="H63" s="205"/>
      <c r="I63" s="206"/>
      <c r="K63" s="157"/>
      <c r="L63" s="145"/>
      <c r="M63" s="147"/>
      <c r="N63" s="147"/>
      <c r="O63" s="147"/>
      <c r="P63" s="147"/>
      <c r="Q63" s="147"/>
      <c r="S63" s="26"/>
      <c r="U63" s="49"/>
      <c r="Y63" s="230"/>
    </row>
    <row r="64" spans="1:30">
      <c r="A64" s="30"/>
      <c r="C64" s="13" t="s">
        <v>51</v>
      </c>
      <c r="E64" s="205"/>
      <c r="G64" s="205"/>
      <c r="H64" s="205"/>
      <c r="I64" s="206"/>
      <c r="K64" s="157">
        <f>SUBTOTAL(9,K58:K63)</f>
        <v>306718615.42000002</v>
      </c>
      <c r="L64" s="145"/>
      <c r="M64" s="147">
        <f>SUBTOTAL(9,M58:M63)</f>
        <v>135305478.5</v>
      </c>
      <c r="N64" s="147"/>
      <c r="O64" s="147">
        <f>SUBTOTAL(9,O58:O63)</f>
        <v>171413137</v>
      </c>
      <c r="P64" s="147"/>
      <c r="Q64" s="147">
        <f>SUBTOTAL(9,Q58:Q63)</f>
        <v>5269748.044842219</v>
      </c>
      <c r="S64" s="26">
        <f>+ROUND(Q64/K64*100,2)</f>
        <v>1.72</v>
      </c>
      <c r="U64" s="49"/>
      <c r="Y64" s="230"/>
    </row>
    <row r="65" spans="1:30">
      <c r="A65" s="30"/>
      <c r="E65" s="205"/>
      <c r="G65" s="205"/>
      <c r="H65" s="205"/>
      <c r="I65" s="206"/>
      <c r="K65" s="157"/>
      <c r="L65" s="145"/>
      <c r="M65" s="147"/>
      <c r="N65" s="147"/>
      <c r="O65" s="147"/>
      <c r="P65" s="147"/>
      <c r="Q65" s="147"/>
      <c r="S65" s="26"/>
      <c r="U65" s="49"/>
      <c r="Y65" s="230"/>
    </row>
    <row r="66" spans="1:30">
      <c r="A66" s="30">
        <v>315</v>
      </c>
      <c r="C66" s="13" t="s">
        <v>52</v>
      </c>
      <c r="E66" s="205"/>
      <c r="G66" s="205"/>
      <c r="H66" s="205"/>
      <c r="I66" s="206"/>
      <c r="K66" s="157"/>
      <c r="L66" s="145"/>
      <c r="M66" s="147"/>
      <c r="N66" s="147"/>
      <c r="O66" s="147"/>
      <c r="P66" s="147"/>
      <c r="Q66" s="147"/>
      <c r="S66" s="26"/>
      <c r="U66" s="49"/>
      <c r="Y66" s="230"/>
    </row>
    <row r="67" spans="1:30">
      <c r="A67" s="30"/>
      <c r="C67" s="33" t="s">
        <v>36</v>
      </c>
      <c r="E67" s="207">
        <v>50770</v>
      </c>
      <c r="G67" s="228" t="s">
        <v>140</v>
      </c>
      <c r="H67" s="205" t="s">
        <v>141</v>
      </c>
      <c r="I67" s="229">
        <v>0</v>
      </c>
      <c r="K67" s="157">
        <v>3473012</v>
      </c>
      <c r="L67" s="145"/>
      <c r="M67" s="147">
        <v>3440611.86</v>
      </c>
      <c r="N67" s="147"/>
      <c r="O67" s="52">
        <f t="shared" ref="O67:O76" si="19">ROUND((K67+(K67*-(I67/100)))-M67,0)</f>
        <v>32400</v>
      </c>
      <c r="P67" s="27"/>
      <c r="Q67" s="27">
        <f t="shared" ref="Q67:Q76" si="20">O67/U67</f>
        <v>2160</v>
      </c>
      <c r="R67" s="14"/>
      <c r="S67" s="28">
        <f t="shared" ref="S67:S76" si="21">Q67/K67*100</f>
        <v>6.2193853634827642E-2</v>
      </c>
      <c r="U67" s="49">
        <f t="shared" ref="U67:U76" si="22">AD67</f>
        <v>15</v>
      </c>
      <c r="Y67" s="239">
        <f t="shared" ref="Y67:Y76" si="23">ROUND((E67-Z67)/365.25,0)</f>
        <v>15</v>
      </c>
      <c r="Z67" s="240">
        <v>45291</v>
      </c>
      <c r="AA67" s="54"/>
      <c r="AB67" s="54"/>
      <c r="AC67" s="54">
        <v>0</v>
      </c>
      <c r="AD67" s="239">
        <f t="shared" ref="AD67:AD76" si="24">Y67+AC67</f>
        <v>15</v>
      </c>
    </row>
    <row r="68" spans="1:30">
      <c r="A68" s="30"/>
      <c r="C68" s="33" t="s">
        <v>47</v>
      </c>
      <c r="E68" s="207">
        <v>47848</v>
      </c>
      <c r="G68" s="228" t="s">
        <v>140</v>
      </c>
      <c r="H68" s="205" t="s">
        <v>141</v>
      </c>
      <c r="I68" s="229">
        <v>0</v>
      </c>
      <c r="K68" s="157">
        <v>108139.1</v>
      </c>
      <c r="L68" s="145"/>
      <c r="M68" s="147">
        <v>70330.009999999995</v>
      </c>
      <c r="N68" s="147"/>
      <c r="O68" s="52">
        <f t="shared" si="19"/>
        <v>37809</v>
      </c>
      <c r="P68" s="27"/>
      <c r="Q68" s="27">
        <f t="shared" si="20"/>
        <v>5401.2857142857147</v>
      </c>
      <c r="R68" s="14"/>
      <c r="S68" s="28">
        <f t="shared" si="21"/>
        <v>4.9947574136327324</v>
      </c>
      <c r="U68" s="49">
        <f t="shared" si="22"/>
        <v>7</v>
      </c>
      <c r="Y68" s="239">
        <f t="shared" si="23"/>
        <v>7</v>
      </c>
      <c r="Z68" s="240">
        <v>45291</v>
      </c>
      <c r="AA68" s="54"/>
      <c r="AB68" s="54"/>
      <c r="AC68" s="54">
        <v>0</v>
      </c>
      <c r="AD68" s="239">
        <f t="shared" si="24"/>
        <v>7</v>
      </c>
    </row>
    <row r="69" spans="1:30">
      <c r="A69" s="30"/>
      <c r="C69" s="33" t="s">
        <v>48</v>
      </c>
      <c r="E69" s="207">
        <v>50770</v>
      </c>
      <c r="G69" s="228" t="s">
        <v>140</v>
      </c>
      <c r="H69" s="205" t="s">
        <v>141</v>
      </c>
      <c r="I69" s="229">
        <v>0</v>
      </c>
      <c r="K69" s="157">
        <v>108269.09</v>
      </c>
      <c r="L69" s="145"/>
      <c r="M69" s="147">
        <v>43937.66</v>
      </c>
      <c r="N69" s="147"/>
      <c r="O69" s="52">
        <f t="shared" si="19"/>
        <v>64331</v>
      </c>
      <c r="P69" s="27"/>
      <c r="Q69" s="27">
        <f t="shared" si="20"/>
        <v>4288.7333333333336</v>
      </c>
      <c r="R69" s="14"/>
      <c r="S69" s="28">
        <f t="shared" si="21"/>
        <v>3.9611798097992081</v>
      </c>
      <c r="U69" s="49">
        <f t="shared" si="22"/>
        <v>15</v>
      </c>
      <c r="Y69" s="239">
        <f t="shared" si="23"/>
        <v>15</v>
      </c>
      <c r="Z69" s="240">
        <v>45291</v>
      </c>
      <c r="AA69" s="54"/>
      <c r="AB69" s="54"/>
      <c r="AC69" s="54">
        <v>0</v>
      </c>
      <c r="AD69" s="239">
        <f t="shared" si="24"/>
        <v>15</v>
      </c>
    </row>
    <row r="70" spans="1:30">
      <c r="A70" s="30"/>
      <c r="C70" s="33" t="s">
        <v>37</v>
      </c>
      <c r="E70" s="207">
        <v>50770</v>
      </c>
      <c r="G70" s="228" t="s">
        <v>140</v>
      </c>
      <c r="H70" s="205" t="s">
        <v>141</v>
      </c>
      <c r="I70" s="229">
        <v>0</v>
      </c>
      <c r="K70" s="157">
        <v>12060627.85</v>
      </c>
      <c r="L70" s="145"/>
      <c r="M70" s="147">
        <v>7467374.21</v>
      </c>
      <c r="N70" s="147"/>
      <c r="O70" s="52">
        <f t="shared" si="19"/>
        <v>4593254</v>
      </c>
      <c r="P70" s="27"/>
      <c r="Q70" s="27">
        <f t="shared" si="20"/>
        <v>306216.93333333335</v>
      </c>
      <c r="R70" s="14"/>
      <c r="S70" s="28">
        <f t="shared" si="21"/>
        <v>2.5389800360462442</v>
      </c>
      <c r="U70" s="49">
        <f t="shared" si="22"/>
        <v>15</v>
      </c>
      <c r="Y70" s="239">
        <f t="shared" si="23"/>
        <v>15</v>
      </c>
      <c r="Z70" s="240">
        <v>45291</v>
      </c>
      <c r="AA70" s="54"/>
      <c r="AB70" s="54"/>
      <c r="AC70" s="54">
        <v>0</v>
      </c>
      <c r="AD70" s="239">
        <f t="shared" si="24"/>
        <v>15</v>
      </c>
    </row>
    <row r="71" spans="1:30">
      <c r="A71" s="30"/>
      <c r="C71" s="33" t="s">
        <v>39</v>
      </c>
      <c r="E71" s="207">
        <v>52231</v>
      </c>
      <c r="G71" s="228" t="s">
        <v>140</v>
      </c>
      <c r="H71" s="205" t="s">
        <v>141</v>
      </c>
      <c r="I71" s="229">
        <v>0</v>
      </c>
      <c r="K71" s="157">
        <v>10670855.65</v>
      </c>
      <c r="L71" s="145"/>
      <c r="M71" s="147">
        <v>7498394.54</v>
      </c>
      <c r="N71" s="147"/>
      <c r="O71" s="52">
        <f t="shared" si="19"/>
        <v>3172461</v>
      </c>
      <c r="P71" s="27"/>
      <c r="Q71" s="27">
        <f t="shared" si="20"/>
        <v>166971.63157894736</v>
      </c>
      <c r="R71" s="14"/>
      <c r="S71" s="28">
        <f t="shared" si="21"/>
        <v>1.5647445439761649</v>
      </c>
      <c r="U71" s="49">
        <f t="shared" si="22"/>
        <v>19</v>
      </c>
      <c r="Y71" s="239">
        <f t="shared" si="23"/>
        <v>19</v>
      </c>
      <c r="Z71" s="240">
        <v>45291</v>
      </c>
      <c r="AA71" s="54"/>
      <c r="AB71" s="54"/>
      <c r="AC71" s="54">
        <v>0</v>
      </c>
      <c r="AD71" s="239">
        <f t="shared" si="24"/>
        <v>19</v>
      </c>
    </row>
    <row r="72" spans="1:30">
      <c r="A72" s="30"/>
      <c r="C72" s="33" t="s">
        <v>40</v>
      </c>
      <c r="E72" s="207">
        <v>52231</v>
      </c>
      <c r="G72" s="228" t="s">
        <v>140</v>
      </c>
      <c r="H72" s="205" t="s">
        <v>141</v>
      </c>
      <c r="I72" s="229">
        <v>0</v>
      </c>
      <c r="K72" s="157">
        <v>23193967.98</v>
      </c>
      <c r="L72" s="145"/>
      <c r="M72" s="147">
        <v>15966785.470000001</v>
      </c>
      <c r="N72" s="147"/>
      <c r="O72" s="52">
        <f t="shared" si="19"/>
        <v>7227183</v>
      </c>
      <c r="P72" s="27"/>
      <c r="Q72" s="27">
        <f t="shared" si="20"/>
        <v>344151.57142857142</v>
      </c>
      <c r="R72" s="14"/>
      <c r="S72" s="28">
        <f t="shared" si="21"/>
        <v>1.4837977345029145</v>
      </c>
      <c r="U72" s="49">
        <f t="shared" si="22"/>
        <v>21</v>
      </c>
      <c r="Y72" s="239">
        <f t="shared" si="23"/>
        <v>19</v>
      </c>
      <c r="Z72" s="240">
        <v>45291</v>
      </c>
      <c r="AA72" s="54"/>
      <c r="AB72" s="54"/>
      <c r="AC72" s="54">
        <v>2</v>
      </c>
      <c r="AD72" s="239">
        <f t="shared" si="24"/>
        <v>21</v>
      </c>
    </row>
    <row r="73" spans="1:30">
      <c r="A73" s="30"/>
      <c r="C73" s="33" t="s">
        <v>41</v>
      </c>
      <c r="E73" s="207">
        <v>54788</v>
      </c>
      <c r="G73" s="228" t="s">
        <v>140</v>
      </c>
      <c r="H73" s="205" t="s">
        <v>141</v>
      </c>
      <c r="I73" s="229">
        <v>0</v>
      </c>
      <c r="K73" s="157">
        <v>25044774.100000001</v>
      </c>
      <c r="L73" s="145"/>
      <c r="M73" s="147">
        <v>8072902.6799999997</v>
      </c>
      <c r="N73" s="147"/>
      <c r="O73" s="52">
        <f t="shared" si="19"/>
        <v>16971871</v>
      </c>
      <c r="P73" s="27"/>
      <c r="Q73" s="27">
        <f t="shared" si="20"/>
        <v>385724.34090909088</v>
      </c>
      <c r="R73" s="14"/>
      <c r="S73" s="28">
        <f t="shared" si="21"/>
        <v>1.5401390300784978</v>
      </c>
      <c r="U73" s="49">
        <f t="shared" si="22"/>
        <v>44</v>
      </c>
      <c r="Y73" s="239">
        <f t="shared" si="23"/>
        <v>26</v>
      </c>
      <c r="Z73" s="240">
        <v>45291</v>
      </c>
      <c r="AA73" s="54"/>
      <c r="AB73" s="54"/>
      <c r="AC73" s="54">
        <v>18</v>
      </c>
      <c r="AD73" s="239">
        <f t="shared" si="24"/>
        <v>44</v>
      </c>
    </row>
    <row r="74" spans="1:30">
      <c r="A74" s="30"/>
      <c r="C74" s="33" t="s">
        <v>42</v>
      </c>
      <c r="E74" s="207">
        <v>54788</v>
      </c>
      <c r="G74" s="228" t="s">
        <v>140</v>
      </c>
      <c r="H74" s="205" t="s">
        <v>141</v>
      </c>
      <c r="I74" s="229">
        <v>0</v>
      </c>
      <c r="K74" s="157">
        <v>12751242.41</v>
      </c>
      <c r="L74" s="145"/>
      <c r="M74" s="147">
        <v>3604702.43</v>
      </c>
      <c r="N74" s="147"/>
      <c r="O74" s="52">
        <f t="shared" si="19"/>
        <v>9146540</v>
      </c>
      <c r="P74" s="27"/>
      <c r="Q74" s="27">
        <f t="shared" si="20"/>
        <v>190552.91666666666</v>
      </c>
      <c r="R74" s="14"/>
      <c r="S74" s="28">
        <f t="shared" si="21"/>
        <v>1.4943870608030159</v>
      </c>
      <c r="U74" s="49">
        <f t="shared" si="22"/>
        <v>48</v>
      </c>
      <c r="Y74" s="239">
        <f t="shared" si="23"/>
        <v>26</v>
      </c>
      <c r="Z74" s="240">
        <v>45291</v>
      </c>
      <c r="AA74" s="54"/>
      <c r="AB74" s="54"/>
      <c r="AC74" s="54">
        <v>22</v>
      </c>
      <c r="AD74" s="239">
        <f t="shared" si="24"/>
        <v>48</v>
      </c>
    </row>
    <row r="75" spans="1:30">
      <c r="A75" s="30"/>
      <c r="C75" s="33" t="s">
        <v>43</v>
      </c>
      <c r="E75" s="207">
        <v>52231</v>
      </c>
      <c r="G75" s="228" t="s">
        <v>140</v>
      </c>
      <c r="H75" s="205" t="s">
        <v>141</v>
      </c>
      <c r="I75" s="229">
        <v>0</v>
      </c>
      <c r="K75" s="157">
        <v>12513473.779999999</v>
      </c>
      <c r="L75" s="145"/>
      <c r="M75" s="147">
        <v>5887066.6900000004</v>
      </c>
      <c r="N75" s="147"/>
      <c r="O75" s="52">
        <f t="shared" si="19"/>
        <v>6626407</v>
      </c>
      <c r="P75" s="27"/>
      <c r="Q75" s="27">
        <f t="shared" si="20"/>
        <v>348758.26315789472</v>
      </c>
      <c r="R75" s="14"/>
      <c r="S75" s="28">
        <f t="shared" si="21"/>
        <v>2.7870619245257631</v>
      </c>
      <c r="U75" s="49">
        <f t="shared" si="22"/>
        <v>19</v>
      </c>
      <c r="Y75" s="239">
        <f t="shared" si="23"/>
        <v>19</v>
      </c>
      <c r="Z75" s="240">
        <v>45291</v>
      </c>
      <c r="AA75" s="54"/>
      <c r="AB75" s="54"/>
      <c r="AC75" s="54">
        <v>0</v>
      </c>
      <c r="AD75" s="239">
        <f t="shared" si="24"/>
        <v>19</v>
      </c>
    </row>
    <row r="76" spans="1:30">
      <c r="A76" s="30"/>
      <c r="C76" s="33" t="s">
        <v>44</v>
      </c>
      <c r="E76" s="207">
        <v>52231</v>
      </c>
      <c r="G76" s="228" t="s">
        <v>140</v>
      </c>
      <c r="H76" s="205" t="s">
        <v>141</v>
      </c>
      <c r="I76" s="229">
        <v>0</v>
      </c>
      <c r="K76" s="144">
        <v>17711668.739999998</v>
      </c>
      <c r="L76" s="145"/>
      <c r="M76" s="148">
        <v>8370097.9800000004</v>
      </c>
      <c r="N76" s="147"/>
      <c r="O76" s="55">
        <f t="shared" si="19"/>
        <v>9341571</v>
      </c>
      <c r="P76" s="27"/>
      <c r="Q76" s="29">
        <f t="shared" si="20"/>
        <v>444836.71428571426</v>
      </c>
      <c r="R76" s="14"/>
      <c r="S76" s="28">
        <f t="shared" si="21"/>
        <v>2.5115460367723332</v>
      </c>
      <c r="U76" s="49">
        <f t="shared" si="22"/>
        <v>21</v>
      </c>
      <c r="Y76" s="239">
        <f t="shared" si="23"/>
        <v>19</v>
      </c>
      <c r="Z76" s="240">
        <v>45291</v>
      </c>
      <c r="AA76" s="54"/>
      <c r="AB76" s="54"/>
      <c r="AC76" s="54">
        <v>2</v>
      </c>
      <c r="AD76" s="239">
        <f t="shared" si="24"/>
        <v>21</v>
      </c>
    </row>
    <row r="77" spans="1:30">
      <c r="A77" s="30"/>
      <c r="G77" s="205"/>
      <c r="H77" s="205"/>
      <c r="I77" s="206"/>
      <c r="K77" s="157"/>
      <c r="L77" s="145"/>
      <c r="M77" s="147"/>
      <c r="N77" s="147"/>
      <c r="O77" s="147"/>
      <c r="P77" s="147"/>
      <c r="Q77" s="147"/>
      <c r="S77" s="26"/>
      <c r="U77" s="49"/>
      <c r="Y77" s="230"/>
    </row>
    <row r="78" spans="1:30">
      <c r="A78" s="30"/>
      <c r="C78" s="13" t="s">
        <v>53</v>
      </c>
      <c r="G78" s="205"/>
      <c r="H78" s="205"/>
      <c r="I78" s="206"/>
      <c r="K78" s="157">
        <f>SUBTOTAL(9,K67:K77)</f>
        <v>117636030.7</v>
      </c>
      <c r="L78" s="145"/>
      <c r="M78" s="147">
        <f>SUBTOTAL(9,M67:M77)</f>
        <v>60422203.530000001</v>
      </c>
      <c r="N78" s="147"/>
      <c r="O78" s="147">
        <f>SUBTOTAL(9,O67:O77)</f>
        <v>57213827</v>
      </c>
      <c r="P78" s="147"/>
      <c r="Q78" s="147">
        <f>SUBTOTAL(9,Q67:Q77)</f>
        <v>2199062.3904078375</v>
      </c>
      <c r="S78" s="26">
        <f>+ROUND(Q78/K78*100,2)</f>
        <v>1.87</v>
      </c>
      <c r="U78" s="49"/>
      <c r="Y78" s="230"/>
    </row>
    <row r="79" spans="1:30">
      <c r="A79" s="30"/>
      <c r="G79" s="205"/>
      <c r="H79" s="205"/>
      <c r="I79" s="206"/>
      <c r="K79" s="157"/>
      <c r="L79" s="145"/>
      <c r="M79" s="147"/>
      <c r="N79" s="147"/>
      <c r="O79" s="147"/>
      <c r="P79" s="147"/>
      <c r="Q79" s="147"/>
      <c r="S79" s="26"/>
      <c r="U79" s="49"/>
      <c r="Y79" s="230"/>
    </row>
    <row r="80" spans="1:30">
      <c r="A80" s="30">
        <v>316</v>
      </c>
      <c r="C80" s="13" t="s">
        <v>54</v>
      </c>
      <c r="G80" s="205"/>
      <c r="H80" s="205"/>
      <c r="I80" s="206"/>
      <c r="K80" s="157"/>
      <c r="S80" s="26"/>
      <c r="U80" s="49"/>
      <c r="Y80" s="230"/>
    </row>
    <row r="81" spans="1:30">
      <c r="A81" s="30"/>
      <c r="C81" s="33" t="s">
        <v>35</v>
      </c>
      <c r="E81" s="207">
        <v>47848</v>
      </c>
      <c r="G81" s="228" t="s">
        <v>140</v>
      </c>
      <c r="H81" s="205" t="s">
        <v>141</v>
      </c>
      <c r="I81" s="229">
        <v>0</v>
      </c>
      <c r="K81" s="157">
        <v>1167329.42</v>
      </c>
      <c r="L81" s="145"/>
      <c r="M81" s="147">
        <v>840184.9</v>
      </c>
      <c r="N81" s="147"/>
      <c r="O81" s="52">
        <f t="shared" ref="O81:O88" si="25">ROUND((K81+(K81*-(I81/100)))-M81,0)</f>
        <v>327145</v>
      </c>
      <c r="P81" s="27"/>
      <c r="Q81" s="27">
        <f t="shared" ref="Q81:Q88" si="26">O81/U81</f>
        <v>46735</v>
      </c>
      <c r="R81" s="14"/>
      <c r="S81" s="28">
        <f t="shared" ref="S81:S88" si="27">Q81/K81*100</f>
        <v>4.0035828104118201</v>
      </c>
      <c r="U81" s="49">
        <f t="shared" ref="U81:U88" si="28">AD81</f>
        <v>7</v>
      </c>
      <c r="Y81" s="239">
        <f t="shared" ref="Y81:Y88" si="29">ROUND((E81-Z81)/365.25,0)</f>
        <v>7</v>
      </c>
      <c r="Z81" s="240">
        <v>45291</v>
      </c>
      <c r="AA81" s="54"/>
      <c r="AB81" s="54"/>
      <c r="AC81" s="54">
        <v>0</v>
      </c>
      <c r="AD81" s="239">
        <f t="shared" ref="AD81:AD88" si="30">Y81+AC81</f>
        <v>7</v>
      </c>
    </row>
    <row r="82" spans="1:30">
      <c r="A82" s="30"/>
      <c r="C82" s="33" t="s">
        <v>36</v>
      </c>
      <c r="E82" s="207">
        <v>50770</v>
      </c>
      <c r="G82" s="228" t="s">
        <v>140</v>
      </c>
      <c r="H82" s="205" t="s">
        <v>141</v>
      </c>
      <c r="I82" s="229">
        <v>0</v>
      </c>
      <c r="K82" s="157">
        <v>2918709.21</v>
      </c>
      <c r="L82" s="145"/>
      <c r="M82" s="147">
        <v>1911960.87</v>
      </c>
      <c r="N82" s="147"/>
      <c r="O82" s="52">
        <f t="shared" si="25"/>
        <v>1006748</v>
      </c>
      <c r="P82" s="27"/>
      <c r="Q82" s="27">
        <f t="shared" si="26"/>
        <v>67116.53333333334</v>
      </c>
      <c r="R82" s="14"/>
      <c r="S82" s="28">
        <f t="shared" si="27"/>
        <v>2.2995279249943965</v>
      </c>
      <c r="U82" s="49">
        <f t="shared" si="28"/>
        <v>15</v>
      </c>
      <c r="Y82" s="239">
        <f t="shared" si="29"/>
        <v>15</v>
      </c>
      <c r="Z82" s="240">
        <v>45291</v>
      </c>
      <c r="AA82" s="54"/>
      <c r="AB82" s="54"/>
      <c r="AC82" s="54">
        <v>0</v>
      </c>
      <c r="AD82" s="239">
        <f t="shared" si="30"/>
        <v>15</v>
      </c>
    </row>
    <row r="83" spans="1:30">
      <c r="A83" s="30"/>
      <c r="C83" s="33" t="s">
        <v>47</v>
      </c>
      <c r="E83" s="207">
        <v>47848</v>
      </c>
      <c r="G83" s="228" t="s">
        <v>140</v>
      </c>
      <c r="H83" s="205" t="s">
        <v>141</v>
      </c>
      <c r="I83" s="229">
        <v>0</v>
      </c>
      <c r="K83" s="157">
        <v>2010174.77</v>
      </c>
      <c r="L83" s="145"/>
      <c r="M83" s="147">
        <v>190055.3</v>
      </c>
      <c r="N83" s="147"/>
      <c r="O83" s="52">
        <f t="shared" si="25"/>
        <v>1820119</v>
      </c>
      <c r="P83" s="27"/>
      <c r="Q83" s="27">
        <f t="shared" si="26"/>
        <v>260017</v>
      </c>
      <c r="R83" s="14"/>
      <c r="S83" s="28">
        <f t="shared" si="27"/>
        <v>12.935044448896353</v>
      </c>
      <c r="U83" s="49">
        <f t="shared" si="28"/>
        <v>7</v>
      </c>
      <c r="Y83" s="239">
        <f t="shared" si="29"/>
        <v>7</v>
      </c>
      <c r="Z83" s="240">
        <v>45291</v>
      </c>
      <c r="AA83" s="54"/>
      <c r="AB83" s="54"/>
      <c r="AC83" s="54">
        <v>0</v>
      </c>
      <c r="AD83" s="239">
        <f t="shared" si="30"/>
        <v>7</v>
      </c>
    </row>
    <row r="84" spans="1:30">
      <c r="A84" s="30"/>
      <c r="C84" s="33" t="s">
        <v>37</v>
      </c>
      <c r="E84" s="207">
        <v>50770</v>
      </c>
      <c r="G84" s="228" t="s">
        <v>140</v>
      </c>
      <c r="H84" s="205" t="s">
        <v>141</v>
      </c>
      <c r="I84" s="229">
        <v>0</v>
      </c>
      <c r="K84" s="157">
        <v>2139985.1800000002</v>
      </c>
      <c r="L84" s="145"/>
      <c r="M84" s="147">
        <v>1360219.16</v>
      </c>
      <c r="N84" s="147"/>
      <c r="O84" s="52">
        <f t="shared" si="25"/>
        <v>779766</v>
      </c>
      <c r="P84" s="27"/>
      <c r="Q84" s="27">
        <f t="shared" si="26"/>
        <v>51984.4</v>
      </c>
      <c r="R84" s="14"/>
      <c r="S84" s="28">
        <f t="shared" si="27"/>
        <v>2.4291943928321973</v>
      </c>
      <c r="U84" s="49">
        <f t="shared" si="28"/>
        <v>15</v>
      </c>
      <c r="Y84" s="239">
        <f t="shared" si="29"/>
        <v>15</v>
      </c>
      <c r="Z84" s="240">
        <v>45291</v>
      </c>
      <c r="AA84" s="54"/>
      <c r="AB84" s="54"/>
      <c r="AC84" s="54">
        <v>0</v>
      </c>
      <c r="AD84" s="239">
        <f t="shared" si="30"/>
        <v>15</v>
      </c>
    </row>
    <row r="85" spans="1:30">
      <c r="A85" s="30"/>
      <c r="C85" s="33" t="s">
        <v>38</v>
      </c>
      <c r="E85" s="207">
        <v>54788</v>
      </c>
      <c r="G85" s="228" t="s">
        <v>140</v>
      </c>
      <c r="H85" s="205" t="s">
        <v>141</v>
      </c>
      <c r="I85" s="229">
        <v>0</v>
      </c>
      <c r="K85" s="157">
        <v>8375944.4500000002</v>
      </c>
      <c r="L85" s="145"/>
      <c r="M85" s="147">
        <v>2161823.14</v>
      </c>
      <c r="N85" s="147"/>
      <c r="O85" s="52">
        <f t="shared" si="25"/>
        <v>6214121</v>
      </c>
      <c r="P85" s="27"/>
      <c r="Q85" s="27">
        <f t="shared" si="26"/>
        <v>129460.85416666667</v>
      </c>
      <c r="R85" s="14"/>
      <c r="S85" s="28">
        <f t="shared" si="27"/>
        <v>1.5456269432000191</v>
      </c>
      <c r="U85" s="49">
        <f t="shared" si="28"/>
        <v>48</v>
      </c>
      <c r="Y85" s="239">
        <f t="shared" si="29"/>
        <v>26</v>
      </c>
      <c r="Z85" s="240">
        <v>45291</v>
      </c>
      <c r="AA85" s="54"/>
      <c r="AB85" s="54"/>
      <c r="AC85" s="54">
        <v>22</v>
      </c>
      <c r="AD85" s="239">
        <f t="shared" si="30"/>
        <v>48</v>
      </c>
    </row>
    <row r="86" spans="1:30">
      <c r="A86" s="30"/>
      <c r="C86" s="33" t="s">
        <v>39</v>
      </c>
      <c r="E86" s="207">
        <v>52231</v>
      </c>
      <c r="G86" s="228" t="s">
        <v>140</v>
      </c>
      <c r="H86" s="205" t="s">
        <v>141</v>
      </c>
      <c r="I86" s="229">
        <v>0</v>
      </c>
      <c r="K86" s="157">
        <v>182562.7</v>
      </c>
      <c r="L86" s="145"/>
      <c r="M86" s="147">
        <v>138675.63</v>
      </c>
      <c r="N86" s="147"/>
      <c r="O86" s="52">
        <f t="shared" si="25"/>
        <v>43887</v>
      </c>
      <c r="P86" s="27"/>
      <c r="Q86" s="27">
        <f t="shared" si="26"/>
        <v>2309.8421052631579</v>
      </c>
      <c r="R86" s="14"/>
      <c r="S86" s="28">
        <f t="shared" si="27"/>
        <v>1.2652322217315792</v>
      </c>
      <c r="U86" s="49">
        <f t="shared" si="28"/>
        <v>19</v>
      </c>
      <c r="Y86" s="239">
        <f t="shared" si="29"/>
        <v>19</v>
      </c>
      <c r="Z86" s="240">
        <v>45291</v>
      </c>
      <c r="AA86" s="54"/>
      <c r="AB86" s="54"/>
      <c r="AC86" s="54">
        <v>0</v>
      </c>
      <c r="AD86" s="239">
        <f t="shared" si="30"/>
        <v>19</v>
      </c>
    </row>
    <row r="87" spans="1:30">
      <c r="A87" s="30"/>
      <c r="C87" s="33" t="s">
        <v>41</v>
      </c>
      <c r="E87" s="207">
        <v>54788</v>
      </c>
      <c r="G87" s="228" t="s">
        <v>140</v>
      </c>
      <c r="H87" s="205" t="s">
        <v>141</v>
      </c>
      <c r="I87" s="229">
        <v>0</v>
      </c>
      <c r="K87" s="157">
        <v>2192469.65</v>
      </c>
      <c r="L87" s="145"/>
      <c r="M87" s="147">
        <v>450040.59</v>
      </c>
      <c r="N87" s="147"/>
      <c r="O87" s="52">
        <f t="shared" si="25"/>
        <v>1742429</v>
      </c>
      <c r="P87" s="27"/>
      <c r="Q87" s="27">
        <f t="shared" si="26"/>
        <v>39600.659090909088</v>
      </c>
      <c r="R87" s="14"/>
      <c r="S87" s="28">
        <f t="shared" si="27"/>
        <v>1.8062124185349198</v>
      </c>
      <c r="U87" s="49">
        <f t="shared" si="28"/>
        <v>44</v>
      </c>
      <c r="Y87" s="239">
        <f t="shared" si="29"/>
        <v>26</v>
      </c>
      <c r="Z87" s="240">
        <v>45291</v>
      </c>
      <c r="AA87" s="54"/>
      <c r="AB87" s="54"/>
      <c r="AC87" s="54">
        <v>18</v>
      </c>
      <c r="AD87" s="239">
        <f t="shared" si="30"/>
        <v>44</v>
      </c>
    </row>
    <row r="88" spans="1:30">
      <c r="A88" s="30"/>
      <c r="C88" s="33" t="s">
        <v>42</v>
      </c>
      <c r="E88" s="207">
        <v>54788</v>
      </c>
      <c r="G88" s="228" t="s">
        <v>140</v>
      </c>
      <c r="H88" s="205" t="s">
        <v>141</v>
      </c>
      <c r="I88" s="229">
        <v>0</v>
      </c>
      <c r="K88" s="144">
        <v>2721199.41</v>
      </c>
      <c r="L88" s="145"/>
      <c r="M88" s="148">
        <v>730264.02</v>
      </c>
      <c r="N88" s="147"/>
      <c r="O88" s="55">
        <f t="shared" si="25"/>
        <v>1990935</v>
      </c>
      <c r="P88" s="27"/>
      <c r="Q88" s="29">
        <f t="shared" si="26"/>
        <v>41477.8125</v>
      </c>
      <c r="R88" s="14"/>
      <c r="S88" s="28">
        <f t="shared" si="27"/>
        <v>1.5242474457246775</v>
      </c>
      <c r="U88" s="49">
        <f t="shared" si="28"/>
        <v>48</v>
      </c>
      <c r="Y88" s="239">
        <f t="shared" si="29"/>
        <v>26</v>
      </c>
      <c r="Z88" s="240">
        <v>45291</v>
      </c>
      <c r="AA88" s="54"/>
      <c r="AB88" s="54"/>
      <c r="AC88" s="54">
        <v>22</v>
      </c>
      <c r="AD88" s="239">
        <f t="shared" si="30"/>
        <v>48</v>
      </c>
    </row>
    <row r="89" spans="1:30">
      <c r="A89" s="30"/>
      <c r="G89" s="205"/>
      <c r="H89" s="205"/>
      <c r="I89" s="206"/>
      <c r="K89" s="157"/>
      <c r="L89" s="145"/>
      <c r="M89" s="147"/>
      <c r="N89" s="147"/>
      <c r="O89" s="147"/>
      <c r="P89" s="147"/>
      <c r="Q89" s="147"/>
      <c r="S89" s="26"/>
      <c r="U89" s="49"/>
      <c r="Y89" s="230"/>
    </row>
    <row r="90" spans="1:30">
      <c r="A90" s="30"/>
      <c r="C90" s="13" t="s">
        <v>55</v>
      </c>
      <c r="G90" s="205"/>
      <c r="H90" s="205"/>
      <c r="I90" s="206"/>
      <c r="K90" s="144">
        <f>SUBTOTAL(9,K81:K89)</f>
        <v>21708374.789999999</v>
      </c>
      <c r="L90" s="145"/>
      <c r="M90" s="148">
        <f>SUBTOTAL(9,M81:M89)</f>
        <v>7783223.6099999994</v>
      </c>
      <c r="N90" s="147"/>
      <c r="O90" s="148">
        <f>SUBTOTAL(9,O81:O89)</f>
        <v>13925150</v>
      </c>
      <c r="P90" s="147"/>
      <c r="Q90" s="148">
        <f>SUBTOTAL(9,Q81:Q89)</f>
        <v>638702.10119617218</v>
      </c>
      <c r="S90" s="26">
        <f>+ROUND(Q90/K90*100,2)</f>
        <v>2.94</v>
      </c>
      <c r="U90" s="49"/>
      <c r="Y90" s="230"/>
    </row>
    <row r="91" spans="1:30" ht="15.75">
      <c r="C91" s="18"/>
      <c r="K91" s="157"/>
      <c r="L91" s="145"/>
      <c r="M91" s="147"/>
      <c r="N91" s="147"/>
      <c r="O91" s="147"/>
      <c r="P91" s="147"/>
      <c r="Q91" s="147"/>
      <c r="S91" s="26"/>
      <c r="U91" s="49"/>
      <c r="Y91" s="230"/>
    </row>
    <row r="92" spans="1:30" ht="15.75">
      <c r="A92" s="30"/>
      <c r="C92" s="31" t="s">
        <v>56</v>
      </c>
      <c r="G92" s="205"/>
      <c r="H92" s="205"/>
      <c r="I92" s="206"/>
      <c r="K92" s="151">
        <f>SUBTOTAL(9,K20:K91)</f>
        <v>2801845065.1100001</v>
      </c>
      <c r="L92" s="22"/>
      <c r="M92" s="35">
        <f>SUBTOTAL(9,M20:M91)</f>
        <v>1192950131.5600004</v>
      </c>
      <c r="N92" s="35"/>
      <c r="O92" s="35">
        <f>SUBTOTAL(9,O20:O91)</f>
        <v>1608894932</v>
      </c>
      <c r="P92" s="35"/>
      <c r="Q92" s="35">
        <f>SUBTOTAL(9,Q20:Q91)</f>
        <v>54810447.666666657</v>
      </c>
      <c r="S92" s="23">
        <f>+ROUND(Q92/K92*100,2)</f>
        <v>1.96</v>
      </c>
      <c r="T92" s="22"/>
      <c r="U92" s="50"/>
      <c r="Y92" s="230"/>
    </row>
    <row r="93" spans="1:30">
      <c r="A93" s="30"/>
      <c r="C93" s="34"/>
      <c r="G93" s="205"/>
      <c r="H93" s="205"/>
      <c r="I93" s="206"/>
      <c r="K93" s="157"/>
      <c r="S93" s="26"/>
      <c r="U93" s="49"/>
      <c r="Y93" s="230"/>
    </row>
    <row r="94" spans="1:30" ht="15.75">
      <c r="C94" s="18" t="s">
        <v>57</v>
      </c>
      <c r="S94" s="26"/>
      <c r="U94" s="49"/>
      <c r="Y94" s="230"/>
    </row>
    <row r="95" spans="1:30" ht="15.75">
      <c r="C95" s="25"/>
      <c r="S95" s="26"/>
      <c r="U95" s="49"/>
      <c r="Y95" s="230"/>
    </row>
    <row r="96" spans="1:30">
      <c r="A96" s="30">
        <v>341</v>
      </c>
      <c r="C96" s="13" t="s">
        <v>34</v>
      </c>
      <c r="S96" s="26"/>
      <c r="U96" s="49"/>
      <c r="Y96" s="230"/>
    </row>
    <row r="97" spans="1:30">
      <c r="A97" s="30"/>
      <c r="C97" s="33" t="s">
        <v>58</v>
      </c>
      <c r="E97" s="207">
        <v>55153</v>
      </c>
      <c r="G97" s="228" t="s">
        <v>140</v>
      </c>
      <c r="H97" s="205" t="s">
        <v>141</v>
      </c>
      <c r="I97" s="229">
        <v>0</v>
      </c>
      <c r="K97" s="157">
        <v>18449493.530000001</v>
      </c>
      <c r="L97" s="145"/>
      <c r="M97" s="147">
        <v>7054844.1500000004</v>
      </c>
      <c r="N97" s="147"/>
      <c r="O97" s="52">
        <f t="shared" ref="O97:O115" si="31">ROUND((K97+(K97*-(I97/100)))-M97,0)</f>
        <v>11394649</v>
      </c>
      <c r="P97" s="27"/>
      <c r="Q97" s="27">
        <f t="shared" ref="Q97:Q115" si="32">O97/U97</f>
        <v>356082.78125</v>
      </c>
      <c r="R97" s="14"/>
      <c r="S97" s="28">
        <f t="shared" ref="S97:S115" si="33">Q97/K97*100</f>
        <v>1.9300409557096387</v>
      </c>
      <c r="U97" s="49">
        <f t="shared" ref="U97:U115" si="34">AD97</f>
        <v>32</v>
      </c>
      <c r="Y97" s="239">
        <f t="shared" ref="Y97:Y114" si="35">ROUND((E97-Z97)/365.25,0)</f>
        <v>27</v>
      </c>
      <c r="Z97" s="240">
        <v>45291</v>
      </c>
      <c r="AA97" s="54"/>
      <c r="AB97" s="54"/>
      <c r="AC97" s="54">
        <v>5</v>
      </c>
      <c r="AD97" s="239">
        <f t="shared" ref="AD97:AD115" si="36">Y97+AC97</f>
        <v>32</v>
      </c>
    </row>
    <row r="98" spans="1:30">
      <c r="A98" s="30"/>
      <c r="C98" s="33" t="s">
        <v>59</v>
      </c>
      <c r="E98" s="207">
        <v>50040</v>
      </c>
      <c r="G98" s="228" t="s">
        <v>140</v>
      </c>
      <c r="H98" s="205" t="s">
        <v>141</v>
      </c>
      <c r="I98" s="229">
        <v>0</v>
      </c>
      <c r="K98" s="157">
        <v>2666719.81</v>
      </c>
      <c r="L98" s="145"/>
      <c r="M98" s="147">
        <v>1514239.92</v>
      </c>
      <c r="N98" s="147"/>
      <c r="O98" s="52">
        <f t="shared" si="31"/>
        <v>1152480</v>
      </c>
      <c r="P98" s="27"/>
      <c r="Q98" s="27">
        <f t="shared" si="32"/>
        <v>54880</v>
      </c>
      <c r="R98" s="14"/>
      <c r="S98" s="28">
        <f t="shared" si="33"/>
        <v>2.0579589874498287</v>
      </c>
      <c r="U98" s="49">
        <f t="shared" si="34"/>
        <v>21</v>
      </c>
      <c r="Y98" s="239">
        <f t="shared" si="35"/>
        <v>13</v>
      </c>
      <c r="Z98" s="240">
        <v>45291</v>
      </c>
      <c r="AA98" s="54"/>
      <c r="AB98" s="54"/>
      <c r="AC98" s="54">
        <v>8</v>
      </c>
      <c r="AD98" s="239">
        <f t="shared" si="36"/>
        <v>21</v>
      </c>
    </row>
    <row r="99" spans="1:30">
      <c r="A99" s="30"/>
      <c r="C99" s="33" t="s">
        <v>60</v>
      </c>
      <c r="E99" s="207">
        <v>50040</v>
      </c>
      <c r="G99" s="228" t="s">
        <v>140</v>
      </c>
      <c r="H99" s="205" t="s">
        <v>141</v>
      </c>
      <c r="I99" s="229">
        <v>0</v>
      </c>
      <c r="K99" s="157">
        <v>2666719.81</v>
      </c>
      <c r="L99" s="145"/>
      <c r="M99" s="147">
        <v>1535563.88</v>
      </c>
      <c r="N99" s="147"/>
      <c r="O99" s="52">
        <f t="shared" si="31"/>
        <v>1131156</v>
      </c>
      <c r="P99" s="27"/>
      <c r="Q99" s="27">
        <f t="shared" si="32"/>
        <v>53864.571428571428</v>
      </c>
      <c r="R99" s="14"/>
      <c r="S99" s="28">
        <f t="shared" si="33"/>
        <v>2.0198811748644649</v>
      </c>
      <c r="U99" s="49">
        <f t="shared" si="34"/>
        <v>21</v>
      </c>
      <c r="Y99" s="239">
        <f t="shared" si="35"/>
        <v>13</v>
      </c>
      <c r="Z99" s="240">
        <v>45291</v>
      </c>
      <c r="AA99" s="54"/>
      <c r="AB99" s="54"/>
      <c r="AC99" s="54">
        <v>8</v>
      </c>
      <c r="AD99" s="239">
        <f t="shared" si="36"/>
        <v>21</v>
      </c>
    </row>
    <row r="100" spans="1:30">
      <c r="A100" s="30"/>
      <c r="C100" s="33" t="s">
        <v>61</v>
      </c>
      <c r="E100" s="207">
        <v>50040</v>
      </c>
      <c r="G100" s="228" t="s">
        <v>140</v>
      </c>
      <c r="H100" s="205" t="s">
        <v>141</v>
      </c>
      <c r="I100" s="229">
        <v>0</v>
      </c>
      <c r="K100" s="157">
        <v>2666719.81</v>
      </c>
      <c r="L100" s="145"/>
      <c r="M100" s="147">
        <v>1483354.58</v>
      </c>
      <c r="N100" s="147"/>
      <c r="O100" s="52">
        <f t="shared" si="31"/>
        <v>1183365</v>
      </c>
      <c r="P100" s="27"/>
      <c r="Q100" s="27">
        <f t="shared" si="32"/>
        <v>56350.714285714283</v>
      </c>
      <c r="R100" s="14"/>
      <c r="S100" s="28">
        <f t="shared" si="33"/>
        <v>2.1131096740798681</v>
      </c>
      <c r="U100" s="49">
        <f t="shared" si="34"/>
        <v>21</v>
      </c>
      <c r="Y100" s="239">
        <f t="shared" si="35"/>
        <v>13</v>
      </c>
      <c r="Z100" s="240">
        <v>45291</v>
      </c>
      <c r="AA100" s="54"/>
      <c r="AB100" s="54"/>
      <c r="AC100" s="54">
        <v>8</v>
      </c>
      <c r="AD100" s="239">
        <f t="shared" si="36"/>
        <v>21</v>
      </c>
    </row>
    <row r="101" spans="1:30">
      <c r="A101" s="30"/>
      <c r="C101" s="33" t="s">
        <v>62</v>
      </c>
      <c r="E101" s="207">
        <v>51866</v>
      </c>
      <c r="G101" s="228" t="s">
        <v>140</v>
      </c>
      <c r="H101" s="205" t="s">
        <v>141</v>
      </c>
      <c r="I101" s="229">
        <v>0</v>
      </c>
      <c r="K101" s="157">
        <v>1937757.41</v>
      </c>
      <c r="L101" s="145"/>
      <c r="M101" s="147">
        <v>914665.65</v>
      </c>
      <c r="N101" s="147"/>
      <c r="O101" s="52">
        <f t="shared" si="31"/>
        <v>1023092</v>
      </c>
      <c r="P101" s="27"/>
      <c r="Q101" s="27">
        <f t="shared" si="32"/>
        <v>44482.260869565216</v>
      </c>
      <c r="R101" s="14"/>
      <c r="S101" s="28">
        <f t="shared" si="33"/>
        <v>2.2955536456735941</v>
      </c>
      <c r="U101" s="49">
        <f t="shared" si="34"/>
        <v>23</v>
      </c>
      <c r="Y101" s="239">
        <f t="shared" si="35"/>
        <v>18</v>
      </c>
      <c r="Z101" s="240">
        <v>45291</v>
      </c>
      <c r="AA101" s="54"/>
      <c r="AB101" s="54"/>
      <c r="AC101" s="54">
        <v>5</v>
      </c>
      <c r="AD101" s="239">
        <f t="shared" si="36"/>
        <v>23</v>
      </c>
    </row>
    <row r="102" spans="1:30">
      <c r="A102" s="30"/>
      <c r="C102" s="33" t="s">
        <v>63</v>
      </c>
      <c r="E102" s="207">
        <v>51866</v>
      </c>
      <c r="G102" s="228" t="s">
        <v>140</v>
      </c>
      <c r="H102" s="205" t="s">
        <v>141</v>
      </c>
      <c r="I102" s="229">
        <v>0</v>
      </c>
      <c r="K102" s="157">
        <v>1599135.43</v>
      </c>
      <c r="L102" s="145"/>
      <c r="M102" s="147">
        <v>750866.73</v>
      </c>
      <c r="N102" s="147"/>
      <c r="O102" s="52">
        <f t="shared" si="31"/>
        <v>848269</v>
      </c>
      <c r="P102" s="27"/>
      <c r="Q102" s="27">
        <f t="shared" si="32"/>
        <v>36881.260869565216</v>
      </c>
      <c r="R102" s="14"/>
      <c r="S102" s="28">
        <f t="shared" si="33"/>
        <v>2.3063250414985315</v>
      </c>
      <c r="U102" s="49">
        <f t="shared" si="34"/>
        <v>23</v>
      </c>
      <c r="Y102" s="239">
        <f t="shared" si="35"/>
        <v>18</v>
      </c>
      <c r="Z102" s="240">
        <v>45291</v>
      </c>
      <c r="AA102" s="54"/>
      <c r="AB102" s="54"/>
      <c r="AC102" s="54">
        <v>5</v>
      </c>
      <c r="AD102" s="239">
        <f t="shared" si="36"/>
        <v>23</v>
      </c>
    </row>
    <row r="103" spans="1:30">
      <c r="A103" s="30"/>
      <c r="C103" s="33" t="s">
        <v>64</v>
      </c>
      <c r="E103" s="207">
        <v>53327</v>
      </c>
      <c r="G103" s="228" t="s">
        <v>140</v>
      </c>
      <c r="H103" s="205" t="s">
        <v>141</v>
      </c>
      <c r="I103" s="229">
        <v>0</v>
      </c>
      <c r="K103" s="157">
        <v>303524.78000000003</v>
      </c>
      <c r="L103" s="145"/>
      <c r="M103" s="147">
        <v>116602.85</v>
      </c>
      <c r="N103" s="147"/>
      <c r="O103" s="52">
        <f t="shared" si="31"/>
        <v>186922</v>
      </c>
      <c r="P103" s="27"/>
      <c r="Q103" s="27">
        <f t="shared" si="32"/>
        <v>6923.0370370370374</v>
      </c>
      <c r="R103" s="14"/>
      <c r="S103" s="28">
        <f t="shared" si="33"/>
        <v>2.2808803409846923</v>
      </c>
      <c r="U103" s="49">
        <f t="shared" si="34"/>
        <v>27</v>
      </c>
      <c r="Y103" s="239">
        <f t="shared" si="35"/>
        <v>22</v>
      </c>
      <c r="Z103" s="240">
        <v>45291</v>
      </c>
      <c r="AA103" s="54"/>
      <c r="AB103" s="54"/>
      <c r="AC103" s="54">
        <v>5</v>
      </c>
      <c r="AD103" s="239">
        <f t="shared" si="36"/>
        <v>27</v>
      </c>
    </row>
    <row r="104" spans="1:30">
      <c r="A104" s="30"/>
      <c r="C104" s="33" t="s">
        <v>65</v>
      </c>
      <c r="E104" s="207">
        <v>53327</v>
      </c>
      <c r="G104" s="228" t="s">
        <v>140</v>
      </c>
      <c r="H104" s="205" t="s">
        <v>141</v>
      </c>
      <c r="I104" s="229">
        <v>0</v>
      </c>
      <c r="K104" s="157">
        <v>303524.78000000003</v>
      </c>
      <c r="L104" s="145"/>
      <c r="M104" s="147">
        <v>116857.06</v>
      </c>
      <c r="N104" s="147"/>
      <c r="O104" s="52">
        <f t="shared" si="31"/>
        <v>186668</v>
      </c>
      <c r="P104" s="27"/>
      <c r="Q104" s="27">
        <f t="shared" si="32"/>
        <v>6913.6296296296296</v>
      </c>
      <c r="R104" s="14"/>
      <c r="S104" s="28">
        <f t="shared" si="33"/>
        <v>2.2777809540392808</v>
      </c>
      <c r="U104" s="49">
        <f t="shared" si="34"/>
        <v>27</v>
      </c>
      <c r="Y104" s="239">
        <f t="shared" si="35"/>
        <v>22</v>
      </c>
      <c r="Z104" s="240">
        <v>45291</v>
      </c>
      <c r="AA104" s="54"/>
      <c r="AB104" s="54"/>
      <c r="AC104" s="54">
        <v>5</v>
      </c>
      <c r="AD104" s="239">
        <f t="shared" si="36"/>
        <v>27</v>
      </c>
    </row>
    <row r="105" spans="1:30">
      <c r="A105" s="30"/>
      <c r="C105" s="33" t="s">
        <v>66</v>
      </c>
      <c r="E105" s="207">
        <v>55153</v>
      </c>
      <c r="G105" s="228" t="s">
        <v>140</v>
      </c>
      <c r="H105" s="205" t="s">
        <v>141</v>
      </c>
      <c r="I105" s="229">
        <v>0</v>
      </c>
      <c r="K105" s="157">
        <v>4625823.04</v>
      </c>
      <c r="L105" s="145"/>
      <c r="M105" s="147">
        <v>1039877.1</v>
      </c>
      <c r="N105" s="147"/>
      <c r="O105" s="52">
        <f t="shared" si="31"/>
        <v>3585946</v>
      </c>
      <c r="P105" s="27"/>
      <c r="Q105" s="27">
        <f t="shared" si="32"/>
        <v>112060.8125</v>
      </c>
      <c r="R105" s="14"/>
      <c r="S105" s="28">
        <f t="shared" si="33"/>
        <v>2.4225053905218128</v>
      </c>
      <c r="U105" s="49">
        <f t="shared" si="34"/>
        <v>32</v>
      </c>
      <c r="Y105" s="239">
        <f t="shared" si="35"/>
        <v>27</v>
      </c>
      <c r="Z105" s="240">
        <v>45291</v>
      </c>
      <c r="AA105" s="54"/>
      <c r="AB105" s="54"/>
      <c r="AC105" s="54">
        <v>5</v>
      </c>
      <c r="AD105" s="239">
        <f t="shared" si="36"/>
        <v>32</v>
      </c>
    </row>
    <row r="106" spans="1:30">
      <c r="A106" s="30"/>
      <c r="C106" s="33" t="s">
        <v>67</v>
      </c>
      <c r="E106" s="207">
        <v>55153</v>
      </c>
      <c r="G106" s="228" t="s">
        <v>140</v>
      </c>
      <c r="H106" s="205" t="s">
        <v>141</v>
      </c>
      <c r="I106" s="229">
        <v>0</v>
      </c>
      <c r="K106" s="157">
        <v>224532.24</v>
      </c>
      <c r="L106" s="145"/>
      <c r="M106" s="147">
        <v>45021.49</v>
      </c>
      <c r="N106" s="147"/>
      <c r="O106" s="52">
        <f t="shared" si="31"/>
        <v>179511</v>
      </c>
      <c r="P106" s="27"/>
      <c r="Q106" s="27">
        <f t="shared" si="32"/>
        <v>5609.71875</v>
      </c>
      <c r="R106" s="14"/>
      <c r="S106" s="28">
        <f t="shared" si="33"/>
        <v>2.4984023452489494</v>
      </c>
      <c r="U106" s="49">
        <f t="shared" si="34"/>
        <v>32</v>
      </c>
      <c r="Y106" s="239">
        <f t="shared" si="35"/>
        <v>27</v>
      </c>
      <c r="Z106" s="240">
        <v>45291</v>
      </c>
      <c r="AA106" s="54"/>
      <c r="AB106" s="54"/>
      <c r="AC106" s="54">
        <v>5</v>
      </c>
      <c r="AD106" s="239">
        <f t="shared" si="36"/>
        <v>32</v>
      </c>
    </row>
    <row r="107" spans="1:30">
      <c r="A107" s="30"/>
      <c r="C107" s="33" t="s">
        <v>68</v>
      </c>
      <c r="E107" s="207">
        <v>50586</v>
      </c>
      <c r="G107" s="228" t="s">
        <v>140</v>
      </c>
      <c r="H107" s="205" t="s">
        <v>141</v>
      </c>
      <c r="I107" s="229">
        <v>0</v>
      </c>
      <c r="K107" s="157">
        <v>1119860.8</v>
      </c>
      <c r="L107" s="145"/>
      <c r="M107" s="147">
        <v>416160.91</v>
      </c>
      <c r="N107" s="147"/>
      <c r="O107" s="52">
        <f t="shared" si="31"/>
        <v>703700</v>
      </c>
      <c r="P107" s="27"/>
      <c r="Q107" s="27">
        <f t="shared" si="32"/>
        <v>48531.034482758623</v>
      </c>
      <c r="R107" s="14"/>
      <c r="S107" s="28">
        <f t="shared" si="33"/>
        <v>4.333666691677986</v>
      </c>
      <c r="U107" s="49">
        <f t="shared" si="34"/>
        <v>14.5</v>
      </c>
      <c r="Y107" s="239">
        <f>ROUND((AB107-Z107)/365.25,0)-0.5</f>
        <v>14.5</v>
      </c>
      <c r="Z107" s="240">
        <v>45291</v>
      </c>
      <c r="AA107" s="240">
        <f>E107</f>
        <v>50586</v>
      </c>
      <c r="AB107" s="240">
        <v>50770</v>
      </c>
      <c r="AC107" s="54">
        <v>0</v>
      </c>
      <c r="AD107" s="239">
        <f t="shared" si="36"/>
        <v>14.5</v>
      </c>
    </row>
    <row r="108" spans="1:30">
      <c r="A108" s="30"/>
      <c r="C108" s="33" t="s">
        <v>70</v>
      </c>
      <c r="E108" s="207">
        <v>50586</v>
      </c>
      <c r="G108" s="228" t="s">
        <v>140</v>
      </c>
      <c r="H108" s="205" t="s">
        <v>141</v>
      </c>
      <c r="I108" s="229">
        <v>0</v>
      </c>
      <c r="K108" s="157">
        <v>1135966.24</v>
      </c>
      <c r="L108" s="145"/>
      <c r="M108" s="147">
        <v>422145.64</v>
      </c>
      <c r="N108" s="147"/>
      <c r="O108" s="52">
        <f t="shared" si="31"/>
        <v>713821</v>
      </c>
      <c r="P108" s="27"/>
      <c r="Q108" s="27">
        <f t="shared" si="32"/>
        <v>49229.034482758623</v>
      </c>
      <c r="R108" s="14"/>
      <c r="S108" s="28">
        <f t="shared" si="33"/>
        <v>4.3336705572129173</v>
      </c>
      <c r="U108" s="49">
        <f t="shared" si="34"/>
        <v>14.5</v>
      </c>
      <c r="Y108" s="239">
        <f t="shared" ref="Y108:Y110" si="37">ROUND((AB108-Z108)/365.25,0)-0.5</f>
        <v>14.5</v>
      </c>
      <c r="Z108" s="240">
        <v>45291</v>
      </c>
      <c r="AA108" s="240">
        <f t="shared" ref="AA108:AA110" si="38">E108</f>
        <v>50586</v>
      </c>
      <c r="AB108" s="240">
        <v>50770</v>
      </c>
      <c r="AC108" s="54">
        <v>0</v>
      </c>
      <c r="AD108" s="239">
        <f t="shared" si="36"/>
        <v>14.5</v>
      </c>
    </row>
    <row r="109" spans="1:30">
      <c r="A109" s="30"/>
      <c r="C109" s="33" t="s">
        <v>71</v>
      </c>
      <c r="E109" s="207">
        <v>51682</v>
      </c>
      <c r="G109" s="228" t="s">
        <v>140</v>
      </c>
      <c r="H109" s="205" t="s">
        <v>141</v>
      </c>
      <c r="I109" s="229">
        <v>0</v>
      </c>
      <c r="K109" s="157">
        <v>1465228.09</v>
      </c>
      <c r="L109" s="145"/>
      <c r="M109" s="147">
        <v>468146.53</v>
      </c>
      <c r="N109" s="147"/>
      <c r="O109" s="52">
        <f t="shared" si="31"/>
        <v>997082</v>
      </c>
      <c r="P109" s="27"/>
      <c r="Q109" s="27">
        <f t="shared" si="32"/>
        <v>56976.114285714284</v>
      </c>
      <c r="R109" s="14"/>
      <c r="S109" s="28">
        <f t="shared" si="33"/>
        <v>3.8885491395209519</v>
      </c>
      <c r="U109" s="49">
        <f t="shared" si="34"/>
        <v>17.5</v>
      </c>
      <c r="Y109" s="239">
        <f t="shared" si="37"/>
        <v>17.5</v>
      </c>
      <c r="Z109" s="240">
        <v>45291</v>
      </c>
      <c r="AA109" s="240">
        <f t="shared" si="38"/>
        <v>51682</v>
      </c>
      <c r="AB109" s="240">
        <v>51866</v>
      </c>
      <c r="AC109" s="54">
        <v>0</v>
      </c>
      <c r="AD109" s="239">
        <f t="shared" si="36"/>
        <v>17.5</v>
      </c>
    </row>
    <row r="110" spans="1:30">
      <c r="A110" s="30"/>
      <c r="C110" s="33" t="s">
        <v>72</v>
      </c>
      <c r="E110" s="207">
        <v>52047</v>
      </c>
      <c r="G110" s="228" t="s">
        <v>140</v>
      </c>
      <c r="H110" s="205" t="s">
        <v>141</v>
      </c>
      <c r="I110" s="229">
        <v>0</v>
      </c>
      <c r="K110" s="157">
        <v>2033652.36</v>
      </c>
      <c r="L110" s="145"/>
      <c r="M110" s="147">
        <v>312972.96999999997</v>
      </c>
      <c r="N110" s="147"/>
      <c r="O110" s="52">
        <f t="shared" si="31"/>
        <v>1720679</v>
      </c>
      <c r="P110" s="27"/>
      <c r="Q110" s="27">
        <f t="shared" si="32"/>
        <v>93009.67567567568</v>
      </c>
      <c r="R110" s="14"/>
      <c r="S110" s="28">
        <f t="shared" si="33"/>
        <v>4.5735287655396366</v>
      </c>
      <c r="U110" s="49">
        <f t="shared" si="34"/>
        <v>18.5</v>
      </c>
      <c r="Y110" s="239">
        <f t="shared" si="37"/>
        <v>18.5</v>
      </c>
      <c r="Z110" s="240">
        <v>45291</v>
      </c>
      <c r="AA110" s="240">
        <f t="shared" si="38"/>
        <v>52047</v>
      </c>
      <c r="AB110" s="240">
        <v>52231</v>
      </c>
      <c r="AC110" s="54">
        <v>0</v>
      </c>
      <c r="AD110" s="239">
        <f t="shared" si="36"/>
        <v>18.5</v>
      </c>
    </row>
    <row r="111" spans="1:30">
      <c r="A111" s="30"/>
      <c r="C111" s="33" t="s">
        <v>73</v>
      </c>
      <c r="E111" s="207">
        <v>52962</v>
      </c>
      <c r="G111" s="228" t="s">
        <v>140</v>
      </c>
      <c r="H111" s="205" t="s">
        <v>141</v>
      </c>
      <c r="I111" s="229">
        <v>0</v>
      </c>
      <c r="K111" s="157">
        <v>7836172.29</v>
      </c>
      <c r="L111" s="145"/>
      <c r="M111" s="147">
        <v>2183825.9700000002</v>
      </c>
      <c r="N111" s="147"/>
      <c r="O111" s="52">
        <f t="shared" si="31"/>
        <v>5652346</v>
      </c>
      <c r="P111" s="27"/>
      <c r="Q111" s="27">
        <f t="shared" si="32"/>
        <v>269159.33333333331</v>
      </c>
      <c r="R111" s="14"/>
      <c r="S111" s="28">
        <f t="shared" si="33"/>
        <v>3.4348317440240113</v>
      </c>
      <c r="U111" s="49">
        <f t="shared" si="34"/>
        <v>21</v>
      </c>
      <c r="Y111" s="239">
        <f t="shared" si="35"/>
        <v>21</v>
      </c>
      <c r="Z111" s="240">
        <v>45291</v>
      </c>
      <c r="AA111" s="54"/>
      <c r="AB111" s="54"/>
      <c r="AC111" s="54">
        <v>0</v>
      </c>
      <c r="AD111" s="239">
        <f t="shared" si="36"/>
        <v>21</v>
      </c>
    </row>
    <row r="112" spans="1:30">
      <c r="A112" s="30"/>
      <c r="C112" s="33" t="s">
        <v>74</v>
      </c>
      <c r="E112" s="207">
        <v>52962</v>
      </c>
      <c r="G112" s="228" t="s">
        <v>140</v>
      </c>
      <c r="H112" s="205" t="s">
        <v>141</v>
      </c>
      <c r="I112" s="229">
        <v>0</v>
      </c>
      <c r="K112" s="157">
        <v>933680.4</v>
      </c>
      <c r="L112" s="145"/>
      <c r="M112" s="147">
        <v>369350.09</v>
      </c>
      <c r="N112" s="147"/>
      <c r="O112" s="52">
        <f t="shared" si="31"/>
        <v>564330</v>
      </c>
      <c r="P112" s="27"/>
      <c r="Q112" s="27">
        <f t="shared" si="32"/>
        <v>26872.857142857141</v>
      </c>
      <c r="R112" s="14"/>
      <c r="S112" s="28">
        <f t="shared" si="33"/>
        <v>2.8781644278767273</v>
      </c>
      <c r="U112" s="49">
        <f t="shared" si="34"/>
        <v>21</v>
      </c>
      <c r="Y112" s="239">
        <f t="shared" si="35"/>
        <v>21</v>
      </c>
      <c r="Z112" s="240">
        <v>45291</v>
      </c>
      <c r="AA112" s="54"/>
      <c r="AB112" s="54"/>
      <c r="AC112" s="54">
        <v>0</v>
      </c>
      <c r="AD112" s="239">
        <f t="shared" si="36"/>
        <v>21</v>
      </c>
    </row>
    <row r="113" spans="1:30">
      <c r="A113" s="30"/>
      <c r="C113" s="33" t="s">
        <v>75</v>
      </c>
      <c r="E113" s="207">
        <v>52962</v>
      </c>
      <c r="G113" s="228" t="s">
        <v>140</v>
      </c>
      <c r="H113" s="205" t="s">
        <v>141</v>
      </c>
      <c r="I113" s="229">
        <v>0</v>
      </c>
      <c r="K113" s="157">
        <v>933680.4</v>
      </c>
      <c r="L113" s="145"/>
      <c r="M113" s="147">
        <v>438271.13</v>
      </c>
      <c r="N113" s="147"/>
      <c r="O113" s="52">
        <f t="shared" si="31"/>
        <v>495409</v>
      </c>
      <c r="P113" s="27"/>
      <c r="Q113" s="27">
        <f t="shared" si="32"/>
        <v>23590.904761904763</v>
      </c>
      <c r="R113" s="14"/>
      <c r="S113" s="28">
        <f t="shared" si="33"/>
        <v>2.5266573831800221</v>
      </c>
      <c r="U113" s="49">
        <f t="shared" si="34"/>
        <v>21</v>
      </c>
      <c r="Y113" s="239">
        <f t="shared" si="35"/>
        <v>21</v>
      </c>
      <c r="Z113" s="240">
        <v>45291</v>
      </c>
      <c r="AA113" s="54"/>
      <c r="AB113" s="54"/>
      <c r="AC113" s="54">
        <v>0</v>
      </c>
      <c r="AD113" s="239">
        <f t="shared" si="36"/>
        <v>21</v>
      </c>
    </row>
    <row r="114" spans="1:30">
      <c r="A114" s="30"/>
      <c r="C114" s="33" t="s">
        <v>76</v>
      </c>
      <c r="E114" s="207">
        <v>52962</v>
      </c>
      <c r="G114" s="228" t="s">
        <v>140</v>
      </c>
      <c r="H114" s="205" t="s">
        <v>141</v>
      </c>
      <c r="I114" s="229">
        <v>0</v>
      </c>
      <c r="K114" s="157">
        <v>933680.4</v>
      </c>
      <c r="L114" s="145"/>
      <c r="M114" s="147">
        <v>504298.32</v>
      </c>
      <c r="N114" s="147"/>
      <c r="O114" s="52">
        <f t="shared" si="31"/>
        <v>429382</v>
      </c>
      <c r="P114" s="27"/>
      <c r="Q114" s="27">
        <f t="shared" si="32"/>
        <v>20446.761904761905</v>
      </c>
      <c r="R114" s="14"/>
      <c r="S114" s="28">
        <f t="shared" si="33"/>
        <v>2.1899101560621714</v>
      </c>
      <c r="U114" s="49">
        <f t="shared" si="34"/>
        <v>21</v>
      </c>
      <c r="Y114" s="239">
        <f t="shared" si="35"/>
        <v>21</v>
      </c>
      <c r="Z114" s="240">
        <v>45291</v>
      </c>
      <c r="AA114" s="54"/>
      <c r="AB114" s="54"/>
      <c r="AC114" s="54">
        <v>0</v>
      </c>
      <c r="AD114" s="239">
        <f t="shared" si="36"/>
        <v>21</v>
      </c>
    </row>
    <row r="115" spans="1:30">
      <c r="A115" s="30"/>
      <c r="C115" s="33" t="s">
        <v>77</v>
      </c>
      <c r="E115" s="207">
        <v>53873</v>
      </c>
      <c r="G115" s="228" t="s">
        <v>140</v>
      </c>
      <c r="H115" s="205" t="s">
        <v>141</v>
      </c>
      <c r="I115" s="229">
        <v>-1</v>
      </c>
      <c r="K115" s="144">
        <v>625882</v>
      </c>
      <c r="L115" s="145"/>
      <c r="M115" s="148">
        <v>159616.29999999999</v>
      </c>
      <c r="N115" s="147"/>
      <c r="O115" s="55">
        <f t="shared" si="31"/>
        <v>472525</v>
      </c>
      <c r="P115" s="27"/>
      <c r="Q115" s="29">
        <f t="shared" si="32"/>
        <v>20107.446808510638</v>
      </c>
      <c r="R115" s="14"/>
      <c r="S115" s="28">
        <f t="shared" si="33"/>
        <v>3.212657786693121</v>
      </c>
      <c r="U115" s="49">
        <f t="shared" si="34"/>
        <v>23.5</v>
      </c>
      <c r="Y115" s="239">
        <f>ROUND((AB115-Z115)/365.25,0)-0.5</f>
        <v>23.5</v>
      </c>
      <c r="Z115" s="240">
        <v>45291</v>
      </c>
      <c r="AA115" s="240">
        <f>E115</f>
        <v>53873</v>
      </c>
      <c r="AB115" s="240">
        <v>54057</v>
      </c>
      <c r="AC115" s="54">
        <v>0</v>
      </c>
      <c r="AD115" s="239">
        <f t="shared" si="36"/>
        <v>23.5</v>
      </c>
    </row>
    <row r="116" spans="1:30">
      <c r="A116" s="30"/>
      <c r="E116" s="54" t="s">
        <v>321</v>
      </c>
      <c r="F116" s="54"/>
      <c r="G116" s="228"/>
      <c r="H116" s="228"/>
      <c r="I116" s="229"/>
      <c r="K116" s="157"/>
      <c r="L116" s="145"/>
      <c r="M116" s="147"/>
      <c r="N116" s="147"/>
      <c r="O116" s="147"/>
      <c r="P116" s="147"/>
      <c r="Q116" s="147"/>
      <c r="S116" s="26"/>
      <c r="U116" s="49"/>
      <c r="Y116" s="230"/>
    </row>
    <row r="117" spans="1:30">
      <c r="A117" s="30"/>
      <c r="C117" s="13" t="s">
        <v>45</v>
      </c>
      <c r="G117" s="205"/>
      <c r="H117" s="205"/>
      <c r="I117" s="206"/>
      <c r="K117" s="157">
        <f>SUBTOTAL(9,K97:K116)</f>
        <v>52461753.619999997</v>
      </c>
      <c r="L117" s="145"/>
      <c r="M117" s="147">
        <f>SUBTOTAL(9,M97:M116)</f>
        <v>19846681.27</v>
      </c>
      <c r="N117" s="147"/>
      <c r="O117" s="147">
        <f>SUBTOTAL(9,O97:O116)</f>
        <v>32621332</v>
      </c>
      <c r="P117" s="147"/>
      <c r="Q117" s="147">
        <f>SUBTOTAL(9,Q97:Q116)</f>
        <v>1341971.9494983577</v>
      </c>
      <c r="S117" s="26">
        <f>+ROUND(Q117/K117*100,2)</f>
        <v>2.56</v>
      </c>
      <c r="U117" s="49"/>
      <c r="Y117" s="230"/>
    </row>
    <row r="118" spans="1:30">
      <c r="A118" s="30"/>
      <c r="G118" s="205"/>
      <c r="H118" s="205"/>
      <c r="I118" s="206"/>
      <c r="K118" s="157"/>
      <c r="L118" s="145"/>
      <c r="M118" s="147"/>
      <c r="N118" s="147"/>
      <c r="O118" s="147"/>
      <c r="P118" s="147"/>
      <c r="Q118" s="147"/>
      <c r="S118" s="26"/>
      <c r="U118" s="49"/>
      <c r="Y118" s="230"/>
    </row>
    <row r="119" spans="1:30">
      <c r="A119" s="30">
        <v>342</v>
      </c>
      <c r="C119" s="13" t="s">
        <v>266</v>
      </c>
      <c r="S119" s="26"/>
      <c r="U119" s="49"/>
      <c r="Y119" s="230"/>
    </row>
    <row r="120" spans="1:30">
      <c r="A120" s="30"/>
      <c r="C120" s="33" t="s">
        <v>58</v>
      </c>
      <c r="E120" s="207">
        <v>55153</v>
      </c>
      <c r="G120" s="228" t="s">
        <v>140</v>
      </c>
      <c r="H120" s="205" t="s">
        <v>141</v>
      </c>
      <c r="I120" s="229">
        <v>0</v>
      </c>
      <c r="K120" s="157">
        <v>13766120.51</v>
      </c>
      <c r="L120" s="145"/>
      <c r="M120" s="147">
        <v>5537459.1299999999</v>
      </c>
      <c r="N120" s="147"/>
      <c r="O120" s="52">
        <f t="shared" ref="O120:O126" si="39">ROUND((K120+(K120*-(I120/100)))-M120,0)</f>
        <v>8228661</v>
      </c>
      <c r="P120" s="27"/>
      <c r="Q120" s="27">
        <f t="shared" ref="Q120:Q126" si="40">O120/U120</f>
        <v>257145.65625</v>
      </c>
      <c r="R120" s="14"/>
      <c r="S120" s="28">
        <f t="shared" ref="S120:S126" si="41">Q120/K120*100</f>
        <v>1.8679602293413311</v>
      </c>
      <c r="U120" s="49">
        <f t="shared" ref="U120:U126" si="42">AD120</f>
        <v>32</v>
      </c>
      <c r="Y120" s="239">
        <f t="shared" ref="Y120:Y126" si="43">ROUND((E120-Z120)/365.25,0)</f>
        <v>27</v>
      </c>
      <c r="Z120" s="240">
        <v>45291</v>
      </c>
      <c r="AA120" s="54"/>
      <c r="AB120" s="54"/>
      <c r="AC120" s="54">
        <v>5</v>
      </c>
      <c r="AD120" s="239">
        <f t="shared" ref="AD120:AD126" si="44">Y120+AC120</f>
        <v>32</v>
      </c>
    </row>
    <row r="121" spans="1:30">
      <c r="A121" s="30"/>
      <c r="C121" s="33" t="s">
        <v>64</v>
      </c>
      <c r="E121" s="207">
        <v>53327</v>
      </c>
      <c r="G121" s="228" t="s">
        <v>140</v>
      </c>
      <c r="H121" s="205" t="s">
        <v>141</v>
      </c>
      <c r="I121" s="229">
        <v>0</v>
      </c>
      <c r="K121" s="157">
        <v>70051.649999999994</v>
      </c>
      <c r="L121" s="145"/>
      <c r="M121" s="147">
        <v>27987.56</v>
      </c>
      <c r="N121" s="147"/>
      <c r="O121" s="52">
        <f t="shared" si="39"/>
        <v>42064</v>
      </c>
      <c r="P121" s="27"/>
      <c r="Q121" s="27">
        <f t="shared" si="40"/>
        <v>1557.9259259259259</v>
      </c>
      <c r="R121" s="14"/>
      <c r="S121" s="28">
        <f t="shared" si="41"/>
        <v>2.2239674953065718</v>
      </c>
      <c r="U121" s="49">
        <f t="shared" si="42"/>
        <v>27</v>
      </c>
      <c r="Y121" s="239">
        <f t="shared" si="43"/>
        <v>22</v>
      </c>
      <c r="Z121" s="240">
        <v>45291</v>
      </c>
      <c r="AA121" s="54"/>
      <c r="AB121" s="54"/>
      <c r="AC121" s="54">
        <v>5</v>
      </c>
      <c r="AD121" s="239">
        <f t="shared" si="44"/>
        <v>27</v>
      </c>
    </row>
    <row r="122" spans="1:30">
      <c r="A122" s="30"/>
      <c r="C122" s="33" t="s">
        <v>65</v>
      </c>
      <c r="E122" s="207">
        <v>53327</v>
      </c>
      <c r="G122" s="228" t="s">
        <v>140</v>
      </c>
      <c r="H122" s="205" t="s">
        <v>141</v>
      </c>
      <c r="I122" s="229">
        <v>0</v>
      </c>
      <c r="K122" s="157">
        <v>70051.649999999994</v>
      </c>
      <c r="L122" s="145"/>
      <c r="M122" s="147">
        <v>28048.65</v>
      </c>
      <c r="N122" s="147"/>
      <c r="O122" s="52">
        <f t="shared" si="39"/>
        <v>42003</v>
      </c>
      <c r="P122" s="27"/>
      <c r="Q122" s="27">
        <f t="shared" si="40"/>
        <v>1555.6666666666667</v>
      </c>
      <c r="R122" s="14"/>
      <c r="S122" s="28">
        <f t="shared" si="41"/>
        <v>2.2207423617668773</v>
      </c>
      <c r="U122" s="49">
        <f t="shared" si="42"/>
        <v>27</v>
      </c>
      <c r="Y122" s="239">
        <f t="shared" si="43"/>
        <v>22</v>
      </c>
      <c r="Z122" s="240">
        <v>45291</v>
      </c>
      <c r="AA122" s="54"/>
      <c r="AB122" s="54"/>
      <c r="AC122" s="54">
        <v>5</v>
      </c>
      <c r="AD122" s="239">
        <f t="shared" si="44"/>
        <v>27</v>
      </c>
    </row>
    <row r="123" spans="1:30">
      <c r="A123" s="30"/>
      <c r="C123" s="33" t="s">
        <v>66</v>
      </c>
      <c r="E123" s="207">
        <v>55153</v>
      </c>
      <c r="G123" s="228" t="s">
        <v>140</v>
      </c>
      <c r="H123" s="205" t="s">
        <v>141</v>
      </c>
      <c r="I123" s="229">
        <v>0</v>
      </c>
      <c r="K123" s="157">
        <v>2384532.85</v>
      </c>
      <c r="L123" s="145"/>
      <c r="M123" s="147">
        <v>551700.31999999995</v>
      </c>
      <c r="N123" s="147"/>
      <c r="O123" s="52">
        <f t="shared" si="39"/>
        <v>1832833</v>
      </c>
      <c r="P123" s="27"/>
      <c r="Q123" s="27">
        <f t="shared" si="40"/>
        <v>57276.03125</v>
      </c>
      <c r="R123" s="14"/>
      <c r="S123" s="28">
        <f t="shared" si="41"/>
        <v>2.4019812203467863</v>
      </c>
      <c r="U123" s="49">
        <f t="shared" si="42"/>
        <v>32</v>
      </c>
      <c r="Y123" s="239">
        <f t="shared" si="43"/>
        <v>27</v>
      </c>
      <c r="Z123" s="240">
        <v>45291</v>
      </c>
      <c r="AA123" s="54"/>
      <c r="AB123" s="54"/>
      <c r="AC123" s="54">
        <v>5</v>
      </c>
      <c r="AD123" s="239">
        <f t="shared" si="44"/>
        <v>32</v>
      </c>
    </row>
    <row r="124" spans="1:30">
      <c r="A124" s="30"/>
      <c r="C124" s="33" t="s">
        <v>67</v>
      </c>
      <c r="E124" s="207">
        <v>55153</v>
      </c>
      <c r="G124" s="228" t="s">
        <v>140</v>
      </c>
      <c r="H124" s="205" t="s">
        <v>141</v>
      </c>
      <c r="I124" s="229">
        <v>0</v>
      </c>
      <c r="K124" s="157">
        <v>2116650.59</v>
      </c>
      <c r="L124" s="145"/>
      <c r="M124" s="147">
        <v>667242.99</v>
      </c>
      <c r="N124" s="147"/>
      <c r="O124" s="52">
        <f t="shared" si="39"/>
        <v>1449408</v>
      </c>
      <c r="P124" s="27"/>
      <c r="Q124" s="27">
        <f t="shared" si="40"/>
        <v>45294</v>
      </c>
      <c r="R124" s="14"/>
      <c r="S124" s="28">
        <f t="shared" si="41"/>
        <v>2.1398902688043568</v>
      </c>
      <c r="U124" s="49">
        <f t="shared" si="42"/>
        <v>32</v>
      </c>
      <c r="Y124" s="239">
        <f t="shared" si="43"/>
        <v>27</v>
      </c>
      <c r="Z124" s="240">
        <v>45291</v>
      </c>
      <c r="AA124" s="54"/>
      <c r="AB124" s="54"/>
      <c r="AC124" s="54">
        <v>5</v>
      </c>
      <c r="AD124" s="239">
        <f t="shared" si="44"/>
        <v>32</v>
      </c>
    </row>
    <row r="125" spans="1:30">
      <c r="A125" s="30"/>
      <c r="C125" s="33" t="s">
        <v>70</v>
      </c>
      <c r="E125" s="207">
        <v>50586</v>
      </c>
      <c r="G125" s="228" t="s">
        <v>140</v>
      </c>
      <c r="H125" s="205" t="s">
        <v>141</v>
      </c>
      <c r="I125" s="229">
        <v>0</v>
      </c>
      <c r="K125" s="157">
        <v>357670.24</v>
      </c>
      <c r="L125" s="145"/>
      <c r="M125" s="147">
        <v>135434.97</v>
      </c>
      <c r="N125" s="147"/>
      <c r="O125" s="52">
        <f t="shared" si="39"/>
        <v>222235</v>
      </c>
      <c r="P125" s="27"/>
      <c r="Q125" s="27">
        <f t="shared" si="40"/>
        <v>15326.551724137931</v>
      </c>
      <c r="R125" s="14"/>
      <c r="S125" s="28">
        <f t="shared" si="41"/>
        <v>4.2851067855513865</v>
      </c>
      <c r="U125" s="49">
        <f t="shared" si="42"/>
        <v>14.5</v>
      </c>
      <c r="Y125" s="239">
        <f>ROUND((AB125-Z125)/365.25,0)-0.5</f>
        <v>14.5</v>
      </c>
      <c r="Z125" s="240">
        <v>45291</v>
      </c>
      <c r="AA125" s="240">
        <f>E125</f>
        <v>50586</v>
      </c>
      <c r="AB125" s="240">
        <v>50770</v>
      </c>
      <c r="AC125" s="54">
        <v>0</v>
      </c>
      <c r="AD125" s="239">
        <f t="shared" si="44"/>
        <v>14.5</v>
      </c>
    </row>
    <row r="126" spans="1:30">
      <c r="A126" s="30"/>
      <c r="C126" s="33" t="s">
        <v>73</v>
      </c>
      <c r="E126" s="207">
        <v>52962</v>
      </c>
      <c r="G126" s="228" t="s">
        <v>140</v>
      </c>
      <c r="H126" s="205" t="s">
        <v>141</v>
      </c>
      <c r="I126" s="229">
        <v>0</v>
      </c>
      <c r="K126" s="144">
        <v>1162203.57</v>
      </c>
      <c r="L126" s="145"/>
      <c r="M126" s="148">
        <v>331031.62</v>
      </c>
      <c r="N126" s="147"/>
      <c r="O126" s="55">
        <f t="shared" si="39"/>
        <v>831172</v>
      </c>
      <c r="P126" s="27"/>
      <c r="Q126" s="29">
        <f t="shared" si="40"/>
        <v>39579.619047619046</v>
      </c>
      <c r="R126" s="14"/>
      <c r="S126" s="28">
        <f t="shared" si="41"/>
        <v>3.4055668102636307</v>
      </c>
      <c r="U126" s="49">
        <f t="shared" si="42"/>
        <v>21</v>
      </c>
      <c r="Y126" s="239">
        <f t="shared" si="43"/>
        <v>21</v>
      </c>
      <c r="Z126" s="240">
        <v>45291</v>
      </c>
      <c r="AA126" s="54"/>
      <c r="AB126" s="54"/>
      <c r="AC126" s="54">
        <v>0</v>
      </c>
      <c r="AD126" s="239">
        <f t="shared" si="44"/>
        <v>21</v>
      </c>
    </row>
    <row r="127" spans="1:30">
      <c r="A127" s="30"/>
      <c r="G127" s="205"/>
      <c r="H127" s="205"/>
      <c r="I127" s="206"/>
      <c r="K127" s="157"/>
      <c r="L127" s="145"/>
      <c r="M127" s="147"/>
      <c r="N127" s="147"/>
      <c r="O127" s="147"/>
      <c r="P127" s="147"/>
      <c r="Q127" s="147"/>
      <c r="S127" s="26"/>
      <c r="U127" s="49"/>
      <c r="Y127" s="230"/>
    </row>
    <row r="128" spans="1:30">
      <c r="A128" s="30"/>
      <c r="C128" s="13" t="s">
        <v>79</v>
      </c>
      <c r="G128" s="205"/>
      <c r="H128" s="205"/>
      <c r="I128" s="206"/>
      <c r="K128" s="157">
        <f>SUBTOTAL(9,K120:K127)</f>
        <v>19927281.059999999</v>
      </c>
      <c r="L128" s="145"/>
      <c r="M128" s="147">
        <f>SUBTOTAL(9,M120:M127)</f>
        <v>7278905.2400000002</v>
      </c>
      <c r="N128" s="147"/>
      <c r="O128" s="147">
        <f>SUBTOTAL(9,O120:O127)</f>
        <v>12648376</v>
      </c>
      <c r="P128" s="147"/>
      <c r="Q128" s="147">
        <f>SUBTOTAL(9,Q120:Q127)</f>
        <v>417735.45086434955</v>
      </c>
      <c r="S128" s="26">
        <f>+ROUND(Q128/K128*100,2)</f>
        <v>2.1</v>
      </c>
      <c r="U128" s="49"/>
      <c r="Y128" s="230"/>
    </row>
    <row r="129" spans="1:30">
      <c r="A129" s="30"/>
      <c r="G129" s="205"/>
      <c r="H129" s="205"/>
      <c r="I129" s="206"/>
      <c r="K129" s="157"/>
      <c r="L129" s="145"/>
      <c r="M129" s="147"/>
      <c r="N129" s="147"/>
      <c r="O129" s="147"/>
      <c r="P129" s="147"/>
      <c r="Q129" s="147"/>
      <c r="S129" s="26"/>
      <c r="U129" s="49"/>
      <c r="Y129" s="230"/>
    </row>
    <row r="130" spans="1:30">
      <c r="A130" s="30">
        <v>343</v>
      </c>
      <c r="C130" s="13" t="s">
        <v>80</v>
      </c>
      <c r="S130" s="26"/>
      <c r="U130" s="49"/>
      <c r="Y130" s="230"/>
    </row>
    <row r="131" spans="1:30">
      <c r="A131" s="30"/>
      <c r="C131" s="33" t="s">
        <v>58</v>
      </c>
      <c r="E131" s="207">
        <v>55153</v>
      </c>
      <c r="G131" s="228" t="s">
        <v>140</v>
      </c>
      <c r="H131" s="205" t="s">
        <v>141</v>
      </c>
      <c r="I131" s="229">
        <v>0</v>
      </c>
      <c r="K131" s="157">
        <v>21780283.59</v>
      </c>
      <c r="L131" s="145"/>
      <c r="M131" s="147">
        <v>8406987.7799999993</v>
      </c>
      <c r="N131" s="147"/>
      <c r="O131" s="52">
        <f t="shared" ref="O131:O148" si="45">ROUND((K131+(K131*-(I131/100)))-M131,0)</f>
        <v>13373296</v>
      </c>
      <c r="P131" s="27"/>
      <c r="Q131" s="27">
        <f t="shared" ref="Q131:Q148" si="46">O131/U131</f>
        <v>417915.5</v>
      </c>
      <c r="R131" s="14"/>
      <c r="S131" s="28">
        <f t="shared" ref="S131:S148" si="47">Q131/K131*100</f>
        <v>1.9187789648059399</v>
      </c>
      <c r="U131" s="49">
        <f t="shared" ref="U131:U148" si="48">AD131</f>
        <v>32</v>
      </c>
      <c r="Y131" s="239">
        <f t="shared" ref="Y131:Y148" si="49">ROUND((E131-Z131)/365.25,0)</f>
        <v>27</v>
      </c>
      <c r="Z131" s="240">
        <v>45291</v>
      </c>
      <c r="AA131" s="54"/>
      <c r="AB131" s="54"/>
      <c r="AC131" s="54">
        <v>5</v>
      </c>
      <c r="AD131" s="239">
        <f t="shared" ref="AD131:AD148" si="50">Y131+AC131</f>
        <v>32</v>
      </c>
    </row>
    <row r="132" spans="1:30">
      <c r="A132" s="30"/>
      <c r="C132" s="33" t="s">
        <v>59</v>
      </c>
      <c r="E132" s="207">
        <v>50040</v>
      </c>
      <c r="G132" s="228" t="s">
        <v>140</v>
      </c>
      <c r="H132" s="205" t="s">
        <v>141</v>
      </c>
      <c r="I132" s="229">
        <v>0</v>
      </c>
      <c r="K132" s="157">
        <v>24250302.120000001</v>
      </c>
      <c r="L132" s="145"/>
      <c r="M132" s="147">
        <v>10963902.15</v>
      </c>
      <c r="N132" s="147"/>
      <c r="O132" s="52">
        <f t="shared" si="45"/>
        <v>13286400</v>
      </c>
      <c r="P132" s="27"/>
      <c r="Q132" s="27">
        <f t="shared" si="46"/>
        <v>632685.71428571432</v>
      </c>
      <c r="R132" s="14"/>
      <c r="S132" s="28">
        <f t="shared" si="47"/>
        <v>2.608980750651837</v>
      </c>
      <c r="U132" s="49">
        <f t="shared" si="48"/>
        <v>21</v>
      </c>
      <c r="Y132" s="239">
        <f t="shared" si="49"/>
        <v>13</v>
      </c>
      <c r="Z132" s="240">
        <v>45291</v>
      </c>
      <c r="AA132" s="54"/>
      <c r="AB132" s="54"/>
      <c r="AC132" s="54">
        <v>8</v>
      </c>
      <c r="AD132" s="239">
        <f t="shared" si="50"/>
        <v>21</v>
      </c>
    </row>
    <row r="133" spans="1:30">
      <c r="A133" s="30"/>
      <c r="C133" s="33" t="s">
        <v>60</v>
      </c>
      <c r="E133" s="207">
        <v>50040</v>
      </c>
      <c r="G133" s="228" t="s">
        <v>140</v>
      </c>
      <c r="H133" s="205" t="s">
        <v>141</v>
      </c>
      <c r="I133" s="229">
        <v>0</v>
      </c>
      <c r="K133" s="157">
        <v>16948244.77</v>
      </c>
      <c r="L133" s="145"/>
      <c r="M133" s="147">
        <v>10018781.130000001</v>
      </c>
      <c r="N133" s="147"/>
      <c r="O133" s="52">
        <f t="shared" si="45"/>
        <v>6929464</v>
      </c>
      <c r="P133" s="27"/>
      <c r="Q133" s="27">
        <f t="shared" si="46"/>
        <v>329974.47619047621</v>
      </c>
      <c r="R133" s="14"/>
      <c r="S133" s="28">
        <f t="shared" si="47"/>
        <v>1.9469536855790657</v>
      </c>
      <c r="U133" s="49">
        <f t="shared" si="48"/>
        <v>21</v>
      </c>
      <c r="Y133" s="239">
        <f t="shared" si="49"/>
        <v>13</v>
      </c>
      <c r="Z133" s="240">
        <v>45291</v>
      </c>
      <c r="AA133" s="54"/>
      <c r="AB133" s="54"/>
      <c r="AC133" s="54">
        <v>8</v>
      </c>
      <c r="AD133" s="239">
        <f t="shared" si="50"/>
        <v>21</v>
      </c>
    </row>
    <row r="134" spans="1:30">
      <c r="A134" s="30"/>
      <c r="C134" s="33" t="s">
        <v>61</v>
      </c>
      <c r="E134" s="207">
        <v>50040</v>
      </c>
      <c r="G134" s="228" t="s">
        <v>140</v>
      </c>
      <c r="H134" s="205" t="s">
        <v>141</v>
      </c>
      <c r="I134" s="229">
        <v>0</v>
      </c>
      <c r="K134" s="157">
        <v>16247189.43</v>
      </c>
      <c r="L134" s="145"/>
      <c r="M134" s="147">
        <v>9231709.7200000007</v>
      </c>
      <c r="N134" s="147"/>
      <c r="O134" s="52">
        <f t="shared" si="45"/>
        <v>7015480</v>
      </c>
      <c r="P134" s="27"/>
      <c r="Q134" s="27">
        <f t="shared" si="46"/>
        <v>334070.47619047621</v>
      </c>
      <c r="R134" s="14"/>
      <c r="S134" s="28">
        <f t="shared" si="47"/>
        <v>2.0561739470681868</v>
      </c>
      <c r="U134" s="49">
        <f t="shared" si="48"/>
        <v>21</v>
      </c>
      <c r="Y134" s="239">
        <f t="shared" si="49"/>
        <v>13</v>
      </c>
      <c r="Z134" s="240">
        <v>45291</v>
      </c>
      <c r="AA134" s="54"/>
      <c r="AB134" s="54"/>
      <c r="AC134" s="54">
        <v>8</v>
      </c>
      <c r="AD134" s="239">
        <f t="shared" si="50"/>
        <v>21</v>
      </c>
    </row>
    <row r="135" spans="1:30">
      <c r="A135" s="30"/>
      <c r="C135" s="33" t="s">
        <v>62</v>
      </c>
      <c r="E135" s="207">
        <v>51866</v>
      </c>
      <c r="G135" s="228" t="s">
        <v>140</v>
      </c>
      <c r="H135" s="205" t="s">
        <v>141</v>
      </c>
      <c r="I135" s="229">
        <v>0</v>
      </c>
      <c r="K135" s="157">
        <v>25858484.41</v>
      </c>
      <c r="L135" s="145"/>
      <c r="M135" s="147">
        <v>12301096.98</v>
      </c>
      <c r="N135" s="147"/>
      <c r="O135" s="52">
        <f t="shared" si="45"/>
        <v>13557387</v>
      </c>
      <c r="P135" s="27"/>
      <c r="Q135" s="27">
        <f t="shared" si="46"/>
        <v>589451.60869565222</v>
      </c>
      <c r="R135" s="14"/>
      <c r="S135" s="28">
        <f t="shared" si="47"/>
        <v>2.2795288360662749</v>
      </c>
      <c r="U135" s="49">
        <f t="shared" si="48"/>
        <v>23</v>
      </c>
      <c r="Y135" s="239">
        <f t="shared" si="49"/>
        <v>18</v>
      </c>
      <c r="Z135" s="240">
        <v>45291</v>
      </c>
      <c r="AA135" s="54"/>
      <c r="AB135" s="54"/>
      <c r="AC135" s="54">
        <v>5</v>
      </c>
      <c r="AD135" s="239">
        <f t="shared" si="50"/>
        <v>23</v>
      </c>
    </row>
    <row r="136" spans="1:30">
      <c r="A136" s="30"/>
      <c r="C136" s="33" t="s">
        <v>63</v>
      </c>
      <c r="E136" s="207">
        <v>51866</v>
      </c>
      <c r="G136" s="228" t="s">
        <v>140</v>
      </c>
      <c r="H136" s="205" t="s">
        <v>141</v>
      </c>
      <c r="I136" s="229">
        <v>0</v>
      </c>
      <c r="K136" s="157">
        <v>21295538.73</v>
      </c>
      <c r="L136" s="145"/>
      <c r="M136" s="147">
        <v>10224571</v>
      </c>
      <c r="N136" s="147"/>
      <c r="O136" s="52">
        <f t="shared" si="45"/>
        <v>11070968</v>
      </c>
      <c r="P136" s="27"/>
      <c r="Q136" s="27">
        <f t="shared" si="46"/>
        <v>481346.4347826087</v>
      </c>
      <c r="R136" s="14"/>
      <c r="S136" s="28">
        <f t="shared" si="47"/>
        <v>2.2603158383803361</v>
      </c>
      <c r="U136" s="49">
        <f t="shared" si="48"/>
        <v>23</v>
      </c>
      <c r="Y136" s="239">
        <f t="shared" si="49"/>
        <v>18</v>
      </c>
      <c r="Z136" s="240">
        <v>45291</v>
      </c>
      <c r="AA136" s="54"/>
      <c r="AB136" s="54"/>
      <c r="AC136" s="54">
        <v>5</v>
      </c>
      <c r="AD136" s="239">
        <f t="shared" si="50"/>
        <v>23</v>
      </c>
    </row>
    <row r="137" spans="1:30">
      <c r="A137" s="30"/>
      <c r="C137" s="33" t="s">
        <v>64</v>
      </c>
      <c r="E137" s="207">
        <v>53327</v>
      </c>
      <c r="G137" s="228" t="s">
        <v>140</v>
      </c>
      <c r="H137" s="205" t="s">
        <v>141</v>
      </c>
      <c r="I137" s="229">
        <v>0</v>
      </c>
      <c r="K137" s="157">
        <v>18332746.16</v>
      </c>
      <c r="L137" s="145"/>
      <c r="M137" s="147">
        <v>6529338.7800000003</v>
      </c>
      <c r="N137" s="147"/>
      <c r="O137" s="52">
        <f t="shared" si="45"/>
        <v>11803407</v>
      </c>
      <c r="P137" s="27"/>
      <c r="Q137" s="27">
        <f t="shared" si="46"/>
        <v>437163.22222222225</v>
      </c>
      <c r="R137" s="14"/>
      <c r="S137" s="28">
        <f t="shared" si="47"/>
        <v>2.3846030398656994</v>
      </c>
      <c r="U137" s="49">
        <f t="shared" si="48"/>
        <v>27</v>
      </c>
      <c r="Y137" s="239">
        <f t="shared" si="49"/>
        <v>22</v>
      </c>
      <c r="Z137" s="240">
        <v>45291</v>
      </c>
      <c r="AA137" s="54"/>
      <c r="AB137" s="54"/>
      <c r="AC137" s="54">
        <v>5</v>
      </c>
      <c r="AD137" s="239">
        <f t="shared" si="50"/>
        <v>27</v>
      </c>
    </row>
    <row r="138" spans="1:30">
      <c r="A138" s="30"/>
      <c r="C138" s="33" t="s">
        <v>65</v>
      </c>
      <c r="E138" s="207">
        <v>53327</v>
      </c>
      <c r="G138" s="228" t="s">
        <v>140</v>
      </c>
      <c r="H138" s="205" t="s">
        <v>141</v>
      </c>
      <c r="I138" s="229">
        <v>0</v>
      </c>
      <c r="K138" s="157">
        <v>16754183.57</v>
      </c>
      <c r="L138" s="145"/>
      <c r="M138" s="147">
        <v>6428695.0599999996</v>
      </c>
      <c r="N138" s="147"/>
      <c r="O138" s="52">
        <f t="shared" si="45"/>
        <v>10325489</v>
      </c>
      <c r="P138" s="27"/>
      <c r="Q138" s="27">
        <f t="shared" si="46"/>
        <v>382425.51851851854</v>
      </c>
      <c r="R138" s="14"/>
      <c r="S138" s="28">
        <f t="shared" si="47"/>
        <v>2.2825673177133425</v>
      </c>
      <c r="U138" s="49">
        <f t="shared" si="48"/>
        <v>27</v>
      </c>
      <c r="Y138" s="239">
        <f t="shared" si="49"/>
        <v>22</v>
      </c>
      <c r="Z138" s="240">
        <v>45291</v>
      </c>
      <c r="AA138" s="54"/>
      <c r="AB138" s="54"/>
      <c r="AC138" s="54">
        <v>5</v>
      </c>
      <c r="AD138" s="239">
        <f t="shared" si="50"/>
        <v>27</v>
      </c>
    </row>
    <row r="139" spans="1:30">
      <c r="A139" s="30"/>
      <c r="C139" s="33" t="s">
        <v>66</v>
      </c>
      <c r="E139" s="207">
        <v>55153</v>
      </c>
      <c r="G139" s="228" t="s">
        <v>140</v>
      </c>
      <c r="H139" s="205" t="s">
        <v>141</v>
      </c>
      <c r="I139" s="229">
        <v>0</v>
      </c>
      <c r="K139" s="157">
        <v>41179391.759999998</v>
      </c>
      <c r="L139" s="145"/>
      <c r="M139" s="147">
        <v>7964081</v>
      </c>
      <c r="N139" s="147"/>
      <c r="O139" s="52">
        <f t="shared" si="45"/>
        <v>33215311</v>
      </c>
      <c r="P139" s="27"/>
      <c r="Q139" s="27">
        <f t="shared" si="46"/>
        <v>1037978.46875</v>
      </c>
      <c r="R139" s="14"/>
      <c r="S139" s="28">
        <f t="shared" si="47"/>
        <v>2.5206260325541052</v>
      </c>
      <c r="U139" s="49">
        <f t="shared" si="48"/>
        <v>32</v>
      </c>
      <c r="Y139" s="239">
        <f t="shared" si="49"/>
        <v>27</v>
      </c>
      <c r="Z139" s="240">
        <v>45291</v>
      </c>
      <c r="AA139" s="54"/>
      <c r="AB139" s="54"/>
      <c r="AC139" s="54">
        <v>5</v>
      </c>
      <c r="AD139" s="239">
        <f t="shared" si="50"/>
        <v>32</v>
      </c>
    </row>
    <row r="140" spans="1:30">
      <c r="A140" s="30"/>
      <c r="C140" s="33" t="s">
        <v>67</v>
      </c>
      <c r="E140" s="207">
        <v>55153</v>
      </c>
      <c r="G140" s="228" t="s">
        <v>140</v>
      </c>
      <c r="H140" s="205" t="s">
        <v>141</v>
      </c>
      <c r="I140" s="229">
        <v>0</v>
      </c>
      <c r="K140" s="157">
        <v>38525568.210000001</v>
      </c>
      <c r="L140" s="145"/>
      <c r="M140" s="147">
        <v>10498931.800000001</v>
      </c>
      <c r="N140" s="147"/>
      <c r="O140" s="52">
        <f t="shared" si="45"/>
        <v>28026636</v>
      </c>
      <c r="P140" s="27"/>
      <c r="Q140" s="27">
        <f t="shared" si="46"/>
        <v>875832.375</v>
      </c>
      <c r="R140" s="14"/>
      <c r="S140" s="28">
        <f t="shared" si="47"/>
        <v>2.2733795131220464</v>
      </c>
      <c r="U140" s="49">
        <f t="shared" si="48"/>
        <v>32</v>
      </c>
      <c r="Y140" s="239">
        <f t="shared" si="49"/>
        <v>27</v>
      </c>
      <c r="Z140" s="240">
        <v>45291</v>
      </c>
      <c r="AA140" s="54"/>
      <c r="AB140" s="54"/>
      <c r="AC140" s="54">
        <v>5</v>
      </c>
      <c r="AD140" s="239">
        <f t="shared" si="50"/>
        <v>32</v>
      </c>
    </row>
    <row r="141" spans="1:30">
      <c r="A141" s="30"/>
      <c r="C141" s="33" t="s">
        <v>68</v>
      </c>
      <c r="E141" s="207">
        <v>50586</v>
      </c>
      <c r="G141" s="228" t="s">
        <v>140</v>
      </c>
      <c r="H141" s="205" t="s">
        <v>141</v>
      </c>
      <c r="I141" s="229">
        <v>0</v>
      </c>
      <c r="K141" s="157">
        <v>354200.3</v>
      </c>
      <c r="L141" s="145"/>
      <c r="M141" s="147">
        <v>124578.89</v>
      </c>
      <c r="N141" s="147"/>
      <c r="O141" s="52">
        <f t="shared" si="45"/>
        <v>229621</v>
      </c>
      <c r="P141" s="27"/>
      <c r="Q141" s="27">
        <f t="shared" si="46"/>
        <v>15835.931034482759</v>
      </c>
      <c r="R141" s="14"/>
      <c r="S141" s="28">
        <f t="shared" si="47"/>
        <v>4.4708971264233153</v>
      </c>
      <c r="U141" s="49">
        <f t="shared" si="48"/>
        <v>14.5</v>
      </c>
      <c r="Y141" s="239">
        <f t="shared" ref="Y141:Y144" si="51">ROUND((AB141-Z141)/365.25,0)-0.5</f>
        <v>14.5</v>
      </c>
      <c r="Z141" s="240">
        <v>45291</v>
      </c>
      <c r="AA141" s="240">
        <f t="shared" ref="AA141:AA144" si="52">E141</f>
        <v>50586</v>
      </c>
      <c r="AB141" s="240">
        <v>50770</v>
      </c>
      <c r="AC141" s="54">
        <v>0</v>
      </c>
      <c r="AD141" s="239">
        <f t="shared" si="50"/>
        <v>14.5</v>
      </c>
    </row>
    <row r="142" spans="1:30">
      <c r="A142" s="30"/>
      <c r="C142" s="33" t="s">
        <v>70</v>
      </c>
      <c r="E142" s="207">
        <v>50586</v>
      </c>
      <c r="G142" s="228" t="s">
        <v>140</v>
      </c>
      <c r="H142" s="205" t="s">
        <v>141</v>
      </c>
      <c r="I142" s="229">
        <v>0</v>
      </c>
      <c r="K142" s="157">
        <v>387999.31</v>
      </c>
      <c r="L142" s="145"/>
      <c r="M142" s="147">
        <v>133688.01999999999</v>
      </c>
      <c r="N142" s="147"/>
      <c r="O142" s="52">
        <f t="shared" si="45"/>
        <v>254311</v>
      </c>
      <c r="P142" s="27"/>
      <c r="Q142" s="27">
        <f t="shared" si="46"/>
        <v>17538.689655172413</v>
      </c>
      <c r="R142" s="14"/>
      <c r="S142" s="28">
        <f t="shared" si="47"/>
        <v>4.5202888776200174</v>
      </c>
      <c r="U142" s="49">
        <f t="shared" si="48"/>
        <v>14.5</v>
      </c>
      <c r="Y142" s="239">
        <f t="shared" si="51"/>
        <v>14.5</v>
      </c>
      <c r="Z142" s="240">
        <v>45291</v>
      </c>
      <c r="AA142" s="240">
        <f t="shared" si="52"/>
        <v>50586</v>
      </c>
      <c r="AB142" s="240">
        <v>50770</v>
      </c>
      <c r="AC142" s="54">
        <v>0</v>
      </c>
      <c r="AD142" s="239">
        <f t="shared" si="50"/>
        <v>14.5</v>
      </c>
    </row>
    <row r="143" spans="1:30">
      <c r="A143" s="30"/>
      <c r="C143" s="33" t="s">
        <v>71</v>
      </c>
      <c r="E143" s="207">
        <v>51682</v>
      </c>
      <c r="G143" s="228" t="s">
        <v>140</v>
      </c>
      <c r="H143" s="205" t="s">
        <v>141</v>
      </c>
      <c r="I143" s="229">
        <v>0</v>
      </c>
      <c r="K143" s="157">
        <v>201654.6</v>
      </c>
      <c r="L143" s="145"/>
      <c r="M143" s="147">
        <v>64321.63</v>
      </c>
      <c r="N143" s="147"/>
      <c r="O143" s="52">
        <f t="shared" si="45"/>
        <v>137333</v>
      </c>
      <c r="P143" s="27"/>
      <c r="Q143" s="27">
        <f t="shared" si="46"/>
        <v>7847.6</v>
      </c>
      <c r="R143" s="14"/>
      <c r="S143" s="28">
        <f t="shared" si="47"/>
        <v>3.8916047538712237</v>
      </c>
      <c r="U143" s="49">
        <f t="shared" si="48"/>
        <v>17.5</v>
      </c>
      <c r="Y143" s="239">
        <f t="shared" si="51"/>
        <v>17.5</v>
      </c>
      <c r="Z143" s="240">
        <v>45291</v>
      </c>
      <c r="AA143" s="240">
        <f t="shared" si="52"/>
        <v>51682</v>
      </c>
      <c r="AB143" s="240">
        <v>51866</v>
      </c>
      <c r="AC143" s="54">
        <v>0</v>
      </c>
      <c r="AD143" s="239">
        <f t="shared" si="50"/>
        <v>17.5</v>
      </c>
    </row>
    <row r="144" spans="1:30">
      <c r="A144" s="30"/>
      <c r="C144" s="33" t="s">
        <v>72</v>
      </c>
      <c r="E144" s="207">
        <v>52047</v>
      </c>
      <c r="G144" s="228" t="s">
        <v>140</v>
      </c>
      <c r="H144" s="205" t="s">
        <v>141</v>
      </c>
      <c r="I144" s="229">
        <v>0</v>
      </c>
      <c r="K144" s="157">
        <v>275099.08</v>
      </c>
      <c r="L144" s="145"/>
      <c r="M144" s="147">
        <v>82817.759999999995</v>
      </c>
      <c r="N144" s="147"/>
      <c r="O144" s="52">
        <f t="shared" si="45"/>
        <v>192281</v>
      </c>
      <c r="P144" s="27"/>
      <c r="Q144" s="27">
        <f t="shared" si="46"/>
        <v>10393.567567567568</v>
      </c>
      <c r="R144" s="14"/>
      <c r="S144" s="28">
        <f t="shared" si="47"/>
        <v>3.7781178939484525</v>
      </c>
      <c r="U144" s="49">
        <f t="shared" si="48"/>
        <v>18.5</v>
      </c>
      <c r="Y144" s="239">
        <f t="shared" si="51"/>
        <v>18.5</v>
      </c>
      <c r="Z144" s="240">
        <v>45291</v>
      </c>
      <c r="AA144" s="240">
        <f t="shared" si="52"/>
        <v>52047</v>
      </c>
      <c r="AB144" s="240">
        <v>52231</v>
      </c>
      <c r="AC144" s="54">
        <v>0</v>
      </c>
      <c r="AD144" s="239">
        <f t="shared" si="50"/>
        <v>18.5</v>
      </c>
    </row>
    <row r="145" spans="1:30">
      <c r="A145" s="30"/>
      <c r="C145" s="33" t="s">
        <v>73</v>
      </c>
      <c r="E145" s="207">
        <v>52962</v>
      </c>
      <c r="G145" s="228" t="s">
        <v>140</v>
      </c>
      <c r="H145" s="205" t="s">
        <v>141</v>
      </c>
      <c r="I145" s="229">
        <v>0</v>
      </c>
      <c r="K145" s="157">
        <v>57861908.030000001</v>
      </c>
      <c r="L145" s="145"/>
      <c r="M145" s="147">
        <v>8136032.75</v>
      </c>
      <c r="N145" s="147"/>
      <c r="O145" s="52">
        <f t="shared" si="45"/>
        <v>49725875</v>
      </c>
      <c r="P145" s="27"/>
      <c r="Q145" s="27">
        <f t="shared" si="46"/>
        <v>2367898.8095238097</v>
      </c>
      <c r="R145" s="14"/>
      <c r="S145" s="28">
        <f t="shared" si="47"/>
        <v>4.0923275608127394</v>
      </c>
      <c r="U145" s="49">
        <f t="shared" si="48"/>
        <v>21</v>
      </c>
      <c r="Y145" s="239">
        <f t="shared" si="49"/>
        <v>21</v>
      </c>
      <c r="Z145" s="240">
        <v>45291</v>
      </c>
      <c r="AA145" s="54"/>
      <c r="AB145" s="54"/>
      <c r="AC145" s="54">
        <v>0</v>
      </c>
      <c r="AD145" s="239">
        <f t="shared" si="50"/>
        <v>21</v>
      </c>
    </row>
    <row r="146" spans="1:30">
      <c r="A146" s="30"/>
      <c r="C146" s="33" t="s">
        <v>74</v>
      </c>
      <c r="E146" s="207">
        <v>52962</v>
      </c>
      <c r="G146" s="228" t="s">
        <v>140</v>
      </c>
      <c r="H146" s="205" t="s">
        <v>141</v>
      </c>
      <c r="I146" s="229">
        <v>0</v>
      </c>
      <c r="K146" s="157">
        <v>44185201.950000003</v>
      </c>
      <c r="L146" s="145"/>
      <c r="M146" s="147">
        <v>15999848.33</v>
      </c>
      <c r="N146" s="147"/>
      <c r="O146" s="52">
        <f t="shared" si="45"/>
        <v>28185354</v>
      </c>
      <c r="P146" s="27"/>
      <c r="Q146" s="27">
        <f t="shared" si="46"/>
        <v>1342159.7142857143</v>
      </c>
      <c r="R146" s="14"/>
      <c r="S146" s="28">
        <f t="shared" si="47"/>
        <v>3.0375774129187025</v>
      </c>
      <c r="U146" s="49">
        <f t="shared" si="48"/>
        <v>21</v>
      </c>
      <c r="Y146" s="239">
        <f t="shared" si="49"/>
        <v>21</v>
      </c>
      <c r="Z146" s="240">
        <v>45291</v>
      </c>
      <c r="AA146" s="54"/>
      <c r="AB146" s="54"/>
      <c r="AC146" s="54">
        <v>0</v>
      </c>
      <c r="AD146" s="239">
        <f t="shared" si="50"/>
        <v>21</v>
      </c>
    </row>
    <row r="147" spans="1:30">
      <c r="A147" s="30"/>
      <c r="C147" s="33" t="s">
        <v>75</v>
      </c>
      <c r="E147" s="207">
        <v>52962</v>
      </c>
      <c r="G147" s="228" t="s">
        <v>140</v>
      </c>
      <c r="H147" s="205" t="s">
        <v>141</v>
      </c>
      <c r="I147" s="229">
        <v>0</v>
      </c>
      <c r="K147" s="157">
        <v>45507960.020000003</v>
      </c>
      <c r="L147" s="145"/>
      <c r="M147" s="147">
        <v>19640774.829999998</v>
      </c>
      <c r="N147" s="147"/>
      <c r="O147" s="52">
        <f t="shared" si="45"/>
        <v>25867185</v>
      </c>
      <c r="P147" s="27"/>
      <c r="Q147" s="27">
        <f t="shared" si="46"/>
        <v>1231770.7142857143</v>
      </c>
      <c r="R147" s="14"/>
      <c r="S147" s="28">
        <f t="shared" si="47"/>
        <v>2.7067148554766489</v>
      </c>
      <c r="U147" s="49">
        <f t="shared" si="48"/>
        <v>21</v>
      </c>
      <c r="Y147" s="239">
        <f t="shared" si="49"/>
        <v>21</v>
      </c>
      <c r="Z147" s="240">
        <v>45291</v>
      </c>
      <c r="AA147" s="54"/>
      <c r="AB147" s="54"/>
      <c r="AC147" s="54">
        <v>0</v>
      </c>
      <c r="AD147" s="239">
        <f t="shared" si="50"/>
        <v>21</v>
      </c>
    </row>
    <row r="148" spans="1:30">
      <c r="A148" s="30"/>
      <c r="C148" s="33" t="s">
        <v>76</v>
      </c>
      <c r="E148" s="207">
        <v>52962</v>
      </c>
      <c r="G148" s="228" t="s">
        <v>140</v>
      </c>
      <c r="H148" s="205" t="s">
        <v>141</v>
      </c>
      <c r="I148" s="229">
        <v>0</v>
      </c>
      <c r="K148" s="144">
        <v>39171021.640000001</v>
      </c>
      <c r="L148" s="145"/>
      <c r="M148" s="148">
        <v>19052233.73</v>
      </c>
      <c r="N148" s="147"/>
      <c r="O148" s="55">
        <f t="shared" si="45"/>
        <v>20118788</v>
      </c>
      <c r="P148" s="27"/>
      <c r="Q148" s="29">
        <f t="shared" si="46"/>
        <v>958037.52380952379</v>
      </c>
      <c r="R148" s="14"/>
      <c r="S148" s="28">
        <f t="shared" si="47"/>
        <v>2.4457813038790168</v>
      </c>
      <c r="U148" s="49">
        <f t="shared" si="48"/>
        <v>21</v>
      </c>
      <c r="Y148" s="239">
        <f t="shared" si="49"/>
        <v>21</v>
      </c>
      <c r="Z148" s="240">
        <v>45291</v>
      </c>
      <c r="AA148" s="54"/>
      <c r="AB148" s="54"/>
      <c r="AC148" s="54">
        <v>0</v>
      </c>
      <c r="AD148" s="239">
        <f t="shared" si="50"/>
        <v>21</v>
      </c>
    </row>
    <row r="149" spans="1:30">
      <c r="A149" s="30"/>
      <c r="G149" s="205"/>
      <c r="H149" s="205"/>
      <c r="I149" s="206"/>
      <c r="K149" s="157"/>
      <c r="L149" s="145"/>
      <c r="M149" s="147"/>
      <c r="N149" s="147"/>
      <c r="O149" s="147"/>
      <c r="P149" s="147"/>
      <c r="Q149" s="147"/>
      <c r="S149" s="26"/>
      <c r="U149" s="49"/>
      <c r="Y149" s="230"/>
    </row>
    <row r="150" spans="1:30">
      <c r="A150" s="30"/>
      <c r="C150" s="13" t="s">
        <v>81</v>
      </c>
      <c r="G150" s="205"/>
      <c r="H150" s="205"/>
      <c r="I150" s="206"/>
      <c r="K150" s="157">
        <f>SUBTOTAL(9,K131:K149)</f>
        <v>429116977.68000001</v>
      </c>
      <c r="L150" s="145"/>
      <c r="M150" s="147">
        <f>SUBTOTAL(9,M131:M149)</f>
        <v>155802391.34</v>
      </c>
      <c r="N150" s="147"/>
      <c r="O150" s="147">
        <f>SUBTOTAL(9,O131:O149)</f>
        <v>273314586</v>
      </c>
      <c r="P150" s="147"/>
      <c r="Q150" s="147">
        <f>SUBTOTAL(9,Q131:Q149)</f>
        <v>11470326.344797654</v>
      </c>
      <c r="S150" s="26">
        <f>+ROUND(Q150/K150*100,2)</f>
        <v>2.67</v>
      </c>
      <c r="U150" s="49"/>
      <c r="Y150" s="230"/>
    </row>
    <row r="151" spans="1:30">
      <c r="A151" s="30"/>
      <c r="G151" s="205"/>
      <c r="H151" s="205"/>
      <c r="I151" s="206"/>
      <c r="K151" s="157"/>
      <c r="L151" s="145"/>
      <c r="M151" s="147"/>
      <c r="N151" s="147"/>
      <c r="O151" s="147"/>
      <c r="P151" s="147"/>
      <c r="Q151" s="147"/>
      <c r="S151" s="26"/>
      <c r="U151" s="49"/>
      <c r="Y151" s="230"/>
    </row>
    <row r="152" spans="1:30">
      <c r="A152" s="30">
        <v>344</v>
      </c>
      <c r="C152" s="13" t="s">
        <v>82</v>
      </c>
      <c r="S152" s="26"/>
      <c r="U152" s="49"/>
      <c r="Y152" s="230"/>
    </row>
    <row r="153" spans="1:30">
      <c r="A153" s="30"/>
      <c r="C153" s="33" t="s">
        <v>58</v>
      </c>
      <c r="E153" s="207">
        <v>55153</v>
      </c>
      <c r="G153" s="228" t="s">
        <v>140</v>
      </c>
      <c r="H153" s="205" t="s">
        <v>141</v>
      </c>
      <c r="I153" s="229">
        <v>0</v>
      </c>
      <c r="K153" s="157">
        <v>385287.95</v>
      </c>
      <c r="L153" s="145"/>
      <c r="M153" s="147">
        <v>112500.83</v>
      </c>
      <c r="N153" s="147"/>
      <c r="O153" s="52">
        <f t="shared" ref="O153:O172" si="53">ROUND((K153+(K153*-(I153/100)))-M153,0)</f>
        <v>272787</v>
      </c>
      <c r="P153" s="27"/>
      <c r="Q153" s="27">
        <f t="shared" ref="Q153:Q172" si="54">O153/U153</f>
        <v>8524.59375</v>
      </c>
      <c r="R153" s="14"/>
      <c r="S153" s="28">
        <f t="shared" ref="S153:S172" si="55">Q153/K153*100</f>
        <v>2.2125253982119086</v>
      </c>
      <c r="U153" s="49">
        <f t="shared" ref="U153:U172" si="56">AD153</f>
        <v>32</v>
      </c>
      <c r="Y153" s="239">
        <f t="shared" ref="Y153:Y171" si="57">ROUND((E153-Z153)/365.25,0)</f>
        <v>27</v>
      </c>
      <c r="Z153" s="240">
        <v>45291</v>
      </c>
      <c r="AA153" s="54"/>
      <c r="AB153" s="54"/>
      <c r="AC153" s="54">
        <v>5</v>
      </c>
      <c r="AD153" s="239">
        <f t="shared" ref="AD153:AD172" si="58">Y153+AC153</f>
        <v>32</v>
      </c>
    </row>
    <row r="154" spans="1:30">
      <c r="A154" s="30"/>
      <c r="C154" s="33" t="s">
        <v>59</v>
      </c>
      <c r="E154" s="207">
        <v>50040</v>
      </c>
      <c r="G154" s="228" t="s">
        <v>140</v>
      </c>
      <c r="H154" s="205" t="s">
        <v>141</v>
      </c>
      <c r="I154" s="229">
        <v>0</v>
      </c>
      <c r="K154" s="157">
        <v>4960295.58</v>
      </c>
      <c r="L154" s="145"/>
      <c r="M154" s="147">
        <v>2938099.42</v>
      </c>
      <c r="N154" s="147"/>
      <c r="O154" s="52">
        <f t="shared" si="53"/>
        <v>2022196</v>
      </c>
      <c r="P154" s="27"/>
      <c r="Q154" s="27">
        <f t="shared" si="54"/>
        <v>96295.047619047618</v>
      </c>
      <c r="R154" s="14"/>
      <c r="S154" s="28">
        <f t="shared" si="55"/>
        <v>1.9413167232878412</v>
      </c>
      <c r="U154" s="49">
        <f t="shared" si="56"/>
        <v>21</v>
      </c>
      <c r="Y154" s="239">
        <f t="shared" si="57"/>
        <v>13</v>
      </c>
      <c r="Z154" s="240">
        <v>45291</v>
      </c>
      <c r="AA154" s="54"/>
      <c r="AB154" s="54"/>
      <c r="AC154" s="54">
        <v>8</v>
      </c>
      <c r="AD154" s="239">
        <f t="shared" si="58"/>
        <v>21</v>
      </c>
    </row>
    <row r="155" spans="1:30">
      <c r="A155" s="30"/>
      <c r="C155" s="33" t="s">
        <v>60</v>
      </c>
      <c r="E155" s="207">
        <v>50040</v>
      </c>
      <c r="G155" s="228" t="s">
        <v>140</v>
      </c>
      <c r="H155" s="205" t="s">
        <v>141</v>
      </c>
      <c r="I155" s="229">
        <v>0</v>
      </c>
      <c r="K155" s="157">
        <v>5083402.2400000002</v>
      </c>
      <c r="L155" s="145"/>
      <c r="M155" s="147">
        <v>3000111.74</v>
      </c>
      <c r="N155" s="147"/>
      <c r="O155" s="52">
        <f t="shared" si="53"/>
        <v>2083291</v>
      </c>
      <c r="P155" s="27"/>
      <c r="Q155" s="27">
        <f t="shared" si="54"/>
        <v>99204.333333333328</v>
      </c>
      <c r="R155" s="14"/>
      <c r="S155" s="28">
        <f t="shared" si="55"/>
        <v>1.9515342018917889</v>
      </c>
      <c r="U155" s="49">
        <f t="shared" si="56"/>
        <v>21</v>
      </c>
      <c r="Y155" s="239">
        <f t="shared" si="57"/>
        <v>13</v>
      </c>
      <c r="Z155" s="240">
        <v>45291</v>
      </c>
      <c r="AA155" s="54"/>
      <c r="AB155" s="54"/>
      <c r="AC155" s="54">
        <v>8</v>
      </c>
      <c r="AD155" s="239">
        <f t="shared" si="58"/>
        <v>21</v>
      </c>
    </row>
    <row r="156" spans="1:30">
      <c r="A156" s="30"/>
      <c r="C156" s="33" t="s">
        <v>61</v>
      </c>
      <c r="E156" s="207">
        <v>50040</v>
      </c>
      <c r="G156" s="228" t="s">
        <v>140</v>
      </c>
      <c r="H156" s="205" t="s">
        <v>141</v>
      </c>
      <c r="I156" s="229">
        <v>0</v>
      </c>
      <c r="K156" s="157">
        <v>2283154.23</v>
      </c>
      <c r="L156" s="145"/>
      <c r="M156" s="147">
        <v>1074252.4099999999</v>
      </c>
      <c r="N156" s="147"/>
      <c r="O156" s="52">
        <f t="shared" si="53"/>
        <v>1208902</v>
      </c>
      <c r="P156" s="27"/>
      <c r="Q156" s="27">
        <f t="shared" si="54"/>
        <v>57566.761904761908</v>
      </c>
      <c r="R156" s="14"/>
      <c r="S156" s="28">
        <f t="shared" si="55"/>
        <v>2.5213698290002031</v>
      </c>
      <c r="U156" s="49">
        <f t="shared" si="56"/>
        <v>21</v>
      </c>
      <c r="Y156" s="239">
        <f t="shared" si="57"/>
        <v>13</v>
      </c>
      <c r="Z156" s="240">
        <v>45291</v>
      </c>
      <c r="AA156" s="54"/>
      <c r="AB156" s="54"/>
      <c r="AC156" s="54">
        <v>8</v>
      </c>
      <c r="AD156" s="239">
        <f t="shared" si="58"/>
        <v>21</v>
      </c>
    </row>
    <row r="157" spans="1:30">
      <c r="A157" s="30"/>
      <c r="C157" s="33" t="s">
        <v>62</v>
      </c>
      <c r="E157" s="207">
        <v>51866</v>
      </c>
      <c r="G157" s="228" t="s">
        <v>140</v>
      </c>
      <c r="H157" s="205" t="s">
        <v>141</v>
      </c>
      <c r="I157" s="229">
        <v>0</v>
      </c>
      <c r="K157" s="157">
        <v>7839449.8600000003</v>
      </c>
      <c r="L157" s="145"/>
      <c r="M157" s="147">
        <v>3867941.4</v>
      </c>
      <c r="N157" s="147"/>
      <c r="O157" s="52">
        <f t="shared" si="53"/>
        <v>3971508</v>
      </c>
      <c r="P157" s="27"/>
      <c r="Q157" s="27">
        <f t="shared" si="54"/>
        <v>172674.26086956522</v>
      </c>
      <c r="R157" s="14"/>
      <c r="S157" s="28">
        <f t="shared" si="55"/>
        <v>2.2026323779506285</v>
      </c>
      <c r="U157" s="49">
        <f t="shared" si="56"/>
        <v>23</v>
      </c>
      <c r="Y157" s="239">
        <f t="shared" si="57"/>
        <v>18</v>
      </c>
      <c r="Z157" s="240">
        <v>45291</v>
      </c>
      <c r="AA157" s="54"/>
      <c r="AB157" s="54"/>
      <c r="AC157" s="54">
        <v>5</v>
      </c>
      <c r="AD157" s="239">
        <f t="shared" si="58"/>
        <v>23</v>
      </c>
    </row>
    <row r="158" spans="1:30">
      <c r="A158" s="30"/>
      <c r="C158" s="33" t="s">
        <v>63</v>
      </c>
      <c r="E158" s="207">
        <v>51866</v>
      </c>
      <c r="G158" s="228" t="s">
        <v>140</v>
      </c>
      <c r="H158" s="205" t="s">
        <v>141</v>
      </c>
      <c r="I158" s="229">
        <v>0</v>
      </c>
      <c r="K158" s="157">
        <v>7775759.6900000004</v>
      </c>
      <c r="L158" s="145"/>
      <c r="M158" s="147">
        <v>3839731.27</v>
      </c>
      <c r="N158" s="147"/>
      <c r="O158" s="52">
        <f t="shared" si="53"/>
        <v>3936028</v>
      </c>
      <c r="P158" s="27"/>
      <c r="Q158" s="27">
        <f t="shared" si="54"/>
        <v>171131.65217391305</v>
      </c>
      <c r="R158" s="14"/>
      <c r="S158" s="28">
        <f t="shared" si="55"/>
        <v>2.2008351466159195</v>
      </c>
      <c r="U158" s="49">
        <f t="shared" si="56"/>
        <v>23</v>
      </c>
      <c r="Y158" s="239">
        <f t="shared" si="57"/>
        <v>18</v>
      </c>
      <c r="Z158" s="240">
        <v>45291</v>
      </c>
      <c r="AA158" s="54"/>
      <c r="AB158" s="54"/>
      <c r="AC158" s="54">
        <v>5</v>
      </c>
      <c r="AD158" s="239">
        <f t="shared" si="58"/>
        <v>23</v>
      </c>
    </row>
    <row r="159" spans="1:30">
      <c r="A159" s="30"/>
      <c r="C159" s="33" t="s">
        <v>64</v>
      </c>
      <c r="E159" s="207">
        <v>53327</v>
      </c>
      <c r="G159" s="228" t="s">
        <v>140</v>
      </c>
      <c r="H159" s="205" t="s">
        <v>141</v>
      </c>
      <c r="I159" s="229">
        <v>0</v>
      </c>
      <c r="K159" s="157">
        <v>4831725.68</v>
      </c>
      <c r="L159" s="145"/>
      <c r="M159" s="147">
        <v>1988705.91</v>
      </c>
      <c r="N159" s="147"/>
      <c r="O159" s="52">
        <f t="shared" si="53"/>
        <v>2843020</v>
      </c>
      <c r="P159" s="27"/>
      <c r="Q159" s="27">
        <f t="shared" si="54"/>
        <v>105297.03703703704</v>
      </c>
      <c r="R159" s="14"/>
      <c r="S159" s="28">
        <f t="shared" si="55"/>
        <v>2.179284255993545</v>
      </c>
      <c r="U159" s="49">
        <f t="shared" si="56"/>
        <v>27</v>
      </c>
      <c r="Y159" s="239">
        <f t="shared" si="57"/>
        <v>22</v>
      </c>
      <c r="Z159" s="240">
        <v>45291</v>
      </c>
      <c r="AA159" s="54"/>
      <c r="AB159" s="54"/>
      <c r="AC159" s="54">
        <v>5</v>
      </c>
      <c r="AD159" s="239">
        <f t="shared" si="58"/>
        <v>27</v>
      </c>
    </row>
    <row r="160" spans="1:30">
      <c r="A160" s="30"/>
      <c r="C160" s="33" t="s">
        <v>65</v>
      </c>
      <c r="E160" s="207">
        <v>53327</v>
      </c>
      <c r="G160" s="228" t="s">
        <v>140</v>
      </c>
      <c r="H160" s="205" t="s">
        <v>141</v>
      </c>
      <c r="I160" s="229">
        <v>0</v>
      </c>
      <c r="K160" s="157">
        <v>4838938.32</v>
      </c>
      <c r="L160" s="145"/>
      <c r="M160" s="147">
        <v>1996016.06</v>
      </c>
      <c r="N160" s="147"/>
      <c r="O160" s="52">
        <f t="shared" si="53"/>
        <v>2842922</v>
      </c>
      <c r="P160" s="27"/>
      <c r="Q160" s="27">
        <f t="shared" si="54"/>
        <v>105293.4074074074</v>
      </c>
      <c r="R160" s="14"/>
      <c r="S160" s="28">
        <f t="shared" si="55"/>
        <v>2.1759609328396521</v>
      </c>
      <c r="U160" s="49">
        <f t="shared" si="56"/>
        <v>27</v>
      </c>
      <c r="Y160" s="239">
        <f t="shared" si="57"/>
        <v>22</v>
      </c>
      <c r="Z160" s="240">
        <v>45291</v>
      </c>
      <c r="AA160" s="54"/>
      <c r="AB160" s="54"/>
      <c r="AC160" s="54">
        <v>5</v>
      </c>
      <c r="AD160" s="239">
        <f t="shared" si="58"/>
        <v>27</v>
      </c>
    </row>
    <row r="161" spans="1:30">
      <c r="A161" s="30"/>
      <c r="C161" s="33" t="s">
        <v>66</v>
      </c>
      <c r="E161" s="207">
        <v>55153</v>
      </c>
      <c r="G161" s="228" t="s">
        <v>140</v>
      </c>
      <c r="H161" s="205" t="s">
        <v>141</v>
      </c>
      <c r="I161" s="229">
        <v>0</v>
      </c>
      <c r="K161" s="157">
        <v>4442193.82</v>
      </c>
      <c r="L161" s="145"/>
      <c r="M161" s="147">
        <v>1063394.57</v>
      </c>
      <c r="N161" s="147"/>
      <c r="O161" s="52">
        <f t="shared" si="53"/>
        <v>3378799</v>
      </c>
      <c r="P161" s="27"/>
      <c r="Q161" s="27">
        <f t="shared" si="54"/>
        <v>105587.46875</v>
      </c>
      <c r="R161" s="14"/>
      <c r="S161" s="28">
        <f t="shared" si="55"/>
        <v>2.3769216974418281</v>
      </c>
      <c r="U161" s="49">
        <f t="shared" si="56"/>
        <v>32</v>
      </c>
      <c r="Y161" s="239">
        <f t="shared" si="57"/>
        <v>27</v>
      </c>
      <c r="Z161" s="240">
        <v>45291</v>
      </c>
      <c r="AA161" s="54"/>
      <c r="AB161" s="54"/>
      <c r="AC161" s="54">
        <v>5</v>
      </c>
      <c r="AD161" s="239">
        <f t="shared" si="58"/>
        <v>32</v>
      </c>
    </row>
    <row r="162" spans="1:30">
      <c r="A162" s="30"/>
      <c r="C162" s="33" t="s">
        <v>67</v>
      </c>
      <c r="E162" s="207">
        <v>55153</v>
      </c>
      <c r="G162" s="228" t="s">
        <v>140</v>
      </c>
      <c r="H162" s="205" t="s">
        <v>141</v>
      </c>
      <c r="I162" s="229">
        <v>0</v>
      </c>
      <c r="K162" s="157">
        <v>4442193.82</v>
      </c>
      <c r="L162" s="145"/>
      <c r="M162" s="147">
        <v>1448871.44</v>
      </c>
      <c r="N162" s="147"/>
      <c r="O162" s="52">
        <f t="shared" si="53"/>
        <v>2993322</v>
      </c>
      <c r="P162" s="27"/>
      <c r="Q162" s="27">
        <f t="shared" si="54"/>
        <v>93541.3125</v>
      </c>
      <c r="R162" s="14"/>
      <c r="S162" s="28">
        <f t="shared" si="55"/>
        <v>2.1057458609493991</v>
      </c>
      <c r="U162" s="49">
        <f t="shared" si="56"/>
        <v>32</v>
      </c>
      <c r="Y162" s="239">
        <f t="shared" si="57"/>
        <v>27</v>
      </c>
      <c r="Z162" s="240">
        <v>45291</v>
      </c>
      <c r="AA162" s="54"/>
      <c r="AB162" s="54"/>
      <c r="AC162" s="54">
        <v>5</v>
      </c>
      <c r="AD162" s="239">
        <f t="shared" si="58"/>
        <v>32</v>
      </c>
    </row>
    <row r="163" spans="1:30">
      <c r="A163" s="30"/>
      <c r="C163" s="33" t="s">
        <v>68</v>
      </c>
      <c r="E163" s="207">
        <v>50586</v>
      </c>
      <c r="G163" s="228" t="s">
        <v>140</v>
      </c>
      <c r="H163" s="205" t="s">
        <v>141</v>
      </c>
      <c r="I163" s="229">
        <v>0</v>
      </c>
      <c r="K163" s="157">
        <v>1098205.33</v>
      </c>
      <c r="L163" s="145"/>
      <c r="M163" s="147">
        <v>430052.22</v>
      </c>
      <c r="N163" s="147"/>
      <c r="O163" s="52">
        <f t="shared" si="53"/>
        <v>668153</v>
      </c>
      <c r="P163" s="27"/>
      <c r="Q163" s="27">
        <f t="shared" si="54"/>
        <v>46079.517241379312</v>
      </c>
      <c r="R163" s="14"/>
      <c r="S163" s="28">
        <f t="shared" si="55"/>
        <v>4.1958926971679613</v>
      </c>
      <c r="U163" s="49">
        <f t="shared" si="56"/>
        <v>14.5</v>
      </c>
      <c r="Y163" s="239">
        <f t="shared" ref="Y163:Y167" si="59">ROUND((AB163-Z163)/365.25,0)-0.5</f>
        <v>14.5</v>
      </c>
      <c r="Z163" s="240">
        <v>45291</v>
      </c>
      <c r="AA163" s="240">
        <f t="shared" ref="AA163:AA167" si="60">E163</f>
        <v>50586</v>
      </c>
      <c r="AB163" s="240">
        <v>50770</v>
      </c>
      <c r="AC163" s="54">
        <v>0</v>
      </c>
      <c r="AD163" s="239">
        <f t="shared" si="58"/>
        <v>14.5</v>
      </c>
    </row>
    <row r="164" spans="1:30">
      <c r="A164" s="30"/>
      <c r="C164" s="33" t="s">
        <v>70</v>
      </c>
      <c r="E164" s="207">
        <v>50586</v>
      </c>
      <c r="G164" s="228" t="s">
        <v>140</v>
      </c>
      <c r="H164" s="205" t="s">
        <v>141</v>
      </c>
      <c r="I164" s="229">
        <v>0</v>
      </c>
      <c r="K164" s="157">
        <v>4525028.84</v>
      </c>
      <c r="L164" s="145"/>
      <c r="M164" s="147">
        <v>1361216.87</v>
      </c>
      <c r="N164" s="147"/>
      <c r="O164" s="52">
        <f t="shared" si="53"/>
        <v>3163812</v>
      </c>
      <c r="P164" s="27"/>
      <c r="Q164" s="27">
        <f t="shared" si="54"/>
        <v>218193.93103448275</v>
      </c>
      <c r="R164" s="14"/>
      <c r="S164" s="28">
        <f t="shared" si="55"/>
        <v>4.8219345942220064</v>
      </c>
      <c r="U164" s="49">
        <f t="shared" si="56"/>
        <v>14.5</v>
      </c>
      <c r="Y164" s="239">
        <f t="shared" si="59"/>
        <v>14.5</v>
      </c>
      <c r="Z164" s="240">
        <v>45291</v>
      </c>
      <c r="AA164" s="240">
        <f t="shared" si="60"/>
        <v>50586</v>
      </c>
      <c r="AB164" s="240">
        <v>50770</v>
      </c>
      <c r="AC164" s="54">
        <v>0</v>
      </c>
      <c r="AD164" s="239">
        <f t="shared" si="58"/>
        <v>14.5</v>
      </c>
    </row>
    <row r="165" spans="1:30">
      <c r="A165" s="30"/>
      <c r="C165" s="33" t="s">
        <v>71</v>
      </c>
      <c r="E165" s="207">
        <v>51682</v>
      </c>
      <c r="G165" s="228" t="s">
        <v>140</v>
      </c>
      <c r="H165" s="205" t="s">
        <v>141</v>
      </c>
      <c r="I165" s="229">
        <v>0</v>
      </c>
      <c r="K165" s="157">
        <v>3171144.21</v>
      </c>
      <c r="L165" s="145"/>
      <c r="M165" s="147">
        <v>1154319.1299999999</v>
      </c>
      <c r="N165" s="147"/>
      <c r="O165" s="52">
        <f t="shared" si="53"/>
        <v>2016825</v>
      </c>
      <c r="P165" s="27"/>
      <c r="Q165" s="27">
        <f t="shared" si="54"/>
        <v>115247.14285714286</v>
      </c>
      <c r="R165" s="14"/>
      <c r="S165" s="28">
        <f t="shared" si="55"/>
        <v>3.6342447780746889</v>
      </c>
      <c r="U165" s="49">
        <f t="shared" si="56"/>
        <v>17.5</v>
      </c>
      <c r="Y165" s="239">
        <f t="shared" si="59"/>
        <v>17.5</v>
      </c>
      <c r="Z165" s="240">
        <v>45291</v>
      </c>
      <c r="AA165" s="240">
        <f t="shared" si="60"/>
        <v>51682</v>
      </c>
      <c r="AB165" s="240">
        <v>51866</v>
      </c>
      <c r="AC165" s="54">
        <v>0</v>
      </c>
      <c r="AD165" s="239">
        <f t="shared" si="58"/>
        <v>17.5</v>
      </c>
    </row>
    <row r="166" spans="1:30">
      <c r="A166" s="30"/>
      <c r="C166" s="33" t="s">
        <v>72</v>
      </c>
      <c r="E166" s="207">
        <v>52047</v>
      </c>
      <c r="G166" s="228" t="s">
        <v>140</v>
      </c>
      <c r="H166" s="205" t="s">
        <v>141</v>
      </c>
      <c r="I166" s="229">
        <v>0</v>
      </c>
      <c r="K166" s="157">
        <v>1684823.61</v>
      </c>
      <c r="L166" s="145"/>
      <c r="M166" s="147">
        <v>534320.88</v>
      </c>
      <c r="N166" s="147"/>
      <c r="O166" s="52">
        <f t="shared" si="53"/>
        <v>1150503</v>
      </c>
      <c r="P166" s="27"/>
      <c r="Q166" s="27">
        <f t="shared" si="54"/>
        <v>62189.351351351354</v>
      </c>
      <c r="R166" s="14"/>
      <c r="S166" s="28">
        <f t="shared" si="55"/>
        <v>3.691149090162106</v>
      </c>
      <c r="U166" s="49">
        <f t="shared" si="56"/>
        <v>18.5</v>
      </c>
      <c r="Y166" s="239">
        <f t="shared" si="59"/>
        <v>18.5</v>
      </c>
      <c r="Z166" s="240">
        <v>45291</v>
      </c>
      <c r="AA166" s="240">
        <f t="shared" si="60"/>
        <v>52047</v>
      </c>
      <c r="AB166" s="240">
        <v>52231</v>
      </c>
      <c r="AC166" s="54">
        <v>0</v>
      </c>
      <c r="AD166" s="239">
        <f t="shared" si="58"/>
        <v>18.5</v>
      </c>
    </row>
    <row r="167" spans="1:30">
      <c r="A167" s="30"/>
      <c r="C167" s="33" t="s">
        <v>83</v>
      </c>
      <c r="E167" s="207">
        <v>53508</v>
      </c>
      <c r="G167" s="228" t="s">
        <v>140</v>
      </c>
      <c r="H167" s="205" t="s">
        <v>141</v>
      </c>
      <c r="I167" s="229">
        <v>0</v>
      </c>
      <c r="K167" s="157">
        <v>2993753.87</v>
      </c>
      <c r="L167" s="145"/>
      <c r="M167" s="147">
        <v>577655.16</v>
      </c>
      <c r="N167" s="147"/>
      <c r="O167" s="52">
        <f t="shared" si="53"/>
        <v>2416099</v>
      </c>
      <c r="P167" s="27"/>
      <c r="Q167" s="27">
        <f t="shared" si="54"/>
        <v>107382.17777777778</v>
      </c>
      <c r="R167" s="14"/>
      <c r="S167" s="28">
        <f t="shared" si="55"/>
        <v>3.586873952927125</v>
      </c>
      <c r="U167" s="49">
        <f t="shared" si="56"/>
        <v>22.5</v>
      </c>
      <c r="Y167" s="239">
        <f t="shared" si="59"/>
        <v>22.5</v>
      </c>
      <c r="Z167" s="240">
        <v>45291</v>
      </c>
      <c r="AA167" s="240">
        <f t="shared" si="60"/>
        <v>53508</v>
      </c>
      <c r="AB167" s="240">
        <v>53692</v>
      </c>
      <c r="AC167" s="54">
        <v>0</v>
      </c>
      <c r="AD167" s="239">
        <f t="shared" si="58"/>
        <v>22.5</v>
      </c>
    </row>
    <row r="168" spans="1:30">
      <c r="A168" s="30"/>
      <c r="C168" s="33" t="s">
        <v>73</v>
      </c>
      <c r="E168" s="207">
        <v>52962</v>
      </c>
      <c r="G168" s="228" t="s">
        <v>140</v>
      </c>
      <c r="H168" s="205" t="s">
        <v>141</v>
      </c>
      <c r="I168" s="229">
        <v>0</v>
      </c>
      <c r="K168" s="157">
        <v>17086.14</v>
      </c>
      <c r="L168" s="145"/>
      <c r="M168" s="147">
        <v>4627.6899999999996</v>
      </c>
      <c r="N168" s="147"/>
      <c r="O168" s="52">
        <f t="shared" si="53"/>
        <v>12458</v>
      </c>
      <c r="P168" s="27"/>
      <c r="Q168" s="27">
        <f t="shared" si="54"/>
        <v>593.23809523809518</v>
      </c>
      <c r="R168" s="14"/>
      <c r="S168" s="28">
        <f t="shared" si="55"/>
        <v>3.4720428091897597</v>
      </c>
      <c r="U168" s="49">
        <f t="shared" si="56"/>
        <v>21</v>
      </c>
      <c r="Y168" s="239">
        <f t="shared" si="57"/>
        <v>21</v>
      </c>
      <c r="Z168" s="240">
        <v>45291</v>
      </c>
      <c r="AA168" s="54"/>
      <c r="AB168" s="54"/>
      <c r="AC168" s="54">
        <v>0</v>
      </c>
      <c r="AD168" s="239">
        <f t="shared" si="58"/>
        <v>21</v>
      </c>
    </row>
    <row r="169" spans="1:30">
      <c r="A169" s="30"/>
      <c r="C169" s="33" t="s">
        <v>74</v>
      </c>
      <c r="E169" s="207">
        <v>52962</v>
      </c>
      <c r="G169" s="228" t="s">
        <v>140</v>
      </c>
      <c r="H169" s="205" t="s">
        <v>141</v>
      </c>
      <c r="I169" s="229">
        <v>0</v>
      </c>
      <c r="K169" s="157">
        <v>12907984.9</v>
      </c>
      <c r="L169" s="145"/>
      <c r="M169" s="147">
        <v>3224198.61</v>
      </c>
      <c r="N169" s="147"/>
      <c r="O169" s="52">
        <f t="shared" si="53"/>
        <v>9683786</v>
      </c>
      <c r="P169" s="27"/>
      <c r="Q169" s="27">
        <f t="shared" si="54"/>
        <v>461132.66666666669</v>
      </c>
      <c r="R169" s="14"/>
      <c r="S169" s="28">
        <f t="shared" si="55"/>
        <v>3.5724605369399418</v>
      </c>
      <c r="U169" s="49">
        <f t="shared" si="56"/>
        <v>21</v>
      </c>
      <c r="Y169" s="239">
        <f t="shared" si="57"/>
        <v>21</v>
      </c>
      <c r="Z169" s="240">
        <v>45291</v>
      </c>
      <c r="AA169" s="54"/>
      <c r="AB169" s="54"/>
      <c r="AC169" s="54">
        <v>0</v>
      </c>
      <c r="AD169" s="239">
        <f t="shared" si="58"/>
        <v>21</v>
      </c>
    </row>
    <row r="170" spans="1:30">
      <c r="A170" s="30"/>
      <c r="C170" s="33" t="s">
        <v>75</v>
      </c>
      <c r="E170" s="207">
        <v>52962</v>
      </c>
      <c r="G170" s="228" t="s">
        <v>140</v>
      </c>
      <c r="H170" s="205" t="s">
        <v>141</v>
      </c>
      <c r="I170" s="229">
        <v>0</v>
      </c>
      <c r="K170" s="157">
        <v>7457690.5700000003</v>
      </c>
      <c r="L170" s="145"/>
      <c r="M170" s="147">
        <v>3616888.57</v>
      </c>
      <c r="N170" s="147"/>
      <c r="O170" s="52">
        <f t="shared" si="53"/>
        <v>3840802</v>
      </c>
      <c r="P170" s="27"/>
      <c r="Q170" s="27">
        <f t="shared" si="54"/>
        <v>182895.33333333334</v>
      </c>
      <c r="R170" s="14"/>
      <c r="S170" s="28">
        <f t="shared" si="55"/>
        <v>2.4524392855486004</v>
      </c>
      <c r="U170" s="49">
        <f t="shared" si="56"/>
        <v>21</v>
      </c>
      <c r="Y170" s="239">
        <f t="shared" si="57"/>
        <v>21</v>
      </c>
      <c r="Z170" s="240">
        <v>45291</v>
      </c>
      <c r="AA170" s="54"/>
      <c r="AB170" s="54"/>
      <c r="AC170" s="54">
        <v>0</v>
      </c>
      <c r="AD170" s="239">
        <f t="shared" si="58"/>
        <v>21</v>
      </c>
    </row>
    <row r="171" spans="1:30">
      <c r="A171" s="30"/>
      <c r="C171" s="33" t="s">
        <v>76</v>
      </c>
      <c r="E171" s="207">
        <v>52962</v>
      </c>
      <c r="G171" s="228" t="s">
        <v>140</v>
      </c>
      <c r="H171" s="205" t="s">
        <v>141</v>
      </c>
      <c r="I171" s="229">
        <v>0</v>
      </c>
      <c r="K171" s="157">
        <v>7457690.5700000003</v>
      </c>
      <c r="L171" s="145"/>
      <c r="M171" s="147">
        <v>4161782.32</v>
      </c>
      <c r="N171" s="147"/>
      <c r="O171" s="52">
        <f t="shared" si="53"/>
        <v>3295908</v>
      </c>
      <c r="P171" s="27"/>
      <c r="Q171" s="27">
        <f t="shared" si="54"/>
        <v>156948</v>
      </c>
      <c r="R171" s="14"/>
      <c r="S171" s="28">
        <f t="shared" si="55"/>
        <v>2.1045120942849738</v>
      </c>
      <c r="U171" s="49">
        <f t="shared" si="56"/>
        <v>21</v>
      </c>
      <c r="Y171" s="239">
        <f t="shared" si="57"/>
        <v>21</v>
      </c>
      <c r="Z171" s="240">
        <v>45291</v>
      </c>
      <c r="AA171" s="54"/>
      <c r="AB171" s="54"/>
      <c r="AC171" s="54">
        <v>0</v>
      </c>
      <c r="AD171" s="239">
        <f t="shared" si="58"/>
        <v>21</v>
      </c>
    </row>
    <row r="172" spans="1:30">
      <c r="A172" s="30"/>
      <c r="C172" s="33" t="s">
        <v>77</v>
      </c>
      <c r="E172" s="207">
        <v>53873</v>
      </c>
      <c r="G172" s="228" t="s">
        <v>140</v>
      </c>
      <c r="H172" s="205" t="s">
        <v>141</v>
      </c>
      <c r="I172" s="229">
        <v>-1</v>
      </c>
      <c r="K172" s="144">
        <v>15810305.550000001</v>
      </c>
      <c r="L172" s="145"/>
      <c r="M172" s="148">
        <v>4136942.16</v>
      </c>
      <c r="N172" s="147"/>
      <c r="O172" s="55">
        <f t="shared" si="53"/>
        <v>11831466</v>
      </c>
      <c r="P172" s="27"/>
      <c r="Q172" s="29">
        <f t="shared" si="54"/>
        <v>503466.63829787233</v>
      </c>
      <c r="R172" s="14"/>
      <c r="S172" s="28">
        <f t="shared" si="55"/>
        <v>3.1844206723624784</v>
      </c>
      <c r="U172" s="49">
        <f t="shared" si="56"/>
        <v>23.5</v>
      </c>
      <c r="Y172" s="239">
        <f>ROUND((AB172-Z172)/365.25,0)-0.5</f>
        <v>23.5</v>
      </c>
      <c r="Z172" s="240">
        <v>45291</v>
      </c>
      <c r="AA172" s="240">
        <f>E172</f>
        <v>53873</v>
      </c>
      <c r="AB172" s="240">
        <v>54057</v>
      </c>
      <c r="AC172" s="54">
        <v>0</v>
      </c>
      <c r="AD172" s="239">
        <f t="shared" si="58"/>
        <v>23.5</v>
      </c>
    </row>
    <row r="173" spans="1:30">
      <c r="A173" s="30"/>
      <c r="E173" s="54" t="s">
        <v>321</v>
      </c>
      <c r="F173" s="54"/>
      <c r="G173" s="228"/>
      <c r="H173" s="228"/>
      <c r="I173" s="229"/>
      <c r="K173" s="157"/>
      <c r="L173" s="145"/>
      <c r="M173" s="147"/>
      <c r="N173" s="147"/>
      <c r="O173" s="147"/>
      <c r="P173" s="147"/>
      <c r="Q173" s="147"/>
      <c r="S173" s="26"/>
      <c r="U173" s="49"/>
      <c r="Y173" s="230"/>
    </row>
    <row r="174" spans="1:30">
      <c r="A174" s="30"/>
      <c r="C174" s="13" t="s">
        <v>84</v>
      </c>
      <c r="G174" s="205"/>
      <c r="H174" s="205"/>
      <c r="I174" s="206"/>
      <c r="K174" s="157">
        <f>SUBTOTAL(9,K153:K173)</f>
        <v>104006114.77999999</v>
      </c>
      <c r="L174" s="145"/>
      <c r="M174" s="147">
        <f>SUBTOTAL(9,M153:M173)</f>
        <v>40531628.659999996</v>
      </c>
      <c r="N174" s="147"/>
      <c r="O174" s="147">
        <f>SUBTOTAL(9,O153:O173)</f>
        <v>63632587</v>
      </c>
      <c r="P174" s="147"/>
      <c r="Q174" s="147">
        <f>SUBTOTAL(9,Q153:Q173)</f>
        <v>2869243.8720003101</v>
      </c>
      <c r="S174" s="26">
        <f>+ROUND(Q174/K174*100,2)</f>
        <v>2.76</v>
      </c>
      <c r="U174" s="49"/>
      <c r="Y174" s="230"/>
    </row>
    <row r="175" spans="1:30">
      <c r="A175" s="30"/>
      <c r="G175" s="205"/>
      <c r="H175" s="205"/>
      <c r="I175" s="206"/>
      <c r="K175" s="157"/>
      <c r="L175" s="145"/>
      <c r="M175" s="147"/>
      <c r="N175" s="147"/>
      <c r="O175" s="147"/>
      <c r="P175" s="147"/>
      <c r="Q175" s="147"/>
      <c r="S175" s="26"/>
      <c r="U175" s="49"/>
      <c r="Y175" s="230"/>
    </row>
    <row r="176" spans="1:30">
      <c r="A176" s="30">
        <v>345</v>
      </c>
      <c r="C176" s="13" t="s">
        <v>52</v>
      </c>
      <c r="S176" s="26"/>
      <c r="U176" s="49"/>
      <c r="Y176" s="230"/>
    </row>
    <row r="177" spans="1:30">
      <c r="A177" s="30"/>
      <c r="C177" s="33" t="s">
        <v>58</v>
      </c>
      <c r="E177" s="207">
        <v>55153</v>
      </c>
      <c r="G177" s="228" t="s">
        <v>140</v>
      </c>
      <c r="H177" s="205" t="s">
        <v>141</v>
      </c>
      <c r="I177" s="229">
        <v>0</v>
      </c>
      <c r="K177" s="157">
        <v>9906844.2300000004</v>
      </c>
      <c r="L177" s="145"/>
      <c r="M177" s="147">
        <v>3804943.8</v>
      </c>
      <c r="N177" s="147"/>
      <c r="O177" s="52">
        <f t="shared" ref="O177:O195" si="61">ROUND((K177+(K177*-(I177/100)))-M177,0)</f>
        <v>6101900</v>
      </c>
      <c r="P177" s="27"/>
      <c r="Q177" s="27">
        <f t="shared" ref="Q177:Q195" si="62">O177/U177</f>
        <v>190684.375</v>
      </c>
      <c r="R177" s="14"/>
      <c r="S177" s="28">
        <f t="shared" ref="S177:S195" si="63">Q177/K177*100</f>
        <v>1.9247741316308149</v>
      </c>
      <c r="U177" s="49">
        <f t="shared" ref="U177:U195" si="64">AD177</f>
        <v>32</v>
      </c>
      <c r="Y177" s="239">
        <f t="shared" ref="Y177:Y194" si="65">ROUND((E177-Z177)/365.25,0)</f>
        <v>27</v>
      </c>
      <c r="Z177" s="240">
        <v>45291</v>
      </c>
      <c r="AA177" s="54"/>
      <c r="AB177" s="54"/>
      <c r="AC177" s="54">
        <v>5</v>
      </c>
      <c r="AD177" s="239">
        <f t="shared" ref="AD177:AD195" si="66">Y177+AC177</f>
        <v>32</v>
      </c>
    </row>
    <row r="178" spans="1:30">
      <c r="A178" s="30"/>
      <c r="C178" s="33" t="s">
        <v>59</v>
      </c>
      <c r="E178" s="207">
        <v>50040</v>
      </c>
      <c r="G178" s="228" t="s">
        <v>140</v>
      </c>
      <c r="H178" s="205" t="s">
        <v>141</v>
      </c>
      <c r="I178" s="229">
        <v>0</v>
      </c>
      <c r="K178" s="157">
        <v>881261.16</v>
      </c>
      <c r="L178" s="145"/>
      <c r="M178" s="147">
        <v>511509.77</v>
      </c>
      <c r="N178" s="147"/>
      <c r="O178" s="52">
        <f t="shared" si="61"/>
        <v>369751</v>
      </c>
      <c r="P178" s="27"/>
      <c r="Q178" s="27">
        <f t="shared" si="62"/>
        <v>17607.190476190477</v>
      </c>
      <c r="R178" s="14"/>
      <c r="S178" s="28">
        <f t="shared" si="63"/>
        <v>1.9979537593816659</v>
      </c>
      <c r="U178" s="49">
        <f t="shared" si="64"/>
        <v>21</v>
      </c>
      <c r="Y178" s="239">
        <f t="shared" si="65"/>
        <v>13</v>
      </c>
      <c r="Z178" s="240">
        <v>45291</v>
      </c>
      <c r="AA178" s="54"/>
      <c r="AB178" s="54"/>
      <c r="AC178" s="54">
        <v>8</v>
      </c>
      <c r="AD178" s="239">
        <f t="shared" si="66"/>
        <v>21</v>
      </c>
    </row>
    <row r="179" spans="1:30">
      <c r="A179" s="30"/>
      <c r="C179" s="33" t="s">
        <v>60</v>
      </c>
      <c r="E179" s="207">
        <v>50040</v>
      </c>
      <c r="G179" s="228" t="s">
        <v>140</v>
      </c>
      <c r="H179" s="205" t="s">
        <v>141</v>
      </c>
      <c r="I179" s="229">
        <v>0</v>
      </c>
      <c r="K179" s="157">
        <v>881262.26</v>
      </c>
      <c r="L179" s="145"/>
      <c r="M179" s="147">
        <v>518712.34</v>
      </c>
      <c r="N179" s="147"/>
      <c r="O179" s="52">
        <f t="shared" si="61"/>
        <v>362550</v>
      </c>
      <c r="P179" s="27"/>
      <c r="Q179" s="27">
        <f t="shared" si="62"/>
        <v>17264.285714285714</v>
      </c>
      <c r="R179" s="14"/>
      <c r="S179" s="28">
        <f t="shared" si="63"/>
        <v>1.9590406281877673</v>
      </c>
      <c r="U179" s="49">
        <f t="shared" si="64"/>
        <v>21</v>
      </c>
      <c r="Y179" s="239">
        <f t="shared" si="65"/>
        <v>13</v>
      </c>
      <c r="Z179" s="240">
        <v>45291</v>
      </c>
      <c r="AA179" s="54"/>
      <c r="AB179" s="54"/>
      <c r="AC179" s="54">
        <v>8</v>
      </c>
      <c r="AD179" s="239">
        <f t="shared" si="66"/>
        <v>21</v>
      </c>
    </row>
    <row r="180" spans="1:30">
      <c r="A180" s="30"/>
      <c r="C180" s="33" t="s">
        <v>61</v>
      </c>
      <c r="E180" s="207">
        <v>50040</v>
      </c>
      <c r="G180" s="228" t="s">
        <v>140</v>
      </c>
      <c r="H180" s="205" t="s">
        <v>141</v>
      </c>
      <c r="I180" s="229">
        <v>0</v>
      </c>
      <c r="K180" s="157">
        <v>881262.26</v>
      </c>
      <c r="L180" s="145"/>
      <c r="M180" s="147">
        <v>501077.37</v>
      </c>
      <c r="N180" s="147"/>
      <c r="O180" s="52">
        <f t="shared" si="61"/>
        <v>380185</v>
      </c>
      <c r="P180" s="27"/>
      <c r="Q180" s="27">
        <f t="shared" si="62"/>
        <v>18104.047619047618</v>
      </c>
      <c r="R180" s="14"/>
      <c r="S180" s="28">
        <f t="shared" si="63"/>
        <v>2.0543314335334886</v>
      </c>
      <c r="U180" s="49">
        <f t="shared" si="64"/>
        <v>21</v>
      </c>
      <c r="Y180" s="239">
        <f t="shared" si="65"/>
        <v>13</v>
      </c>
      <c r="Z180" s="240">
        <v>45291</v>
      </c>
      <c r="AA180" s="54"/>
      <c r="AB180" s="54"/>
      <c r="AC180" s="54">
        <v>8</v>
      </c>
      <c r="AD180" s="239">
        <f t="shared" si="66"/>
        <v>21</v>
      </c>
    </row>
    <row r="181" spans="1:30">
      <c r="A181" s="30"/>
      <c r="C181" s="33" t="s">
        <v>62</v>
      </c>
      <c r="E181" s="207">
        <v>51866</v>
      </c>
      <c r="G181" s="228" t="s">
        <v>140</v>
      </c>
      <c r="H181" s="205" t="s">
        <v>141</v>
      </c>
      <c r="I181" s="229">
        <v>0</v>
      </c>
      <c r="K181" s="157">
        <v>993996.86</v>
      </c>
      <c r="L181" s="145"/>
      <c r="M181" s="147">
        <v>477032.99</v>
      </c>
      <c r="N181" s="147"/>
      <c r="O181" s="52">
        <f t="shared" si="61"/>
        <v>516964</v>
      </c>
      <c r="P181" s="27"/>
      <c r="Q181" s="27">
        <f t="shared" si="62"/>
        <v>22476.695652173912</v>
      </c>
      <c r="R181" s="14"/>
      <c r="S181" s="28">
        <f t="shared" si="63"/>
        <v>2.2612441303057951</v>
      </c>
      <c r="U181" s="49">
        <f t="shared" si="64"/>
        <v>23</v>
      </c>
      <c r="Y181" s="239">
        <f t="shared" si="65"/>
        <v>18</v>
      </c>
      <c r="Z181" s="240">
        <v>45291</v>
      </c>
      <c r="AA181" s="54"/>
      <c r="AB181" s="54"/>
      <c r="AC181" s="54">
        <v>5</v>
      </c>
      <c r="AD181" s="239">
        <f t="shared" si="66"/>
        <v>23</v>
      </c>
    </row>
    <row r="182" spans="1:30">
      <c r="A182" s="30"/>
      <c r="C182" s="33" t="s">
        <v>63</v>
      </c>
      <c r="E182" s="207">
        <v>51866</v>
      </c>
      <c r="G182" s="228" t="s">
        <v>140</v>
      </c>
      <c r="H182" s="205" t="s">
        <v>141</v>
      </c>
      <c r="I182" s="229">
        <v>0</v>
      </c>
      <c r="K182" s="157">
        <v>993996.86</v>
      </c>
      <c r="L182" s="145"/>
      <c r="M182" s="147">
        <v>475967.88</v>
      </c>
      <c r="N182" s="147"/>
      <c r="O182" s="52">
        <f t="shared" si="61"/>
        <v>518029</v>
      </c>
      <c r="P182" s="27"/>
      <c r="Q182" s="27">
        <f t="shared" si="62"/>
        <v>22523</v>
      </c>
      <c r="R182" s="14"/>
      <c r="S182" s="28">
        <f t="shared" si="63"/>
        <v>2.2659025301146323</v>
      </c>
      <c r="U182" s="49">
        <f t="shared" si="64"/>
        <v>23</v>
      </c>
      <c r="Y182" s="239">
        <f t="shared" si="65"/>
        <v>18</v>
      </c>
      <c r="Z182" s="240">
        <v>45291</v>
      </c>
      <c r="AA182" s="54"/>
      <c r="AB182" s="54"/>
      <c r="AC182" s="54">
        <v>5</v>
      </c>
      <c r="AD182" s="239">
        <f t="shared" si="66"/>
        <v>23</v>
      </c>
    </row>
    <row r="183" spans="1:30">
      <c r="A183" s="30"/>
      <c r="C183" s="33" t="s">
        <v>64</v>
      </c>
      <c r="E183" s="207">
        <v>53327</v>
      </c>
      <c r="G183" s="228" t="s">
        <v>140</v>
      </c>
      <c r="H183" s="205" t="s">
        <v>141</v>
      </c>
      <c r="I183" s="229">
        <v>0</v>
      </c>
      <c r="K183" s="157">
        <v>1251472.92</v>
      </c>
      <c r="L183" s="145"/>
      <c r="M183" s="147">
        <v>485453.4</v>
      </c>
      <c r="N183" s="147"/>
      <c r="O183" s="52">
        <f t="shared" si="61"/>
        <v>766020</v>
      </c>
      <c r="P183" s="27"/>
      <c r="Q183" s="27">
        <f t="shared" si="62"/>
        <v>28371.111111111109</v>
      </c>
      <c r="R183" s="14"/>
      <c r="S183" s="28">
        <f t="shared" si="63"/>
        <v>2.2670175804611987</v>
      </c>
      <c r="U183" s="49">
        <f t="shared" si="64"/>
        <v>27</v>
      </c>
      <c r="Y183" s="239">
        <f t="shared" si="65"/>
        <v>22</v>
      </c>
      <c r="Z183" s="240">
        <v>45291</v>
      </c>
      <c r="AA183" s="54"/>
      <c r="AB183" s="54"/>
      <c r="AC183" s="54">
        <v>5</v>
      </c>
      <c r="AD183" s="239">
        <f t="shared" si="66"/>
        <v>27</v>
      </c>
    </row>
    <row r="184" spans="1:30">
      <c r="A184" s="30"/>
      <c r="C184" s="33" t="s">
        <v>65</v>
      </c>
      <c r="E184" s="207">
        <v>53327</v>
      </c>
      <c r="G184" s="228" t="s">
        <v>140</v>
      </c>
      <c r="H184" s="205" t="s">
        <v>141</v>
      </c>
      <c r="I184" s="229">
        <v>0</v>
      </c>
      <c r="K184" s="157">
        <v>1220275.5900000001</v>
      </c>
      <c r="L184" s="145"/>
      <c r="M184" s="147">
        <v>474383.51</v>
      </c>
      <c r="N184" s="147"/>
      <c r="O184" s="52">
        <f t="shared" si="61"/>
        <v>745892</v>
      </c>
      <c r="P184" s="27"/>
      <c r="Q184" s="27">
        <f t="shared" si="62"/>
        <v>27625.629629629631</v>
      </c>
      <c r="R184" s="14"/>
      <c r="S184" s="28">
        <f t="shared" si="63"/>
        <v>2.2638844746234437</v>
      </c>
      <c r="U184" s="49">
        <f t="shared" si="64"/>
        <v>27</v>
      </c>
      <c r="Y184" s="239">
        <f t="shared" si="65"/>
        <v>22</v>
      </c>
      <c r="Z184" s="240">
        <v>45291</v>
      </c>
      <c r="AA184" s="54"/>
      <c r="AB184" s="54"/>
      <c r="AC184" s="54">
        <v>5</v>
      </c>
      <c r="AD184" s="239">
        <f t="shared" si="66"/>
        <v>27</v>
      </c>
    </row>
    <row r="185" spans="1:30">
      <c r="A185" s="30"/>
      <c r="C185" s="33" t="s">
        <v>66</v>
      </c>
      <c r="E185" s="207">
        <v>55153</v>
      </c>
      <c r="G185" s="228" t="s">
        <v>140</v>
      </c>
      <c r="H185" s="205" t="s">
        <v>141</v>
      </c>
      <c r="I185" s="229">
        <v>0</v>
      </c>
      <c r="K185" s="157">
        <v>11825999.57</v>
      </c>
      <c r="L185" s="145"/>
      <c r="M185" s="147">
        <v>2572037.7400000002</v>
      </c>
      <c r="N185" s="147"/>
      <c r="O185" s="52">
        <f t="shared" si="61"/>
        <v>9253962</v>
      </c>
      <c r="P185" s="27"/>
      <c r="Q185" s="27">
        <f t="shared" si="62"/>
        <v>289186.3125</v>
      </c>
      <c r="R185" s="14"/>
      <c r="S185" s="28">
        <f t="shared" si="63"/>
        <v>2.4453435059612469</v>
      </c>
      <c r="U185" s="49">
        <f t="shared" si="64"/>
        <v>32</v>
      </c>
      <c r="Y185" s="239">
        <f t="shared" si="65"/>
        <v>27</v>
      </c>
      <c r="Z185" s="240">
        <v>45291</v>
      </c>
      <c r="AA185" s="54"/>
      <c r="AB185" s="54"/>
      <c r="AC185" s="54">
        <v>5</v>
      </c>
      <c r="AD185" s="239">
        <f t="shared" si="66"/>
        <v>32</v>
      </c>
    </row>
    <row r="186" spans="1:30">
      <c r="A186" s="30"/>
      <c r="C186" s="33" t="s">
        <v>67</v>
      </c>
      <c r="E186" s="207">
        <v>55153</v>
      </c>
      <c r="G186" s="228" t="s">
        <v>140</v>
      </c>
      <c r="H186" s="205" t="s">
        <v>141</v>
      </c>
      <c r="I186" s="229">
        <v>0</v>
      </c>
      <c r="K186" s="157">
        <v>2021825.43</v>
      </c>
      <c r="L186" s="145"/>
      <c r="M186" s="147">
        <v>595564.09</v>
      </c>
      <c r="N186" s="147"/>
      <c r="O186" s="52">
        <f t="shared" si="61"/>
        <v>1426261</v>
      </c>
      <c r="P186" s="27"/>
      <c r="Q186" s="27">
        <f t="shared" si="62"/>
        <v>44570.65625</v>
      </c>
      <c r="R186" s="14"/>
      <c r="S186" s="28">
        <f t="shared" si="63"/>
        <v>2.2044759942504037</v>
      </c>
      <c r="U186" s="49">
        <f t="shared" si="64"/>
        <v>32</v>
      </c>
      <c r="Y186" s="239">
        <f t="shared" si="65"/>
        <v>27</v>
      </c>
      <c r="Z186" s="240">
        <v>45291</v>
      </c>
      <c r="AA186" s="54"/>
      <c r="AB186" s="54"/>
      <c r="AC186" s="54">
        <v>5</v>
      </c>
      <c r="AD186" s="239">
        <f t="shared" si="66"/>
        <v>32</v>
      </c>
    </row>
    <row r="187" spans="1:30">
      <c r="A187" s="30"/>
      <c r="C187" s="33" t="s">
        <v>68</v>
      </c>
      <c r="E187" s="207">
        <v>50586</v>
      </c>
      <c r="G187" s="228" t="s">
        <v>140</v>
      </c>
      <c r="H187" s="205" t="s">
        <v>141</v>
      </c>
      <c r="I187" s="229">
        <v>0</v>
      </c>
      <c r="K187" s="157">
        <v>344891.29</v>
      </c>
      <c r="L187" s="145"/>
      <c r="M187" s="147">
        <v>127777.18</v>
      </c>
      <c r="N187" s="147"/>
      <c r="O187" s="52">
        <f t="shared" si="61"/>
        <v>217114</v>
      </c>
      <c r="P187" s="27"/>
      <c r="Q187" s="27">
        <f t="shared" si="62"/>
        <v>14973.379310344828</v>
      </c>
      <c r="R187" s="14"/>
      <c r="S187" s="28">
        <f t="shared" si="63"/>
        <v>4.3414779510218509</v>
      </c>
      <c r="U187" s="49">
        <f t="shared" si="64"/>
        <v>14.5</v>
      </c>
      <c r="Y187" s="239">
        <f t="shared" ref="Y187:Y190" si="67">ROUND((AB187-Z187)/365.25,0)-0.5</f>
        <v>14.5</v>
      </c>
      <c r="Z187" s="240">
        <v>45291</v>
      </c>
      <c r="AA187" s="240">
        <f t="shared" ref="AA187:AA190" si="68">E187</f>
        <v>50586</v>
      </c>
      <c r="AB187" s="240">
        <v>50770</v>
      </c>
      <c r="AC187" s="54">
        <v>0</v>
      </c>
      <c r="AD187" s="239">
        <f t="shared" si="66"/>
        <v>14.5</v>
      </c>
    </row>
    <row r="188" spans="1:30">
      <c r="A188" s="30"/>
      <c r="C188" s="33" t="s">
        <v>70</v>
      </c>
      <c r="E188" s="207">
        <v>50586</v>
      </c>
      <c r="G188" s="228" t="s">
        <v>140</v>
      </c>
      <c r="H188" s="205" t="s">
        <v>141</v>
      </c>
      <c r="I188" s="229">
        <v>0</v>
      </c>
      <c r="K188" s="157">
        <v>380225.22</v>
      </c>
      <c r="L188" s="145"/>
      <c r="M188" s="147">
        <v>135228.04999999999</v>
      </c>
      <c r="N188" s="147"/>
      <c r="O188" s="52">
        <f t="shared" si="61"/>
        <v>244997</v>
      </c>
      <c r="P188" s="27"/>
      <c r="Q188" s="27">
        <f t="shared" si="62"/>
        <v>16896.344827586207</v>
      </c>
      <c r="R188" s="14"/>
      <c r="S188" s="28">
        <f t="shared" si="63"/>
        <v>4.4437727796136741</v>
      </c>
      <c r="U188" s="49">
        <f t="shared" si="64"/>
        <v>14.5</v>
      </c>
      <c r="Y188" s="239">
        <f t="shared" si="67"/>
        <v>14.5</v>
      </c>
      <c r="Z188" s="240">
        <v>45291</v>
      </c>
      <c r="AA188" s="240">
        <f t="shared" si="68"/>
        <v>50586</v>
      </c>
      <c r="AB188" s="240">
        <v>50770</v>
      </c>
      <c r="AC188" s="54">
        <v>0</v>
      </c>
      <c r="AD188" s="239">
        <f t="shared" si="66"/>
        <v>14.5</v>
      </c>
    </row>
    <row r="189" spans="1:30">
      <c r="A189" s="30"/>
      <c r="C189" s="33" t="s">
        <v>71</v>
      </c>
      <c r="E189" s="207">
        <v>51682</v>
      </c>
      <c r="G189" s="228" t="s">
        <v>140</v>
      </c>
      <c r="H189" s="205" t="s">
        <v>141</v>
      </c>
      <c r="I189" s="229">
        <v>0</v>
      </c>
      <c r="K189" s="157">
        <v>452676.95</v>
      </c>
      <c r="L189" s="145"/>
      <c r="M189" s="147">
        <v>143725.31</v>
      </c>
      <c r="N189" s="147"/>
      <c r="O189" s="52">
        <f t="shared" si="61"/>
        <v>308952</v>
      </c>
      <c r="P189" s="27"/>
      <c r="Q189" s="27">
        <f t="shared" si="62"/>
        <v>17654.400000000001</v>
      </c>
      <c r="R189" s="14"/>
      <c r="S189" s="28">
        <f t="shared" si="63"/>
        <v>3.8999997680465066</v>
      </c>
      <c r="U189" s="49">
        <f t="shared" si="64"/>
        <v>17.5</v>
      </c>
      <c r="Y189" s="239">
        <f t="shared" si="67"/>
        <v>17.5</v>
      </c>
      <c r="Z189" s="240">
        <v>45291</v>
      </c>
      <c r="AA189" s="240">
        <f t="shared" si="68"/>
        <v>51682</v>
      </c>
      <c r="AB189" s="240">
        <v>51866</v>
      </c>
      <c r="AC189" s="54">
        <v>0</v>
      </c>
      <c r="AD189" s="239">
        <f t="shared" si="66"/>
        <v>17.5</v>
      </c>
    </row>
    <row r="190" spans="1:30">
      <c r="A190" s="30"/>
      <c r="C190" s="33" t="s">
        <v>72</v>
      </c>
      <c r="E190" s="207">
        <v>52047</v>
      </c>
      <c r="G190" s="228" t="s">
        <v>140</v>
      </c>
      <c r="H190" s="205" t="s">
        <v>141</v>
      </c>
      <c r="I190" s="229">
        <v>0</v>
      </c>
      <c r="K190" s="157">
        <v>406784.25</v>
      </c>
      <c r="L190" s="145"/>
      <c r="M190" s="147">
        <v>121915.61</v>
      </c>
      <c r="N190" s="147"/>
      <c r="O190" s="52">
        <f t="shared" si="61"/>
        <v>284869</v>
      </c>
      <c r="P190" s="27"/>
      <c r="Q190" s="27">
        <f t="shared" si="62"/>
        <v>15398.324324324325</v>
      </c>
      <c r="R190" s="14"/>
      <c r="S190" s="28">
        <f t="shared" si="63"/>
        <v>3.7853786925930208</v>
      </c>
      <c r="U190" s="49">
        <f t="shared" si="64"/>
        <v>18.5</v>
      </c>
      <c r="Y190" s="239">
        <f t="shared" si="67"/>
        <v>18.5</v>
      </c>
      <c r="Z190" s="240">
        <v>45291</v>
      </c>
      <c r="AA190" s="240">
        <f t="shared" si="68"/>
        <v>52047</v>
      </c>
      <c r="AB190" s="240">
        <v>52231</v>
      </c>
      <c r="AC190" s="54">
        <v>0</v>
      </c>
      <c r="AD190" s="239">
        <f t="shared" si="66"/>
        <v>18.5</v>
      </c>
    </row>
    <row r="191" spans="1:30">
      <c r="A191" s="30"/>
      <c r="C191" s="33" t="s">
        <v>73</v>
      </c>
      <c r="E191" s="207">
        <v>52962</v>
      </c>
      <c r="G191" s="228" t="s">
        <v>140</v>
      </c>
      <c r="H191" s="205" t="s">
        <v>141</v>
      </c>
      <c r="I191" s="229">
        <v>0</v>
      </c>
      <c r="K191" s="157">
        <v>3028262.11</v>
      </c>
      <c r="L191" s="145"/>
      <c r="M191" s="147">
        <v>849171.5</v>
      </c>
      <c r="N191" s="147"/>
      <c r="O191" s="52">
        <f t="shared" si="61"/>
        <v>2179091</v>
      </c>
      <c r="P191" s="27"/>
      <c r="Q191" s="27">
        <f t="shared" si="62"/>
        <v>103766.23809523809</v>
      </c>
      <c r="R191" s="14"/>
      <c r="S191" s="28">
        <f t="shared" si="63"/>
        <v>3.426593680665182</v>
      </c>
      <c r="U191" s="49">
        <f t="shared" si="64"/>
        <v>21</v>
      </c>
      <c r="Y191" s="239">
        <f t="shared" si="65"/>
        <v>21</v>
      </c>
      <c r="Z191" s="240">
        <v>45291</v>
      </c>
      <c r="AA191" s="54"/>
      <c r="AB191" s="54"/>
      <c r="AC191" s="54">
        <v>0</v>
      </c>
      <c r="AD191" s="239">
        <f t="shared" si="66"/>
        <v>21</v>
      </c>
    </row>
    <row r="192" spans="1:30">
      <c r="A192" s="30"/>
      <c r="C192" s="33" t="s">
        <v>74</v>
      </c>
      <c r="E192" s="207">
        <v>52962</v>
      </c>
      <c r="G192" s="228" t="s">
        <v>140</v>
      </c>
      <c r="H192" s="205" t="s">
        <v>141</v>
      </c>
      <c r="I192" s="229">
        <v>0</v>
      </c>
      <c r="K192" s="157">
        <v>386034.41</v>
      </c>
      <c r="L192" s="145"/>
      <c r="M192" s="147">
        <v>149341.54999999999</v>
      </c>
      <c r="N192" s="147"/>
      <c r="O192" s="52">
        <f t="shared" si="61"/>
        <v>236693</v>
      </c>
      <c r="P192" s="27"/>
      <c r="Q192" s="27">
        <f t="shared" si="62"/>
        <v>11271.095238095239</v>
      </c>
      <c r="R192" s="14"/>
      <c r="S192" s="28">
        <f t="shared" si="63"/>
        <v>2.9197125816051579</v>
      </c>
      <c r="U192" s="49">
        <f t="shared" si="64"/>
        <v>21</v>
      </c>
      <c r="Y192" s="239">
        <f t="shared" si="65"/>
        <v>21</v>
      </c>
      <c r="Z192" s="240">
        <v>45291</v>
      </c>
      <c r="AA192" s="54"/>
      <c r="AB192" s="54"/>
      <c r="AC192" s="54">
        <v>0</v>
      </c>
      <c r="AD192" s="239">
        <f t="shared" si="66"/>
        <v>21</v>
      </c>
    </row>
    <row r="193" spans="1:30">
      <c r="A193" s="30"/>
      <c r="C193" s="33" t="s">
        <v>75</v>
      </c>
      <c r="E193" s="207">
        <v>52962</v>
      </c>
      <c r="G193" s="228" t="s">
        <v>140</v>
      </c>
      <c r="H193" s="205" t="s">
        <v>141</v>
      </c>
      <c r="I193" s="229">
        <v>0</v>
      </c>
      <c r="K193" s="157">
        <v>386034.41</v>
      </c>
      <c r="L193" s="145"/>
      <c r="M193" s="147">
        <v>177208.9</v>
      </c>
      <c r="N193" s="147"/>
      <c r="O193" s="52">
        <f t="shared" si="61"/>
        <v>208826</v>
      </c>
      <c r="P193" s="27"/>
      <c r="Q193" s="27">
        <f t="shared" si="62"/>
        <v>9944.0952380952385</v>
      </c>
      <c r="R193" s="14"/>
      <c r="S193" s="28">
        <f t="shared" si="63"/>
        <v>2.5759608419610154</v>
      </c>
      <c r="U193" s="49">
        <f t="shared" si="64"/>
        <v>21</v>
      </c>
      <c r="Y193" s="239">
        <f t="shared" si="65"/>
        <v>21</v>
      </c>
      <c r="Z193" s="240">
        <v>45291</v>
      </c>
      <c r="AA193" s="54"/>
      <c r="AB193" s="54"/>
      <c r="AC193" s="54">
        <v>0</v>
      </c>
      <c r="AD193" s="239">
        <f t="shared" si="66"/>
        <v>21</v>
      </c>
    </row>
    <row r="194" spans="1:30">
      <c r="A194" s="30"/>
      <c r="C194" s="33" t="s">
        <v>76</v>
      </c>
      <c r="E194" s="207">
        <v>52962</v>
      </c>
      <c r="G194" s="228" t="s">
        <v>140</v>
      </c>
      <c r="H194" s="205" t="s">
        <v>141</v>
      </c>
      <c r="I194" s="229">
        <v>0</v>
      </c>
      <c r="K194" s="157">
        <v>386034.41</v>
      </c>
      <c r="L194" s="145"/>
      <c r="M194" s="147">
        <v>203906.7</v>
      </c>
      <c r="N194" s="147"/>
      <c r="O194" s="52">
        <f t="shared" si="61"/>
        <v>182128</v>
      </c>
      <c r="P194" s="27"/>
      <c r="Q194" s="27">
        <f t="shared" si="62"/>
        <v>8672.7619047619046</v>
      </c>
      <c r="R194" s="14"/>
      <c r="S194" s="28">
        <f t="shared" si="63"/>
        <v>2.2466292330680848</v>
      </c>
      <c r="U194" s="49">
        <f t="shared" si="64"/>
        <v>21</v>
      </c>
      <c r="Y194" s="239">
        <f t="shared" si="65"/>
        <v>21</v>
      </c>
      <c r="Z194" s="240">
        <v>45291</v>
      </c>
      <c r="AA194" s="54"/>
      <c r="AB194" s="54"/>
      <c r="AC194" s="54">
        <v>0</v>
      </c>
      <c r="AD194" s="239">
        <f t="shared" si="66"/>
        <v>21</v>
      </c>
    </row>
    <row r="195" spans="1:30">
      <c r="A195" s="30"/>
      <c r="C195" s="33" t="s">
        <v>77</v>
      </c>
      <c r="E195" s="207">
        <v>53873</v>
      </c>
      <c r="G195" s="228" t="s">
        <v>140</v>
      </c>
      <c r="H195" s="205" t="s">
        <v>141</v>
      </c>
      <c r="I195" s="229">
        <v>-1</v>
      </c>
      <c r="K195" s="144">
        <v>779800</v>
      </c>
      <c r="L195" s="145"/>
      <c r="M195" s="148">
        <v>193176.74</v>
      </c>
      <c r="N195" s="147"/>
      <c r="O195" s="55">
        <f t="shared" si="61"/>
        <v>594421</v>
      </c>
      <c r="P195" s="27"/>
      <c r="Q195" s="29">
        <f t="shared" si="62"/>
        <v>25294.510638297874</v>
      </c>
      <c r="R195" s="14"/>
      <c r="S195" s="28">
        <f t="shared" si="63"/>
        <v>3.2437177017565886</v>
      </c>
      <c r="U195" s="49">
        <f t="shared" si="64"/>
        <v>23.5</v>
      </c>
      <c r="Y195" s="239">
        <f>ROUND((AB195-Z195)/365.25,0)-0.5</f>
        <v>23.5</v>
      </c>
      <c r="Z195" s="240">
        <v>45291</v>
      </c>
      <c r="AA195" s="240">
        <f>E195</f>
        <v>53873</v>
      </c>
      <c r="AB195" s="240">
        <v>54057</v>
      </c>
      <c r="AC195" s="54">
        <v>0</v>
      </c>
      <c r="AD195" s="239">
        <f t="shared" si="66"/>
        <v>23.5</v>
      </c>
    </row>
    <row r="196" spans="1:30">
      <c r="A196" s="30"/>
      <c r="E196" s="54" t="s">
        <v>321</v>
      </c>
      <c r="F196" s="54"/>
      <c r="G196" s="228"/>
      <c r="H196" s="228"/>
      <c r="I196" s="229"/>
      <c r="K196" s="157"/>
      <c r="L196" s="145"/>
      <c r="M196" s="147"/>
      <c r="N196" s="147"/>
      <c r="O196" s="147"/>
      <c r="P196" s="147"/>
      <c r="Q196" s="147"/>
      <c r="S196" s="26"/>
      <c r="U196" s="49"/>
      <c r="Y196" s="230"/>
    </row>
    <row r="197" spans="1:30">
      <c r="A197" s="30"/>
      <c r="C197" s="13" t="s">
        <v>53</v>
      </c>
      <c r="G197" s="205"/>
      <c r="H197" s="205"/>
      <c r="I197" s="206"/>
      <c r="K197" s="157">
        <f>SUBTOTAL(9,K177:K196)</f>
        <v>37408940.18999999</v>
      </c>
      <c r="L197" s="145"/>
      <c r="M197" s="147">
        <f>SUBTOTAL(9,M177:M196)</f>
        <v>12518134.430000002</v>
      </c>
      <c r="N197" s="147"/>
      <c r="O197" s="147">
        <f>SUBTOTAL(9,O177:O196)</f>
        <v>24898605</v>
      </c>
      <c r="P197" s="147"/>
      <c r="Q197" s="147">
        <f>SUBTOTAL(9,Q177:Q196)</f>
        <v>902284.45352918224</v>
      </c>
      <c r="S197" s="26">
        <f>+ROUND(Q197/K197*100,2)</f>
        <v>2.41</v>
      </c>
      <c r="U197" s="49"/>
      <c r="Y197" s="230"/>
    </row>
    <row r="198" spans="1:30">
      <c r="A198" s="30"/>
      <c r="G198" s="205"/>
      <c r="H198" s="205"/>
      <c r="I198" s="206"/>
      <c r="K198" s="157"/>
      <c r="L198" s="145"/>
      <c r="M198" s="147"/>
      <c r="N198" s="147"/>
      <c r="O198" s="147"/>
      <c r="P198" s="147"/>
      <c r="Q198" s="147"/>
      <c r="S198" s="26"/>
      <c r="U198" s="49"/>
      <c r="Y198" s="230"/>
    </row>
    <row r="199" spans="1:30">
      <c r="A199" s="30">
        <v>346</v>
      </c>
      <c r="C199" s="13" t="s">
        <v>54</v>
      </c>
      <c r="S199" s="26"/>
      <c r="U199" s="49"/>
      <c r="Y199" s="230"/>
    </row>
    <row r="200" spans="1:30">
      <c r="A200" s="30"/>
      <c r="C200" s="33" t="s">
        <v>58</v>
      </c>
      <c r="E200" s="207">
        <v>55153</v>
      </c>
      <c r="G200" s="228" t="s">
        <v>140</v>
      </c>
      <c r="H200" s="205" t="s">
        <v>141</v>
      </c>
      <c r="I200" s="229">
        <v>0</v>
      </c>
      <c r="K200" s="157">
        <v>15806989.609999999</v>
      </c>
      <c r="L200" s="145"/>
      <c r="M200" s="147">
        <v>4628649.1399999997</v>
      </c>
      <c r="N200" s="147"/>
      <c r="O200" s="52">
        <f t="shared" ref="O200:O207" si="69">ROUND((K200+(K200*-(I200/100)))-M200,0)</f>
        <v>11178340</v>
      </c>
      <c r="P200" s="27"/>
      <c r="Q200" s="233">
        <f t="shared" ref="Q200:Q207" si="70">O200/U200</f>
        <v>349323.125</v>
      </c>
      <c r="R200" s="14"/>
      <c r="S200" s="28">
        <f t="shared" ref="S200:S207" si="71">Q200/K200*100</f>
        <v>2.2099282255427513</v>
      </c>
      <c r="U200" s="49">
        <f t="shared" ref="U200:U207" si="72">AD200</f>
        <v>32</v>
      </c>
      <c r="Y200" s="239">
        <f t="shared" ref="Y200:Y207" si="73">ROUND((E200-Z200)/365.25,0)</f>
        <v>27</v>
      </c>
      <c r="Z200" s="240">
        <v>45291</v>
      </c>
      <c r="AA200" s="54"/>
      <c r="AB200" s="54"/>
      <c r="AC200" s="54">
        <v>5</v>
      </c>
      <c r="AD200" s="239">
        <f t="shared" ref="AD200:AD207" si="74">Y200+AC200</f>
        <v>32</v>
      </c>
    </row>
    <row r="201" spans="1:30">
      <c r="A201" s="30"/>
      <c r="C201" s="33" t="s">
        <v>61</v>
      </c>
      <c r="E201" s="207">
        <v>50040</v>
      </c>
      <c r="G201" s="228" t="s">
        <v>140</v>
      </c>
      <c r="H201" s="205" t="s">
        <v>141</v>
      </c>
      <c r="I201" s="229">
        <v>0</v>
      </c>
      <c r="K201" s="157">
        <v>35097.11</v>
      </c>
      <c r="L201" s="145"/>
      <c r="M201" s="147">
        <v>3184.5</v>
      </c>
      <c r="N201" s="147"/>
      <c r="O201" s="52">
        <f t="shared" si="69"/>
        <v>31913</v>
      </c>
      <c r="P201" s="27"/>
      <c r="Q201" s="233">
        <f t="shared" si="70"/>
        <v>1519.6666666666667</v>
      </c>
      <c r="R201" s="14"/>
      <c r="S201" s="28">
        <f t="shared" si="71"/>
        <v>4.3298911695768307</v>
      </c>
      <c r="U201" s="49">
        <f t="shared" si="72"/>
        <v>21</v>
      </c>
      <c r="Y201" s="239">
        <f t="shared" si="73"/>
        <v>13</v>
      </c>
      <c r="Z201" s="240">
        <v>45291</v>
      </c>
      <c r="AA201" s="54"/>
      <c r="AB201" s="54"/>
      <c r="AC201" s="54">
        <v>8</v>
      </c>
      <c r="AD201" s="239">
        <f t="shared" si="74"/>
        <v>21</v>
      </c>
    </row>
    <row r="202" spans="1:30">
      <c r="A202" s="30"/>
      <c r="C202" s="33" t="s">
        <v>68</v>
      </c>
      <c r="E202" s="207">
        <v>50586</v>
      </c>
      <c r="G202" s="228" t="s">
        <v>140</v>
      </c>
      <c r="H202" s="205" t="s">
        <v>141</v>
      </c>
      <c r="I202" s="229">
        <v>0</v>
      </c>
      <c r="K202" s="157">
        <v>104001.15</v>
      </c>
      <c r="L202" s="145"/>
      <c r="M202" s="147">
        <v>35975.42</v>
      </c>
      <c r="N202" s="147"/>
      <c r="O202" s="52">
        <f t="shared" si="69"/>
        <v>68026</v>
      </c>
      <c r="P202" s="27"/>
      <c r="Q202" s="233">
        <f t="shared" si="70"/>
        <v>4691.4482758620688</v>
      </c>
      <c r="R202" s="14"/>
      <c r="S202" s="28">
        <f t="shared" si="71"/>
        <v>4.5109580767732558</v>
      </c>
      <c r="U202" s="49">
        <f t="shared" si="72"/>
        <v>14.5</v>
      </c>
      <c r="Y202" s="239">
        <f t="shared" ref="Y202" si="75">ROUND((AB202-Z202)/365.25,0)-0.5</f>
        <v>14.5</v>
      </c>
      <c r="Z202" s="240">
        <v>45291</v>
      </c>
      <c r="AA202" s="240">
        <f t="shared" ref="AA202" si="76">E202</f>
        <v>50586</v>
      </c>
      <c r="AB202" s="240">
        <v>50770</v>
      </c>
      <c r="AC202" s="54">
        <v>0</v>
      </c>
      <c r="AD202" s="239">
        <f t="shared" si="74"/>
        <v>14.5</v>
      </c>
    </row>
    <row r="203" spans="1:30">
      <c r="A203" s="30"/>
      <c r="C203" s="33" t="s">
        <v>69</v>
      </c>
      <c r="E203" s="207">
        <v>45657</v>
      </c>
      <c r="G203" s="228" t="s">
        <v>140</v>
      </c>
      <c r="H203" s="205" t="s">
        <v>141</v>
      </c>
      <c r="I203" s="229">
        <v>0</v>
      </c>
      <c r="K203" s="157">
        <v>64992.35</v>
      </c>
      <c r="L203" s="145"/>
      <c r="M203" s="147">
        <v>36640.5</v>
      </c>
      <c r="N203" s="147"/>
      <c r="O203" s="52">
        <f t="shared" si="69"/>
        <v>28352</v>
      </c>
      <c r="P203" s="27"/>
      <c r="Q203" s="233">
        <f t="shared" si="70"/>
        <v>28352</v>
      </c>
      <c r="R203" s="14"/>
      <c r="S203" s="28">
        <f t="shared" si="71"/>
        <v>43.62359570010932</v>
      </c>
      <c r="U203" s="49">
        <f t="shared" si="72"/>
        <v>1</v>
      </c>
      <c r="Y203" s="239">
        <f t="shared" si="73"/>
        <v>1</v>
      </c>
      <c r="Z203" s="240">
        <v>45291</v>
      </c>
      <c r="AA203" s="54"/>
      <c r="AB203" s="54"/>
      <c r="AC203" s="54">
        <v>0</v>
      </c>
      <c r="AD203" s="239">
        <f t="shared" si="74"/>
        <v>1</v>
      </c>
    </row>
    <row r="204" spans="1:30">
      <c r="A204" s="30"/>
      <c r="C204" s="33" t="s">
        <v>70</v>
      </c>
      <c r="E204" s="207">
        <v>50586</v>
      </c>
      <c r="G204" s="228" t="s">
        <v>140</v>
      </c>
      <c r="H204" s="205" t="s">
        <v>141</v>
      </c>
      <c r="I204" s="229">
        <v>0</v>
      </c>
      <c r="K204" s="157">
        <v>60998.54</v>
      </c>
      <c r="L204" s="145"/>
      <c r="M204" s="147">
        <v>23296.52</v>
      </c>
      <c r="N204" s="147"/>
      <c r="O204" s="52">
        <f t="shared" si="69"/>
        <v>37702</v>
      </c>
      <c r="P204" s="27"/>
      <c r="Q204" s="233">
        <f t="shared" si="70"/>
        <v>2600.1379310344828</v>
      </c>
      <c r="R204" s="14"/>
      <c r="S204" s="28">
        <f t="shared" si="71"/>
        <v>4.2626232218582327</v>
      </c>
      <c r="U204" s="49">
        <f t="shared" si="72"/>
        <v>14.5</v>
      </c>
      <c r="Y204" s="239">
        <f t="shared" ref="Y204:Y206" si="77">ROUND((AB204-Z204)/365.25,0)-0.5</f>
        <v>14.5</v>
      </c>
      <c r="Z204" s="240">
        <v>45291</v>
      </c>
      <c r="AA204" s="240">
        <f t="shared" ref="AA204:AA206" si="78">E204</f>
        <v>50586</v>
      </c>
      <c r="AB204" s="240">
        <v>50770</v>
      </c>
      <c r="AC204" s="54">
        <v>0</v>
      </c>
      <c r="AD204" s="239">
        <f t="shared" si="74"/>
        <v>14.5</v>
      </c>
    </row>
    <row r="205" spans="1:30">
      <c r="A205" s="30"/>
      <c r="C205" s="33" t="s">
        <v>71</v>
      </c>
      <c r="E205" s="207">
        <v>51682</v>
      </c>
      <c r="G205" s="228" t="s">
        <v>140</v>
      </c>
      <c r="H205" s="205" t="s">
        <v>141</v>
      </c>
      <c r="I205" s="229">
        <v>0</v>
      </c>
      <c r="K205" s="157">
        <v>494973.87</v>
      </c>
      <c r="L205" s="145"/>
      <c r="M205" s="147">
        <v>28619.14</v>
      </c>
      <c r="N205" s="147"/>
      <c r="O205" s="52">
        <f t="shared" si="69"/>
        <v>466355</v>
      </c>
      <c r="P205" s="27"/>
      <c r="Q205" s="233">
        <f t="shared" si="70"/>
        <v>26648.857142857141</v>
      </c>
      <c r="R205" s="14"/>
      <c r="S205" s="28">
        <f t="shared" si="71"/>
        <v>5.3838917078303838</v>
      </c>
      <c r="U205" s="49">
        <f t="shared" si="72"/>
        <v>17.5</v>
      </c>
      <c r="Y205" s="239">
        <f t="shared" si="77"/>
        <v>17.5</v>
      </c>
      <c r="Z205" s="240">
        <v>45291</v>
      </c>
      <c r="AA205" s="240">
        <f t="shared" si="78"/>
        <v>51682</v>
      </c>
      <c r="AB205" s="240">
        <v>51866</v>
      </c>
      <c r="AC205" s="54">
        <v>0</v>
      </c>
      <c r="AD205" s="239">
        <f t="shared" si="74"/>
        <v>17.5</v>
      </c>
    </row>
    <row r="206" spans="1:30">
      <c r="A206" s="30"/>
      <c r="C206" s="33" t="s">
        <v>72</v>
      </c>
      <c r="E206" s="207">
        <v>52047</v>
      </c>
      <c r="G206" s="228" t="s">
        <v>140</v>
      </c>
      <c r="H206" s="205" t="s">
        <v>141</v>
      </c>
      <c r="I206" s="229">
        <v>0</v>
      </c>
      <c r="K206" s="157">
        <v>50361.67</v>
      </c>
      <c r="L206" s="145"/>
      <c r="M206" s="147">
        <v>15622.98</v>
      </c>
      <c r="N206" s="147"/>
      <c r="O206" s="52">
        <f t="shared" si="69"/>
        <v>34739</v>
      </c>
      <c r="P206" s="27"/>
      <c r="Q206" s="233">
        <f t="shared" si="70"/>
        <v>1877.7837837837837</v>
      </c>
      <c r="R206" s="14"/>
      <c r="S206" s="28">
        <f t="shared" si="71"/>
        <v>3.7285971330652536</v>
      </c>
      <c r="U206" s="49">
        <f t="shared" si="72"/>
        <v>18.5</v>
      </c>
      <c r="Y206" s="239">
        <f t="shared" si="77"/>
        <v>18.5</v>
      </c>
      <c r="Z206" s="240">
        <v>45291</v>
      </c>
      <c r="AA206" s="240">
        <f t="shared" si="78"/>
        <v>52047</v>
      </c>
      <c r="AB206" s="240">
        <v>52231</v>
      </c>
      <c r="AC206" s="54">
        <v>0</v>
      </c>
      <c r="AD206" s="239">
        <f t="shared" si="74"/>
        <v>18.5</v>
      </c>
    </row>
    <row r="207" spans="1:30">
      <c r="A207" s="30"/>
      <c r="C207" s="33" t="s">
        <v>73</v>
      </c>
      <c r="E207" s="207">
        <v>52962</v>
      </c>
      <c r="G207" s="228" t="s">
        <v>140</v>
      </c>
      <c r="H207" s="205" t="s">
        <v>141</v>
      </c>
      <c r="I207" s="229">
        <v>0</v>
      </c>
      <c r="K207" s="144">
        <v>245217.08</v>
      </c>
      <c r="L207" s="145"/>
      <c r="M207" s="148">
        <v>52203.38</v>
      </c>
      <c r="N207" s="147"/>
      <c r="O207" s="55">
        <f t="shared" si="69"/>
        <v>193014</v>
      </c>
      <c r="P207" s="27"/>
      <c r="Q207" s="29">
        <f t="shared" si="70"/>
        <v>9191.1428571428569</v>
      </c>
      <c r="R207" s="14"/>
      <c r="S207" s="28">
        <f t="shared" si="71"/>
        <v>3.7481658525347656</v>
      </c>
      <c r="U207" s="49">
        <f t="shared" si="72"/>
        <v>21</v>
      </c>
      <c r="Y207" s="239">
        <f t="shared" si="73"/>
        <v>21</v>
      </c>
      <c r="Z207" s="240">
        <v>45291</v>
      </c>
      <c r="AA207" s="54"/>
      <c r="AB207" s="54"/>
      <c r="AC207" s="54">
        <v>0</v>
      </c>
      <c r="AD207" s="239">
        <f t="shared" si="74"/>
        <v>21</v>
      </c>
    </row>
    <row r="208" spans="1:30">
      <c r="A208" s="30"/>
      <c r="G208" s="205"/>
      <c r="H208" s="205"/>
      <c r="I208" s="206"/>
      <c r="K208" s="157"/>
      <c r="L208" s="145"/>
      <c r="M208" s="147"/>
      <c r="N208" s="147"/>
      <c r="O208" s="147"/>
      <c r="P208" s="147"/>
      <c r="Q208" s="147"/>
      <c r="S208" s="26"/>
      <c r="U208" s="49"/>
    </row>
    <row r="209" spans="1:21">
      <c r="A209" s="30"/>
      <c r="C209" s="13" t="s">
        <v>55</v>
      </c>
      <c r="G209" s="205"/>
      <c r="H209" s="205"/>
      <c r="I209" s="206"/>
      <c r="K209" s="144">
        <f>SUBTOTAL(9,K200:K208)</f>
        <v>16862631.379999995</v>
      </c>
      <c r="L209" s="145"/>
      <c r="M209" s="148">
        <f>SUBTOTAL(9,M200:M208)</f>
        <v>4824191.5799999991</v>
      </c>
      <c r="N209" s="147"/>
      <c r="O209" s="148">
        <f>SUBTOTAL(9,O200:O208)</f>
        <v>12038441</v>
      </c>
      <c r="P209" s="147"/>
      <c r="Q209" s="148">
        <f>SUBTOTAL(9,Q200:Q208)</f>
        <v>424204.16165734705</v>
      </c>
      <c r="S209" s="26">
        <f>+ROUND(Q209/K209*100,2)</f>
        <v>2.52</v>
      </c>
      <c r="U209" s="49"/>
    </row>
    <row r="210" spans="1:21" ht="15.75">
      <c r="C210" s="18"/>
      <c r="K210" s="157"/>
      <c r="L210" s="145"/>
      <c r="M210" s="147"/>
      <c r="N210" s="147"/>
      <c r="O210" s="147"/>
      <c r="P210" s="147"/>
      <c r="Q210" s="147"/>
      <c r="S210" s="26"/>
      <c r="U210" s="49"/>
    </row>
    <row r="211" spans="1:21" ht="15.75">
      <c r="A211" s="30"/>
      <c r="C211" s="31" t="s">
        <v>85</v>
      </c>
      <c r="G211" s="205"/>
      <c r="H211" s="205"/>
      <c r="I211" s="206"/>
      <c r="K211" s="151">
        <f>SUBTOTAL(9,K97:K210)</f>
        <v>659783698.71000016</v>
      </c>
      <c r="L211" s="22"/>
      <c r="M211" s="35">
        <f>SUBTOTAL(9,M97:M210)</f>
        <v>240801932.52000004</v>
      </c>
      <c r="N211" s="35"/>
      <c r="O211" s="35">
        <f>SUBTOTAL(9,O97:O210)</f>
        <v>419153927</v>
      </c>
      <c r="P211" s="35"/>
      <c r="Q211" s="35">
        <f>SUBTOTAL(9,Q97:Q210)</f>
        <v>17425766.232347198</v>
      </c>
      <c r="S211" s="23">
        <f>+ROUND(Q211/K211*100,2)</f>
        <v>2.64</v>
      </c>
      <c r="T211" s="22"/>
      <c r="U211" s="50"/>
    </row>
    <row r="212" spans="1:21">
      <c r="A212" s="30"/>
      <c r="C212" s="34"/>
      <c r="G212" s="205"/>
      <c r="H212" s="205"/>
      <c r="I212" s="206"/>
      <c r="K212" s="157"/>
      <c r="S212" s="26"/>
      <c r="U212" s="49"/>
    </row>
    <row r="213" spans="1:21" ht="15.75">
      <c r="A213" s="30"/>
      <c r="C213" s="18" t="s">
        <v>86</v>
      </c>
      <c r="G213" s="205"/>
      <c r="I213" s="206"/>
      <c r="K213" s="157"/>
      <c r="S213" s="26"/>
      <c r="U213" s="49"/>
    </row>
    <row r="214" spans="1:21" ht="15.75">
      <c r="A214" s="30"/>
      <c r="C214" s="25"/>
      <c r="G214" s="205"/>
      <c r="I214" s="206"/>
      <c r="K214" s="157"/>
      <c r="S214" s="26"/>
      <c r="U214" s="49"/>
    </row>
    <row r="215" spans="1:21">
      <c r="A215" s="30">
        <v>353</v>
      </c>
      <c r="C215" s="13" t="s">
        <v>87</v>
      </c>
      <c r="E215" s="205"/>
      <c r="G215" s="205" t="s">
        <v>270</v>
      </c>
      <c r="H215" s="205"/>
      <c r="I215" s="206">
        <v>-30</v>
      </c>
      <c r="K215" s="157">
        <v>309555391</v>
      </c>
      <c r="L215" s="145"/>
      <c r="M215" s="147">
        <v>76311552.280000001</v>
      </c>
      <c r="N215" s="147"/>
      <c r="O215" s="147">
        <v>326110456</v>
      </c>
      <c r="P215" s="147"/>
      <c r="Q215" s="147">
        <v>8829790</v>
      </c>
      <c r="S215" s="26">
        <v>2.85</v>
      </c>
      <c r="U215" s="49">
        <v>36.9</v>
      </c>
    </row>
    <row r="216" spans="1:21">
      <c r="A216" s="30">
        <v>353.1</v>
      </c>
      <c r="C216" s="13" t="s">
        <v>88</v>
      </c>
      <c r="E216" s="205"/>
      <c r="G216" s="205" t="s">
        <v>271</v>
      </c>
      <c r="H216" s="205"/>
      <c r="I216" s="206">
        <v>-10</v>
      </c>
      <c r="K216" s="157">
        <v>9834245.3499999996</v>
      </c>
      <c r="L216" s="145"/>
      <c r="M216" s="147">
        <v>5008331.13</v>
      </c>
      <c r="N216" s="147"/>
      <c r="O216" s="147">
        <v>5809339</v>
      </c>
      <c r="P216" s="147"/>
      <c r="Q216" s="147">
        <v>1292108</v>
      </c>
      <c r="S216" s="26">
        <v>13.14</v>
      </c>
      <c r="U216" s="49">
        <v>4.5</v>
      </c>
    </row>
    <row r="217" spans="1:21">
      <c r="A217" s="30">
        <v>354</v>
      </c>
      <c r="C217" s="13" t="s">
        <v>89</v>
      </c>
      <c r="E217" s="205"/>
      <c r="G217" s="205" t="s">
        <v>272</v>
      </c>
      <c r="H217" s="205"/>
      <c r="I217" s="206">
        <v>0</v>
      </c>
      <c r="K217" s="157">
        <v>3853520.91</v>
      </c>
      <c r="L217" s="145"/>
      <c r="M217" s="147">
        <v>1588212.61</v>
      </c>
      <c r="N217" s="147"/>
      <c r="O217" s="147">
        <v>2265308</v>
      </c>
      <c r="P217" s="147"/>
      <c r="Q217" s="147">
        <v>72129</v>
      </c>
      <c r="S217" s="26">
        <v>1.87</v>
      </c>
      <c r="U217" s="49">
        <v>31.4</v>
      </c>
    </row>
    <row r="218" spans="1:21">
      <c r="A218" s="30">
        <v>355</v>
      </c>
      <c r="C218" s="13" t="s">
        <v>90</v>
      </c>
      <c r="E218" s="205"/>
      <c r="G218" s="205" t="s">
        <v>273</v>
      </c>
      <c r="H218" s="205"/>
      <c r="I218" s="206">
        <v>-75</v>
      </c>
      <c r="K218" s="157">
        <v>240192196.53</v>
      </c>
      <c r="L218" s="145"/>
      <c r="M218" s="147">
        <v>63396059.149999999</v>
      </c>
      <c r="N218" s="147"/>
      <c r="O218" s="147">
        <v>356940285</v>
      </c>
      <c r="P218" s="147"/>
      <c r="Q218" s="147">
        <v>7790779</v>
      </c>
      <c r="S218" s="26">
        <v>3.24</v>
      </c>
      <c r="U218" s="49">
        <v>45.8</v>
      </c>
    </row>
    <row r="219" spans="1:21">
      <c r="A219" s="30">
        <v>356</v>
      </c>
      <c r="C219" s="13" t="s">
        <v>91</v>
      </c>
      <c r="E219" s="205"/>
      <c r="G219" s="205" t="s">
        <v>144</v>
      </c>
      <c r="H219" s="205"/>
      <c r="I219" s="206">
        <v>-75</v>
      </c>
      <c r="K219" s="157">
        <v>141259051.86000001</v>
      </c>
      <c r="L219" s="145"/>
      <c r="M219" s="147">
        <v>63715251.359999999</v>
      </c>
      <c r="N219" s="147"/>
      <c r="O219" s="147">
        <v>183488089</v>
      </c>
      <c r="P219" s="147"/>
      <c r="Q219" s="147">
        <v>5110882</v>
      </c>
      <c r="S219" s="26">
        <v>3.62</v>
      </c>
      <c r="U219" s="49">
        <v>35.9</v>
      </c>
    </row>
    <row r="220" spans="1:21">
      <c r="A220" s="30">
        <v>359</v>
      </c>
      <c r="C220" s="13" t="s">
        <v>92</v>
      </c>
      <c r="G220" s="205" t="s">
        <v>272</v>
      </c>
      <c r="H220" s="205"/>
      <c r="I220" s="206">
        <v>0</v>
      </c>
      <c r="K220" s="157">
        <v>22927.11</v>
      </c>
      <c r="L220" s="145"/>
      <c r="M220" s="147">
        <v>12100.51</v>
      </c>
      <c r="N220" s="147"/>
      <c r="O220" s="147">
        <v>10827</v>
      </c>
      <c r="P220" s="147"/>
      <c r="Q220" s="147">
        <v>557</v>
      </c>
      <c r="S220" s="26">
        <v>2.4300000000000002</v>
      </c>
      <c r="U220" s="49">
        <v>19.399999999999999</v>
      </c>
    </row>
    <row r="221" spans="1:21">
      <c r="A221" s="30"/>
      <c r="G221" s="205"/>
      <c r="I221" s="206"/>
      <c r="K221" s="165"/>
      <c r="M221" s="32"/>
      <c r="O221" s="32"/>
      <c r="Q221" s="32"/>
      <c r="S221" s="26"/>
      <c r="U221" s="49"/>
    </row>
    <row r="222" spans="1:21" ht="15.75">
      <c r="A222" s="30"/>
      <c r="C222" s="31" t="s">
        <v>93</v>
      </c>
      <c r="G222" s="18"/>
      <c r="H222" s="22"/>
      <c r="I222" s="41"/>
      <c r="J222" s="22"/>
      <c r="K222" s="151">
        <f>SUBTOTAL(9,K215:K221)</f>
        <v>704717332.76000011</v>
      </c>
      <c r="L222" s="22"/>
      <c r="M222" s="35">
        <f>SUBTOTAL(9,M215:M221)</f>
        <v>210031507.03999996</v>
      </c>
      <c r="N222" s="35"/>
      <c r="O222" s="35">
        <f>SUBTOTAL(9,O215:O221)</f>
        <v>874624304</v>
      </c>
      <c r="P222" s="35"/>
      <c r="Q222" s="35">
        <f>SUBTOTAL(9,Q215:Q221)</f>
        <v>23096245</v>
      </c>
      <c r="S222" s="23">
        <f>+ROUND(Q222/K222*100,2)</f>
        <v>3.28</v>
      </c>
      <c r="T222" s="22"/>
      <c r="U222" s="50"/>
    </row>
    <row r="223" spans="1:21">
      <c r="A223" s="30"/>
      <c r="G223" s="205"/>
      <c r="I223" s="206"/>
      <c r="K223" s="157"/>
      <c r="S223" s="26"/>
      <c r="U223" s="49"/>
    </row>
    <row r="224" spans="1:21" ht="15.75">
      <c r="A224" s="30"/>
      <c r="C224" s="18" t="s">
        <v>94</v>
      </c>
      <c r="G224" s="205"/>
      <c r="I224" s="206"/>
      <c r="K224" s="157"/>
      <c r="S224" s="26"/>
      <c r="U224" s="49"/>
    </row>
    <row r="225" spans="1:21" ht="15.75">
      <c r="A225" s="30"/>
      <c r="C225" s="25"/>
      <c r="G225" s="205"/>
      <c r="I225" s="206"/>
      <c r="K225" s="157"/>
      <c r="S225" s="26"/>
      <c r="U225" s="49"/>
    </row>
    <row r="226" spans="1:21">
      <c r="A226" s="30">
        <v>362</v>
      </c>
      <c r="C226" s="13" t="s">
        <v>87</v>
      </c>
      <c r="G226" s="205" t="s">
        <v>147</v>
      </c>
      <c r="H226" s="205"/>
      <c r="I226" s="206">
        <v>-5</v>
      </c>
      <c r="K226" s="157">
        <v>325863839.04000002</v>
      </c>
      <c r="L226" s="145"/>
      <c r="M226" s="147">
        <v>95248438.450000003</v>
      </c>
      <c r="N226" s="147"/>
      <c r="O226" s="147">
        <v>246908593</v>
      </c>
      <c r="P226" s="147"/>
      <c r="Q226" s="147">
        <v>8410892</v>
      </c>
      <c r="S226" s="26">
        <v>2.58</v>
      </c>
      <c r="U226" s="49">
        <v>29.4</v>
      </c>
    </row>
    <row r="227" spans="1:21">
      <c r="A227" s="30">
        <v>362.1</v>
      </c>
      <c r="C227" s="13" t="s">
        <v>95</v>
      </c>
      <c r="G227" s="205" t="s">
        <v>148</v>
      </c>
      <c r="H227" s="205"/>
      <c r="I227" s="206">
        <v>-5</v>
      </c>
      <c r="K227" s="157">
        <v>7799614.71</v>
      </c>
      <c r="L227" s="145"/>
      <c r="M227" s="147">
        <v>4607402.04</v>
      </c>
      <c r="N227" s="147"/>
      <c r="O227" s="147">
        <v>3582193</v>
      </c>
      <c r="P227" s="147"/>
      <c r="Q227" s="147">
        <v>149696</v>
      </c>
      <c r="S227" s="26">
        <v>1.92</v>
      </c>
      <c r="U227" s="49">
        <v>23.9</v>
      </c>
    </row>
    <row r="228" spans="1:21">
      <c r="A228" s="30">
        <v>368</v>
      </c>
      <c r="C228" s="13" t="s">
        <v>96</v>
      </c>
      <c r="G228" s="205" t="s">
        <v>274</v>
      </c>
      <c r="H228" s="205"/>
      <c r="I228" s="206">
        <v>0</v>
      </c>
      <c r="K228" s="157">
        <v>2409681</v>
      </c>
      <c r="L228" s="145"/>
      <c r="M228" s="147">
        <v>1320682.8500000001</v>
      </c>
      <c r="N228" s="147"/>
      <c r="O228" s="147">
        <v>1088998</v>
      </c>
      <c r="P228" s="147"/>
      <c r="Q228" s="147">
        <v>26019</v>
      </c>
      <c r="S228" s="26">
        <v>1.08</v>
      </c>
      <c r="U228" s="49">
        <v>41.9</v>
      </c>
    </row>
    <row r="229" spans="1:21">
      <c r="A229" s="30"/>
      <c r="G229" s="205"/>
      <c r="I229" s="206"/>
      <c r="K229" s="165"/>
      <c r="M229" s="32"/>
      <c r="O229" s="32"/>
      <c r="Q229" s="32"/>
      <c r="S229" s="26"/>
      <c r="U229" s="49"/>
    </row>
    <row r="230" spans="1:21" ht="15.75">
      <c r="A230" s="30"/>
      <c r="C230" s="31" t="s">
        <v>97</v>
      </c>
      <c r="G230" s="18"/>
      <c r="H230" s="22"/>
      <c r="I230" s="41"/>
      <c r="J230" s="22"/>
      <c r="K230" s="151">
        <f>SUBTOTAL(9,K226:K229)</f>
        <v>336073134.75</v>
      </c>
      <c r="L230" s="22"/>
      <c r="M230" s="35">
        <f>SUBTOTAL(9,M226:M229)</f>
        <v>101176523.34</v>
      </c>
      <c r="N230" s="35"/>
      <c r="O230" s="35">
        <f>SUBTOTAL(9,O226:O229)</f>
        <v>251579784</v>
      </c>
      <c r="P230" s="35"/>
      <c r="Q230" s="35">
        <f>SUBTOTAL(9,Q226:Q229)</f>
        <v>8586607</v>
      </c>
      <c r="R230" s="22"/>
      <c r="S230" s="23">
        <f>+ROUND(Q230/K230*100,2)</f>
        <v>2.5499999999999998</v>
      </c>
      <c r="T230" s="22"/>
      <c r="U230" s="50"/>
    </row>
    <row r="231" spans="1:21">
      <c r="A231" s="30"/>
      <c r="G231" s="205"/>
      <c r="I231" s="206"/>
      <c r="K231" s="157"/>
      <c r="S231" s="26"/>
      <c r="U231" s="49"/>
    </row>
    <row r="232" spans="1:21" ht="15.75">
      <c r="A232" s="30"/>
      <c r="C232" s="18" t="s">
        <v>98</v>
      </c>
      <c r="G232" s="205"/>
      <c r="I232" s="206"/>
      <c r="K232" s="157"/>
      <c r="S232" s="26"/>
      <c r="U232" s="49"/>
    </row>
    <row r="233" spans="1:21" ht="15.75">
      <c r="A233" s="30"/>
      <c r="C233" s="25"/>
      <c r="G233" s="205"/>
      <c r="I233" s="206"/>
      <c r="K233" s="157"/>
      <c r="S233" s="26"/>
      <c r="U233" s="49"/>
    </row>
    <row r="234" spans="1:21">
      <c r="A234" s="30">
        <v>390</v>
      </c>
      <c r="C234" s="34" t="s">
        <v>99</v>
      </c>
      <c r="G234" s="205" t="s">
        <v>149</v>
      </c>
      <c r="H234" s="205"/>
      <c r="I234" s="206">
        <v>-10</v>
      </c>
      <c r="K234" s="157">
        <v>19910932.050000001</v>
      </c>
      <c r="L234" s="145"/>
      <c r="M234" s="147">
        <v>8927206</v>
      </c>
      <c r="N234" s="147"/>
      <c r="O234" s="147">
        <v>12974819</v>
      </c>
      <c r="P234" s="147"/>
      <c r="Q234" s="147">
        <v>325154</v>
      </c>
      <c r="S234" s="26">
        <v>1.63</v>
      </c>
      <c r="U234" s="49">
        <v>39.9</v>
      </c>
    </row>
    <row r="235" spans="1:21">
      <c r="A235" s="30">
        <v>391</v>
      </c>
      <c r="C235" s="13" t="s">
        <v>100</v>
      </c>
      <c r="G235" s="205" t="s">
        <v>150</v>
      </c>
      <c r="H235" s="205"/>
      <c r="I235" s="206">
        <v>0</v>
      </c>
      <c r="K235" s="157">
        <v>13849222.77</v>
      </c>
      <c r="L235" s="145"/>
      <c r="M235" s="147">
        <v>4129175</v>
      </c>
      <c r="N235" s="147"/>
      <c r="O235" s="147">
        <v>9720048</v>
      </c>
      <c r="P235" s="147"/>
      <c r="Q235" s="147">
        <v>692290</v>
      </c>
      <c r="S235" s="26">
        <v>5</v>
      </c>
      <c r="U235" s="49">
        <v>14</v>
      </c>
    </row>
    <row r="236" spans="1:21">
      <c r="A236" s="30">
        <v>391.1</v>
      </c>
      <c r="C236" s="13" t="s">
        <v>101</v>
      </c>
      <c r="G236" s="205" t="s">
        <v>151</v>
      </c>
      <c r="H236" s="205"/>
      <c r="I236" s="206">
        <v>0</v>
      </c>
      <c r="K236" s="157">
        <v>21265400.890000001</v>
      </c>
      <c r="L236" s="145"/>
      <c r="M236" s="147">
        <v>11948538</v>
      </c>
      <c r="N236" s="147"/>
      <c r="O236" s="147">
        <v>9316863</v>
      </c>
      <c r="P236" s="147"/>
      <c r="Q236" s="147">
        <v>1417691</v>
      </c>
      <c r="S236" s="26">
        <v>6.67</v>
      </c>
      <c r="U236" s="49">
        <v>6.6</v>
      </c>
    </row>
    <row r="237" spans="1:21">
      <c r="A237" s="30">
        <v>392</v>
      </c>
      <c r="C237" s="13" t="s">
        <v>102</v>
      </c>
      <c r="G237" s="205" t="s">
        <v>275</v>
      </c>
      <c r="H237" s="205"/>
      <c r="I237" s="206">
        <v>0</v>
      </c>
      <c r="K237" s="157">
        <v>21791109.350000001</v>
      </c>
      <c r="L237" s="145"/>
      <c r="M237" s="147">
        <v>8321066</v>
      </c>
      <c r="N237" s="147"/>
      <c r="O237" s="147">
        <v>13470043</v>
      </c>
      <c r="P237" s="147"/>
      <c r="Q237" s="147">
        <v>1753581</v>
      </c>
      <c r="S237" s="26">
        <v>8.0500000000000007</v>
      </c>
      <c r="U237" s="49">
        <v>7.7</v>
      </c>
    </row>
    <row r="238" spans="1:21">
      <c r="A238" s="30">
        <v>393</v>
      </c>
      <c r="C238" s="34" t="s">
        <v>103</v>
      </c>
      <c r="G238" s="205" t="s">
        <v>152</v>
      </c>
      <c r="H238" s="205"/>
      <c r="I238" s="206">
        <v>0</v>
      </c>
      <c r="K238" s="157">
        <v>80885.399999999994</v>
      </c>
      <c r="L238" s="145"/>
      <c r="M238" s="147">
        <v>60546</v>
      </c>
      <c r="N238" s="147"/>
      <c r="O238" s="147">
        <v>20339</v>
      </c>
      <c r="P238" s="147"/>
      <c r="Q238" s="147">
        <v>3236</v>
      </c>
      <c r="S238" s="26">
        <v>4</v>
      </c>
      <c r="U238" s="49">
        <v>6.3</v>
      </c>
    </row>
    <row r="239" spans="1:21">
      <c r="A239" s="30">
        <v>394</v>
      </c>
      <c r="C239" s="34" t="s">
        <v>104</v>
      </c>
      <c r="G239" s="205" t="s">
        <v>150</v>
      </c>
      <c r="H239" s="205"/>
      <c r="I239" s="206">
        <v>0</v>
      </c>
      <c r="K239" s="157">
        <v>2014232.77</v>
      </c>
      <c r="L239" s="145"/>
      <c r="M239" s="147">
        <v>688131</v>
      </c>
      <c r="N239" s="147"/>
      <c r="O239" s="147">
        <v>1326102</v>
      </c>
      <c r="P239" s="147"/>
      <c r="Q239" s="147">
        <v>100716</v>
      </c>
      <c r="S239" s="26">
        <v>5</v>
      </c>
      <c r="U239" s="49">
        <v>13.2</v>
      </c>
    </row>
    <row r="240" spans="1:21">
      <c r="A240" s="30">
        <v>395</v>
      </c>
      <c r="C240" s="34" t="s">
        <v>105</v>
      </c>
      <c r="G240" s="205" t="s">
        <v>150</v>
      </c>
      <c r="H240" s="205"/>
      <c r="I240" s="206">
        <v>0</v>
      </c>
      <c r="K240" s="157">
        <v>4366162.6500000004</v>
      </c>
      <c r="L240" s="145"/>
      <c r="M240" s="147">
        <v>2130387</v>
      </c>
      <c r="N240" s="147"/>
      <c r="O240" s="147">
        <v>2235776</v>
      </c>
      <c r="P240" s="147"/>
      <c r="Q240" s="147">
        <v>218492</v>
      </c>
      <c r="S240" s="26">
        <v>5</v>
      </c>
      <c r="U240" s="49">
        <v>10.199999999999999</v>
      </c>
    </row>
    <row r="241" spans="1:21">
      <c r="A241" s="30">
        <v>396</v>
      </c>
      <c r="C241" s="13" t="s">
        <v>106</v>
      </c>
      <c r="G241" s="205" t="s">
        <v>276</v>
      </c>
      <c r="H241" s="205"/>
      <c r="I241" s="206">
        <v>0</v>
      </c>
      <c r="K241" s="157">
        <v>24030802.09</v>
      </c>
      <c r="L241" s="145"/>
      <c r="M241" s="147">
        <v>9245260</v>
      </c>
      <c r="N241" s="147"/>
      <c r="O241" s="147">
        <v>14785542</v>
      </c>
      <c r="P241" s="147"/>
      <c r="Q241" s="147">
        <v>1159617</v>
      </c>
      <c r="S241" s="26">
        <v>4.83</v>
      </c>
      <c r="U241" s="49">
        <v>12.8</v>
      </c>
    </row>
    <row r="242" spans="1:21">
      <c r="A242" s="30">
        <v>397</v>
      </c>
      <c r="C242" s="13" t="s">
        <v>107</v>
      </c>
      <c r="G242" s="205" t="s">
        <v>151</v>
      </c>
      <c r="H242" s="205"/>
      <c r="I242" s="206">
        <v>0</v>
      </c>
      <c r="K242" s="157">
        <v>22301164.09</v>
      </c>
      <c r="L242" s="145"/>
      <c r="M242" s="147">
        <v>9655523</v>
      </c>
      <c r="N242" s="147"/>
      <c r="O242" s="147">
        <v>12645641</v>
      </c>
      <c r="P242" s="147"/>
      <c r="Q242" s="147">
        <v>1487391</v>
      </c>
      <c r="S242" s="26">
        <v>6.67</v>
      </c>
      <c r="U242" s="49">
        <v>8.5</v>
      </c>
    </row>
    <row r="243" spans="1:21">
      <c r="A243" s="30">
        <v>398</v>
      </c>
      <c r="C243" s="13" t="s">
        <v>108</v>
      </c>
      <c r="G243" s="205" t="s">
        <v>150</v>
      </c>
      <c r="H243" s="205"/>
      <c r="I243" s="206">
        <v>0</v>
      </c>
      <c r="K243" s="157">
        <v>2513134.77</v>
      </c>
      <c r="L243" s="145"/>
      <c r="M243" s="147">
        <v>1024082</v>
      </c>
      <c r="N243" s="147"/>
      <c r="O243" s="147">
        <v>1489053</v>
      </c>
      <c r="P243" s="147"/>
      <c r="Q243" s="147">
        <v>125661</v>
      </c>
      <c r="S243" s="26">
        <v>5</v>
      </c>
      <c r="U243" s="49">
        <v>11.8</v>
      </c>
    </row>
    <row r="244" spans="1:21">
      <c r="A244" s="30"/>
      <c r="G244" s="205"/>
      <c r="I244" s="206"/>
      <c r="K244" s="165"/>
      <c r="M244" s="166"/>
      <c r="O244" s="166"/>
      <c r="Q244" s="166"/>
      <c r="S244" s="26"/>
      <c r="U244" s="49"/>
    </row>
    <row r="245" spans="1:21" ht="15.75">
      <c r="C245" s="31" t="s">
        <v>109</v>
      </c>
      <c r="G245" s="205"/>
      <c r="I245" s="206"/>
      <c r="K245" s="151">
        <f>SUBTOTAL(9,K234:K244)</f>
        <v>132123046.83000001</v>
      </c>
      <c r="L245" s="22"/>
      <c r="M245" s="35">
        <f>SUBTOTAL(9,M234:M244)</f>
        <v>56129914</v>
      </c>
      <c r="N245" s="35"/>
      <c r="O245" s="35">
        <f>SUBTOTAL(9,O234:O244)</f>
        <v>77984226</v>
      </c>
      <c r="P245" s="35"/>
      <c r="Q245" s="35">
        <f>SUBTOTAL(9,Q234:Q244)</f>
        <v>7283829</v>
      </c>
      <c r="R245" s="22"/>
      <c r="S245" s="23">
        <f>+ROUND(Q245/K245*100,2)</f>
        <v>5.51</v>
      </c>
      <c r="T245" s="22"/>
      <c r="U245" s="50"/>
    </row>
    <row r="246" spans="1:21" ht="15.75">
      <c r="C246" s="31"/>
      <c r="G246" s="205"/>
      <c r="I246" s="206"/>
      <c r="K246" s="151"/>
      <c r="L246" s="22"/>
      <c r="M246" s="35"/>
      <c r="N246" s="35"/>
      <c r="O246" s="35"/>
      <c r="P246" s="35"/>
      <c r="Q246" s="35"/>
      <c r="R246" s="22"/>
      <c r="S246" s="23"/>
      <c r="T246" s="22"/>
      <c r="U246" s="50"/>
    </row>
    <row r="247" spans="1:21" ht="15.75">
      <c r="C247" s="21" t="s">
        <v>277</v>
      </c>
      <c r="G247" s="205"/>
      <c r="I247" s="206"/>
      <c r="K247" s="151"/>
      <c r="L247" s="22"/>
      <c r="M247" s="35"/>
      <c r="N247" s="35"/>
      <c r="O247" s="35"/>
      <c r="P247" s="35"/>
      <c r="Q247" s="35"/>
      <c r="R247" s="22"/>
      <c r="S247" s="23"/>
      <c r="T247" s="22"/>
      <c r="U247" s="50"/>
    </row>
    <row r="248" spans="1:21" ht="15.75">
      <c r="C248" s="31"/>
      <c r="G248" s="205"/>
      <c r="I248" s="206"/>
      <c r="K248" s="151"/>
      <c r="L248" s="22"/>
      <c r="M248" s="35"/>
      <c r="N248" s="35"/>
      <c r="O248" s="35"/>
      <c r="P248" s="35"/>
      <c r="Q248" s="35"/>
      <c r="R248" s="22"/>
      <c r="S248" s="23"/>
      <c r="T248" s="22"/>
      <c r="U248" s="50"/>
    </row>
    <row r="249" spans="1:21" ht="15.75">
      <c r="A249" s="30">
        <v>391</v>
      </c>
      <c r="C249" s="13" t="s">
        <v>100</v>
      </c>
      <c r="G249" s="205"/>
      <c r="I249" s="206"/>
      <c r="K249" s="151"/>
      <c r="L249" s="22"/>
      <c r="M249" s="15">
        <v>183061</v>
      </c>
      <c r="N249" s="35"/>
      <c r="O249" s="35"/>
      <c r="P249" s="35"/>
      <c r="Q249" s="15">
        <f>-M249/5</f>
        <v>-36612.199999999997</v>
      </c>
      <c r="R249" s="22" t="s">
        <v>153</v>
      </c>
      <c r="S249" s="23"/>
      <c r="T249" s="22"/>
      <c r="U249" s="50"/>
    </row>
    <row r="250" spans="1:21" ht="15.75">
      <c r="A250" s="30">
        <v>391.1</v>
      </c>
      <c r="C250" s="13" t="s">
        <v>101</v>
      </c>
      <c r="G250" s="205"/>
      <c r="I250" s="206"/>
      <c r="K250" s="151"/>
      <c r="L250" s="22"/>
      <c r="M250" s="15">
        <v>15654354.949999997</v>
      </c>
      <c r="N250" s="35"/>
      <c r="O250" s="35"/>
      <c r="P250" s="35"/>
      <c r="Q250" s="15">
        <f t="shared" ref="Q250:Q255" si="79">-M250/5</f>
        <v>-3130870.9899999993</v>
      </c>
      <c r="R250" s="22" t="s">
        <v>153</v>
      </c>
      <c r="S250" s="23"/>
      <c r="T250" s="22"/>
      <c r="U250" s="50"/>
    </row>
    <row r="251" spans="1:21" ht="15.75">
      <c r="A251" s="30">
        <v>393</v>
      </c>
      <c r="C251" s="34" t="s">
        <v>103</v>
      </c>
      <c r="G251" s="205"/>
      <c r="I251" s="206"/>
      <c r="K251" s="151"/>
      <c r="L251" s="22"/>
      <c r="M251" s="15">
        <v>2304</v>
      </c>
      <c r="N251" s="35"/>
      <c r="O251" s="35"/>
      <c r="P251" s="35"/>
      <c r="Q251" s="15">
        <f t="shared" si="79"/>
        <v>-460.8</v>
      </c>
      <c r="R251" s="22" t="s">
        <v>153</v>
      </c>
      <c r="S251" s="23"/>
      <c r="T251" s="22"/>
      <c r="U251" s="50"/>
    </row>
    <row r="252" spans="1:21" ht="15.75">
      <c r="A252" s="30">
        <v>394</v>
      </c>
      <c r="C252" s="34" t="s">
        <v>104</v>
      </c>
      <c r="G252" s="205"/>
      <c r="I252" s="206"/>
      <c r="K252" s="151"/>
      <c r="L252" s="22"/>
      <c r="M252" s="15">
        <v>42791</v>
      </c>
      <c r="N252" s="35"/>
      <c r="O252" s="35"/>
      <c r="P252" s="35"/>
      <c r="Q252" s="15">
        <f t="shared" si="79"/>
        <v>-8558.2000000000007</v>
      </c>
      <c r="R252" s="22" t="s">
        <v>153</v>
      </c>
      <c r="S252" s="23"/>
      <c r="T252" s="22"/>
      <c r="U252" s="50"/>
    </row>
    <row r="253" spans="1:21" ht="15.75">
      <c r="A253" s="30">
        <v>395</v>
      </c>
      <c r="C253" s="34" t="s">
        <v>105</v>
      </c>
      <c r="G253" s="205"/>
      <c r="I253" s="206"/>
      <c r="K253" s="151"/>
      <c r="L253" s="22"/>
      <c r="M253" s="15">
        <v>86768</v>
      </c>
      <c r="N253" s="35"/>
      <c r="O253" s="35"/>
      <c r="P253" s="35"/>
      <c r="Q253" s="15">
        <f t="shared" si="79"/>
        <v>-17353.599999999999</v>
      </c>
      <c r="R253" s="22" t="s">
        <v>153</v>
      </c>
      <c r="S253" s="23"/>
      <c r="T253" s="22"/>
      <c r="U253" s="50"/>
    </row>
    <row r="254" spans="1:21" ht="15.75">
      <c r="A254" s="30">
        <v>397</v>
      </c>
      <c r="C254" s="13" t="s">
        <v>107</v>
      </c>
      <c r="G254" s="205"/>
      <c r="I254" s="206"/>
      <c r="K254" s="151"/>
      <c r="L254" s="22"/>
      <c r="M254" s="15">
        <v>377760</v>
      </c>
      <c r="N254" s="35"/>
      <c r="O254" s="35"/>
      <c r="P254" s="35"/>
      <c r="Q254" s="15">
        <f t="shared" si="79"/>
        <v>-75552</v>
      </c>
      <c r="R254" s="22" t="s">
        <v>153</v>
      </c>
      <c r="S254" s="23"/>
      <c r="T254" s="22"/>
      <c r="U254" s="50"/>
    </row>
    <row r="255" spans="1:21" ht="15.75">
      <c r="A255" s="30">
        <v>398</v>
      </c>
      <c r="C255" s="13" t="s">
        <v>108</v>
      </c>
      <c r="G255" s="205"/>
      <c r="I255" s="206"/>
      <c r="K255" s="151"/>
      <c r="L255" s="22"/>
      <c r="M255" s="15">
        <v>43117</v>
      </c>
      <c r="N255" s="35"/>
      <c r="O255" s="35"/>
      <c r="P255" s="35"/>
      <c r="Q255" s="15">
        <f t="shared" si="79"/>
        <v>-8623.4</v>
      </c>
      <c r="R255" s="22" t="s">
        <v>153</v>
      </c>
      <c r="S255" s="23"/>
      <c r="T255" s="22"/>
      <c r="U255" s="50"/>
    </row>
    <row r="256" spans="1:21" ht="15.75">
      <c r="C256" s="31"/>
      <c r="G256" s="205"/>
      <c r="I256" s="206"/>
      <c r="K256" s="151"/>
      <c r="L256" s="22"/>
      <c r="M256" s="169"/>
      <c r="N256" s="35"/>
      <c r="O256" s="35"/>
      <c r="P256" s="35"/>
      <c r="Q256" s="169"/>
      <c r="R256" s="22"/>
      <c r="S256" s="23"/>
      <c r="T256" s="22"/>
      <c r="U256" s="50"/>
    </row>
    <row r="257" spans="1:21" ht="15.75">
      <c r="C257" s="31" t="s">
        <v>278</v>
      </c>
      <c r="G257" s="205"/>
      <c r="I257" s="206"/>
      <c r="K257" s="151"/>
      <c r="L257" s="22"/>
      <c r="M257" s="36">
        <f>SUBTOTAL(9,M249:M256)</f>
        <v>16390155.949999997</v>
      </c>
      <c r="N257" s="35"/>
      <c r="O257" s="35"/>
      <c r="P257" s="35"/>
      <c r="Q257" s="36">
        <f>SUBTOTAL(9,Q249:Q256)</f>
        <v>-3278031.1899999995</v>
      </c>
      <c r="R257" s="22"/>
      <c r="S257" s="23"/>
      <c r="T257" s="22"/>
      <c r="U257" s="50"/>
    </row>
    <row r="258" spans="1:21" ht="15.75">
      <c r="C258" s="31"/>
      <c r="G258" s="205"/>
      <c r="I258" s="206"/>
      <c r="K258" s="151"/>
      <c r="L258" s="22"/>
      <c r="M258" s="35"/>
      <c r="N258" s="35"/>
      <c r="O258" s="35"/>
      <c r="P258" s="35"/>
      <c r="Q258" s="35"/>
      <c r="R258" s="22"/>
      <c r="S258" s="26"/>
      <c r="U258" s="50"/>
    </row>
    <row r="259" spans="1:21" ht="16.5" thickBot="1">
      <c r="C259" s="31" t="s">
        <v>111</v>
      </c>
      <c r="G259" s="205"/>
      <c r="I259" s="206"/>
      <c r="K259" s="171">
        <f>SUBTOTAL(9,K13:K258)</f>
        <v>4654637456.0800037</v>
      </c>
      <c r="L259" s="22"/>
      <c r="M259" s="51">
        <f>SUBTOTAL(9,M13:M258)</f>
        <v>1820887036.7100012</v>
      </c>
      <c r="N259" s="35"/>
      <c r="O259" s="51">
        <f>SUBTOTAL(9,O13:O258)</f>
        <v>3248925479</v>
      </c>
      <c r="P259" s="35"/>
      <c r="Q259" s="51">
        <f>SUBTOTAL(9,Q13:Q258)</f>
        <v>108660519.7090138</v>
      </c>
      <c r="R259" s="22"/>
      <c r="S259" s="23">
        <f>+ROUND(Q259/K259*100,2)</f>
        <v>2.33</v>
      </c>
      <c r="T259" s="22"/>
      <c r="U259" s="50"/>
    </row>
    <row r="260" spans="1:21" ht="16.5" thickTop="1">
      <c r="C260" s="22"/>
      <c r="G260" s="205"/>
      <c r="I260" s="206"/>
      <c r="K260" s="151"/>
      <c r="L260" s="22"/>
      <c r="M260" s="35"/>
      <c r="N260" s="35"/>
      <c r="O260" s="35"/>
      <c r="P260" s="35"/>
      <c r="Q260" s="35"/>
      <c r="R260" s="22"/>
      <c r="S260" s="26"/>
      <c r="U260" s="50"/>
    </row>
    <row r="261" spans="1:21" ht="15.75">
      <c r="C261" s="21" t="s">
        <v>112</v>
      </c>
      <c r="G261" s="205"/>
      <c r="I261" s="206"/>
      <c r="K261" s="151"/>
      <c r="L261" s="22"/>
      <c r="M261" s="35"/>
      <c r="N261" s="35"/>
      <c r="O261" s="35"/>
      <c r="P261" s="35"/>
      <c r="Q261" s="35"/>
      <c r="R261" s="22"/>
      <c r="S261" s="26"/>
      <c r="U261" s="50"/>
    </row>
    <row r="262" spans="1:21" ht="15.75">
      <c r="C262" s="22"/>
      <c r="G262" s="205"/>
      <c r="I262" s="206"/>
      <c r="K262" s="151"/>
      <c r="L262" s="22"/>
      <c r="M262" s="35"/>
      <c r="N262" s="35"/>
      <c r="O262" s="35"/>
      <c r="P262" s="35"/>
      <c r="Q262" s="35"/>
      <c r="R262" s="22"/>
      <c r="S262" s="26"/>
      <c r="U262" s="50"/>
    </row>
    <row r="263" spans="1:21" ht="15.75">
      <c r="A263" s="30">
        <v>301</v>
      </c>
      <c r="C263" s="13" t="s">
        <v>113</v>
      </c>
      <c r="G263" s="205"/>
      <c r="I263" s="206"/>
      <c r="K263" s="157">
        <v>5040.43</v>
      </c>
      <c r="N263" s="35"/>
      <c r="O263" s="35"/>
      <c r="P263" s="35"/>
      <c r="Q263" s="35"/>
      <c r="R263" s="22"/>
      <c r="S263" s="26"/>
      <c r="U263" s="50"/>
    </row>
    <row r="264" spans="1:21" ht="15.75">
      <c r="A264" s="30">
        <v>310</v>
      </c>
      <c r="C264" s="13" t="s">
        <v>114</v>
      </c>
      <c r="G264" s="205"/>
      <c r="I264" s="206"/>
      <c r="K264" s="157">
        <v>7074844.4300000006</v>
      </c>
      <c r="N264" s="35"/>
      <c r="O264" s="35"/>
      <c r="P264" s="35"/>
      <c r="Q264" s="35"/>
      <c r="R264" s="22"/>
      <c r="S264" s="26"/>
      <c r="U264" s="50"/>
    </row>
    <row r="265" spans="1:21" ht="15.75">
      <c r="A265" s="30">
        <v>340</v>
      </c>
      <c r="C265" s="13" t="s">
        <v>114</v>
      </c>
      <c r="G265" s="205"/>
      <c r="I265" s="206"/>
      <c r="K265" s="157">
        <v>5964035.6900000004</v>
      </c>
      <c r="N265" s="35"/>
      <c r="O265" s="35"/>
      <c r="P265" s="35"/>
      <c r="Q265" s="35"/>
      <c r="R265" s="22"/>
      <c r="S265" s="26"/>
      <c r="U265" s="50"/>
    </row>
    <row r="266" spans="1:21" ht="15.75">
      <c r="A266" s="30">
        <v>350</v>
      </c>
      <c r="C266" s="13" t="s">
        <v>114</v>
      </c>
      <c r="G266" s="205"/>
      <c r="I266" s="206"/>
      <c r="K266" s="157">
        <v>4673025.2200000007</v>
      </c>
      <c r="N266" s="35"/>
      <c r="O266" s="35"/>
      <c r="P266" s="35"/>
      <c r="Q266" s="35"/>
      <c r="R266" s="22"/>
      <c r="S266" s="26"/>
      <c r="U266" s="50"/>
    </row>
    <row r="267" spans="1:21" ht="15.75">
      <c r="A267" s="30">
        <v>350.1</v>
      </c>
      <c r="C267" s="13" t="s">
        <v>27</v>
      </c>
      <c r="G267" s="205"/>
      <c r="I267" s="206"/>
      <c r="K267" s="157">
        <v>58324160.971999988</v>
      </c>
      <c r="N267" s="35"/>
      <c r="O267" s="35"/>
      <c r="P267" s="35"/>
      <c r="Q267" s="35"/>
      <c r="R267" s="22"/>
      <c r="S267" s="26"/>
      <c r="U267" s="50"/>
    </row>
    <row r="268" spans="1:21" ht="15.75">
      <c r="A268" s="30">
        <v>354.1</v>
      </c>
      <c r="C268" s="13" t="s">
        <v>251</v>
      </c>
      <c r="G268" s="205"/>
      <c r="I268" s="206"/>
      <c r="K268" s="157">
        <v>564962.57000000007</v>
      </c>
      <c r="M268" s="15">
        <v>325366.93</v>
      </c>
      <c r="N268" s="35"/>
      <c r="O268" s="35"/>
      <c r="P268" s="35"/>
      <c r="Q268" s="35"/>
      <c r="R268" s="22"/>
      <c r="S268" s="26"/>
      <c r="U268" s="50"/>
    </row>
    <row r="269" spans="1:21" ht="15.75">
      <c r="A269" s="30">
        <v>360</v>
      </c>
      <c r="C269" s="13" t="s">
        <v>114</v>
      </c>
      <c r="G269" s="205"/>
      <c r="I269" s="206"/>
      <c r="K269" s="157">
        <v>13132104.219999999</v>
      </c>
      <c r="N269" s="35"/>
      <c r="O269" s="35"/>
      <c r="P269" s="35"/>
      <c r="Q269" s="35"/>
      <c r="R269" s="22"/>
      <c r="S269" s="26"/>
      <c r="U269" s="50"/>
    </row>
    <row r="270" spans="1:21" ht="15.75">
      <c r="A270" s="30">
        <v>389</v>
      </c>
      <c r="C270" s="13" t="s">
        <v>114</v>
      </c>
      <c r="G270" s="205"/>
      <c r="I270" s="206"/>
      <c r="K270" s="157">
        <v>1587642.56</v>
      </c>
      <c r="N270" s="35"/>
      <c r="O270" s="35"/>
      <c r="P270" s="35"/>
      <c r="Q270" s="35"/>
      <c r="R270" s="22"/>
      <c r="S270" s="26"/>
      <c r="U270" s="50"/>
    </row>
    <row r="271" spans="1:21" ht="15.75">
      <c r="A271" s="30">
        <v>389.1</v>
      </c>
      <c r="C271" s="13" t="s">
        <v>27</v>
      </c>
      <c r="G271" s="205"/>
      <c r="I271" s="206"/>
      <c r="K271" s="157">
        <v>244222.03</v>
      </c>
      <c r="N271" s="35"/>
      <c r="O271" s="35"/>
      <c r="P271" s="35"/>
      <c r="Q271" s="35"/>
      <c r="R271" s="22"/>
      <c r="S271" s="26"/>
      <c r="U271" s="50"/>
    </row>
    <row r="272" spans="1:21" ht="15.75">
      <c r="A272" s="30">
        <v>398.1</v>
      </c>
      <c r="C272" s="13" t="s">
        <v>252</v>
      </c>
      <c r="G272" s="205"/>
      <c r="I272" s="206"/>
      <c r="K272" s="157">
        <v>448268.6</v>
      </c>
      <c r="M272" s="15">
        <v>448268.6</v>
      </c>
      <c r="N272" s="35"/>
      <c r="O272" s="35"/>
      <c r="P272" s="35"/>
      <c r="Q272" s="35"/>
      <c r="R272" s="22"/>
      <c r="S272" s="26"/>
      <c r="U272" s="50"/>
    </row>
    <row r="273" spans="2:21" ht="15.75">
      <c r="C273" s="22"/>
      <c r="G273" s="205"/>
      <c r="I273" s="206"/>
      <c r="K273" s="174"/>
      <c r="L273" s="22"/>
      <c r="M273" s="169"/>
      <c r="N273" s="35"/>
      <c r="O273" s="35"/>
      <c r="P273" s="35"/>
      <c r="Q273" s="35"/>
      <c r="R273" s="22"/>
      <c r="S273" s="26"/>
      <c r="U273" s="50"/>
    </row>
    <row r="274" spans="2:21" ht="15.75">
      <c r="C274" s="31" t="s">
        <v>115</v>
      </c>
      <c r="G274" s="205"/>
      <c r="I274" s="206"/>
      <c r="K274" s="175">
        <f>SUBTOTAL(9,K263:K273)</f>
        <v>92018306.721999973</v>
      </c>
      <c r="L274" s="22"/>
      <c r="M274" s="36">
        <f>SUBTOTAL(9,M263:M273)</f>
        <v>773635.53</v>
      </c>
      <c r="N274" s="35"/>
      <c r="O274" s="35"/>
      <c r="P274" s="35"/>
      <c r="Q274" s="35"/>
      <c r="R274" s="22"/>
      <c r="S274" s="26"/>
      <c r="U274" s="50"/>
    </row>
    <row r="275" spans="2:21" ht="15.75">
      <c r="C275" s="22"/>
      <c r="G275" s="205"/>
      <c r="I275" s="206"/>
      <c r="K275" s="151"/>
      <c r="L275" s="22"/>
      <c r="M275" s="35"/>
      <c r="N275" s="35"/>
      <c r="O275" s="35"/>
      <c r="P275" s="35"/>
      <c r="Q275" s="35"/>
      <c r="R275" s="22"/>
      <c r="S275" s="26"/>
      <c r="U275" s="50"/>
    </row>
    <row r="276" spans="2:21" ht="16.5" thickBot="1">
      <c r="C276" s="31" t="s">
        <v>116</v>
      </c>
      <c r="G276" s="205"/>
      <c r="I276" s="206"/>
      <c r="K276" s="171">
        <f>SUBTOTAL(9,K13:K275)</f>
        <v>4746655762.8020048</v>
      </c>
      <c r="L276" s="22"/>
      <c r="M276" s="51">
        <f>SUBTOTAL(9,M13:M275)</f>
        <v>1821660672.2400012</v>
      </c>
      <c r="N276" s="35"/>
      <c r="O276" s="35"/>
      <c r="P276" s="35"/>
      <c r="Q276" s="35"/>
      <c r="R276" s="22"/>
      <c r="S276" s="26"/>
      <c r="U276" s="50"/>
    </row>
    <row r="277" spans="2:21" ht="16.5" thickTop="1">
      <c r="C277" s="31"/>
      <c r="G277" s="205"/>
      <c r="I277" s="206"/>
      <c r="K277" s="157"/>
      <c r="L277" s="22"/>
      <c r="M277" s="35"/>
      <c r="N277" s="35"/>
      <c r="O277" s="35"/>
      <c r="P277" s="35"/>
      <c r="Q277" s="35"/>
      <c r="R277" s="22"/>
      <c r="S277" s="26"/>
      <c r="U277" s="50"/>
    </row>
    <row r="278" spans="2:21">
      <c r="B278" s="176" t="s">
        <v>141</v>
      </c>
      <c r="C278" s="13" t="s">
        <v>155</v>
      </c>
    </row>
    <row r="279" spans="2:21" ht="15.75">
      <c r="B279" s="35" t="s">
        <v>153</v>
      </c>
      <c r="C279" s="34" t="s">
        <v>279</v>
      </c>
    </row>
    <row r="280" spans="2:21">
      <c r="B280" s="176"/>
    </row>
  </sheetData>
  <mergeCells count="2">
    <mergeCell ref="AA8:AB8"/>
    <mergeCell ref="AA9:AB9"/>
  </mergeCells>
  <conditionalFormatting sqref="O249:O257">
    <cfRule type="cellIs" dxfId="0" priority="1" operator="lessThan">
      <formula>0</formula>
    </cfRule>
  </conditionalFormatting>
  <printOptions horizontalCentered="1"/>
  <pageMargins left="0.75" right="0.75" top="1" bottom="0.75" header="0.3" footer="0.3"/>
  <pageSetup scale="41" fitToHeight="0" orientation="landscape" r:id="rId1"/>
  <rowBreaks count="3" manualBreakCount="3">
    <brk id="78" max="20" man="1"/>
    <brk id="146" max="20" man="1"/>
    <brk id="21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showGridLines="0" workbookViewId="0">
      <selection activeCell="B34" sqref="B34"/>
    </sheetView>
  </sheetViews>
  <sheetFormatPr defaultRowHeight="12.75"/>
  <cols>
    <col min="1" max="1" width="2.85546875" customWidth="1"/>
    <col min="2" max="2" width="86.28515625" customWidth="1"/>
    <col min="3" max="3" width="3" customWidth="1"/>
    <col min="4" max="4" width="13.85546875" customWidth="1"/>
    <col min="5" max="5" width="2.42578125" customWidth="1"/>
    <col min="6" max="6" width="13.85546875" customWidth="1"/>
    <col min="7" max="7" width="2.28515625" customWidth="1"/>
    <col min="8" max="8" width="15.42578125" customWidth="1"/>
    <col min="15" max="15" width="9.42578125" bestFit="1" customWidth="1"/>
  </cols>
  <sheetData>
    <row r="1" spans="1:16" ht="15.75">
      <c r="A1" s="326" t="s">
        <v>0</v>
      </c>
      <c r="B1" s="327"/>
      <c r="C1" s="327"/>
      <c r="D1" s="327"/>
      <c r="E1" s="327"/>
      <c r="F1" s="327"/>
      <c r="G1" s="327"/>
      <c r="H1" s="328"/>
      <c r="I1" s="9"/>
      <c r="J1" s="9"/>
      <c r="K1" s="9"/>
      <c r="L1" s="9"/>
      <c r="M1" s="9"/>
      <c r="N1" s="9"/>
      <c r="O1" s="9"/>
      <c r="P1" s="9"/>
    </row>
    <row r="2" spans="1:16" ht="15.75">
      <c r="A2" s="329" t="s">
        <v>189</v>
      </c>
      <c r="B2" s="330"/>
      <c r="C2" s="330"/>
      <c r="D2" s="330"/>
      <c r="E2" s="330"/>
      <c r="F2" s="330"/>
      <c r="G2" s="330"/>
      <c r="H2" s="331"/>
      <c r="I2" s="9"/>
      <c r="J2" s="9"/>
      <c r="K2" s="9"/>
      <c r="L2" s="9"/>
      <c r="M2" s="9"/>
      <c r="N2" s="9"/>
      <c r="O2" s="9"/>
      <c r="P2" s="9"/>
    </row>
    <row r="3" spans="1:16" ht="15.75">
      <c r="A3" s="329" t="s">
        <v>158</v>
      </c>
      <c r="B3" s="330"/>
      <c r="C3" s="330"/>
      <c r="D3" s="330"/>
      <c r="E3" s="330"/>
      <c r="F3" s="330"/>
      <c r="G3" s="330"/>
      <c r="H3" s="331"/>
      <c r="I3" s="9"/>
      <c r="J3" s="9"/>
      <c r="K3" s="9"/>
      <c r="L3" s="9"/>
      <c r="M3" s="9"/>
      <c r="N3" s="9"/>
      <c r="O3" s="9"/>
      <c r="P3" s="9"/>
    </row>
    <row r="4" spans="1:16" ht="15.75">
      <c r="A4" s="329" t="s">
        <v>2</v>
      </c>
      <c r="B4" s="330"/>
      <c r="C4" s="330"/>
      <c r="D4" s="330"/>
      <c r="E4" s="330"/>
      <c r="F4" s="330"/>
      <c r="G4" s="330"/>
      <c r="H4" s="331"/>
      <c r="I4" s="9"/>
      <c r="J4" s="9"/>
      <c r="K4" s="9"/>
      <c r="L4" s="9"/>
      <c r="M4" s="9"/>
      <c r="N4" s="9"/>
      <c r="O4" s="9"/>
      <c r="P4" s="9"/>
    </row>
    <row r="5" spans="1:16" ht="15.75">
      <c r="A5" s="93"/>
      <c r="B5" s="9"/>
      <c r="C5" s="9"/>
      <c r="D5" s="9"/>
      <c r="E5" s="9"/>
      <c r="F5" s="9"/>
      <c r="G5" s="9"/>
      <c r="H5" s="94"/>
      <c r="I5" s="9"/>
      <c r="J5" s="9"/>
      <c r="K5" s="9"/>
      <c r="L5" s="9"/>
      <c r="M5" s="9"/>
      <c r="N5" s="9"/>
      <c r="O5" s="9"/>
      <c r="P5" s="9"/>
    </row>
    <row r="6" spans="1:16" ht="15.75">
      <c r="A6" s="93"/>
      <c r="B6" s="9"/>
      <c r="C6" s="9"/>
      <c r="D6" s="92" t="s">
        <v>19</v>
      </c>
      <c r="E6" s="92"/>
      <c r="F6" s="92" t="s">
        <v>195</v>
      </c>
      <c r="G6" s="9"/>
      <c r="H6" s="95" t="s">
        <v>19</v>
      </c>
      <c r="I6" s="9"/>
      <c r="J6" s="9"/>
      <c r="K6" s="9"/>
      <c r="L6" s="9"/>
      <c r="M6" s="9"/>
      <c r="N6" s="9"/>
      <c r="O6" s="9"/>
      <c r="P6" s="9"/>
    </row>
    <row r="7" spans="1:16" ht="15.75">
      <c r="A7" s="93"/>
      <c r="B7" s="9"/>
      <c r="C7" s="9"/>
      <c r="D7" s="92" t="s">
        <v>1</v>
      </c>
      <c r="E7" s="92"/>
      <c r="F7" s="92" t="s">
        <v>196</v>
      </c>
      <c r="G7" s="9"/>
      <c r="H7" s="95" t="s">
        <v>1</v>
      </c>
      <c r="I7" s="9"/>
      <c r="J7" s="9"/>
      <c r="K7" s="9"/>
      <c r="L7" s="9"/>
      <c r="M7" s="9"/>
      <c r="N7" s="9"/>
      <c r="O7" s="9"/>
      <c r="P7" s="9"/>
    </row>
    <row r="8" spans="1:16" ht="15.75">
      <c r="A8" s="93"/>
      <c r="B8" s="9"/>
      <c r="C8" s="9"/>
      <c r="D8" s="92" t="s">
        <v>18</v>
      </c>
      <c r="E8" s="92"/>
      <c r="F8" s="92" t="s">
        <v>20</v>
      </c>
      <c r="G8" s="9"/>
      <c r="H8" s="95" t="s">
        <v>22</v>
      </c>
      <c r="I8" s="9"/>
      <c r="J8" s="9"/>
      <c r="K8" s="9"/>
      <c r="L8" s="9"/>
      <c r="M8" s="9"/>
      <c r="N8" s="9"/>
      <c r="O8" s="9"/>
      <c r="P8" s="9"/>
    </row>
    <row r="9" spans="1:16" ht="15.75">
      <c r="A9" s="93"/>
      <c r="B9" s="9"/>
      <c r="C9" s="9"/>
      <c r="D9" s="12" t="s">
        <v>20</v>
      </c>
      <c r="E9" s="92"/>
      <c r="F9" s="12" t="s">
        <v>21</v>
      </c>
      <c r="G9" s="9"/>
      <c r="H9" s="96" t="s">
        <v>20</v>
      </c>
      <c r="I9" s="9"/>
      <c r="J9" s="9"/>
      <c r="K9" s="9"/>
      <c r="L9" s="9"/>
      <c r="M9" s="9"/>
      <c r="N9" s="9"/>
      <c r="O9" s="9"/>
      <c r="P9" s="9"/>
    </row>
    <row r="10" spans="1:16" ht="9" customHeight="1">
      <c r="A10" s="97"/>
      <c r="B10" s="99"/>
      <c r="C10" s="9"/>
      <c r="D10" s="9"/>
      <c r="E10" s="9"/>
      <c r="F10" s="9"/>
      <c r="G10" s="9"/>
      <c r="H10" s="98"/>
      <c r="I10" s="9"/>
      <c r="J10" s="9"/>
      <c r="K10" s="9"/>
      <c r="L10" s="9"/>
      <c r="M10" s="9"/>
      <c r="N10" s="9"/>
      <c r="O10" s="9"/>
      <c r="P10" s="9"/>
    </row>
    <row r="11" spans="1:16" ht="15.75">
      <c r="A11" s="97" t="s">
        <v>284</v>
      </c>
      <c r="B11" s="100"/>
      <c r="C11" s="100"/>
      <c r="D11" s="100"/>
      <c r="E11" s="100"/>
      <c r="F11" s="100"/>
      <c r="G11" s="100"/>
      <c r="H11" s="98">
        <v>79.757474000000002</v>
      </c>
      <c r="I11" s="9"/>
      <c r="J11" s="9"/>
      <c r="K11" s="9"/>
      <c r="L11" s="9"/>
      <c r="M11" s="9"/>
      <c r="N11" s="9"/>
      <c r="O11" s="9"/>
      <c r="P11" s="9"/>
    </row>
    <row r="12" spans="1:16" ht="15.75">
      <c r="A12" s="97"/>
      <c r="B12" s="9"/>
      <c r="C12" s="9"/>
      <c r="D12" s="9"/>
      <c r="E12" s="9"/>
      <c r="F12" s="9"/>
      <c r="G12" s="9"/>
      <c r="H12" s="98"/>
      <c r="I12" s="9"/>
      <c r="J12" s="9"/>
      <c r="K12" s="9"/>
      <c r="L12" s="9"/>
      <c r="M12" s="9"/>
      <c r="N12" s="9"/>
      <c r="O12" s="9"/>
      <c r="P12" s="9"/>
    </row>
    <row r="13" spans="1:16" ht="15.75">
      <c r="A13" s="97" t="s">
        <v>159</v>
      </c>
      <c r="B13" s="9"/>
      <c r="C13" s="9"/>
      <c r="D13" s="9"/>
      <c r="E13" s="9"/>
      <c r="F13" s="9"/>
      <c r="G13" s="9"/>
      <c r="H13" s="101"/>
      <c r="I13" s="9"/>
      <c r="J13" s="9"/>
      <c r="K13" s="9"/>
      <c r="L13" s="9"/>
      <c r="M13" s="9"/>
      <c r="O13" s="9"/>
      <c r="P13" s="9"/>
    </row>
    <row r="14" spans="1:16" ht="15.75">
      <c r="A14" s="97"/>
      <c r="B14" s="9" t="s">
        <v>190</v>
      </c>
      <c r="C14" s="9"/>
      <c r="D14" s="11">
        <v>-34.277416000000002</v>
      </c>
      <c r="E14" s="9"/>
      <c r="F14" s="9">
        <f>1+'1.30 - As Filed And Adj Rev Inc'!$H$25</f>
        <v>1.0015540000000001</v>
      </c>
      <c r="G14" s="9"/>
      <c r="H14" s="103">
        <f t="shared" ref="H14" si="0">D14*F14</f>
        <v>-34.330683104464008</v>
      </c>
      <c r="I14" s="9"/>
      <c r="J14" s="9" t="s">
        <v>303</v>
      </c>
      <c r="K14" s="9"/>
      <c r="L14" s="9"/>
      <c r="M14" s="9"/>
      <c r="O14" s="9"/>
      <c r="P14" s="9"/>
    </row>
    <row r="15" spans="1:16" ht="15.75">
      <c r="A15" s="102"/>
      <c r="B15" s="9" t="s">
        <v>403</v>
      </c>
      <c r="C15" s="9"/>
      <c r="D15" s="11">
        <f>'Generation Outage Exp Normal'!F40</f>
        <v>7.5049551999999835</v>
      </c>
      <c r="E15" s="261"/>
      <c r="F15" s="261">
        <f>1+'1.30 - As Filed And Adj Rev Inc'!$H$25</f>
        <v>1.0015540000000001</v>
      </c>
      <c r="G15" s="261"/>
      <c r="H15" s="103">
        <f t="shared" ref="H15" si="1">D15*F15</f>
        <v>7.5166179003807843</v>
      </c>
      <c r="I15" s="261"/>
      <c r="J15" s="261"/>
      <c r="K15" s="261"/>
      <c r="L15" s="261"/>
      <c r="M15" s="9"/>
      <c r="O15" s="9"/>
      <c r="P15" s="9"/>
    </row>
    <row r="16" spans="1:16" ht="15.75">
      <c r="A16" s="102"/>
      <c r="B16" s="9" t="s">
        <v>285</v>
      </c>
      <c r="C16" s="9"/>
      <c r="D16" s="11">
        <v>-2.4777E-2</v>
      </c>
      <c r="E16" s="9"/>
      <c r="F16" s="9">
        <f>1+'1.30 - As Filed And Adj Rev Inc'!$H$25</f>
        <v>1.0015540000000001</v>
      </c>
      <c r="G16" s="9"/>
      <c r="H16" s="103">
        <f t="shared" ref="H16:H24" si="2">D16*F16</f>
        <v>-2.4815503458000002E-2</v>
      </c>
      <c r="I16" s="9"/>
      <c r="J16" s="9" t="s">
        <v>286</v>
      </c>
      <c r="K16" s="9"/>
      <c r="L16" s="9"/>
      <c r="M16" s="9"/>
      <c r="O16" s="9"/>
      <c r="P16" s="9"/>
    </row>
    <row r="17" spans="1:28" ht="15.75">
      <c r="A17" s="102"/>
      <c r="B17" s="116" t="s">
        <v>283</v>
      </c>
      <c r="C17" s="9"/>
      <c r="D17" s="11">
        <f>'Depr Summary Adj 1,2 and 3'!W263/1000000</f>
        <v>-2.5332607155200688</v>
      </c>
      <c r="E17" s="9"/>
      <c r="F17" s="9">
        <f>1+'1.30 - As Filed And Adj Rev Inc'!$H$25</f>
        <v>1.0015540000000001</v>
      </c>
      <c r="G17" s="9"/>
      <c r="H17" s="103">
        <f t="shared" si="2"/>
        <v>-2.5371974026719872</v>
      </c>
      <c r="I17" s="9"/>
      <c r="J17" s="9"/>
      <c r="K17" s="9"/>
      <c r="L17" s="9"/>
      <c r="M17" s="9"/>
      <c r="O17" s="9"/>
      <c r="P17" s="9"/>
    </row>
    <row r="18" spans="1:28" ht="15.75">
      <c r="A18" s="102"/>
      <c r="B18" s="116" t="s">
        <v>332</v>
      </c>
      <c r="C18" s="9"/>
      <c r="D18" s="11">
        <f>'Depr Summary Adj 1,2 and 3'!AE263/1000000</f>
        <v>-6.246175907709584</v>
      </c>
      <c r="E18" s="9"/>
      <c r="F18" s="9">
        <f>1+'1.30 - As Filed And Adj Rev Inc'!$H$25</f>
        <v>1.0015540000000001</v>
      </c>
      <c r="G18" s="9"/>
      <c r="H18" s="103">
        <f t="shared" ref="H18" si="3">D18*F18</f>
        <v>-6.2558824650701652</v>
      </c>
      <c r="I18" s="9"/>
      <c r="J18" s="9"/>
      <c r="K18" s="9"/>
      <c r="L18" s="9"/>
      <c r="M18" s="9"/>
      <c r="O18" s="9"/>
      <c r="P18" s="9"/>
    </row>
    <row r="19" spans="1:28" ht="15.75">
      <c r="A19" s="102"/>
      <c r="B19" s="9" t="s">
        <v>333</v>
      </c>
      <c r="C19" s="9"/>
      <c r="D19" s="11">
        <f>'Depr Summary Adj 1,2 and 3'!AM263/1000000</f>
        <v>-14.178030914349407</v>
      </c>
      <c r="E19" s="9"/>
      <c r="F19" s="9">
        <f>1+'1.30 - As Filed And Adj Rev Inc'!$H$25</f>
        <v>1.0015540000000001</v>
      </c>
      <c r="G19" s="9"/>
      <c r="H19" s="103">
        <f t="shared" si="2"/>
        <v>-14.200063574390306</v>
      </c>
      <c r="I19" s="9"/>
      <c r="J19" s="9"/>
      <c r="K19" s="9"/>
      <c r="L19" s="9"/>
      <c r="M19" s="9"/>
      <c r="O19" s="9"/>
      <c r="P19" s="9"/>
    </row>
    <row r="20" spans="1:28" ht="15.75">
      <c r="A20" s="102"/>
      <c r="B20" s="9" t="s">
        <v>302</v>
      </c>
      <c r="C20" s="9"/>
      <c r="D20" s="11">
        <f>-0.02062483*12</f>
        <v>-0.24749796000000002</v>
      </c>
      <c r="E20" s="9"/>
      <c r="F20" s="9">
        <f>1+'1.30 - As Filed And Adj Rev Inc'!$H$25</f>
        <v>1.0015540000000001</v>
      </c>
      <c r="G20" s="9"/>
      <c r="H20" s="103">
        <f t="shared" si="2"/>
        <v>-0.24788257182984003</v>
      </c>
      <c r="I20" s="9"/>
      <c r="J20" s="9" t="s">
        <v>287</v>
      </c>
      <c r="K20" s="9"/>
      <c r="L20" s="9"/>
      <c r="M20" s="9"/>
      <c r="O20" s="9"/>
      <c r="P20" s="9"/>
    </row>
    <row r="21" spans="1:28" ht="15.75">
      <c r="A21" s="102"/>
      <c r="B21" s="9" t="s">
        <v>417</v>
      </c>
      <c r="C21" s="9"/>
      <c r="D21" s="11">
        <f>'Deferred Cost Amortization'!G39/1000000</f>
        <v>-8.5740867666666656</v>
      </c>
      <c r="E21" s="9"/>
      <c r="F21" s="9">
        <f>1+'1.30 - As Filed And Adj Rev Inc'!$H$25</f>
        <v>1.0015540000000001</v>
      </c>
      <c r="G21" s="9"/>
      <c r="H21" s="103">
        <f t="shared" si="2"/>
        <v>-8.5874108975020658</v>
      </c>
      <c r="I21" s="9"/>
      <c r="J21" s="9"/>
      <c r="K21" s="9"/>
      <c r="L21" s="9"/>
      <c r="M21" s="9"/>
      <c r="O21" s="9"/>
      <c r="P21" s="9"/>
    </row>
    <row r="22" spans="1:28" ht="15.75">
      <c r="A22" s="102"/>
      <c r="B22" s="9" t="s">
        <v>418</v>
      </c>
      <c r="C22" s="9"/>
      <c r="D22" s="11">
        <f>'Deferred Cost Amortization'!G84/1000000</f>
        <v>-0.42760808333333333</v>
      </c>
      <c r="E22" s="9"/>
      <c r="F22" s="9">
        <f>1+'1.30 - As Filed And Adj Rev Inc'!$H$25</f>
        <v>1.0015540000000001</v>
      </c>
      <c r="G22" s="9"/>
      <c r="H22" s="103">
        <f t="shared" ref="H22" si="4">D22*F22</f>
        <v>-0.42827258629483334</v>
      </c>
      <c r="I22" s="9"/>
      <c r="J22" s="9"/>
      <c r="K22" s="9"/>
      <c r="L22" s="9"/>
      <c r="M22" s="9"/>
      <c r="O22" s="9"/>
      <c r="P22" s="9"/>
    </row>
    <row r="23" spans="1:28" ht="15.75">
      <c r="A23" s="102"/>
      <c r="B23" s="115" t="s">
        <v>216</v>
      </c>
      <c r="C23" s="9"/>
      <c r="D23" s="11">
        <f>Dues!F30/1000000</f>
        <v>-0.65963711999999997</v>
      </c>
      <c r="E23" s="9"/>
      <c r="F23" s="9">
        <f>1+'1.30 - As Filed And Adj Rev Inc'!$H$25</f>
        <v>1.0015540000000001</v>
      </c>
      <c r="G23" s="9"/>
      <c r="H23" s="103">
        <f t="shared" si="2"/>
        <v>-0.66066219608447996</v>
      </c>
      <c r="I23" s="9"/>
      <c r="J23" s="9"/>
      <c r="K23" s="9"/>
      <c r="L23" s="9"/>
      <c r="M23" s="9"/>
      <c r="O23" s="9"/>
      <c r="P23" s="9"/>
    </row>
    <row r="24" spans="1:28" ht="15.75">
      <c r="A24" s="102"/>
      <c r="B24" s="9" t="s">
        <v>224</v>
      </c>
      <c r="C24" s="9"/>
      <c r="D24" s="11">
        <f>'Interest Expense ES Removal'!I37/1000000</f>
        <v>-6.6958327954720982</v>
      </c>
      <c r="E24" s="261"/>
      <c r="F24" s="261">
        <f>1+'1.30 - As Filed And Adj Rev Inc'!$H$25</f>
        <v>1.0015540000000001</v>
      </c>
      <c r="G24" s="261"/>
      <c r="H24" s="324">
        <f t="shared" si="2"/>
        <v>-6.7062381196362626</v>
      </c>
      <c r="I24" s="261"/>
      <c r="J24" s="261"/>
      <c r="K24" s="261"/>
      <c r="L24" s="261"/>
      <c r="M24" s="9"/>
      <c r="N24" s="9"/>
      <c r="O24" s="9"/>
      <c r="P24" s="9"/>
    </row>
    <row r="25" spans="1:28" ht="9" customHeight="1">
      <c r="A25" s="93"/>
      <c r="B25" s="9"/>
      <c r="C25" s="9"/>
      <c r="D25" s="9"/>
      <c r="E25" s="9"/>
      <c r="F25" s="9"/>
      <c r="G25" s="9"/>
      <c r="H25" s="103"/>
      <c r="I25" s="9"/>
      <c r="J25" s="9"/>
      <c r="K25" s="9"/>
      <c r="L25" s="9"/>
      <c r="M25" s="9"/>
      <c r="N25" s="9"/>
      <c r="O25" s="9"/>
      <c r="P25" s="9"/>
      <c r="Q25" s="79"/>
      <c r="R25" s="79"/>
      <c r="S25" s="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6.5" thickBot="1">
      <c r="A26" s="97" t="s">
        <v>174</v>
      </c>
      <c r="B26" s="9"/>
      <c r="C26" s="9"/>
      <c r="D26" s="9"/>
      <c r="E26" s="9"/>
      <c r="F26" s="9"/>
      <c r="G26" s="9"/>
      <c r="H26" s="104">
        <f>SUM(H14:H24)</f>
        <v>-66.462490521021167</v>
      </c>
      <c r="I26" s="9"/>
      <c r="J26" s="9"/>
      <c r="K26" s="9"/>
      <c r="L26" s="9"/>
      <c r="M26" s="9"/>
      <c r="N26" s="9"/>
      <c r="O26" s="9"/>
      <c r="P26" s="9"/>
      <c r="Q26" s="79"/>
      <c r="R26" s="79"/>
      <c r="S26" s="10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9" customHeight="1" thickTop="1">
      <c r="A27" s="93"/>
      <c r="B27" s="9"/>
      <c r="C27" s="9"/>
      <c r="D27" s="9"/>
      <c r="E27" s="9"/>
      <c r="F27" s="9"/>
      <c r="G27" s="9"/>
      <c r="H27" s="105"/>
      <c r="I27" s="9"/>
      <c r="J27" s="9"/>
      <c r="K27" s="9"/>
      <c r="L27" s="9"/>
      <c r="M27" s="9"/>
      <c r="N27" s="9"/>
      <c r="O27" s="9"/>
      <c r="P27" s="9"/>
      <c r="Q27" s="79"/>
      <c r="R27" s="79"/>
      <c r="S27" s="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6.5" thickBot="1">
      <c r="A28" s="97" t="s">
        <v>282</v>
      </c>
      <c r="B28" s="9"/>
      <c r="C28" s="9"/>
      <c r="D28" s="9"/>
      <c r="E28" s="9"/>
      <c r="F28" s="9"/>
      <c r="G28" s="9"/>
      <c r="H28" s="106">
        <f>H11+H26</f>
        <v>13.294983478978835</v>
      </c>
      <c r="I28" s="9"/>
      <c r="J28" s="9"/>
      <c r="K28" s="9"/>
      <c r="L28" s="9"/>
      <c r="M28" s="9"/>
      <c r="N28" s="9"/>
      <c r="O28" s="9"/>
      <c r="P28" s="9"/>
    </row>
    <row r="29" spans="1:28" ht="4.5" customHeight="1" thickTop="1" thickBot="1">
      <c r="A29" s="107"/>
      <c r="B29" s="108"/>
      <c r="C29" s="108"/>
      <c r="D29" s="108"/>
      <c r="E29" s="108"/>
      <c r="F29" s="108"/>
      <c r="G29" s="108"/>
      <c r="H29" s="109"/>
      <c r="I29" s="9"/>
      <c r="J29" s="9"/>
      <c r="K29" s="9"/>
      <c r="L29" s="9"/>
      <c r="M29" s="9"/>
      <c r="N29" s="9"/>
      <c r="O29" s="9"/>
      <c r="P29" s="9"/>
    </row>
    <row r="30" spans="1:28" ht="15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8" ht="15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3" spans="2:8">
      <c r="B33" s="113"/>
      <c r="F33" s="74" t="s">
        <v>193</v>
      </c>
    </row>
    <row r="34" spans="2:8">
      <c r="B34" s="114"/>
      <c r="D34" s="119">
        <f>SUM(D14:D24)</f>
        <v>-66.359368063051164</v>
      </c>
      <c r="F34" s="111">
        <f>H34-D34</f>
        <v>-0.1031224579700023</v>
      </c>
      <c r="H34" s="119">
        <f>H26</f>
        <v>-66.462490521021167</v>
      </c>
    </row>
  </sheetData>
  <mergeCells count="4">
    <mergeCell ref="A1:H1"/>
    <mergeCell ref="A2:H2"/>
    <mergeCell ref="A3:H3"/>
    <mergeCell ref="A4:H4"/>
  </mergeCells>
  <phoneticPr fontId="8" type="noConversion"/>
  <pageMargins left="0.88" right="0.75" top="1" bottom="1" header="0.5" footer="0.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90" zoomScaleNormal="90" workbookViewId="0">
      <selection activeCell="H27" sqref="H27"/>
    </sheetView>
  </sheetViews>
  <sheetFormatPr defaultColWidth="17.85546875" defaultRowHeight="14.25"/>
  <cols>
    <col min="1" max="1" width="5.28515625" style="2" customWidth="1"/>
    <col min="2" max="16384" width="17.85546875" style="2"/>
  </cols>
  <sheetData>
    <row r="1" spans="1:11">
      <c r="A1" s="1"/>
    </row>
    <row r="2" spans="1:11" ht="15">
      <c r="A2" s="1"/>
      <c r="G2" s="3"/>
      <c r="H2" s="3" t="s">
        <v>3</v>
      </c>
    </row>
    <row r="3" spans="1:11" ht="15">
      <c r="A3" s="1"/>
      <c r="B3" s="332" t="s">
        <v>0</v>
      </c>
      <c r="C3" s="332"/>
      <c r="D3" s="332"/>
      <c r="E3" s="332"/>
      <c r="F3" s="332"/>
      <c r="G3" s="332"/>
      <c r="H3" s="332"/>
    </row>
    <row r="4" spans="1:11" ht="15">
      <c r="A4" s="1"/>
      <c r="B4" s="332" t="s">
        <v>4</v>
      </c>
      <c r="C4" s="332"/>
      <c r="D4" s="332"/>
      <c r="E4" s="332"/>
      <c r="F4" s="332"/>
      <c r="G4" s="332"/>
      <c r="H4" s="332"/>
    </row>
    <row r="5" spans="1:11" ht="15">
      <c r="A5" s="1"/>
      <c r="B5" s="332" t="s">
        <v>194</v>
      </c>
      <c r="C5" s="332"/>
      <c r="D5" s="332"/>
      <c r="E5" s="332"/>
      <c r="F5" s="332"/>
      <c r="G5" s="332"/>
      <c r="H5" s="332"/>
    </row>
    <row r="6" spans="1:11" ht="15">
      <c r="A6" s="1"/>
      <c r="B6" s="112"/>
      <c r="C6" s="112"/>
      <c r="D6" s="112"/>
      <c r="E6" s="112"/>
      <c r="F6" s="112"/>
      <c r="G6" s="112"/>
      <c r="H6" s="112"/>
    </row>
    <row r="7" spans="1:11" ht="15">
      <c r="A7" s="1"/>
      <c r="B7" s="112"/>
      <c r="C7" s="112"/>
      <c r="D7" s="112"/>
      <c r="E7" s="112"/>
      <c r="F7" s="112"/>
      <c r="G7" s="112"/>
      <c r="H7" s="112"/>
    </row>
    <row r="8" spans="1:11">
      <c r="A8" s="1"/>
      <c r="G8" s="7" t="s">
        <v>168</v>
      </c>
      <c r="H8" s="7" t="s">
        <v>168</v>
      </c>
    </row>
    <row r="9" spans="1:11">
      <c r="A9" s="1"/>
      <c r="F9" s="121" t="s">
        <v>15</v>
      </c>
      <c r="G9" s="121" t="s">
        <v>16</v>
      </c>
      <c r="H9" s="121" t="s">
        <v>169</v>
      </c>
    </row>
    <row r="10" spans="1:11" ht="15">
      <c r="A10" s="1"/>
      <c r="B10" s="4" t="s">
        <v>5</v>
      </c>
    </row>
    <row r="11" spans="1:11">
      <c r="A11" s="1"/>
    </row>
    <row r="12" spans="1:11">
      <c r="A12" s="1"/>
      <c r="B12" s="2" t="s">
        <v>6</v>
      </c>
      <c r="E12"/>
      <c r="F12" s="59">
        <v>86976217</v>
      </c>
      <c r="G12" s="8">
        <f>'Interest Expense ES Removal'!I33</f>
        <v>-4463888.5303147323</v>
      </c>
      <c r="H12" s="5">
        <f>F12+G12</f>
        <v>82512328.469685271</v>
      </c>
      <c r="J12" s="110"/>
      <c r="K12" s="110"/>
    </row>
    <row r="13" spans="1:11">
      <c r="A13" s="1"/>
      <c r="E13"/>
      <c r="F13"/>
    </row>
    <row r="14" spans="1:11">
      <c r="A14" s="1"/>
      <c r="B14" s="2" t="s">
        <v>7</v>
      </c>
      <c r="E14"/>
      <c r="F14" s="117">
        <v>1.5</v>
      </c>
      <c r="G14" s="120"/>
      <c r="H14" s="120">
        <v>1.5</v>
      </c>
      <c r="J14" s="110"/>
    </row>
    <row r="15" spans="1:11">
      <c r="A15" s="1"/>
      <c r="E15"/>
      <c r="F15"/>
    </row>
    <row r="16" spans="1:11">
      <c r="A16" s="1"/>
      <c r="B16" s="2" t="s">
        <v>8</v>
      </c>
      <c r="E16"/>
      <c r="F16" s="59">
        <f>ROUND(F12*(F14-1),0)</f>
        <v>43488109</v>
      </c>
      <c r="G16" s="5"/>
      <c r="H16" s="5">
        <f>ROUND(H12*(H14-1),0)</f>
        <v>41256164</v>
      </c>
    </row>
    <row r="17" spans="1:11">
      <c r="A17" s="1"/>
      <c r="E17"/>
      <c r="F17"/>
    </row>
    <row r="18" spans="1:11">
      <c r="A18" s="1"/>
      <c r="B18" s="2" t="s">
        <v>9</v>
      </c>
      <c r="E18"/>
      <c r="F18" s="59">
        <v>-36145614.492500022</v>
      </c>
      <c r="G18" s="5">
        <f>-G12-G38</f>
        <v>64127423.797893807</v>
      </c>
      <c r="H18" s="5">
        <f>F18+G18</f>
        <v>27981809.305393785</v>
      </c>
    </row>
    <row r="19" spans="1:11">
      <c r="A19" s="1"/>
      <c r="E19"/>
      <c r="F19"/>
    </row>
    <row r="20" spans="1:11">
      <c r="A20" s="1"/>
      <c r="B20" s="2" t="s">
        <v>10</v>
      </c>
      <c r="E20"/>
      <c r="F20" s="59">
        <f>F16-F18</f>
        <v>79633723.492500022</v>
      </c>
      <c r="G20" s="5"/>
      <c r="H20" s="5">
        <f>H16-H18</f>
        <v>13274354.694606215</v>
      </c>
    </row>
    <row r="21" spans="1:11">
      <c r="A21" s="1"/>
      <c r="E21"/>
      <c r="F21"/>
    </row>
    <row r="22" spans="1:11">
      <c r="A22" s="1"/>
      <c r="B22" s="2" t="s">
        <v>11</v>
      </c>
      <c r="E22"/>
      <c r="F22"/>
    </row>
    <row r="23" spans="1:11">
      <c r="A23" s="1"/>
      <c r="B23" s="2" t="s">
        <v>191</v>
      </c>
      <c r="E23" s="59">
        <v>1649811.68</v>
      </c>
      <c r="F23"/>
    </row>
    <row r="24" spans="1:11">
      <c r="A24" s="1"/>
      <c r="B24" s="2" t="s">
        <v>192</v>
      </c>
      <c r="E24" s="59">
        <v>1061654877</v>
      </c>
      <c r="F24"/>
      <c r="K24" s="5"/>
    </row>
    <row r="25" spans="1:11">
      <c r="A25" s="1"/>
      <c r="B25" s="2" t="s">
        <v>12</v>
      </c>
      <c r="E25"/>
      <c r="F25" s="118">
        <f>ROUND(E23/E24,6)</f>
        <v>1.554E-3</v>
      </c>
      <c r="G25" s="6"/>
      <c r="H25" s="6">
        <f>F25</f>
        <v>1.554E-3</v>
      </c>
    </row>
    <row r="26" spans="1:11">
      <c r="A26" s="1"/>
      <c r="E26"/>
      <c r="F26"/>
    </row>
    <row r="27" spans="1:11">
      <c r="A27" s="1"/>
      <c r="B27" s="2" t="s">
        <v>13</v>
      </c>
      <c r="E27"/>
      <c r="F27" s="59">
        <f>ROUND(F20*F25,0)</f>
        <v>123751</v>
      </c>
      <c r="G27" s="5">
        <f>F27-H27</f>
        <v>103123</v>
      </c>
      <c r="H27" s="5">
        <f>ROUND(H20*H25,0)</f>
        <v>20628</v>
      </c>
    </row>
    <row r="28" spans="1:11">
      <c r="A28" s="1"/>
      <c r="E28"/>
      <c r="F28"/>
      <c r="J28" s="2" t="s">
        <v>156</v>
      </c>
    </row>
    <row r="29" spans="1:11">
      <c r="A29" s="1"/>
      <c r="B29" s="2" t="s">
        <v>14</v>
      </c>
      <c r="E29"/>
      <c r="F29" s="59">
        <f>F20+F27</f>
        <v>79757474.492500022</v>
      </c>
      <c r="G29" s="5"/>
      <c r="H29" s="68">
        <f>H20+H27</f>
        <v>13294982.694606215</v>
      </c>
      <c r="I29" s="69"/>
      <c r="J29" s="68">
        <f>'Revenue Requirement'!H28*1000000</f>
        <v>13294983.478978835</v>
      </c>
    </row>
    <row r="30" spans="1:11">
      <c r="A30" s="1"/>
      <c r="J30" s="5">
        <f>J29-H29</f>
        <v>0.78437262028455734</v>
      </c>
      <c r="K30" s="2" t="s">
        <v>176</v>
      </c>
    </row>
    <row r="38" spans="2:7">
      <c r="B38" s="2" t="s">
        <v>175</v>
      </c>
      <c r="G38" s="73">
        <f>SUM('Revenue Requirement'!D14:D23)*1000000</f>
        <v>-59663535.267579071</v>
      </c>
    </row>
  </sheetData>
  <mergeCells count="3">
    <mergeCell ref="B5:H5"/>
    <mergeCell ref="B3:H3"/>
    <mergeCell ref="B4:H4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H23" sqref="H23"/>
    </sheetView>
  </sheetViews>
  <sheetFormatPr defaultRowHeight="12.75"/>
  <cols>
    <col min="1" max="3" width="10.7109375" customWidth="1"/>
    <col min="4" max="4" width="17.5703125" customWidth="1"/>
    <col min="5" max="5" width="10.7109375" customWidth="1"/>
    <col min="6" max="6" width="11.7109375" customWidth="1"/>
  </cols>
  <sheetData>
    <row r="1" spans="1:7">
      <c r="A1" s="333" t="s">
        <v>0</v>
      </c>
      <c r="B1" s="333"/>
      <c r="C1" s="333"/>
      <c r="D1" s="333"/>
      <c r="E1" s="333"/>
      <c r="F1" s="333"/>
    </row>
    <row r="2" spans="1:7">
      <c r="A2" s="333" t="s">
        <v>170</v>
      </c>
      <c r="B2" s="333"/>
      <c r="C2" s="333"/>
      <c r="D2" s="333"/>
      <c r="E2" s="333"/>
      <c r="F2" s="333"/>
    </row>
    <row r="3" spans="1:7">
      <c r="A3" s="333" t="s">
        <v>17</v>
      </c>
      <c r="B3" s="333"/>
      <c r="C3" s="333"/>
      <c r="D3" s="333"/>
      <c r="E3" s="333"/>
      <c r="F3" s="333"/>
    </row>
    <row r="4" spans="1:7">
      <c r="A4" s="333" t="s">
        <v>162</v>
      </c>
      <c r="B4" s="333"/>
      <c r="C4" s="333"/>
      <c r="D4" s="333"/>
      <c r="E4" s="333"/>
      <c r="F4" s="333"/>
    </row>
    <row r="7" spans="1:7">
      <c r="A7" s="58" t="s">
        <v>171</v>
      </c>
      <c r="E7" s="56"/>
      <c r="F7" s="56"/>
    </row>
    <row r="8" spans="1:7">
      <c r="A8" s="58"/>
      <c r="E8" s="56"/>
      <c r="F8" s="56"/>
    </row>
    <row r="9" spans="1:7">
      <c r="A9" s="58"/>
      <c r="E9" s="56"/>
      <c r="F9" s="56"/>
    </row>
    <row r="10" spans="1:7">
      <c r="E10" s="65">
        <v>2019</v>
      </c>
      <c r="F10" s="65">
        <v>2020</v>
      </c>
    </row>
    <row r="12" spans="1:7">
      <c r="A12" s="58" t="s">
        <v>172</v>
      </c>
      <c r="E12" s="61">
        <v>6330056</v>
      </c>
      <c r="F12" s="61">
        <v>10865180</v>
      </c>
    </row>
    <row r="15" spans="1:7">
      <c r="G15" s="58"/>
    </row>
    <row r="17" spans="1:6" ht="13.5" thickBot="1">
      <c r="A17" s="58" t="s">
        <v>173</v>
      </c>
      <c r="F17" s="66">
        <f>F12-E12</f>
        <v>4535124</v>
      </c>
    </row>
    <row r="18" spans="1:6" ht="13.5" thickTop="1"/>
  </sheetData>
  <mergeCells count="4">
    <mergeCell ref="A1:F1"/>
    <mergeCell ref="A2:F2"/>
    <mergeCell ref="A3:F3"/>
    <mergeCell ref="A4:F4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I32" sqref="I32"/>
    </sheetView>
  </sheetViews>
  <sheetFormatPr defaultRowHeight="12.75"/>
  <cols>
    <col min="3" max="4" width="10.85546875" customWidth="1"/>
    <col min="5" max="5" width="10.28515625" customWidth="1"/>
    <col min="8" max="8" width="14.140625" customWidth="1"/>
    <col min="9" max="9" width="12.7109375" customWidth="1"/>
  </cols>
  <sheetData>
    <row r="1" spans="1:10">
      <c r="A1" s="333" t="s">
        <v>0</v>
      </c>
      <c r="B1" s="333"/>
      <c r="C1" s="333"/>
      <c r="D1" s="333"/>
      <c r="E1" s="333"/>
      <c r="F1" s="333"/>
      <c r="G1" s="333"/>
      <c r="H1" s="333"/>
      <c r="I1" s="333"/>
    </row>
    <row r="2" spans="1:10">
      <c r="A2" s="333" t="s">
        <v>160</v>
      </c>
      <c r="B2" s="333"/>
      <c r="C2" s="333"/>
      <c r="D2" s="333"/>
      <c r="E2" s="333"/>
      <c r="F2" s="333"/>
      <c r="G2" s="333"/>
      <c r="H2" s="333"/>
      <c r="I2" s="333"/>
    </row>
    <row r="3" spans="1:10">
      <c r="A3" s="333" t="s">
        <v>189</v>
      </c>
      <c r="B3" s="333"/>
      <c r="C3" s="333"/>
      <c r="D3" s="333"/>
      <c r="E3" s="333"/>
      <c r="F3" s="333"/>
      <c r="G3" s="333"/>
      <c r="H3" s="333"/>
      <c r="I3" s="333"/>
    </row>
    <row r="4" spans="1:10">
      <c r="A4" s="333" t="s">
        <v>162</v>
      </c>
      <c r="B4" s="333"/>
      <c r="C4" s="333"/>
      <c r="D4" s="333"/>
      <c r="E4" s="333"/>
      <c r="F4" s="333"/>
      <c r="G4" s="333"/>
      <c r="H4" s="333"/>
      <c r="I4" s="333"/>
    </row>
    <row r="5" spans="1:10">
      <c r="A5" s="56"/>
      <c r="B5" s="56"/>
      <c r="C5" s="56"/>
      <c r="D5" s="56"/>
      <c r="E5" s="56"/>
      <c r="F5" s="56"/>
      <c r="G5" s="56"/>
      <c r="H5" s="56"/>
      <c r="I5" s="56"/>
    </row>
    <row r="6" spans="1:10">
      <c r="A6" s="56"/>
      <c r="B6" s="56"/>
      <c r="C6" s="56"/>
      <c r="D6" s="56"/>
      <c r="E6" s="56"/>
      <c r="F6" s="56"/>
      <c r="G6" s="56"/>
      <c r="H6" s="56"/>
      <c r="I6" s="56"/>
    </row>
    <row r="7" spans="1:10">
      <c r="A7" s="67" t="s">
        <v>336</v>
      </c>
      <c r="B7" s="56"/>
      <c r="C7" s="56"/>
      <c r="D7" s="56"/>
      <c r="E7" s="56"/>
      <c r="F7" s="56"/>
      <c r="G7" s="56"/>
      <c r="H7" s="56"/>
      <c r="I7" s="56"/>
      <c r="J7" s="70"/>
    </row>
    <row r="8" spans="1:10">
      <c r="A8" s="67"/>
      <c r="B8" s="56"/>
      <c r="C8" s="56"/>
      <c r="D8" s="56"/>
      <c r="E8" s="56"/>
      <c r="F8" s="56"/>
      <c r="G8" s="56"/>
      <c r="H8" s="56"/>
      <c r="I8" s="56"/>
      <c r="J8" s="70"/>
    </row>
    <row r="9" spans="1:10">
      <c r="A9" s="67"/>
      <c r="B9" s="56"/>
      <c r="C9" s="56"/>
      <c r="D9" s="56"/>
      <c r="E9" s="56"/>
      <c r="F9" s="56"/>
      <c r="G9" s="56"/>
      <c r="H9" s="56"/>
      <c r="I9" s="56"/>
      <c r="J9" s="70"/>
    </row>
    <row r="10" spans="1:10">
      <c r="A10" s="67" t="s">
        <v>219</v>
      </c>
      <c r="B10" s="56"/>
      <c r="C10" s="56"/>
      <c r="D10" s="56"/>
      <c r="E10" s="56"/>
      <c r="F10" s="56"/>
      <c r="G10" s="56"/>
      <c r="H10" s="132">
        <v>115237654</v>
      </c>
      <c r="I10" s="56"/>
      <c r="J10" s="70"/>
    </row>
    <row r="11" spans="1:10">
      <c r="A11" s="70"/>
      <c r="B11" s="131" t="s">
        <v>221</v>
      </c>
      <c r="C11" s="56"/>
      <c r="D11" s="56"/>
      <c r="E11" s="56"/>
      <c r="F11" s="56"/>
      <c r="G11" s="56"/>
      <c r="I11" s="56"/>
      <c r="J11" s="70"/>
    </row>
    <row r="12" spans="1:10">
      <c r="A12" s="67" t="s">
        <v>337</v>
      </c>
      <c r="B12" s="56"/>
      <c r="C12" s="56"/>
      <c r="D12" s="56"/>
      <c r="E12" s="56"/>
      <c r="F12" s="56"/>
      <c r="G12" s="56"/>
      <c r="H12" s="72">
        <v>28261437</v>
      </c>
      <c r="I12" s="56"/>
      <c r="J12" s="70"/>
    </row>
    <row r="13" spans="1:10">
      <c r="A13" s="67"/>
      <c r="B13" s="131" t="s">
        <v>220</v>
      </c>
      <c r="C13" s="56"/>
      <c r="D13" s="56"/>
      <c r="E13" s="56"/>
      <c r="F13" s="56"/>
      <c r="G13" s="56"/>
      <c r="H13" s="56"/>
      <c r="I13" s="56"/>
      <c r="J13" s="70"/>
    </row>
    <row r="14" spans="1:10">
      <c r="A14" s="67"/>
      <c r="B14" s="56"/>
      <c r="C14" s="56"/>
      <c r="D14" s="56"/>
      <c r="E14" s="56"/>
      <c r="F14" s="56"/>
      <c r="G14" s="56"/>
      <c r="H14" s="56"/>
      <c r="I14" s="56"/>
      <c r="J14" s="70"/>
    </row>
    <row r="15" spans="1:10">
      <c r="A15" s="67" t="s">
        <v>222</v>
      </c>
      <c r="B15" s="56"/>
      <c r="C15" s="56"/>
      <c r="D15" s="56"/>
      <c r="E15" s="56"/>
      <c r="F15" s="56"/>
      <c r="G15" s="56"/>
      <c r="H15" s="56"/>
      <c r="I15" s="133">
        <f>H10-H12</f>
        <v>86976217</v>
      </c>
      <c r="J15" s="70"/>
    </row>
    <row r="16" spans="1:10">
      <c r="A16" s="58"/>
      <c r="I16" s="59"/>
    </row>
    <row r="18" spans="1:9">
      <c r="A18" s="58"/>
      <c r="I18" s="59"/>
    </row>
    <row r="19" spans="1:9">
      <c r="A19" s="67" t="s">
        <v>338</v>
      </c>
      <c r="B19" s="56"/>
      <c r="C19" s="56"/>
      <c r="D19" s="56"/>
      <c r="E19" s="56"/>
      <c r="F19" s="56"/>
      <c r="G19" s="56"/>
      <c r="H19" s="132">
        <v>747239766</v>
      </c>
      <c r="I19" s="56"/>
    </row>
    <row r="20" spans="1:9">
      <c r="A20" s="70"/>
      <c r="B20" s="131"/>
      <c r="C20" s="56"/>
      <c r="D20" s="56"/>
      <c r="E20" s="56"/>
      <c r="F20" s="56"/>
      <c r="G20" s="56"/>
      <c r="I20" s="56"/>
    </row>
    <row r="21" spans="1:9">
      <c r="A21" s="67" t="s">
        <v>339</v>
      </c>
      <c r="B21" s="56"/>
      <c r="C21" s="56"/>
      <c r="D21" s="56"/>
      <c r="E21" s="56"/>
      <c r="F21" s="56"/>
      <c r="G21" s="56"/>
      <c r="H21" s="257">
        <v>4.3979661016949147E-2</v>
      </c>
      <c r="I21" s="56"/>
    </row>
    <row r="22" spans="1:9">
      <c r="A22" s="67"/>
      <c r="B22" s="131"/>
      <c r="C22" s="56"/>
      <c r="D22" s="56"/>
      <c r="E22" s="56"/>
      <c r="F22" s="56"/>
      <c r="G22" s="56"/>
      <c r="H22" s="56"/>
      <c r="I22" s="56"/>
    </row>
    <row r="23" spans="1:9">
      <c r="A23" s="67"/>
      <c r="B23" s="56"/>
      <c r="C23" s="56"/>
      <c r="D23" s="56"/>
      <c r="E23" s="56"/>
      <c r="F23" s="56"/>
      <c r="G23" s="56"/>
      <c r="H23" s="56"/>
      <c r="I23" s="56"/>
    </row>
    <row r="24" spans="1:9">
      <c r="A24" s="67" t="s">
        <v>340</v>
      </c>
      <c r="B24" s="56"/>
      <c r="C24" s="56"/>
      <c r="D24" s="56"/>
      <c r="E24" s="56"/>
      <c r="F24" s="56"/>
      <c r="G24" s="56"/>
      <c r="H24" s="56"/>
      <c r="I24" s="258">
        <f>H19*H21</f>
        <v>32863351.607064404</v>
      </c>
    </row>
    <row r="25" spans="1:9">
      <c r="A25" s="67"/>
      <c r="B25" s="220"/>
      <c r="C25" s="220"/>
      <c r="D25" s="220"/>
      <c r="E25" s="220"/>
      <c r="F25" s="220"/>
      <c r="G25" s="220"/>
      <c r="H25" s="220"/>
      <c r="I25" s="258"/>
    </row>
    <row r="26" spans="1:9">
      <c r="A26" s="67" t="s">
        <v>341</v>
      </c>
      <c r="B26" s="220"/>
      <c r="C26" s="220"/>
      <c r="D26" s="220"/>
      <c r="E26" s="220"/>
      <c r="F26" s="220"/>
      <c r="G26" s="220"/>
      <c r="H26" s="220"/>
      <c r="I26" s="259">
        <v>0.99580000000000002</v>
      </c>
    </row>
    <row r="27" spans="1:9">
      <c r="A27" s="67"/>
      <c r="B27" s="220"/>
      <c r="C27" s="220"/>
      <c r="D27" s="220"/>
      <c r="E27" s="220"/>
      <c r="F27" s="220"/>
      <c r="G27" s="220"/>
      <c r="H27" s="220"/>
      <c r="I27" s="258"/>
    </row>
    <row r="28" spans="1:9" ht="13.5" thickBot="1">
      <c r="A28" s="67" t="s">
        <v>342</v>
      </c>
      <c r="B28" s="220"/>
      <c r="C28" s="220"/>
      <c r="D28" s="220"/>
      <c r="E28" s="220"/>
      <c r="F28" s="220"/>
      <c r="G28" s="220"/>
      <c r="H28" s="220"/>
      <c r="I28" s="260">
        <f>I24*I26</f>
        <v>32725325.530314732</v>
      </c>
    </row>
    <row r="29" spans="1:9" ht="13.5" thickTop="1">
      <c r="A29" s="67"/>
      <c r="B29" s="220"/>
      <c r="C29" s="220"/>
      <c r="D29" s="220"/>
      <c r="E29" s="220"/>
      <c r="F29" s="220"/>
      <c r="G29" s="220"/>
      <c r="H29" s="220"/>
      <c r="I29" s="258"/>
    </row>
    <row r="30" spans="1:9">
      <c r="A30" s="67"/>
      <c r="B30" s="220"/>
      <c r="C30" s="220"/>
      <c r="D30" s="220"/>
      <c r="E30" s="220"/>
      <c r="F30" s="220"/>
      <c r="G30" s="220"/>
      <c r="H30" s="220"/>
      <c r="I30" s="258"/>
    </row>
    <row r="31" spans="1:9">
      <c r="A31" s="67" t="s">
        <v>343</v>
      </c>
      <c r="B31" s="220"/>
      <c r="C31" s="220"/>
      <c r="D31" s="220"/>
      <c r="E31" s="220"/>
      <c r="F31" s="220"/>
      <c r="G31" s="220"/>
      <c r="H31" s="220"/>
      <c r="I31" s="258">
        <f>I28-H12</f>
        <v>4463888.5303147323</v>
      </c>
    </row>
    <row r="32" spans="1:9">
      <c r="A32" s="58"/>
      <c r="I32" s="59"/>
    </row>
    <row r="33" spans="1:9">
      <c r="A33" s="70" t="s">
        <v>223</v>
      </c>
      <c r="I33" s="76">
        <f>-I31</f>
        <v>-4463888.5303147323</v>
      </c>
    </row>
    <row r="34" spans="1:9">
      <c r="A34" s="57"/>
      <c r="I34" s="61"/>
    </row>
    <row r="35" spans="1:9">
      <c r="A35" s="58" t="s">
        <v>163</v>
      </c>
      <c r="I35" s="62">
        <v>1.5</v>
      </c>
    </row>
    <row r="37" spans="1:9">
      <c r="A37" s="58" t="s">
        <v>165</v>
      </c>
      <c r="I37" s="61">
        <f>I33*I35</f>
        <v>-6695832.7954720985</v>
      </c>
    </row>
    <row r="39" spans="1:9">
      <c r="A39" s="58" t="s">
        <v>167</v>
      </c>
      <c r="I39" s="64">
        <f>'Revenue Requirement'!F24</f>
        <v>1.0015540000000001</v>
      </c>
    </row>
    <row r="41" spans="1:9" ht="13.5" thickBot="1">
      <c r="A41" s="58" t="s">
        <v>166</v>
      </c>
      <c r="I41" s="63">
        <f>I37*I39</f>
        <v>-6706238.1196362628</v>
      </c>
    </row>
    <row r="42" spans="1:9" ht="13.5" thickTop="1"/>
  </sheetData>
  <mergeCells count="4">
    <mergeCell ref="A1:I1"/>
    <mergeCell ref="A3:I3"/>
    <mergeCell ref="A4:I4"/>
    <mergeCell ref="A2:I2"/>
  </mergeCells>
  <phoneticPr fontId="8" type="noConversion"/>
  <pageMargins left="1.03" right="0.33" top="1" bottom="1" header="0.5" footer="0.5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sqref="A1:K21"/>
    </sheetView>
  </sheetViews>
  <sheetFormatPr defaultRowHeight="12.75"/>
  <cols>
    <col min="1" max="1" width="1.140625" customWidth="1"/>
    <col min="2" max="2" width="28.140625" customWidth="1"/>
    <col min="3" max="3" width="2.28515625" customWidth="1"/>
    <col min="4" max="4" width="11.7109375" customWidth="1"/>
    <col min="5" max="5" width="1.7109375" customWidth="1"/>
    <col min="6" max="6" width="11.7109375" customWidth="1"/>
    <col min="7" max="7" width="1.7109375" customWidth="1"/>
    <col min="8" max="8" width="11.7109375" customWidth="1"/>
    <col min="9" max="9" width="1.7109375" customWidth="1"/>
    <col min="10" max="10" width="11.7109375" customWidth="1"/>
    <col min="11" max="11" width="1.28515625" customWidth="1"/>
  </cols>
  <sheetData>
    <row r="1" spans="1:13" ht="6.75" customHeight="1">
      <c r="A1" s="262"/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3" ht="15.75">
      <c r="A2" s="265"/>
      <c r="B2" s="325" t="s">
        <v>410</v>
      </c>
      <c r="C2" s="325"/>
      <c r="D2" s="325"/>
      <c r="E2" s="325"/>
      <c r="F2" s="325"/>
      <c r="G2" s="325"/>
      <c r="H2" s="325"/>
      <c r="I2" s="325"/>
      <c r="J2" s="325"/>
      <c r="K2" s="266"/>
    </row>
    <row r="3" spans="1:13" ht="15.75">
      <c r="A3" s="265"/>
      <c r="B3" s="325" t="s">
        <v>0</v>
      </c>
      <c r="C3" s="325"/>
      <c r="D3" s="325"/>
      <c r="E3" s="325"/>
      <c r="F3" s="325"/>
      <c r="G3" s="325"/>
      <c r="H3" s="325"/>
      <c r="I3" s="325"/>
      <c r="J3" s="325"/>
      <c r="K3" s="266"/>
    </row>
    <row r="4" spans="1:13" ht="15.75">
      <c r="A4" s="265"/>
      <c r="B4" s="325" t="s">
        <v>351</v>
      </c>
      <c r="C4" s="325"/>
      <c r="D4" s="325"/>
      <c r="E4" s="325"/>
      <c r="F4" s="325"/>
      <c r="G4" s="325"/>
      <c r="H4" s="325"/>
      <c r="I4" s="325"/>
      <c r="J4" s="325"/>
      <c r="K4" s="266"/>
    </row>
    <row r="5" spans="1:13" ht="15.75">
      <c r="A5" s="265"/>
      <c r="B5" s="325" t="s">
        <v>189</v>
      </c>
      <c r="C5" s="325"/>
      <c r="D5" s="325"/>
      <c r="E5" s="325"/>
      <c r="F5" s="325"/>
      <c r="G5" s="325"/>
      <c r="H5" s="325"/>
      <c r="I5" s="325"/>
      <c r="J5" s="325"/>
      <c r="K5" s="266"/>
    </row>
    <row r="6" spans="1:13" ht="15.75">
      <c r="A6" s="265"/>
      <c r="B6" s="325" t="s">
        <v>2</v>
      </c>
      <c r="C6" s="325"/>
      <c r="D6" s="325"/>
      <c r="E6" s="325"/>
      <c r="F6" s="325"/>
      <c r="G6" s="325"/>
      <c r="H6" s="325"/>
      <c r="I6" s="325"/>
      <c r="J6" s="325"/>
      <c r="K6" s="266"/>
    </row>
    <row r="7" spans="1:13" ht="15.75">
      <c r="A7" s="265"/>
      <c r="B7" s="267"/>
      <c r="C7" s="267"/>
      <c r="D7" s="267"/>
      <c r="E7" s="267"/>
      <c r="F7" s="267"/>
      <c r="G7" s="267"/>
      <c r="H7" s="267"/>
      <c r="I7" s="267"/>
      <c r="J7" s="267"/>
      <c r="K7" s="266"/>
    </row>
    <row r="8" spans="1:13" ht="15.75">
      <c r="A8" s="265"/>
      <c r="B8" s="267"/>
      <c r="C8" s="267"/>
      <c r="D8" s="267" t="s">
        <v>345</v>
      </c>
      <c r="E8" s="267"/>
      <c r="F8" s="267" t="s">
        <v>345</v>
      </c>
      <c r="G8" s="267"/>
      <c r="H8" s="267" t="s">
        <v>345</v>
      </c>
      <c r="I8" s="267"/>
      <c r="J8" s="267" t="s">
        <v>345</v>
      </c>
      <c r="K8" s="268"/>
    </row>
    <row r="9" spans="1:13" ht="15.75">
      <c r="A9" s="265"/>
      <c r="B9" s="267"/>
      <c r="C9" s="267"/>
      <c r="D9" s="267" t="s">
        <v>346</v>
      </c>
      <c r="E9" s="267"/>
      <c r="F9" s="267" t="s">
        <v>346</v>
      </c>
      <c r="G9" s="267"/>
      <c r="H9" s="267" t="s">
        <v>346</v>
      </c>
      <c r="I9" s="267"/>
      <c r="J9" s="267" t="s">
        <v>346</v>
      </c>
      <c r="K9" s="268"/>
    </row>
    <row r="10" spans="1:13" ht="15.75">
      <c r="A10" s="265"/>
      <c r="B10" s="269"/>
      <c r="C10" s="269"/>
      <c r="D10" s="270">
        <v>45291</v>
      </c>
      <c r="E10" s="271"/>
      <c r="F10" s="270">
        <v>45473</v>
      </c>
      <c r="G10" s="271"/>
      <c r="H10" s="270">
        <v>45657</v>
      </c>
      <c r="I10" s="272"/>
      <c r="J10" s="270">
        <v>45838</v>
      </c>
      <c r="K10" s="268"/>
      <c r="M10" s="70" t="s">
        <v>353</v>
      </c>
    </row>
    <row r="11" spans="1:13" ht="6" customHeight="1">
      <c r="A11" s="265"/>
      <c r="B11" s="269"/>
      <c r="C11" s="269"/>
      <c r="D11" s="273"/>
      <c r="E11" s="269"/>
      <c r="F11" s="273"/>
      <c r="G11" s="269"/>
      <c r="H11" s="273"/>
      <c r="I11" s="273"/>
      <c r="J11" s="273"/>
      <c r="K11" s="266"/>
    </row>
    <row r="12" spans="1:13" ht="15.75">
      <c r="A12" s="265"/>
      <c r="B12" s="269" t="s">
        <v>347</v>
      </c>
      <c r="C12" s="269"/>
      <c r="D12" s="274">
        <v>747.23976600000003</v>
      </c>
      <c r="E12" s="274"/>
      <c r="F12" s="274">
        <v>771.18247599999995</v>
      </c>
      <c r="G12" s="274"/>
      <c r="H12" s="274">
        <v>754.52547200000004</v>
      </c>
      <c r="I12" s="274"/>
      <c r="J12" s="274">
        <v>732.92687000000001</v>
      </c>
      <c r="K12" s="266"/>
      <c r="M12" s="119">
        <f>AVERAGE(D12:J12)</f>
        <v>751.46864600000004</v>
      </c>
    </row>
    <row r="13" spans="1:13" ht="15.75">
      <c r="A13" s="265"/>
      <c r="B13" s="269"/>
      <c r="C13" s="269"/>
      <c r="D13" s="269"/>
      <c r="E13" s="269"/>
      <c r="F13" s="269"/>
      <c r="G13" s="269"/>
      <c r="H13" s="269"/>
      <c r="I13" s="269"/>
      <c r="J13" s="269"/>
      <c r="K13" s="266"/>
    </row>
    <row r="14" spans="1:13" ht="15.75">
      <c r="A14" s="265"/>
      <c r="B14" s="269" t="s">
        <v>352</v>
      </c>
      <c r="C14" s="269"/>
      <c r="D14" s="275">
        <v>3.4528813559322032E-2</v>
      </c>
      <c r="E14" s="269"/>
      <c r="F14" s="275">
        <v>4.3979661016949147E-2</v>
      </c>
      <c r="G14" s="269"/>
      <c r="H14" s="275">
        <v>4.3959322033898296E-2</v>
      </c>
      <c r="I14" s="269"/>
      <c r="J14" s="275">
        <v>4.3959322033898296E-2</v>
      </c>
      <c r="K14" s="266"/>
    </row>
    <row r="15" spans="1:13" ht="15.75">
      <c r="A15" s="265"/>
      <c r="B15" s="269"/>
      <c r="C15" s="269"/>
      <c r="D15" s="269"/>
      <c r="E15" s="269"/>
      <c r="F15" s="269"/>
      <c r="G15" s="269"/>
      <c r="H15" s="269"/>
      <c r="I15" s="269"/>
      <c r="J15" s="269"/>
      <c r="K15" s="266"/>
    </row>
    <row r="16" spans="1:13" ht="15.75">
      <c r="A16" s="265"/>
      <c r="B16" s="269" t="s">
        <v>348</v>
      </c>
      <c r="C16" s="269"/>
      <c r="D16" s="274">
        <f>D12*D14</f>
        <v>25.801302564325422</v>
      </c>
      <c r="E16" s="269"/>
      <c r="F16" s="274">
        <f>F12*F14</f>
        <v>33.916343876691521</v>
      </c>
      <c r="G16" s="269"/>
      <c r="H16" s="274">
        <f>H12*H14</f>
        <v>33.168428206427116</v>
      </c>
      <c r="I16" s="269"/>
      <c r="J16" s="274">
        <f>J12*J14</f>
        <v>32.218968305627115</v>
      </c>
      <c r="K16" s="266"/>
    </row>
    <row r="17" spans="1:11" ht="15.75">
      <c r="A17" s="265"/>
      <c r="B17" s="269"/>
      <c r="C17" s="269"/>
      <c r="D17" s="269"/>
      <c r="E17" s="269"/>
      <c r="F17" s="269"/>
      <c r="G17" s="269"/>
      <c r="H17" s="269"/>
      <c r="I17" s="269"/>
      <c r="J17" s="269"/>
      <c r="K17" s="266"/>
    </row>
    <row r="18" spans="1:11" ht="15.75">
      <c r="A18" s="265"/>
      <c r="B18" s="269" t="s">
        <v>349</v>
      </c>
      <c r="C18" s="269"/>
      <c r="D18" s="276">
        <v>0.99580000000000002</v>
      </c>
      <c r="E18" s="269"/>
      <c r="F18" s="276">
        <v>0.99580000000000002</v>
      </c>
      <c r="G18" s="269"/>
      <c r="H18" s="276">
        <v>0.99009999999999998</v>
      </c>
      <c r="I18" s="269"/>
      <c r="J18" s="276">
        <v>0.97799999999999998</v>
      </c>
      <c r="K18" s="266"/>
    </row>
    <row r="19" spans="1:11" ht="15.75">
      <c r="A19" s="265"/>
      <c r="B19" s="269"/>
      <c r="C19" s="269"/>
      <c r="D19" s="269"/>
      <c r="E19" s="269"/>
      <c r="F19" s="269"/>
      <c r="G19" s="269"/>
      <c r="H19" s="269"/>
      <c r="I19" s="269"/>
      <c r="J19" s="269"/>
      <c r="K19" s="266"/>
    </row>
    <row r="20" spans="1:11" ht="16.5" thickBot="1">
      <c r="A20" s="265"/>
      <c r="B20" s="269" t="s">
        <v>350</v>
      </c>
      <c r="C20" s="269"/>
      <c r="D20" s="277">
        <f>D16*D18</f>
        <v>25.692937093555255</v>
      </c>
      <c r="E20" s="269"/>
      <c r="F20" s="277">
        <f>F16*F18</f>
        <v>33.773895232409416</v>
      </c>
      <c r="G20" s="269"/>
      <c r="H20" s="277">
        <f>H16*H18</f>
        <v>32.840060767183488</v>
      </c>
      <c r="I20" s="269"/>
      <c r="J20" s="277">
        <f>J16*J18</f>
        <v>31.510151002903317</v>
      </c>
      <c r="K20" s="266"/>
    </row>
    <row r="21" spans="1:11" ht="6" customHeight="1" thickTop="1">
      <c r="A21" s="278"/>
      <c r="B21" s="279"/>
      <c r="C21" s="279"/>
      <c r="D21" s="279"/>
      <c r="E21" s="279"/>
      <c r="F21" s="279"/>
      <c r="G21" s="279"/>
      <c r="H21" s="279"/>
      <c r="I21" s="279"/>
      <c r="J21" s="279"/>
      <c r="K21" s="280"/>
    </row>
  </sheetData>
  <mergeCells count="5">
    <mergeCell ref="B3:J3"/>
    <mergeCell ref="B4:J4"/>
    <mergeCell ref="B5:J5"/>
    <mergeCell ref="B6:J6"/>
    <mergeCell ref="B2:J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workbookViewId="0">
      <selection sqref="A1:H4"/>
    </sheetView>
  </sheetViews>
  <sheetFormatPr defaultRowHeight="12.75"/>
  <cols>
    <col min="1" max="1" width="3" customWidth="1"/>
    <col min="2" max="2" width="11.5703125" customWidth="1"/>
    <col min="3" max="3" width="13.85546875" customWidth="1"/>
    <col min="4" max="4" width="24.5703125" customWidth="1"/>
    <col min="5" max="5" width="3.28515625" customWidth="1"/>
    <col min="6" max="6" width="10.7109375" customWidth="1"/>
    <col min="7" max="8" width="14.7109375" customWidth="1"/>
  </cols>
  <sheetData>
    <row r="1" spans="1:9">
      <c r="A1" s="333" t="s">
        <v>0</v>
      </c>
      <c r="B1" s="333"/>
      <c r="C1" s="333"/>
      <c r="D1" s="333"/>
      <c r="E1" s="333"/>
      <c r="F1" s="333"/>
      <c r="G1" s="333"/>
      <c r="H1" s="333"/>
    </row>
    <row r="2" spans="1:9">
      <c r="A2" s="333" t="s">
        <v>230</v>
      </c>
      <c r="B2" s="333"/>
      <c r="C2" s="333"/>
      <c r="D2" s="333"/>
      <c r="E2" s="333"/>
      <c r="F2" s="333"/>
      <c r="G2" s="333"/>
      <c r="H2" s="333"/>
    </row>
    <row r="3" spans="1:9">
      <c r="A3" s="333" t="s">
        <v>189</v>
      </c>
      <c r="B3" s="333"/>
      <c r="C3" s="333"/>
      <c r="D3" s="333"/>
      <c r="E3" s="333"/>
      <c r="F3" s="333"/>
      <c r="G3" s="333"/>
      <c r="H3" s="333"/>
    </row>
    <row r="4" spans="1:9">
      <c r="A4" s="333" t="s">
        <v>162</v>
      </c>
      <c r="B4" s="333"/>
      <c r="C4" s="333"/>
      <c r="D4" s="333"/>
      <c r="E4" s="333"/>
      <c r="F4" s="333"/>
      <c r="G4" s="333"/>
      <c r="H4" s="333"/>
    </row>
    <row r="7" spans="1:9">
      <c r="A7" s="58"/>
      <c r="B7" s="58"/>
      <c r="C7" s="58"/>
      <c r="D7" s="58"/>
    </row>
    <row r="8" spans="1:9">
      <c r="A8" s="58"/>
      <c r="B8" s="58"/>
      <c r="C8" s="58"/>
      <c r="D8" s="58"/>
    </row>
    <row r="9" spans="1:9">
      <c r="A9" s="58"/>
      <c r="B9" s="58"/>
      <c r="C9" s="58"/>
      <c r="D9" s="58"/>
    </row>
    <row r="11" spans="1:9">
      <c r="A11" s="70"/>
    </row>
    <row r="12" spans="1:9" ht="16.5" customHeight="1">
      <c r="A12" s="78" t="s">
        <v>232</v>
      </c>
      <c r="B12" s="78"/>
      <c r="C12" s="78"/>
      <c r="D12" s="78"/>
    </row>
    <row r="13" spans="1:9" ht="16.5" customHeight="1">
      <c r="A13" s="78"/>
      <c r="B13" t="s">
        <v>226</v>
      </c>
      <c r="G13" s="75">
        <v>4579281.43</v>
      </c>
      <c r="H13" s="75"/>
      <c r="I13" s="83"/>
    </row>
    <row r="14" spans="1:9" ht="16.5" customHeight="1">
      <c r="A14" s="78"/>
      <c r="B14" t="s">
        <v>227</v>
      </c>
      <c r="G14" s="75">
        <v>87700.23</v>
      </c>
      <c r="H14" s="75"/>
      <c r="I14" s="83"/>
    </row>
    <row r="15" spans="1:9" ht="16.5" customHeight="1">
      <c r="A15" s="78"/>
      <c r="B15" t="s">
        <v>228</v>
      </c>
      <c r="G15" s="134">
        <v>24476.79</v>
      </c>
      <c r="H15" s="75"/>
      <c r="I15" s="83"/>
    </row>
    <row r="16" spans="1:9" ht="16.5" customHeight="1">
      <c r="A16" s="78"/>
      <c r="B16" s="78"/>
      <c r="C16" s="78"/>
      <c r="D16" s="78"/>
      <c r="G16" s="91"/>
      <c r="H16" s="91"/>
      <c r="I16" s="83"/>
    </row>
    <row r="17" spans="1:11" ht="16.5" customHeight="1">
      <c r="A17" s="78" t="s">
        <v>231</v>
      </c>
      <c r="B17" s="78"/>
      <c r="C17" s="78"/>
      <c r="D17" s="78"/>
      <c r="G17" s="91"/>
      <c r="H17" s="91">
        <f>SUM(G13:G15)</f>
        <v>4691458.45</v>
      </c>
      <c r="I17" s="83"/>
    </row>
    <row r="18" spans="1:11" ht="16.5" customHeight="1">
      <c r="A18" s="78"/>
      <c r="B18" s="78" t="s">
        <v>233</v>
      </c>
      <c r="C18" s="78"/>
      <c r="D18" s="78"/>
      <c r="G18" s="91"/>
      <c r="H18" s="91"/>
      <c r="I18" s="83"/>
    </row>
    <row r="19" spans="1:11" ht="16.5" customHeight="1">
      <c r="A19" s="78"/>
      <c r="B19" s="78"/>
      <c r="C19" s="78"/>
      <c r="D19" s="78"/>
      <c r="G19" s="91"/>
      <c r="H19" s="91"/>
      <c r="I19" s="83"/>
    </row>
    <row r="20" spans="1:11" ht="16.5" customHeight="1">
      <c r="A20" s="78"/>
      <c r="B20" s="78"/>
      <c r="C20" s="78"/>
      <c r="D20" s="78"/>
      <c r="G20" s="91"/>
      <c r="H20" s="91"/>
      <c r="I20" s="83"/>
    </row>
    <row r="21" spans="1:11" ht="16.5" customHeight="1">
      <c r="A21" s="70" t="s">
        <v>239</v>
      </c>
      <c r="D21" s="71" t="s">
        <v>237</v>
      </c>
      <c r="G21" s="91"/>
      <c r="H21" s="91"/>
      <c r="I21" s="83"/>
    </row>
    <row r="22" spans="1:11" ht="16.5" customHeight="1">
      <c r="B22">
        <v>2020</v>
      </c>
      <c r="D22" s="135" t="s">
        <v>241</v>
      </c>
      <c r="G22" s="91"/>
      <c r="H22" s="91"/>
      <c r="I22" s="83"/>
    </row>
    <row r="23" spans="1:11" ht="16.5" customHeight="1">
      <c r="A23" s="70"/>
      <c r="B23">
        <v>2021</v>
      </c>
      <c r="D23" s="136" t="str">
        <f>D22</f>
        <v>AG-Nucor 2-8</v>
      </c>
      <c r="G23" s="91"/>
      <c r="H23" s="91"/>
      <c r="I23" s="83"/>
    </row>
    <row r="24" spans="1:11" ht="16.5" customHeight="1">
      <c r="B24">
        <v>2022</v>
      </c>
      <c r="D24" s="136" t="str">
        <f>D22</f>
        <v>AG-Nucor 2-8</v>
      </c>
      <c r="G24" s="91"/>
      <c r="H24" s="91"/>
      <c r="I24" s="83"/>
    </row>
    <row r="25" spans="1:11" ht="16.5" customHeight="1">
      <c r="A25" s="70"/>
      <c r="B25">
        <v>2023</v>
      </c>
      <c r="D25" s="135" t="s">
        <v>240</v>
      </c>
      <c r="F25" s="61">
        <f>H17</f>
        <v>4691458.45</v>
      </c>
      <c r="G25" s="91"/>
      <c r="H25" s="91"/>
      <c r="I25" s="83"/>
    </row>
    <row r="26" spans="1:11" ht="16.5" customHeight="1">
      <c r="A26" s="70"/>
      <c r="B26">
        <v>2024</v>
      </c>
      <c r="D26" s="136" t="str">
        <f>D22</f>
        <v>AG-Nucor 2-8</v>
      </c>
      <c r="G26" s="91"/>
      <c r="H26" s="91"/>
      <c r="I26" s="83"/>
    </row>
    <row r="27" spans="1:11" ht="16.5" customHeight="1">
      <c r="A27" s="70"/>
      <c r="B27" s="70" t="s">
        <v>236</v>
      </c>
      <c r="D27" s="136" t="str">
        <f>D22</f>
        <v>AG-Nucor 2-8</v>
      </c>
      <c r="G27" s="91"/>
      <c r="H27" s="91"/>
      <c r="I27" s="83"/>
    </row>
    <row r="28" spans="1:11" ht="16.5" customHeight="1">
      <c r="A28" s="70"/>
      <c r="G28" s="91"/>
      <c r="H28" s="91"/>
      <c r="I28" s="83"/>
    </row>
    <row r="29" spans="1:11" ht="16.5" customHeight="1">
      <c r="A29" s="78"/>
      <c r="B29" s="78"/>
      <c r="C29" s="78"/>
      <c r="D29" s="78"/>
      <c r="G29" s="91"/>
      <c r="H29" s="91"/>
      <c r="I29" s="83"/>
    </row>
    <row r="30" spans="1:11">
      <c r="A30" s="70"/>
      <c r="B30" s="58"/>
      <c r="C30" s="58"/>
      <c r="D30" s="58"/>
      <c r="K30" s="80"/>
    </row>
    <row r="31" spans="1:11">
      <c r="K31" s="80"/>
    </row>
    <row r="32" spans="1:11">
      <c r="A32" s="70" t="s">
        <v>235</v>
      </c>
      <c r="D32" s="71" t="s">
        <v>237</v>
      </c>
    </row>
    <row r="33" spans="1:9">
      <c r="B33">
        <v>2020</v>
      </c>
      <c r="D33" s="135" t="s">
        <v>242</v>
      </c>
      <c r="I33" s="58"/>
    </row>
    <row r="34" spans="1:9">
      <c r="A34" s="70"/>
      <c r="B34">
        <v>2021</v>
      </c>
      <c r="D34" s="136" t="str">
        <f>D33</f>
        <v>AG-Nucor 2-7</v>
      </c>
      <c r="I34" s="58"/>
    </row>
    <row r="35" spans="1:9">
      <c r="B35">
        <v>2022</v>
      </c>
      <c r="D35" s="136" t="str">
        <f>D33</f>
        <v>AG-Nucor 2-7</v>
      </c>
      <c r="I35" s="58"/>
    </row>
    <row r="36" spans="1:9">
      <c r="A36" s="70"/>
      <c r="B36">
        <v>2023</v>
      </c>
      <c r="D36" s="135" t="s">
        <v>238</v>
      </c>
      <c r="F36" s="61">
        <v>1158740</v>
      </c>
      <c r="I36" s="58"/>
    </row>
    <row r="37" spans="1:9">
      <c r="A37" s="70"/>
      <c r="B37">
        <v>2024</v>
      </c>
      <c r="D37" s="136" t="str">
        <f>D33</f>
        <v>AG-Nucor 2-7</v>
      </c>
      <c r="I37" s="58"/>
    </row>
    <row r="38" spans="1:9">
      <c r="A38" s="70"/>
      <c r="B38" s="70" t="s">
        <v>236</v>
      </c>
      <c r="D38" s="136" t="str">
        <f>D33</f>
        <v>AG-Nucor 2-7</v>
      </c>
      <c r="I38" s="58"/>
    </row>
    <row r="39" spans="1:9">
      <c r="A39" s="70"/>
      <c r="I39" s="58"/>
    </row>
    <row r="40" spans="1:9">
      <c r="A40" s="70"/>
      <c r="I40" s="58"/>
    </row>
    <row r="41" spans="1:9">
      <c r="A41" s="70"/>
    </row>
    <row r="42" spans="1:9">
      <c r="A42" s="70"/>
      <c r="B42" s="58"/>
      <c r="C42" s="58"/>
      <c r="D42" s="58"/>
    </row>
    <row r="44" spans="1:9">
      <c r="A44" s="70"/>
    </row>
    <row r="46" spans="1:9">
      <c r="A46" s="70" t="s">
        <v>234</v>
      </c>
    </row>
    <row r="48" spans="1:9">
      <c r="A48" s="70"/>
    </row>
    <row r="55" spans="5:5">
      <c r="E55" t="s">
        <v>225</v>
      </c>
    </row>
    <row r="56" spans="5:5">
      <c r="E56" t="s">
        <v>226</v>
      </c>
    </row>
    <row r="57" spans="5:5">
      <c r="E57" t="s">
        <v>227</v>
      </c>
    </row>
    <row r="58" spans="5:5">
      <c r="E58" t="s">
        <v>228</v>
      </c>
    </row>
    <row r="59" spans="5:5">
      <c r="E59" t="s">
        <v>229</v>
      </c>
    </row>
  </sheetData>
  <mergeCells count="4">
    <mergeCell ref="A1:H1"/>
    <mergeCell ref="A2:H2"/>
    <mergeCell ref="A3:H3"/>
    <mergeCell ref="A4:H4"/>
  </mergeCells>
  <pageMargins left="0.75" right="0.75" top="1" bottom="1" header="0.5" footer="0.5"/>
  <pageSetup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activeCell="F62" sqref="F62:F73"/>
    </sheetView>
  </sheetViews>
  <sheetFormatPr defaultRowHeight="12.75"/>
  <cols>
    <col min="2" max="2" width="22.7109375" customWidth="1"/>
    <col min="3" max="3" width="16" customWidth="1"/>
    <col min="6" max="7" width="19.85546875" customWidth="1"/>
  </cols>
  <sheetData>
    <row r="1" spans="1:7">
      <c r="A1" s="333" t="s">
        <v>292</v>
      </c>
      <c r="B1" s="333"/>
      <c r="C1" s="333"/>
      <c r="D1" s="333"/>
      <c r="E1" s="333"/>
      <c r="F1" s="333"/>
      <c r="G1" s="333"/>
    </row>
    <row r="2" spans="1:7">
      <c r="A2" s="333" t="s">
        <v>288</v>
      </c>
      <c r="B2" s="333"/>
      <c r="C2" s="333"/>
      <c r="D2" s="333"/>
      <c r="E2" s="333"/>
      <c r="F2" s="333"/>
      <c r="G2" s="333"/>
    </row>
    <row r="3" spans="1:7">
      <c r="A3" s="333" t="s">
        <v>189</v>
      </c>
      <c r="B3" s="333"/>
      <c r="C3" s="333"/>
      <c r="D3" s="333"/>
      <c r="E3" s="333"/>
      <c r="F3" s="333"/>
      <c r="G3" s="333"/>
    </row>
    <row r="4" spans="1:7">
      <c r="A4" s="333" t="s">
        <v>162</v>
      </c>
      <c r="B4" s="333"/>
      <c r="C4" s="333"/>
      <c r="D4" s="333"/>
      <c r="E4" s="333"/>
      <c r="F4" s="333"/>
      <c r="G4" s="333"/>
    </row>
    <row r="5" spans="1:7">
      <c r="A5" s="70"/>
      <c r="B5" s="70"/>
      <c r="C5" s="70"/>
      <c r="D5" s="70"/>
      <c r="E5" s="70"/>
      <c r="F5" s="70"/>
      <c r="G5" s="70"/>
    </row>
    <row r="7" spans="1:7">
      <c r="A7" s="70" t="s">
        <v>294</v>
      </c>
      <c r="B7" s="70"/>
      <c r="G7" s="208"/>
    </row>
    <row r="8" spans="1:7">
      <c r="A8" s="211"/>
      <c r="B8" s="212"/>
      <c r="C8" s="212"/>
      <c r="D8" s="212"/>
      <c r="E8" s="212"/>
      <c r="F8" s="212"/>
      <c r="G8" s="213"/>
    </row>
    <row r="9" spans="1:7">
      <c r="A9" s="212"/>
      <c r="B9" s="212" t="s">
        <v>293</v>
      </c>
      <c r="C9" s="212"/>
      <c r="D9" s="212"/>
      <c r="E9" s="212"/>
      <c r="F9" s="214"/>
      <c r="G9" s="214">
        <v>15078566.24</v>
      </c>
    </row>
    <row r="10" spans="1:7">
      <c r="A10" s="212"/>
      <c r="B10" s="212"/>
      <c r="C10" s="212"/>
      <c r="D10" s="212"/>
      <c r="E10" s="212"/>
      <c r="F10" s="214"/>
      <c r="G10" s="214"/>
    </row>
    <row r="11" spans="1:7">
      <c r="A11" s="211"/>
      <c r="B11" s="212" t="s">
        <v>289</v>
      </c>
      <c r="C11" s="212"/>
      <c r="D11" s="215">
        <v>45870</v>
      </c>
      <c r="E11" s="212"/>
      <c r="F11" s="214">
        <v>-886974.49</v>
      </c>
      <c r="G11" s="214">
        <f>G9+F11</f>
        <v>14191591.75</v>
      </c>
    </row>
    <row r="12" spans="1:7">
      <c r="A12" s="212"/>
      <c r="B12" s="211"/>
      <c r="C12" s="212"/>
      <c r="D12" s="215">
        <v>45901</v>
      </c>
      <c r="E12" s="212"/>
      <c r="F12" s="214">
        <v>-886974.49</v>
      </c>
      <c r="G12" s="214">
        <f>G11+F12</f>
        <v>13304617.26</v>
      </c>
    </row>
    <row r="13" spans="1:7">
      <c r="A13" s="212"/>
      <c r="B13" s="211"/>
      <c r="C13" s="212"/>
      <c r="D13" s="215">
        <v>45931</v>
      </c>
      <c r="E13" s="212"/>
      <c r="F13" s="214">
        <v>-886974.49</v>
      </c>
      <c r="G13" s="214">
        <f t="shared" ref="G13:G27" si="0">G12+F13</f>
        <v>12417642.77</v>
      </c>
    </row>
    <row r="14" spans="1:7">
      <c r="A14" s="211"/>
      <c r="B14" s="212"/>
      <c r="C14" s="212"/>
      <c r="D14" s="215">
        <v>45962</v>
      </c>
      <c r="E14" s="212"/>
      <c r="F14" s="214">
        <v>-886974.49</v>
      </c>
      <c r="G14" s="214">
        <f t="shared" si="0"/>
        <v>11530668.279999999</v>
      </c>
    </row>
    <row r="15" spans="1:7">
      <c r="A15" s="212"/>
      <c r="B15" s="212"/>
      <c r="C15" s="212"/>
      <c r="D15" s="215">
        <v>45992</v>
      </c>
      <c r="E15" s="212"/>
      <c r="F15" s="214">
        <v>-886974.49</v>
      </c>
      <c r="G15" s="214">
        <f t="shared" si="0"/>
        <v>10643693.789999999</v>
      </c>
    </row>
    <row r="16" spans="1:7">
      <c r="A16" s="212"/>
      <c r="B16" s="212"/>
      <c r="C16" s="212"/>
      <c r="D16" s="215">
        <v>46023</v>
      </c>
      <c r="E16" s="212"/>
      <c r="F16" s="214">
        <v>-886974.49</v>
      </c>
      <c r="G16" s="214">
        <f t="shared" si="0"/>
        <v>9756719.2999999989</v>
      </c>
    </row>
    <row r="17" spans="1:7">
      <c r="A17" s="211"/>
      <c r="B17" s="212"/>
      <c r="C17" s="212"/>
      <c r="D17" s="215">
        <v>46054</v>
      </c>
      <c r="E17" s="212"/>
      <c r="F17" s="214">
        <v>-886974.49</v>
      </c>
      <c r="G17" s="214">
        <f t="shared" si="0"/>
        <v>8869744.8099999987</v>
      </c>
    </row>
    <row r="18" spans="1:7">
      <c r="A18" s="212"/>
      <c r="B18" s="212"/>
      <c r="C18" s="212"/>
      <c r="D18" s="215">
        <v>46082</v>
      </c>
      <c r="E18" s="212"/>
      <c r="F18" s="214">
        <v>-886974.49</v>
      </c>
      <c r="G18" s="214">
        <f t="shared" si="0"/>
        <v>7982770.3199999984</v>
      </c>
    </row>
    <row r="19" spans="1:7">
      <c r="A19" s="211"/>
      <c r="B19" s="212"/>
      <c r="C19" s="212"/>
      <c r="D19" s="215">
        <v>46113</v>
      </c>
      <c r="E19" s="212"/>
      <c r="F19" s="214">
        <v>-886974.49</v>
      </c>
      <c r="G19" s="214">
        <f t="shared" si="0"/>
        <v>7095795.8299999982</v>
      </c>
    </row>
    <row r="20" spans="1:7">
      <c r="A20" s="212"/>
      <c r="B20" s="212"/>
      <c r="C20" s="212"/>
      <c r="D20" s="215">
        <v>46143</v>
      </c>
      <c r="E20" s="212"/>
      <c r="F20" s="214">
        <v>-886974.49</v>
      </c>
      <c r="G20" s="214">
        <f t="shared" si="0"/>
        <v>6208821.339999998</v>
      </c>
    </row>
    <row r="21" spans="1:7">
      <c r="A21" s="212"/>
      <c r="B21" s="212"/>
      <c r="C21" s="212"/>
      <c r="D21" s="215">
        <v>46174</v>
      </c>
      <c r="E21" s="212"/>
      <c r="F21" s="214">
        <v>-886974.49</v>
      </c>
      <c r="G21" s="214">
        <f t="shared" si="0"/>
        <v>5321846.8499999978</v>
      </c>
    </row>
    <row r="22" spans="1:7">
      <c r="A22" s="212"/>
      <c r="B22" s="212"/>
      <c r="C22" s="212"/>
      <c r="D22" s="215">
        <v>46204</v>
      </c>
      <c r="E22" s="212"/>
      <c r="F22" s="214">
        <v>-886974.49</v>
      </c>
      <c r="G22" s="214">
        <f t="shared" si="0"/>
        <v>4434872.3599999975</v>
      </c>
    </row>
    <row r="23" spans="1:7">
      <c r="D23" s="215">
        <v>46235</v>
      </c>
      <c r="F23" s="214">
        <v>-886974.49</v>
      </c>
      <c r="G23" s="214">
        <f t="shared" si="0"/>
        <v>3547897.8699999973</v>
      </c>
    </row>
    <row r="24" spans="1:7">
      <c r="D24" s="215">
        <v>46266</v>
      </c>
      <c r="F24" s="214">
        <v>-886974.49</v>
      </c>
      <c r="G24" s="214">
        <f t="shared" si="0"/>
        <v>2660923.3799999971</v>
      </c>
    </row>
    <row r="25" spans="1:7">
      <c r="D25" s="215">
        <v>46296</v>
      </c>
      <c r="F25" s="214">
        <v>-886974.49</v>
      </c>
      <c r="G25" s="214">
        <f t="shared" si="0"/>
        <v>1773948.8899999971</v>
      </c>
    </row>
    <row r="26" spans="1:7">
      <c r="D26" s="215">
        <v>46327</v>
      </c>
      <c r="F26" s="214">
        <v>-886974.49</v>
      </c>
      <c r="G26" s="214">
        <f t="shared" si="0"/>
        <v>886974.39999999711</v>
      </c>
    </row>
    <row r="27" spans="1:7">
      <c r="D27" s="215">
        <v>46357</v>
      </c>
      <c r="F27" s="214">
        <v>-886974.4</v>
      </c>
      <c r="G27" s="214">
        <f t="shared" si="0"/>
        <v>-2.9103830456733704E-9</v>
      </c>
    </row>
    <row r="28" spans="1:7">
      <c r="D28" s="215"/>
      <c r="F28" s="214"/>
      <c r="G28" s="214"/>
    </row>
    <row r="29" spans="1:7">
      <c r="D29" s="215"/>
      <c r="F29" s="214"/>
      <c r="G29" s="214"/>
    </row>
    <row r="30" spans="1:7">
      <c r="F30" s="216"/>
      <c r="G30" s="216"/>
    </row>
    <row r="31" spans="1:7">
      <c r="B31" s="212" t="s">
        <v>296</v>
      </c>
      <c r="F31" s="216"/>
      <c r="G31" s="214">
        <f>G20</f>
        <v>6208821.339999998</v>
      </c>
    </row>
    <row r="32" spans="1:7">
      <c r="B32" s="212"/>
      <c r="F32" s="216"/>
      <c r="G32" s="214"/>
    </row>
    <row r="33" spans="2:7">
      <c r="B33" s="212" t="s">
        <v>290</v>
      </c>
      <c r="F33" s="216"/>
      <c r="G33" s="134">
        <v>3</v>
      </c>
    </row>
    <row r="34" spans="2:7">
      <c r="B34" s="212"/>
      <c r="F34" s="216"/>
      <c r="G34" s="214"/>
    </row>
    <row r="35" spans="2:7">
      <c r="B35" s="212" t="s">
        <v>298</v>
      </c>
      <c r="F35" s="216"/>
      <c r="G35" s="214">
        <f>G31/G33</f>
        <v>2069607.1133333326</v>
      </c>
    </row>
    <row r="36" spans="2:7">
      <c r="B36" s="212"/>
      <c r="F36" s="216"/>
      <c r="G36" s="214"/>
    </row>
    <row r="37" spans="2:7">
      <c r="B37" s="212" t="s">
        <v>295</v>
      </c>
      <c r="F37" s="216"/>
      <c r="G37" s="217">
        <f>-F11*12</f>
        <v>10643693.879999999</v>
      </c>
    </row>
    <row r="38" spans="2:7">
      <c r="B38" s="212"/>
      <c r="F38" s="216"/>
      <c r="G38" s="214"/>
    </row>
    <row r="39" spans="2:7" ht="13.5" thickBot="1">
      <c r="B39" s="212" t="s">
        <v>300</v>
      </c>
      <c r="F39" s="216"/>
      <c r="G39" s="218">
        <f>G35-G37</f>
        <v>-8574086.7666666657</v>
      </c>
    </row>
    <row r="40" spans="2:7" ht="13.5" thickTop="1">
      <c r="B40" s="212"/>
      <c r="F40" s="216"/>
      <c r="G40" s="214"/>
    </row>
    <row r="41" spans="2:7">
      <c r="B41" s="212"/>
      <c r="F41" s="216"/>
      <c r="G41" s="214"/>
    </row>
    <row r="42" spans="2:7">
      <c r="F42" s="216"/>
      <c r="G42" s="216"/>
    </row>
    <row r="43" spans="2:7">
      <c r="B43" s="212" t="s">
        <v>299</v>
      </c>
      <c r="C43" s="212"/>
      <c r="D43" s="212"/>
      <c r="E43" s="212"/>
      <c r="F43" s="214"/>
      <c r="G43" s="214">
        <v>2188347.25</v>
      </c>
    </row>
    <row r="44" spans="2:7">
      <c r="B44" s="212"/>
      <c r="C44" s="212"/>
      <c r="D44" s="212"/>
      <c r="E44" s="212"/>
      <c r="F44" s="214"/>
      <c r="G44" s="214"/>
    </row>
    <row r="45" spans="2:7">
      <c r="B45" s="212" t="s">
        <v>289</v>
      </c>
      <c r="C45" s="212"/>
      <c r="D45" s="215">
        <v>45870</v>
      </c>
      <c r="E45" s="212"/>
      <c r="F45" s="214">
        <v>-75460.25</v>
      </c>
      <c r="G45" s="214">
        <f>G43+F45</f>
        <v>2112887</v>
      </c>
    </row>
    <row r="46" spans="2:7">
      <c r="B46" s="211"/>
      <c r="C46" s="212"/>
      <c r="D46" s="215">
        <v>45901</v>
      </c>
      <c r="E46" s="212"/>
      <c r="F46" s="214">
        <v>-75460.25</v>
      </c>
      <c r="G46" s="214">
        <f>G45+F46</f>
        <v>2037426.75</v>
      </c>
    </row>
    <row r="47" spans="2:7">
      <c r="B47" s="211"/>
      <c r="C47" s="212"/>
      <c r="D47" s="215">
        <v>45931</v>
      </c>
      <c r="E47" s="212"/>
      <c r="F47" s="214">
        <v>-75460.25</v>
      </c>
      <c r="G47" s="214">
        <f t="shared" ref="G47:G62" si="1">G46+F47</f>
        <v>1961966.5</v>
      </c>
    </row>
    <row r="48" spans="2:7">
      <c r="B48" s="212"/>
      <c r="C48" s="212"/>
      <c r="D48" s="215">
        <v>45962</v>
      </c>
      <c r="E48" s="212"/>
      <c r="F48" s="214">
        <v>-75460.25</v>
      </c>
      <c r="G48" s="214">
        <f t="shared" si="1"/>
        <v>1886506.25</v>
      </c>
    </row>
    <row r="49" spans="2:7">
      <c r="B49" s="212"/>
      <c r="C49" s="212"/>
      <c r="D49" s="215">
        <v>45992</v>
      </c>
      <c r="E49" s="212"/>
      <c r="F49" s="214">
        <v>-75460.25</v>
      </c>
      <c r="G49" s="214">
        <f t="shared" si="1"/>
        <v>1811046</v>
      </c>
    </row>
    <row r="50" spans="2:7">
      <c r="B50" s="212"/>
      <c r="C50" s="212"/>
      <c r="D50" s="215">
        <v>46023</v>
      </c>
      <c r="E50" s="212"/>
      <c r="F50" s="214">
        <v>-75460.25</v>
      </c>
      <c r="G50" s="214">
        <f t="shared" si="1"/>
        <v>1735585.75</v>
      </c>
    </row>
    <row r="51" spans="2:7">
      <c r="B51" s="212"/>
      <c r="C51" s="212"/>
      <c r="D51" s="215">
        <v>46054</v>
      </c>
      <c r="E51" s="212"/>
      <c r="F51" s="214">
        <v>-75460.25</v>
      </c>
      <c r="G51" s="214">
        <f t="shared" si="1"/>
        <v>1660125.5</v>
      </c>
    </row>
    <row r="52" spans="2:7">
      <c r="B52" s="212"/>
      <c r="C52" s="212"/>
      <c r="D52" s="215">
        <v>46082</v>
      </c>
      <c r="E52" s="212"/>
      <c r="F52" s="214">
        <v>-75460.25</v>
      </c>
      <c r="G52" s="214">
        <f t="shared" si="1"/>
        <v>1584665.25</v>
      </c>
    </row>
    <row r="53" spans="2:7">
      <c r="B53" s="212"/>
      <c r="C53" s="212"/>
      <c r="D53" s="215">
        <v>46113</v>
      </c>
      <c r="E53" s="212"/>
      <c r="F53" s="214">
        <v>-75460.25</v>
      </c>
      <c r="G53" s="214">
        <f t="shared" si="1"/>
        <v>1509205</v>
      </c>
    </row>
    <row r="54" spans="2:7">
      <c r="B54" s="212"/>
      <c r="C54" s="212"/>
      <c r="D54" s="215">
        <v>46143</v>
      </c>
      <c r="E54" s="212"/>
      <c r="F54" s="214">
        <v>-75460.25</v>
      </c>
      <c r="G54" s="214">
        <f t="shared" si="1"/>
        <v>1433744.75</v>
      </c>
    </row>
    <row r="55" spans="2:7">
      <c r="B55" s="212"/>
      <c r="C55" s="212"/>
      <c r="D55" s="215">
        <v>46174</v>
      </c>
      <c r="E55" s="212"/>
      <c r="F55" s="214">
        <v>-75460.25</v>
      </c>
      <c r="G55" s="214">
        <f t="shared" si="1"/>
        <v>1358284.5</v>
      </c>
    </row>
    <row r="56" spans="2:7">
      <c r="B56" s="212"/>
      <c r="C56" s="212"/>
      <c r="D56" s="215">
        <v>46204</v>
      </c>
      <c r="E56" s="212"/>
      <c r="F56" s="214">
        <v>-75460.25</v>
      </c>
      <c r="G56" s="214">
        <f t="shared" si="1"/>
        <v>1282824.25</v>
      </c>
    </row>
    <row r="57" spans="2:7">
      <c r="D57" s="215">
        <v>46235</v>
      </c>
      <c r="F57" s="214">
        <v>-75460.25</v>
      </c>
      <c r="G57" s="214">
        <f t="shared" si="1"/>
        <v>1207364</v>
      </c>
    </row>
    <row r="58" spans="2:7">
      <c r="D58" s="215">
        <v>46266</v>
      </c>
      <c r="F58" s="214">
        <v>-75460.25</v>
      </c>
      <c r="G58" s="214">
        <f t="shared" si="1"/>
        <v>1131903.75</v>
      </c>
    </row>
    <row r="59" spans="2:7">
      <c r="D59" s="215">
        <v>46296</v>
      </c>
      <c r="F59" s="214">
        <v>-75460.25</v>
      </c>
      <c r="G59" s="214">
        <f t="shared" si="1"/>
        <v>1056443.5</v>
      </c>
    </row>
    <row r="60" spans="2:7">
      <c r="D60" s="215">
        <v>46327</v>
      </c>
      <c r="F60" s="214">
        <v>-75460.25</v>
      </c>
      <c r="G60" s="214">
        <f t="shared" si="1"/>
        <v>980983.25</v>
      </c>
    </row>
    <row r="61" spans="2:7">
      <c r="D61" s="215">
        <v>46357</v>
      </c>
      <c r="F61" s="214">
        <v>-75460.25</v>
      </c>
      <c r="G61" s="214">
        <f t="shared" si="1"/>
        <v>905523</v>
      </c>
    </row>
    <row r="62" spans="2:7">
      <c r="D62" s="215">
        <v>46388</v>
      </c>
      <c r="F62" s="214">
        <v>-75460.25</v>
      </c>
      <c r="G62" s="214">
        <f t="shared" si="1"/>
        <v>830062.75</v>
      </c>
    </row>
    <row r="63" spans="2:7">
      <c r="D63" s="215">
        <v>46419</v>
      </c>
      <c r="F63" s="214">
        <v>-75460.25</v>
      </c>
      <c r="G63" s="214">
        <f t="shared" ref="G63:G73" si="2">G62+F63</f>
        <v>754602.5</v>
      </c>
    </row>
    <row r="64" spans="2:7">
      <c r="D64" s="215">
        <v>46447</v>
      </c>
      <c r="F64" s="214">
        <v>-75460.25</v>
      </c>
      <c r="G64" s="214">
        <f t="shared" si="2"/>
        <v>679142.25</v>
      </c>
    </row>
    <row r="65" spans="2:7">
      <c r="D65" s="215">
        <v>46478</v>
      </c>
      <c r="F65" s="214">
        <v>-75460.25</v>
      </c>
      <c r="G65" s="214">
        <f t="shared" si="2"/>
        <v>603682</v>
      </c>
    </row>
    <row r="66" spans="2:7">
      <c r="D66" s="215">
        <v>46508</v>
      </c>
      <c r="F66" s="214">
        <v>-75460.25</v>
      </c>
      <c r="G66" s="214">
        <f t="shared" si="2"/>
        <v>528221.75</v>
      </c>
    </row>
    <row r="67" spans="2:7">
      <c r="D67" s="215">
        <v>46539</v>
      </c>
      <c r="F67" s="214">
        <v>-75460.25</v>
      </c>
      <c r="G67" s="214">
        <f t="shared" si="2"/>
        <v>452761.5</v>
      </c>
    </row>
    <row r="68" spans="2:7">
      <c r="D68" s="215">
        <v>46569</v>
      </c>
      <c r="F68" s="214">
        <v>-75460.25</v>
      </c>
      <c r="G68" s="214">
        <f t="shared" si="2"/>
        <v>377301.25</v>
      </c>
    </row>
    <row r="69" spans="2:7">
      <c r="D69" s="215">
        <v>46600</v>
      </c>
      <c r="F69" s="214">
        <v>-75460.25</v>
      </c>
      <c r="G69" s="214">
        <f t="shared" si="2"/>
        <v>301841</v>
      </c>
    </row>
    <row r="70" spans="2:7">
      <c r="D70" s="215">
        <v>46631</v>
      </c>
      <c r="F70" s="214">
        <v>-75460.25</v>
      </c>
      <c r="G70" s="214">
        <f t="shared" si="2"/>
        <v>226380.75</v>
      </c>
    </row>
    <row r="71" spans="2:7">
      <c r="D71" s="215">
        <v>46661</v>
      </c>
      <c r="F71" s="214">
        <v>-75460.25</v>
      </c>
      <c r="G71" s="214">
        <f t="shared" si="2"/>
        <v>150920.5</v>
      </c>
    </row>
    <row r="72" spans="2:7">
      <c r="D72" s="215">
        <v>46692</v>
      </c>
      <c r="F72" s="214">
        <v>-75460.25</v>
      </c>
      <c r="G72" s="214">
        <f t="shared" si="2"/>
        <v>75460.25</v>
      </c>
    </row>
    <row r="73" spans="2:7">
      <c r="D73" s="215">
        <v>46722</v>
      </c>
      <c r="F73" s="214">
        <v>-75460.25</v>
      </c>
      <c r="G73" s="214">
        <f t="shared" si="2"/>
        <v>0</v>
      </c>
    </row>
    <row r="74" spans="2:7">
      <c r="D74" s="215"/>
      <c r="F74" s="214"/>
      <c r="G74" s="216"/>
    </row>
    <row r="75" spans="2:7">
      <c r="F75" s="216"/>
      <c r="G75" s="216"/>
    </row>
    <row r="76" spans="2:7">
      <c r="B76" s="212" t="s">
        <v>297</v>
      </c>
      <c r="F76" s="216"/>
      <c r="G76" s="214">
        <f>G54</f>
        <v>1433744.75</v>
      </c>
    </row>
    <row r="77" spans="2:7">
      <c r="B77" s="212"/>
      <c r="F77" s="216"/>
      <c r="G77" s="214"/>
    </row>
    <row r="78" spans="2:7">
      <c r="B78" s="212" t="s">
        <v>290</v>
      </c>
      <c r="F78" s="216"/>
      <c r="G78" s="134">
        <v>3</v>
      </c>
    </row>
    <row r="79" spans="2:7">
      <c r="B79" s="212"/>
      <c r="F79" s="216"/>
      <c r="G79" s="214"/>
    </row>
    <row r="80" spans="2:7">
      <c r="B80" s="212" t="s">
        <v>298</v>
      </c>
      <c r="F80" s="216"/>
      <c r="G80" s="214">
        <f>G76/G78</f>
        <v>477914.91666666669</v>
      </c>
    </row>
    <row r="81" spans="2:7">
      <c r="B81" s="212"/>
      <c r="F81" s="216"/>
      <c r="G81" s="214"/>
    </row>
    <row r="82" spans="2:7">
      <c r="B82" s="212" t="s">
        <v>295</v>
      </c>
      <c r="F82" s="216"/>
      <c r="G82" s="217">
        <f>-F45*12</f>
        <v>905523</v>
      </c>
    </row>
    <row r="83" spans="2:7">
      <c r="B83" s="212"/>
      <c r="F83" s="216"/>
      <c r="G83" s="214"/>
    </row>
    <row r="84" spans="2:7" ht="13.5" thickBot="1">
      <c r="B84" s="212" t="s">
        <v>301</v>
      </c>
      <c r="F84" s="216"/>
      <c r="G84" s="218">
        <f>G80-G82</f>
        <v>-427608.08333333331</v>
      </c>
    </row>
    <row r="85" spans="2:7" ht="13.5" thickTop="1"/>
    <row r="87" spans="2:7" ht="13.5" thickBot="1">
      <c r="B87" s="212" t="s">
        <v>291</v>
      </c>
      <c r="G87" s="219">
        <f>G39+G84</f>
        <v>-9001694.8499999996</v>
      </c>
    </row>
    <row r="88" spans="2:7" ht="13.5" thickTop="1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A7" sqref="A7"/>
    </sheetView>
  </sheetViews>
  <sheetFormatPr defaultRowHeight="12.75"/>
  <cols>
    <col min="1" max="1" width="45.5703125" customWidth="1"/>
    <col min="2" max="2" width="3" customWidth="1"/>
    <col min="3" max="3" width="15.5703125" customWidth="1"/>
    <col min="4" max="4" width="15" customWidth="1"/>
    <col min="5" max="5" width="12.5703125" customWidth="1"/>
    <col min="6" max="6" width="16.7109375" customWidth="1"/>
    <col min="7" max="7" width="17.7109375" customWidth="1"/>
  </cols>
  <sheetData>
    <row r="1" spans="1:7">
      <c r="A1" s="333" t="s">
        <v>0</v>
      </c>
      <c r="B1" s="333"/>
      <c r="C1" s="333"/>
      <c r="D1" s="333"/>
      <c r="E1" s="333"/>
      <c r="F1" s="333"/>
      <c r="G1" s="333"/>
    </row>
    <row r="2" spans="1:7">
      <c r="A2" s="333" t="s">
        <v>197</v>
      </c>
      <c r="B2" s="333"/>
      <c r="C2" s="333"/>
      <c r="D2" s="333"/>
      <c r="E2" s="333"/>
      <c r="F2" s="333"/>
      <c r="G2" s="333"/>
    </row>
    <row r="3" spans="1:7">
      <c r="A3" s="333" t="s">
        <v>189</v>
      </c>
      <c r="B3" s="333"/>
      <c r="C3" s="333"/>
      <c r="D3" s="333"/>
      <c r="E3" s="333"/>
      <c r="F3" s="333"/>
      <c r="G3" s="333"/>
    </row>
    <row r="4" spans="1:7">
      <c r="A4" s="333" t="s">
        <v>162</v>
      </c>
      <c r="B4" s="333"/>
      <c r="C4" s="333"/>
      <c r="D4" s="333"/>
      <c r="E4" s="333"/>
      <c r="F4" s="333"/>
      <c r="G4" s="333"/>
    </row>
    <row r="7" spans="1:7">
      <c r="A7" s="70" t="s">
        <v>218</v>
      </c>
      <c r="G7" s="56"/>
    </row>
    <row r="8" spans="1:7">
      <c r="G8" s="56"/>
    </row>
    <row r="9" spans="1:7">
      <c r="C9" s="74" t="s">
        <v>214</v>
      </c>
      <c r="D9" s="74" t="s">
        <v>214</v>
      </c>
      <c r="G9" s="56" t="s">
        <v>199</v>
      </c>
    </row>
    <row r="10" spans="1:7">
      <c r="C10" s="56" t="s">
        <v>200</v>
      </c>
      <c r="D10" s="56" t="s">
        <v>200</v>
      </c>
      <c r="E10" s="56" t="s">
        <v>201</v>
      </c>
      <c r="G10" s="56" t="s">
        <v>202</v>
      </c>
    </row>
    <row r="11" spans="1:7">
      <c r="C11" s="56" t="s">
        <v>203</v>
      </c>
      <c r="D11" s="56" t="s">
        <v>203</v>
      </c>
      <c r="E11" s="56" t="s">
        <v>204</v>
      </c>
      <c r="F11" s="56" t="s">
        <v>217</v>
      </c>
      <c r="G11" s="56">
        <v>177</v>
      </c>
    </row>
    <row r="12" spans="1:7">
      <c r="C12" s="65" t="s">
        <v>1</v>
      </c>
      <c r="D12" s="65" t="s">
        <v>205</v>
      </c>
      <c r="E12" s="65" t="s">
        <v>1</v>
      </c>
      <c r="F12" s="65" t="s">
        <v>206</v>
      </c>
      <c r="G12" s="65" t="s">
        <v>207</v>
      </c>
    </row>
    <row r="13" spans="1:7">
      <c r="A13" t="s">
        <v>208</v>
      </c>
      <c r="C13" s="128">
        <v>10000</v>
      </c>
      <c r="D13" s="129">
        <v>0.1</v>
      </c>
      <c r="E13" s="123">
        <f>C13/D13</f>
        <v>100000</v>
      </c>
      <c r="F13" s="123">
        <f>E13</f>
        <v>100000</v>
      </c>
      <c r="G13">
        <v>3</v>
      </c>
    </row>
    <row r="14" spans="1:7">
      <c r="C14" s="128"/>
      <c r="D14" s="129"/>
    </row>
    <row r="15" spans="1:7">
      <c r="A15" t="s">
        <v>209</v>
      </c>
      <c r="C15" s="128">
        <v>319</v>
      </c>
      <c r="D15" s="129">
        <v>0.01</v>
      </c>
      <c r="E15" s="123">
        <f>30750+1168</f>
        <v>31918</v>
      </c>
      <c r="F15" s="123">
        <f>30750+1168</f>
        <v>31918</v>
      </c>
      <c r="G15" s="124" t="s">
        <v>210</v>
      </c>
    </row>
    <row r="16" spans="1:7">
      <c r="C16" s="128"/>
      <c r="D16" s="129"/>
    </row>
    <row r="17" spans="1:7">
      <c r="A17" t="s">
        <v>211</v>
      </c>
      <c r="C17" s="128">
        <v>209</v>
      </c>
      <c r="D17" s="129">
        <v>0.17</v>
      </c>
      <c r="E17" s="123">
        <f>C17/D17</f>
        <v>1229.4117647058822</v>
      </c>
      <c r="F17" s="91">
        <v>1232</v>
      </c>
      <c r="G17">
        <v>67</v>
      </c>
    </row>
    <row r="18" spans="1:7">
      <c r="C18" s="128"/>
      <c r="D18" s="129"/>
    </row>
    <row r="19" spans="1:7">
      <c r="A19" t="s">
        <v>212</v>
      </c>
      <c r="C19" s="128">
        <v>53298</v>
      </c>
      <c r="D19" s="129">
        <v>0.1</v>
      </c>
      <c r="E19" s="123">
        <f>C19/D19</f>
        <v>532980</v>
      </c>
      <c r="F19" s="123">
        <v>532976.37</v>
      </c>
      <c r="G19">
        <v>131</v>
      </c>
    </row>
    <row r="20" spans="1:7">
      <c r="C20" s="128"/>
      <c r="D20" s="129"/>
    </row>
    <row r="21" spans="1:7">
      <c r="A21" t="s">
        <v>213</v>
      </c>
      <c r="C21" s="130">
        <v>1615</v>
      </c>
      <c r="D21" s="129">
        <v>0.46</v>
      </c>
      <c r="E21" s="123">
        <f>C21/D21</f>
        <v>3510.869565217391</v>
      </c>
      <c r="F21" s="77">
        <v>3510.75</v>
      </c>
      <c r="G21">
        <v>175</v>
      </c>
    </row>
    <row r="22" spans="1:7">
      <c r="C22" s="128"/>
      <c r="D22" s="129"/>
    </row>
    <row r="23" spans="1:7">
      <c r="C23" s="128"/>
      <c r="D23" s="129"/>
      <c r="E23" s="123"/>
    </row>
    <row r="24" spans="1:7">
      <c r="A24" t="s">
        <v>157</v>
      </c>
      <c r="C24" s="128">
        <f>SUM(C13:C21)</f>
        <v>65441</v>
      </c>
      <c r="D24" s="129"/>
      <c r="E24" s="123">
        <f>SUM(E13:E21)</f>
        <v>669638.28132992331</v>
      </c>
      <c r="F24" s="123">
        <f>SUM(F13:F21)</f>
        <v>669637.12</v>
      </c>
    </row>
    <row r="25" spans="1:7">
      <c r="C25" s="128"/>
      <c r="D25" s="129"/>
      <c r="E25" s="123"/>
    </row>
    <row r="26" spans="1:7">
      <c r="C26" s="125"/>
      <c r="D26" s="122"/>
      <c r="E26" s="123"/>
    </row>
    <row r="27" spans="1:7">
      <c r="A27" s="128" t="s">
        <v>215</v>
      </c>
      <c r="C27" s="126">
        <v>-10000</v>
      </c>
      <c r="D27" s="122"/>
      <c r="E27" s="123"/>
      <c r="F27" s="126">
        <v>-10000</v>
      </c>
    </row>
    <row r="28" spans="1:7">
      <c r="C28" s="125"/>
      <c r="D28" s="122"/>
      <c r="E28" s="123"/>
    </row>
    <row r="29" spans="1:7">
      <c r="C29" s="125"/>
      <c r="D29" s="122"/>
      <c r="E29" s="123"/>
    </row>
    <row r="30" spans="1:7" ht="13.5" thickBot="1">
      <c r="A30" s="70" t="s">
        <v>198</v>
      </c>
      <c r="C30" s="127">
        <f>-SUM(C24:C27)</f>
        <v>-55441</v>
      </c>
      <c r="D30" s="122"/>
      <c r="E30" s="123"/>
      <c r="F30" s="127">
        <f>-SUM(F24:F27)</f>
        <v>-659637.12</v>
      </c>
    </row>
    <row r="31" spans="1:7" ht="13.5" thickTop="1">
      <c r="C31" s="125"/>
      <c r="D31" s="122"/>
      <c r="E31" s="123"/>
    </row>
    <row r="32" spans="1:7">
      <c r="C32" s="125"/>
      <c r="D32" s="122"/>
    </row>
    <row r="33" spans="1:7">
      <c r="G33" s="56"/>
    </row>
    <row r="34" spans="1:7">
      <c r="G34" s="56"/>
    </row>
    <row r="35" spans="1:7">
      <c r="G35" s="56"/>
    </row>
    <row r="36" spans="1:7">
      <c r="G36" s="56"/>
    </row>
    <row r="37" spans="1:7">
      <c r="G37" s="56"/>
    </row>
    <row r="38" spans="1:7">
      <c r="G38" s="56"/>
    </row>
    <row r="39" spans="1:7">
      <c r="G39" s="56"/>
    </row>
    <row r="40" spans="1:7">
      <c r="G40" s="56"/>
    </row>
    <row r="41" spans="1:7">
      <c r="G41" s="56"/>
    </row>
    <row r="42" spans="1:7">
      <c r="G42" s="56"/>
    </row>
    <row r="43" spans="1:7">
      <c r="G43" s="56"/>
    </row>
    <row r="44" spans="1:7">
      <c r="G44" s="56"/>
    </row>
    <row r="46" spans="1:7">
      <c r="A46" s="70"/>
      <c r="G46" s="61"/>
    </row>
    <row r="47" spans="1:7">
      <c r="A47" s="70"/>
      <c r="G47" s="61"/>
    </row>
    <row r="49" spans="1:8">
      <c r="H49" s="70"/>
    </row>
    <row r="50" spans="1:8">
      <c r="H50" s="70"/>
    </row>
    <row r="51" spans="1:8">
      <c r="H51" s="70"/>
    </row>
    <row r="52" spans="1:8">
      <c r="H52" s="70"/>
    </row>
    <row r="53" spans="1:8">
      <c r="A53" s="70" t="s">
        <v>198</v>
      </c>
    </row>
  </sheetData>
  <mergeCells count="4">
    <mergeCell ref="A1:G1"/>
    <mergeCell ref="A3:G3"/>
    <mergeCell ref="A4:G4"/>
    <mergeCell ref="A2:G2"/>
  </mergeCells>
  <phoneticPr fontId="8" type="noConversion"/>
  <pageMargins left="0.75" right="0.75" top="1" bottom="1" header="0.5" footer="0.5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Revenue Requirement TABLE</vt:lpstr>
      <vt:lpstr>Revenue Requirement</vt:lpstr>
      <vt:lpstr>1.30 - As Filed And Adj Rev Inc</vt:lpstr>
      <vt:lpstr>Capacity Revenues</vt:lpstr>
      <vt:lpstr>Interest Expense ES Removal</vt:lpstr>
      <vt:lpstr>Table 2 ES Inter Exp </vt:lpstr>
      <vt:lpstr>Forced Outage Claims &amp; Expense</vt:lpstr>
      <vt:lpstr>Deferred Cost Amortization</vt:lpstr>
      <vt:lpstr>Dues</vt:lpstr>
      <vt:lpstr>Interest Exp - ST Investments</vt:lpstr>
      <vt:lpstr>Generation Outage Exp Normal</vt:lpstr>
      <vt:lpstr>Table 1 Gener Maint</vt:lpstr>
      <vt:lpstr>Generation Maintenance Summary</vt:lpstr>
      <vt:lpstr>As Filed Depr Summary</vt:lpstr>
      <vt:lpstr>Depr Summary Adj 1,2 and 3</vt:lpstr>
      <vt:lpstr>Adj 1 Response to AG-Nucor 1-43</vt:lpstr>
      <vt:lpstr>AG-Nucor 1-43 With Formulas</vt:lpstr>
      <vt:lpstr>Adj 2 Depr-No Int NS or Retire </vt:lpstr>
      <vt:lpstr>Adj 3 Depr-Extend Lifespans</vt:lpstr>
      <vt:lpstr>'Adj 1 Response to AG-Nucor 1-43'!Print_Area</vt:lpstr>
      <vt:lpstr>'Adj 2 Depr-No Int NS or Retire '!Print_Area</vt:lpstr>
      <vt:lpstr>'Adj 3 Depr-Extend Lifespans'!Print_Area</vt:lpstr>
      <vt:lpstr>'AG-Nucor 1-43 With Formulas'!Print_Area</vt:lpstr>
      <vt:lpstr>'As Filed Depr Summary'!Print_Area</vt:lpstr>
      <vt:lpstr>'Depr Summary Adj 1,2 and 3'!Print_Area</vt:lpstr>
      <vt:lpstr>'Generation Maintenance Summary'!Print_Area</vt:lpstr>
      <vt:lpstr>'Interest Exp - ST Investments'!Print_Area</vt:lpstr>
      <vt:lpstr>'Revenue Requirement'!Print_Area</vt:lpstr>
      <vt:lpstr>'Revenue Requirement TABLE'!Print_Area</vt:lpstr>
      <vt:lpstr>'Table 2 ES Inter Exp '!Print_Area</vt:lpstr>
      <vt:lpstr>'Adj 1 Response to AG-Nucor 1-43'!Print_Titles</vt:lpstr>
      <vt:lpstr>'Adj 2 Depr-No Int NS or Retire '!Print_Titles</vt:lpstr>
      <vt:lpstr>'Adj 3 Depr-Extend Lifespans'!Print_Titles</vt:lpstr>
      <vt:lpstr>'AG-Nucor 1-43 With Formulas'!Print_Titles</vt:lpstr>
      <vt:lpstr>'As Filed Depr Summary'!Print_Titles</vt:lpstr>
      <vt:lpstr>'Depr Summary Adj 1,2 and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Randy1</cp:lastModifiedBy>
  <cp:lastPrinted>2025-10-21T14:48:18Z</cp:lastPrinted>
  <dcterms:created xsi:type="dcterms:W3CDTF">2007-02-19T14:00:53Z</dcterms:created>
  <dcterms:modified xsi:type="dcterms:W3CDTF">2025-10-21T21:51:25Z</dcterms:modified>
</cp:coreProperties>
</file>