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baro\Documents\Kennedy and Associates Projects\2025 East KY Coop\Rehearing\Data Requests to Nucor\As-Filed\"/>
    </mc:Choice>
  </mc:AlternateContent>
  <xr:revisionPtr revIDLastSave="0" documentId="13_ncr:1_{E1601D81-4ABE-4301-8DC8-28D0F556FFE7}" xr6:coauthVersionLast="47" xr6:coauthVersionMax="47" xr10:uidLastSave="{00000000-0000-0000-0000-000000000000}"/>
  <bookViews>
    <workbookView xWindow="-110" yWindow="-110" windowWidth="19420" windowHeight="10300" firstSheet="1" activeTab="2" xr2:uid="{61DBC400-370D-4E63-8AEA-594EC1D51463}"/>
  </bookViews>
  <sheets>
    <sheet name="Functional Assignment" sheetId="1" r:id="rId1"/>
    <sheet name="Allocation by Rate" sheetId="6" r:id="rId2"/>
    <sheet name="Response to AG 2a" sheetId="17" r:id="rId3"/>
    <sheet name="Control + Change Log" sheetId="18" r:id="rId4"/>
    <sheet name="A&amp;E Adjustments" sheetId="15" r:id="rId5"/>
    <sheet name="T-8,9 Weather Normalization" sheetId="16" r:id="rId6"/>
    <sheet name="T-7" sheetId="20" r:id="rId7"/>
    <sheet name="AG-Nucor 2-14 WN Peaks" sheetId="19" r:id="rId8"/>
    <sheet name="FAC" sheetId="11" r:id="rId9"/>
    <sheet name="ROR Summary" sheetId="8" r:id="rId10"/>
    <sheet name="Substation Allocation" sheetId="10" state="hidden" r:id="rId11"/>
  </sheets>
  <externalReferences>
    <externalReference r:id="rId12"/>
  </externalReferences>
  <definedNames>
    <definedName name="B_Int">'Control + Change Log'!$B$5</definedName>
    <definedName name="CD">#REF!</definedName>
    <definedName name="EDR">'Control + Change Log'!$B$12</definedName>
    <definedName name="FAC">'Control + Change Log'!$B$16</definedName>
    <definedName name="G_NCP">'Control + Change Log'!$B$21</definedName>
    <definedName name="LSC_Int">'Control + Change Log'!$B$9</definedName>
    <definedName name="_xlnm.Print_Area" localSheetId="1">'Allocation by Rate'!$A$1:$M$391</definedName>
    <definedName name="_xlnm.Print_Area" localSheetId="0">'Functional Assignment'!$A$1:$P$483</definedName>
    <definedName name="_xlnm.Print_Area" localSheetId="2">'Response to AG 2a'!$B$5:$M$95</definedName>
    <definedName name="_xlnm.Print_Area" localSheetId="5">'T-8,9 Weather Normalization'!$A$1:$S$211</definedName>
    <definedName name="_xlnm.Print_Titles" localSheetId="1">'Allocation by Rate'!$A:$E,'Allocation by Rate'!$2:$3</definedName>
    <definedName name="_xlnm.Print_Titles" localSheetId="0">'Functional Assignment'!$A:$E,'Functional Assignment'!$1:$4</definedName>
    <definedName name="Trans_12CP">'Control + Change Log'!$B$26</definedName>
    <definedName name="Ut">#REF!</definedName>
    <definedName name="WN">'Control + Change Log'!$B$30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I21" i="20" l="1"/>
  <c r="G21" i="20"/>
  <c r="I20" i="20"/>
  <c r="G20" i="20"/>
  <c r="I19" i="20"/>
  <c r="G19" i="20"/>
  <c r="I18" i="20"/>
  <c r="G18" i="20"/>
  <c r="I17" i="20"/>
  <c r="G17" i="20"/>
  <c r="I16" i="20"/>
  <c r="G16" i="20"/>
  <c r="I15" i="20"/>
  <c r="G15" i="20"/>
  <c r="I14" i="20"/>
  <c r="G14" i="20"/>
  <c r="I13" i="20"/>
  <c r="G13" i="20"/>
  <c r="I12" i="20"/>
  <c r="G12" i="20"/>
  <c r="I11" i="20"/>
  <c r="G11" i="20"/>
  <c r="I10" i="20"/>
  <c r="G10" i="20"/>
  <c r="I9" i="20"/>
  <c r="G9" i="20"/>
  <c r="E26" i="16" l="1"/>
  <c r="M13" i="19"/>
  <c r="K13" i="19"/>
  <c r="J13" i="19"/>
  <c r="G13" i="19"/>
  <c r="D13" i="19"/>
  <c r="C13" i="19"/>
  <c r="M12" i="19"/>
  <c r="K12" i="19"/>
  <c r="J12" i="19"/>
  <c r="G12" i="19"/>
  <c r="D12" i="19"/>
  <c r="C12" i="19"/>
  <c r="M11" i="19"/>
  <c r="K11" i="19"/>
  <c r="J11" i="19"/>
  <c r="G11" i="19"/>
  <c r="D11" i="19"/>
  <c r="C11" i="19"/>
  <c r="M10" i="19"/>
  <c r="K10" i="19"/>
  <c r="J10" i="19"/>
  <c r="G10" i="19"/>
  <c r="D10" i="19"/>
  <c r="C10" i="19"/>
  <c r="M9" i="19"/>
  <c r="K9" i="19"/>
  <c r="J9" i="19"/>
  <c r="G9" i="19"/>
  <c r="D9" i="19"/>
  <c r="C9" i="19"/>
  <c r="M8" i="19"/>
  <c r="K8" i="19"/>
  <c r="J8" i="19"/>
  <c r="G8" i="19"/>
  <c r="D8" i="19"/>
  <c r="C8" i="19"/>
  <c r="M7" i="19"/>
  <c r="K7" i="19"/>
  <c r="J7" i="19"/>
  <c r="G7" i="19"/>
  <c r="D7" i="19"/>
  <c r="C7" i="19"/>
  <c r="M6" i="19"/>
  <c r="K6" i="19"/>
  <c r="J6" i="19"/>
  <c r="G6" i="19"/>
  <c r="D6" i="19"/>
  <c r="C6" i="19"/>
  <c r="M5" i="19"/>
  <c r="K5" i="19"/>
  <c r="J5" i="19"/>
  <c r="G5" i="19"/>
  <c r="D5" i="19"/>
  <c r="C5" i="19"/>
  <c r="M4" i="19"/>
  <c r="K4" i="19"/>
  <c r="J4" i="19"/>
  <c r="G4" i="19"/>
  <c r="D4" i="19"/>
  <c r="C4" i="19"/>
  <c r="M3" i="19"/>
  <c r="K3" i="19"/>
  <c r="J3" i="19"/>
  <c r="G3" i="19"/>
  <c r="D3" i="19"/>
  <c r="C3" i="19"/>
  <c r="M2" i="19"/>
  <c r="K2" i="19"/>
  <c r="J2" i="19"/>
  <c r="G2" i="19"/>
  <c r="D2" i="19"/>
  <c r="C2" i="19"/>
  <c r="S81" i="17"/>
  <c r="J138" i="16"/>
  <c r="J137" i="16"/>
  <c r="J136" i="16"/>
  <c r="J135" i="16"/>
  <c r="C420" i="6"/>
  <c r="W96" i="16"/>
  <c r="Y96" i="16" s="1"/>
  <c r="V96" i="16" s="1"/>
  <c r="W95" i="16"/>
  <c r="T95" i="16" s="1"/>
  <c r="W94" i="16"/>
  <c r="T94" i="16" s="1"/>
  <c r="W93" i="16"/>
  <c r="T93" i="16" s="1"/>
  <c r="W92" i="16"/>
  <c r="T92" i="16" s="1"/>
  <c r="L11" i="19" l="1"/>
  <c r="N11" i="19" s="1"/>
  <c r="O11" i="19" s="1"/>
  <c r="L2" i="19"/>
  <c r="L9" i="19"/>
  <c r="N9" i="19" s="1"/>
  <c r="O9" i="19" s="1"/>
  <c r="L7" i="19"/>
  <c r="N7" i="19" s="1"/>
  <c r="O7" i="19" s="1"/>
  <c r="L12" i="19"/>
  <c r="N12" i="19" s="1"/>
  <c r="O12" i="19" s="1"/>
  <c r="N2" i="19"/>
  <c r="O2" i="19" s="1"/>
  <c r="L5" i="19"/>
  <c r="N5" i="19" s="1"/>
  <c r="O5" i="19" s="1"/>
  <c r="L4" i="19"/>
  <c r="N4" i="19" s="1"/>
  <c r="O4" i="19" s="1"/>
  <c r="L10" i="19"/>
  <c r="N10" i="19" s="1"/>
  <c r="O10" i="19" s="1"/>
  <c r="L13" i="19"/>
  <c r="N13" i="19" s="1"/>
  <c r="O13" i="19" s="1"/>
  <c r="L3" i="19"/>
  <c r="N3" i="19" s="1"/>
  <c r="O3" i="19" s="1"/>
  <c r="L8" i="19"/>
  <c r="N8" i="19" s="1"/>
  <c r="O8" i="19" s="1"/>
  <c r="L6" i="19"/>
  <c r="N6" i="19" s="1"/>
  <c r="O6" i="19" s="1"/>
  <c r="T96" i="16"/>
  <c r="T100" i="16" s="1"/>
  <c r="O14" i="19" l="1"/>
  <c r="E25" i="16"/>
  <c r="D25" i="16"/>
  <c r="H336" i="6"/>
  <c r="S66" i="17"/>
  <c r="K336" i="6"/>
  <c r="K334" i="6"/>
  <c r="M334" i="6"/>
  <c r="L334" i="6"/>
  <c r="J334" i="6"/>
  <c r="I334" i="6"/>
  <c r="H334" i="6"/>
  <c r="G334" i="6"/>
  <c r="F334" i="6"/>
  <c r="F408" i="6"/>
  <c r="F308" i="6"/>
  <c r="F307" i="6"/>
  <c r="F287" i="6"/>
  <c r="F286" i="6"/>
  <c r="P97" i="16"/>
  <c r="P96" i="16"/>
  <c r="P95" i="16"/>
  <c r="P94" i="16"/>
  <c r="P93" i="16"/>
  <c r="P92" i="16"/>
  <c r="P91" i="16"/>
  <c r="P90" i="16"/>
  <c r="P89" i="16"/>
  <c r="P88" i="16"/>
  <c r="P87" i="16"/>
  <c r="P86" i="16"/>
  <c r="H81" i="16"/>
  <c r="M81" i="16" s="1"/>
  <c r="H80" i="16"/>
  <c r="M80" i="16" s="1"/>
  <c r="H79" i="16"/>
  <c r="M79" i="16" s="1"/>
  <c r="H78" i="16"/>
  <c r="M78" i="16" s="1"/>
  <c r="H77" i="16"/>
  <c r="M77" i="16" s="1"/>
  <c r="H76" i="16"/>
  <c r="M76" i="16" s="1"/>
  <c r="H75" i="16"/>
  <c r="M75" i="16" s="1"/>
  <c r="H74" i="16"/>
  <c r="M74" i="16" s="1"/>
  <c r="H73" i="16"/>
  <c r="M73" i="16" s="1"/>
  <c r="H72" i="16"/>
  <c r="M72" i="16" s="1"/>
  <c r="H71" i="16"/>
  <c r="M71" i="16" s="1"/>
  <c r="H70" i="16"/>
  <c r="M70" i="16" s="1"/>
  <c r="F25" i="16"/>
  <c r="F24" i="16"/>
  <c r="K20" i="20" s="1"/>
  <c r="F23" i="16"/>
  <c r="K19" i="20" s="1"/>
  <c r="F22" i="16"/>
  <c r="K18" i="20" s="1"/>
  <c r="F21" i="16"/>
  <c r="K17" i="20" s="1"/>
  <c r="F20" i="16"/>
  <c r="K16" i="20" s="1"/>
  <c r="F19" i="16"/>
  <c r="K15" i="20" s="1"/>
  <c r="F18" i="16"/>
  <c r="K14" i="20" s="1"/>
  <c r="F17" i="16"/>
  <c r="K13" i="20" s="1"/>
  <c r="F16" i="16"/>
  <c r="K12" i="20" s="1"/>
  <c r="F15" i="16"/>
  <c r="K11" i="20" s="1"/>
  <c r="F14" i="16"/>
  <c r="K10" i="20" s="1"/>
  <c r="F13" i="16"/>
  <c r="K9" i="20" s="1"/>
  <c r="F8" i="16"/>
  <c r="J48" i="16"/>
  <c r="J47" i="16"/>
  <c r="J46" i="16"/>
  <c r="J45" i="16"/>
  <c r="J44" i="16"/>
  <c r="J43" i="16"/>
  <c r="J42" i="16"/>
  <c r="J41" i="16"/>
  <c r="J40" i="16"/>
  <c r="J39" i="16"/>
  <c r="J38" i="16"/>
  <c r="J37" i="16"/>
  <c r="I49" i="16"/>
  <c r="I66" i="16" s="1"/>
  <c r="L424" i="6" s="1"/>
  <c r="H49" i="16"/>
  <c r="H66" i="16" s="1"/>
  <c r="K424" i="6" s="1"/>
  <c r="G49" i="16"/>
  <c r="F49" i="16"/>
  <c r="E49" i="16"/>
  <c r="L37" i="16"/>
  <c r="L38" i="16"/>
  <c r="L39" i="16"/>
  <c r="L40" i="16"/>
  <c r="L41" i="16"/>
  <c r="L42" i="16"/>
  <c r="L43" i="16"/>
  <c r="L44" i="16"/>
  <c r="L45" i="16"/>
  <c r="L46" i="16"/>
  <c r="L47" i="16"/>
  <c r="L48" i="16"/>
  <c r="G23" i="15" l="1"/>
  <c r="H23" i="15" s="1"/>
  <c r="K21" i="20"/>
  <c r="H82" i="16"/>
  <c r="T101" i="16" s="1"/>
  <c r="J49" i="16"/>
  <c r="D49" i="16"/>
  <c r="J401" i="6" l="1"/>
  <c r="I401" i="6"/>
  <c r="H401" i="6"/>
  <c r="G401" i="6"/>
  <c r="I112" i="16" l="1"/>
  <c r="J112" i="16" s="1"/>
  <c r="H119" i="16" s="1"/>
  <c r="F112" i="16"/>
  <c r="E119" i="16" s="1"/>
  <c r="G138" i="16" s="1"/>
  <c r="I111" i="16"/>
  <c r="J111" i="16" s="1"/>
  <c r="H118" i="16" s="1"/>
  <c r="F111" i="16"/>
  <c r="E118" i="16" s="1"/>
  <c r="G137" i="16" s="1"/>
  <c r="I110" i="16"/>
  <c r="J110" i="16" s="1"/>
  <c r="H117" i="16" s="1"/>
  <c r="F110" i="16"/>
  <c r="E117" i="16" s="1"/>
  <c r="G136" i="16" s="1"/>
  <c r="I109" i="16"/>
  <c r="J109" i="16" s="1"/>
  <c r="H116" i="16" s="1"/>
  <c r="F109" i="16"/>
  <c r="E116" i="16" s="1"/>
  <c r="G135" i="16" s="1"/>
  <c r="G82" i="16"/>
  <c r="F82" i="16"/>
  <c r="E82" i="16"/>
  <c r="O48" i="16"/>
  <c r="N48" i="16"/>
  <c r="M48" i="16"/>
  <c r="O47" i="16"/>
  <c r="N47" i="16"/>
  <c r="M47" i="16"/>
  <c r="O46" i="16"/>
  <c r="N46" i="16"/>
  <c r="M46" i="16"/>
  <c r="O45" i="16"/>
  <c r="N45" i="16"/>
  <c r="M45" i="16"/>
  <c r="O44" i="16"/>
  <c r="N44" i="16"/>
  <c r="M44" i="16"/>
  <c r="O43" i="16"/>
  <c r="N43" i="16"/>
  <c r="M43" i="16"/>
  <c r="O42" i="16"/>
  <c r="N42" i="16"/>
  <c r="M42" i="16"/>
  <c r="O41" i="16"/>
  <c r="N41" i="16"/>
  <c r="M41" i="16"/>
  <c r="O40" i="16"/>
  <c r="N40" i="16"/>
  <c r="M40" i="16"/>
  <c r="O39" i="16"/>
  <c r="N39" i="16"/>
  <c r="M39" i="16"/>
  <c r="O38" i="16"/>
  <c r="N38" i="16"/>
  <c r="M38" i="16"/>
  <c r="O37" i="16"/>
  <c r="N37" i="16"/>
  <c r="M37" i="16"/>
  <c r="L81" i="16"/>
  <c r="K81" i="16"/>
  <c r="J81" i="16"/>
  <c r="L80" i="16"/>
  <c r="K80" i="16"/>
  <c r="J80" i="16"/>
  <c r="L79" i="16"/>
  <c r="K79" i="16"/>
  <c r="J79" i="16"/>
  <c r="L78" i="16"/>
  <c r="K78" i="16"/>
  <c r="J78" i="16"/>
  <c r="L77" i="16"/>
  <c r="K77" i="16"/>
  <c r="J77" i="16"/>
  <c r="L76" i="16"/>
  <c r="K76" i="16"/>
  <c r="J76" i="16"/>
  <c r="L75" i="16"/>
  <c r="K75" i="16"/>
  <c r="J75" i="16"/>
  <c r="L74" i="16"/>
  <c r="K74" i="16"/>
  <c r="J74" i="16"/>
  <c r="L73" i="16"/>
  <c r="K73" i="16"/>
  <c r="J73" i="16"/>
  <c r="L72" i="16"/>
  <c r="K72" i="16"/>
  <c r="J72" i="16"/>
  <c r="L71" i="16"/>
  <c r="K71" i="16"/>
  <c r="J71" i="16"/>
  <c r="L70" i="16"/>
  <c r="K70" i="16"/>
  <c r="J70" i="16"/>
  <c r="K14" i="15" l="1"/>
  <c r="D82" i="16"/>
  <c r="I81" i="16"/>
  <c r="I80" i="16"/>
  <c r="I79" i="16"/>
  <c r="I78" i="16"/>
  <c r="I77" i="16"/>
  <c r="I76" i="16"/>
  <c r="I75" i="16"/>
  <c r="I74" i="16"/>
  <c r="I73" i="16"/>
  <c r="I72" i="16"/>
  <c r="I71" i="16"/>
  <c r="I70" i="16"/>
  <c r="D27" i="16"/>
  <c r="E27" i="16"/>
  <c r="K4" i="15"/>
  <c r="J4" i="15"/>
  <c r="I4" i="15"/>
  <c r="H4" i="15"/>
  <c r="G4" i="15"/>
  <c r="F25" i="15"/>
  <c r="O12" i="15"/>
  <c r="K13" i="15"/>
  <c r="J13" i="15"/>
  <c r="I13" i="15"/>
  <c r="H13" i="15"/>
  <c r="G13" i="15"/>
  <c r="F13" i="15"/>
  <c r="O7" i="15"/>
  <c r="M9" i="15"/>
  <c r="L9" i="15"/>
  <c r="K9" i="15"/>
  <c r="K15" i="15"/>
  <c r="K16" i="15"/>
  <c r="K420" i="6"/>
  <c r="K17" i="15"/>
  <c r="K421" i="6"/>
  <c r="K422" i="6" s="1"/>
  <c r="F436" i="6"/>
  <c r="F335" i="6"/>
  <c r="AH334" i="6"/>
  <c r="AI334" i="6" s="1"/>
  <c r="F451" i="1"/>
  <c r="F356" i="6"/>
  <c r="F357" i="6"/>
  <c r="F28" i="1"/>
  <c r="F44" i="1"/>
  <c r="M485" i="6"/>
  <c r="F249" i="1"/>
  <c r="J418" i="6"/>
  <c r="G418" i="6" s="1"/>
  <c r="AH418" i="6" s="1"/>
  <c r="AI418" i="6" s="1"/>
  <c r="G14" i="10"/>
  <c r="F14" i="10"/>
  <c r="J14" i="10"/>
  <c r="E14" i="10"/>
  <c r="J11" i="10"/>
  <c r="H11" i="10"/>
  <c r="K11" i="10"/>
  <c r="J9" i="10"/>
  <c r="H9" i="10"/>
  <c r="K9" i="10"/>
  <c r="J7" i="10"/>
  <c r="H7" i="10"/>
  <c r="K7" i="10"/>
  <c r="J5" i="10"/>
  <c r="H5" i="10"/>
  <c r="H14" i="10"/>
  <c r="K14" i="10"/>
  <c r="K5" i="10"/>
  <c r="J336" i="6"/>
  <c r="I336" i="6"/>
  <c r="G336" i="6"/>
  <c r="F348" i="6"/>
  <c r="F349" i="6"/>
  <c r="F327" i="6"/>
  <c r="F316" i="6"/>
  <c r="A57" i="8"/>
  <c r="A58" i="8"/>
  <c r="A59" i="8"/>
  <c r="A60" i="8"/>
  <c r="A61" i="8"/>
  <c r="A62" i="8"/>
  <c r="A56" i="8"/>
  <c r="F358" i="6"/>
  <c r="F52" i="1"/>
  <c r="K455" i="1"/>
  <c r="G406" i="6"/>
  <c r="H406" i="6"/>
  <c r="I406" i="6"/>
  <c r="J406" i="6"/>
  <c r="K406" i="6"/>
  <c r="L406" i="6"/>
  <c r="F321" i="6"/>
  <c r="AK462" i="1"/>
  <c r="AL462" i="1"/>
  <c r="O453" i="1"/>
  <c r="F453" i="1"/>
  <c r="M243" i="6"/>
  <c r="AH243" i="6" s="1"/>
  <c r="AI243" i="6" s="1"/>
  <c r="M241" i="6"/>
  <c r="AH241" i="6" s="1"/>
  <c r="AI241" i="6" s="1"/>
  <c r="I410" i="6"/>
  <c r="H410" i="6"/>
  <c r="G410" i="6"/>
  <c r="G409" i="6"/>
  <c r="M409" i="6"/>
  <c r="I409" i="6"/>
  <c r="H409" i="6"/>
  <c r="F244" i="6"/>
  <c r="F439" i="1"/>
  <c r="F421" i="1"/>
  <c r="F417" i="1"/>
  <c r="F415" i="1"/>
  <c r="F150" i="1"/>
  <c r="F101" i="1"/>
  <c r="F94" i="1"/>
  <c r="F92" i="1"/>
  <c r="F90" i="1"/>
  <c r="F89" i="1"/>
  <c r="G248" i="6"/>
  <c r="AH248" i="6" s="1"/>
  <c r="AI248" i="6" s="1"/>
  <c r="F246" i="6"/>
  <c r="G247" i="6"/>
  <c r="AH247" i="6" s="1"/>
  <c r="AI247" i="6" s="1"/>
  <c r="F267" i="6"/>
  <c r="F269" i="6" s="1"/>
  <c r="F346" i="6" s="1"/>
  <c r="F351" i="6" s="1"/>
  <c r="AG255" i="6"/>
  <c r="AF255" i="6"/>
  <c r="AE255" i="6"/>
  <c r="AD255" i="6"/>
  <c r="AC255" i="6"/>
  <c r="AB255" i="6"/>
  <c r="AA255" i="6"/>
  <c r="Z255" i="6"/>
  <c r="Y255" i="6"/>
  <c r="X255" i="6"/>
  <c r="W255" i="6"/>
  <c r="V255" i="6"/>
  <c r="U255" i="6"/>
  <c r="T255" i="6"/>
  <c r="S255" i="6"/>
  <c r="R255" i="6"/>
  <c r="Q255" i="6"/>
  <c r="P255" i="6"/>
  <c r="O255" i="6"/>
  <c r="N255" i="6"/>
  <c r="M449" i="6"/>
  <c r="K449" i="6"/>
  <c r="J449" i="6"/>
  <c r="I449" i="6"/>
  <c r="H449" i="6"/>
  <c r="G449" i="6"/>
  <c r="F245" i="6"/>
  <c r="M452" i="1"/>
  <c r="F452" i="1"/>
  <c r="G413" i="6"/>
  <c r="AH413" i="6" s="1"/>
  <c r="AI413" i="6" s="1"/>
  <c r="H407" i="6"/>
  <c r="I407" i="6"/>
  <c r="J407" i="6"/>
  <c r="K407" i="6"/>
  <c r="M407" i="6"/>
  <c r="G407" i="6"/>
  <c r="AH402" i="6"/>
  <c r="AI402" i="6" s="1"/>
  <c r="AH403" i="6"/>
  <c r="AI403" i="6" s="1"/>
  <c r="L466" i="1"/>
  <c r="K466" i="1"/>
  <c r="J466" i="1"/>
  <c r="K464" i="1"/>
  <c r="J464" i="1"/>
  <c r="L422" i="6"/>
  <c r="H442" i="6"/>
  <c r="I442" i="6"/>
  <c r="J442" i="6"/>
  <c r="K442" i="6"/>
  <c r="M442" i="6"/>
  <c r="G442" i="6"/>
  <c r="AG442" i="6"/>
  <c r="AF442" i="6"/>
  <c r="AE442" i="6"/>
  <c r="AD442" i="6"/>
  <c r="AC442" i="6"/>
  <c r="AB442" i="6"/>
  <c r="AA442" i="6"/>
  <c r="Z442" i="6"/>
  <c r="Y442" i="6"/>
  <c r="X442" i="6"/>
  <c r="W442" i="6"/>
  <c r="V442" i="6"/>
  <c r="U442" i="6"/>
  <c r="T442" i="6"/>
  <c r="S442" i="6"/>
  <c r="R442" i="6"/>
  <c r="Q442" i="6"/>
  <c r="P442" i="6"/>
  <c r="O442" i="6"/>
  <c r="N442" i="6"/>
  <c r="AH451" i="6"/>
  <c r="AI451" i="6" s="1"/>
  <c r="AH444" i="6"/>
  <c r="AI444" i="6" s="1"/>
  <c r="AK456" i="1"/>
  <c r="AL456" i="1"/>
  <c r="N458" i="1"/>
  <c r="R458" i="1"/>
  <c r="AE458" i="1"/>
  <c r="AG458" i="1"/>
  <c r="AI458" i="1"/>
  <c r="N459" i="1"/>
  <c r="R459" i="1"/>
  <c r="AE459" i="1"/>
  <c r="AG459" i="1"/>
  <c r="AI459" i="1"/>
  <c r="F416" i="1"/>
  <c r="F422" i="1"/>
  <c r="F420" i="1"/>
  <c r="R83" i="1"/>
  <c r="F81" i="1"/>
  <c r="F73" i="1"/>
  <c r="AI63" i="1"/>
  <c r="AI83" i="1"/>
  <c r="AG63" i="1"/>
  <c r="AG83" i="1"/>
  <c r="AE63" i="1"/>
  <c r="AE83" i="1"/>
  <c r="R63" i="1"/>
  <c r="N63" i="1"/>
  <c r="N83" i="1"/>
  <c r="F63" i="1"/>
  <c r="AI21" i="1"/>
  <c r="AG21" i="1"/>
  <c r="AE21" i="1"/>
  <c r="R21" i="1"/>
  <c r="N21" i="1"/>
  <c r="F12" i="1"/>
  <c r="F21" i="1"/>
  <c r="F431" i="1"/>
  <c r="I9" i="1"/>
  <c r="I153" i="1" s="1"/>
  <c r="I10" i="1"/>
  <c r="I333" i="1" s="1"/>
  <c r="I89" i="1"/>
  <c r="I94" i="1"/>
  <c r="I99" i="1"/>
  <c r="I101" i="1"/>
  <c r="I102" i="1"/>
  <c r="I113" i="1"/>
  <c r="I135" i="1"/>
  <c r="I136" i="1"/>
  <c r="I137" i="1"/>
  <c r="I138" i="1"/>
  <c r="I141" i="1"/>
  <c r="I203" i="1"/>
  <c r="I204" i="1"/>
  <c r="I205" i="1"/>
  <c r="I206" i="1"/>
  <c r="I207" i="1"/>
  <c r="I255" i="1"/>
  <c r="I260" i="1"/>
  <c r="I265" i="1"/>
  <c r="I267" i="1"/>
  <c r="I268" i="1"/>
  <c r="I280" i="1"/>
  <c r="I302" i="1"/>
  <c r="I303" i="1"/>
  <c r="I304" i="1"/>
  <c r="I305" i="1"/>
  <c r="I308" i="1"/>
  <c r="I365" i="1"/>
  <c r="I366" i="1"/>
  <c r="I367" i="1"/>
  <c r="I368" i="1"/>
  <c r="I369" i="1"/>
  <c r="F356" i="1"/>
  <c r="F341" i="1"/>
  <c r="F326" i="1"/>
  <c r="F262" i="1"/>
  <c r="F271" i="1"/>
  <c r="F285" i="1"/>
  <c r="AE477" i="1"/>
  <c r="F293" i="1"/>
  <c r="F310" i="1"/>
  <c r="F371" i="1"/>
  <c r="F386" i="1"/>
  <c r="F96" i="1"/>
  <c r="F105" i="1"/>
  <c r="F118" i="1"/>
  <c r="F126" i="1"/>
  <c r="F143" i="1"/>
  <c r="F163" i="1"/>
  <c r="F179" i="1"/>
  <c r="F194" i="1"/>
  <c r="F209" i="1"/>
  <c r="F224" i="1"/>
  <c r="F245" i="1"/>
  <c r="J8" i="1"/>
  <c r="J420" i="1" s="1"/>
  <c r="J9" i="1"/>
  <c r="J314" i="1" s="1"/>
  <c r="J10" i="1"/>
  <c r="J192" i="1" s="1"/>
  <c r="J88" i="1"/>
  <c r="J89" i="1"/>
  <c r="J90" i="1"/>
  <c r="J91" i="1"/>
  <c r="J92" i="1"/>
  <c r="J93" i="1"/>
  <c r="J94" i="1"/>
  <c r="J99" i="1"/>
  <c r="J100" i="1"/>
  <c r="J101" i="1"/>
  <c r="J102" i="1"/>
  <c r="J103" i="1"/>
  <c r="J112" i="1"/>
  <c r="J113" i="1"/>
  <c r="J114" i="1"/>
  <c r="J115" i="1"/>
  <c r="J116" i="1"/>
  <c r="J121" i="1"/>
  <c r="J122" i="1"/>
  <c r="J123" i="1"/>
  <c r="J124" i="1"/>
  <c r="J135" i="1"/>
  <c r="J136" i="1"/>
  <c r="J137" i="1"/>
  <c r="J138" i="1"/>
  <c r="J139" i="1"/>
  <c r="J140" i="1"/>
  <c r="J141" i="1"/>
  <c r="J203" i="1"/>
  <c r="J204" i="1"/>
  <c r="J205" i="1"/>
  <c r="J206" i="1"/>
  <c r="J207" i="1"/>
  <c r="F30" i="1"/>
  <c r="J254" i="1"/>
  <c r="J255" i="1"/>
  <c r="J256" i="1"/>
  <c r="J257" i="1"/>
  <c r="J258" i="1"/>
  <c r="J259" i="1"/>
  <c r="J260" i="1"/>
  <c r="J265" i="1"/>
  <c r="J266" i="1"/>
  <c r="J267" i="1"/>
  <c r="J268" i="1"/>
  <c r="J269" i="1"/>
  <c r="J279" i="1"/>
  <c r="J280" i="1"/>
  <c r="J281" i="1"/>
  <c r="J282" i="1"/>
  <c r="J283" i="1"/>
  <c r="J288" i="1"/>
  <c r="J289" i="1"/>
  <c r="J290" i="1"/>
  <c r="J291" i="1"/>
  <c r="J302" i="1"/>
  <c r="J303" i="1"/>
  <c r="J304" i="1"/>
  <c r="J305" i="1"/>
  <c r="J306" i="1"/>
  <c r="J307" i="1"/>
  <c r="J308" i="1"/>
  <c r="J365" i="1"/>
  <c r="J366" i="1"/>
  <c r="J367" i="1"/>
  <c r="J368" i="1"/>
  <c r="J369" i="1"/>
  <c r="K8" i="1"/>
  <c r="K421" i="1" s="1"/>
  <c r="K9" i="1"/>
  <c r="K317" i="1" s="1"/>
  <c r="K10" i="1"/>
  <c r="K353" i="1" s="1"/>
  <c r="K88" i="1"/>
  <c r="K89" i="1"/>
  <c r="K90" i="1"/>
  <c r="K91" i="1"/>
  <c r="K92" i="1"/>
  <c r="K93" i="1"/>
  <c r="K94" i="1"/>
  <c r="K99" i="1"/>
  <c r="K100" i="1"/>
  <c r="K101" i="1"/>
  <c r="K102" i="1"/>
  <c r="K103" i="1"/>
  <c r="K112" i="1"/>
  <c r="K113" i="1"/>
  <c r="K114" i="1"/>
  <c r="K115" i="1"/>
  <c r="K116" i="1"/>
  <c r="K121" i="1"/>
  <c r="K122" i="1"/>
  <c r="K123" i="1"/>
  <c r="K124" i="1"/>
  <c r="K135" i="1"/>
  <c r="K136" i="1"/>
  <c r="K137" i="1"/>
  <c r="K138" i="1"/>
  <c r="K139" i="1"/>
  <c r="K140" i="1"/>
  <c r="K141" i="1"/>
  <c r="F458" i="1"/>
  <c r="F459" i="1"/>
  <c r="K203" i="1"/>
  <c r="K204" i="1"/>
  <c r="K205" i="1"/>
  <c r="K206" i="1"/>
  <c r="K207" i="1"/>
  <c r="K254" i="1"/>
  <c r="K255" i="1"/>
  <c r="K256" i="1"/>
  <c r="K257" i="1"/>
  <c r="K258" i="1"/>
  <c r="K259" i="1"/>
  <c r="K260" i="1"/>
  <c r="K265" i="1"/>
  <c r="K266" i="1"/>
  <c r="K267" i="1"/>
  <c r="K268" i="1"/>
  <c r="K269" i="1"/>
  <c r="K279" i="1"/>
  <c r="K280" i="1"/>
  <c r="K281" i="1"/>
  <c r="K282" i="1"/>
  <c r="K283" i="1"/>
  <c r="K288" i="1"/>
  <c r="K289" i="1"/>
  <c r="K290" i="1"/>
  <c r="K291" i="1"/>
  <c r="K302" i="1"/>
  <c r="K303" i="1"/>
  <c r="K304" i="1"/>
  <c r="K305" i="1"/>
  <c r="K306" i="1"/>
  <c r="K307" i="1"/>
  <c r="K308" i="1"/>
  <c r="K365" i="1"/>
  <c r="K366" i="1"/>
  <c r="K367" i="1"/>
  <c r="K368" i="1"/>
  <c r="K369" i="1"/>
  <c r="L8" i="1"/>
  <c r="L16" i="1" s="1"/>
  <c r="L9" i="1"/>
  <c r="L160" i="1" s="1"/>
  <c r="L10" i="1"/>
  <c r="L186" i="1" s="1"/>
  <c r="L88" i="1"/>
  <c r="L89" i="1"/>
  <c r="L90" i="1"/>
  <c r="L91" i="1"/>
  <c r="L92" i="1"/>
  <c r="L93" i="1"/>
  <c r="L94" i="1"/>
  <c r="L99" i="1"/>
  <c r="L100" i="1"/>
  <c r="L101" i="1"/>
  <c r="L102" i="1"/>
  <c r="L103" i="1"/>
  <c r="L112" i="1"/>
  <c r="L113" i="1"/>
  <c r="L114" i="1"/>
  <c r="L115" i="1"/>
  <c r="L116" i="1"/>
  <c r="L121" i="1"/>
  <c r="L122" i="1"/>
  <c r="L123" i="1"/>
  <c r="L124" i="1"/>
  <c r="L135" i="1"/>
  <c r="L136" i="1"/>
  <c r="L137" i="1"/>
  <c r="L138" i="1"/>
  <c r="L139" i="1"/>
  <c r="L140" i="1"/>
  <c r="L141" i="1"/>
  <c r="L203" i="1"/>
  <c r="L204" i="1"/>
  <c r="L205" i="1"/>
  <c r="L206" i="1"/>
  <c r="L207" i="1"/>
  <c r="L254" i="1"/>
  <c r="L255" i="1"/>
  <c r="L256" i="1"/>
  <c r="L257" i="1"/>
  <c r="L258" i="1"/>
  <c r="L259" i="1"/>
  <c r="L260" i="1"/>
  <c r="L265" i="1"/>
  <c r="L266" i="1"/>
  <c r="L267" i="1"/>
  <c r="L268" i="1"/>
  <c r="L269" i="1"/>
  <c r="L279" i="1"/>
  <c r="L280" i="1"/>
  <c r="L281" i="1"/>
  <c r="L282" i="1"/>
  <c r="L283" i="1"/>
  <c r="L288" i="1"/>
  <c r="L289" i="1"/>
  <c r="L290" i="1"/>
  <c r="L291" i="1"/>
  <c r="L302" i="1"/>
  <c r="L303" i="1"/>
  <c r="L304" i="1"/>
  <c r="L305" i="1"/>
  <c r="L306" i="1"/>
  <c r="L307" i="1"/>
  <c r="L308" i="1"/>
  <c r="L365" i="1"/>
  <c r="L366" i="1"/>
  <c r="L367" i="1"/>
  <c r="L368" i="1"/>
  <c r="L369" i="1"/>
  <c r="M8" i="1"/>
  <c r="M76" i="1" s="1"/>
  <c r="M9" i="1"/>
  <c r="M157" i="1" s="1"/>
  <c r="M10" i="1"/>
  <c r="M169" i="1" s="1"/>
  <c r="M88" i="1"/>
  <c r="M89" i="1"/>
  <c r="M90" i="1"/>
  <c r="M91" i="1"/>
  <c r="M92" i="1"/>
  <c r="M93" i="1"/>
  <c r="M94" i="1"/>
  <c r="M99" i="1"/>
  <c r="M100" i="1"/>
  <c r="M101" i="1"/>
  <c r="M102" i="1"/>
  <c r="M103" i="1"/>
  <c r="M112" i="1"/>
  <c r="M113" i="1"/>
  <c r="M114" i="1"/>
  <c r="M115" i="1"/>
  <c r="M116" i="1"/>
  <c r="M121" i="1"/>
  <c r="M122" i="1"/>
  <c r="M123" i="1"/>
  <c r="M124" i="1"/>
  <c r="M135" i="1"/>
  <c r="M136" i="1"/>
  <c r="M137" i="1"/>
  <c r="M138" i="1"/>
  <c r="M139" i="1"/>
  <c r="M140" i="1"/>
  <c r="M141" i="1"/>
  <c r="M203" i="1"/>
  <c r="M204" i="1"/>
  <c r="M205" i="1"/>
  <c r="M206" i="1"/>
  <c r="M207" i="1"/>
  <c r="M254" i="1"/>
  <c r="M255" i="1"/>
  <c r="M256" i="1"/>
  <c r="M257" i="1"/>
  <c r="M258" i="1"/>
  <c r="M259" i="1"/>
  <c r="M260" i="1"/>
  <c r="M265" i="1"/>
  <c r="M266" i="1"/>
  <c r="M267" i="1"/>
  <c r="M268" i="1"/>
  <c r="M269" i="1"/>
  <c r="M279" i="1"/>
  <c r="M280" i="1"/>
  <c r="M281" i="1"/>
  <c r="M282" i="1"/>
  <c r="M283" i="1"/>
  <c r="M288" i="1"/>
  <c r="M289" i="1"/>
  <c r="M290" i="1"/>
  <c r="M291" i="1"/>
  <c r="M302" i="1"/>
  <c r="M303" i="1"/>
  <c r="M304" i="1"/>
  <c r="M305" i="1"/>
  <c r="M306" i="1"/>
  <c r="M307" i="1"/>
  <c r="M308" i="1"/>
  <c r="M365" i="1"/>
  <c r="M366" i="1"/>
  <c r="M367" i="1"/>
  <c r="M368" i="1"/>
  <c r="M369" i="1"/>
  <c r="O8" i="1"/>
  <c r="O70" i="1" s="1"/>
  <c r="O9" i="1"/>
  <c r="O323" i="1" s="1"/>
  <c r="O10" i="1"/>
  <c r="O347" i="1" s="1"/>
  <c r="O88" i="1"/>
  <c r="O89" i="1"/>
  <c r="O90" i="1"/>
  <c r="O91" i="1"/>
  <c r="O92" i="1"/>
  <c r="O93" i="1"/>
  <c r="O94" i="1"/>
  <c r="O99" i="1"/>
  <c r="O100" i="1"/>
  <c r="O101" i="1"/>
  <c r="O102" i="1"/>
  <c r="O103" i="1"/>
  <c r="O112" i="1"/>
  <c r="O113" i="1"/>
  <c r="O114" i="1"/>
  <c r="O115" i="1"/>
  <c r="O116" i="1"/>
  <c r="O121" i="1"/>
  <c r="O122" i="1"/>
  <c r="O123" i="1"/>
  <c r="O124" i="1"/>
  <c r="O135" i="1"/>
  <c r="O136" i="1"/>
  <c r="O137" i="1"/>
  <c r="O138" i="1"/>
  <c r="O139" i="1"/>
  <c r="O140" i="1"/>
  <c r="O141" i="1"/>
  <c r="O203" i="1"/>
  <c r="O204" i="1"/>
  <c r="O205" i="1"/>
  <c r="O206" i="1"/>
  <c r="O207" i="1"/>
  <c r="O254" i="1"/>
  <c r="O255" i="1"/>
  <c r="O256" i="1"/>
  <c r="O257" i="1"/>
  <c r="O258" i="1"/>
  <c r="O259" i="1"/>
  <c r="O260" i="1"/>
  <c r="O265" i="1"/>
  <c r="O266" i="1"/>
  <c r="O267" i="1"/>
  <c r="O268" i="1"/>
  <c r="O269" i="1"/>
  <c r="O279" i="1"/>
  <c r="O280" i="1"/>
  <c r="O281" i="1"/>
  <c r="O282" i="1"/>
  <c r="O283" i="1"/>
  <c r="O288" i="1"/>
  <c r="O289" i="1"/>
  <c r="O290" i="1"/>
  <c r="O291" i="1"/>
  <c r="O302" i="1"/>
  <c r="O303" i="1"/>
  <c r="O304" i="1"/>
  <c r="O305" i="1"/>
  <c r="O306" i="1"/>
  <c r="O307" i="1"/>
  <c r="O308" i="1"/>
  <c r="O365" i="1"/>
  <c r="O366" i="1"/>
  <c r="O367" i="1"/>
  <c r="O368" i="1"/>
  <c r="O369" i="1"/>
  <c r="P8" i="1"/>
  <c r="P16" i="1" s="1"/>
  <c r="P9" i="1"/>
  <c r="P470" i="1" s="1"/>
  <c r="P10" i="1"/>
  <c r="P185" i="1" s="1"/>
  <c r="P88" i="1"/>
  <c r="P89" i="1"/>
  <c r="P90" i="1"/>
  <c r="P91" i="1"/>
  <c r="P92" i="1"/>
  <c r="P93" i="1"/>
  <c r="P94" i="1"/>
  <c r="P99" i="1"/>
  <c r="P100" i="1"/>
  <c r="P101" i="1"/>
  <c r="P102" i="1"/>
  <c r="P103" i="1"/>
  <c r="P112" i="1"/>
  <c r="P113" i="1"/>
  <c r="P114" i="1"/>
  <c r="P115" i="1"/>
  <c r="P116" i="1"/>
  <c r="P121" i="1"/>
  <c r="P122" i="1"/>
  <c r="P123" i="1"/>
  <c r="P124" i="1"/>
  <c r="P135" i="1"/>
  <c r="P136" i="1"/>
  <c r="P137" i="1"/>
  <c r="P138" i="1"/>
  <c r="P139" i="1"/>
  <c r="P140" i="1"/>
  <c r="P141" i="1"/>
  <c r="P203" i="1"/>
  <c r="P204" i="1"/>
  <c r="P205" i="1"/>
  <c r="P206" i="1"/>
  <c r="P207" i="1"/>
  <c r="P254" i="1"/>
  <c r="P255" i="1"/>
  <c r="P256" i="1"/>
  <c r="P257" i="1"/>
  <c r="P258" i="1"/>
  <c r="P259" i="1"/>
  <c r="P260" i="1"/>
  <c r="P265" i="1"/>
  <c r="P266" i="1"/>
  <c r="P267" i="1"/>
  <c r="P268" i="1"/>
  <c r="P269" i="1"/>
  <c r="P279" i="1"/>
  <c r="P280" i="1"/>
  <c r="P281" i="1"/>
  <c r="P282" i="1"/>
  <c r="P283" i="1"/>
  <c r="P288" i="1"/>
  <c r="P289" i="1"/>
  <c r="P290" i="1"/>
  <c r="P291" i="1"/>
  <c r="P302" i="1"/>
  <c r="P303" i="1"/>
  <c r="P304" i="1"/>
  <c r="P305" i="1"/>
  <c r="P306" i="1"/>
  <c r="P307" i="1"/>
  <c r="P308" i="1"/>
  <c r="P365" i="1"/>
  <c r="P366" i="1"/>
  <c r="P367" i="1"/>
  <c r="P368" i="1"/>
  <c r="P369" i="1"/>
  <c r="Q8" i="1"/>
  <c r="Q416" i="1" s="1"/>
  <c r="Q9" i="1"/>
  <c r="Q41" i="1" s="1"/>
  <c r="Q10" i="1"/>
  <c r="Q188" i="1" s="1"/>
  <c r="Q88" i="1"/>
  <c r="Q89" i="1"/>
  <c r="Q90" i="1"/>
  <c r="Q91" i="1"/>
  <c r="Q92" i="1"/>
  <c r="Q93" i="1"/>
  <c r="Q94" i="1"/>
  <c r="Q99" i="1"/>
  <c r="Q100" i="1"/>
  <c r="Q101" i="1"/>
  <c r="Q102" i="1"/>
  <c r="Q103" i="1"/>
  <c r="Q112" i="1"/>
  <c r="Q113" i="1"/>
  <c r="Q114" i="1"/>
  <c r="Q115" i="1"/>
  <c r="Q116" i="1"/>
  <c r="Q121" i="1"/>
  <c r="Q122" i="1"/>
  <c r="Q123" i="1"/>
  <c r="Q124" i="1"/>
  <c r="Q135" i="1"/>
  <c r="Q136" i="1"/>
  <c r="Q137" i="1"/>
  <c r="Q138" i="1"/>
  <c r="Q139" i="1"/>
  <c r="Q140" i="1"/>
  <c r="Q141" i="1"/>
  <c r="Q203" i="1"/>
  <c r="Q204" i="1"/>
  <c r="Q205" i="1"/>
  <c r="Q206" i="1"/>
  <c r="Q207" i="1"/>
  <c r="Q254" i="1"/>
  <c r="Q255" i="1"/>
  <c r="Q256" i="1"/>
  <c r="Q257" i="1"/>
  <c r="Q258" i="1"/>
  <c r="Q259" i="1"/>
  <c r="Q260" i="1"/>
  <c r="Q265" i="1"/>
  <c r="Q266" i="1"/>
  <c r="Q267" i="1"/>
  <c r="Q268" i="1"/>
  <c r="Q269" i="1"/>
  <c r="Q279" i="1"/>
  <c r="Q280" i="1"/>
  <c r="Q281" i="1"/>
  <c r="Q282" i="1"/>
  <c r="Q283" i="1"/>
  <c r="Q288" i="1"/>
  <c r="Q289" i="1"/>
  <c r="Q290" i="1"/>
  <c r="Q291" i="1"/>
  <c r="Q302" i="1"/>
  <c r="Q303" i="1"/>
  <c r="Q304" i="1"/>
  <c r="Q305" i="1"/>
  <c r="Q306" i="1"/>
  <c r="Q307" i="1"/>
  <c r="Q308" i="1"/>
  <c r="Q365" i="1"/>
  <c r="Q366" i="1"/>
  <c r="Q367" i="1"/>
  <c r="Q368" i="1"/>
  <c r="Q369" i="1"/>
  <c r="S8" i="1"/>
  <c r="S416" i="1" s="1"/>
  <c r="S9" i="1"/>
  <c r="S470" i="1" s="1"/>
  <c r="S10" i="1"/>
  <c r="S185" i="1" s="1"/>
  <c r="S88" i="1"/>
  <c r="S89" i="1"/>
  <c r="S90" i="1"/>
  <c r="S91" i="1"/>
  <c r="S92" i="1"/>
  <c r="S93" i="1"/>
  <c r="S94" i="1"/>
  <c r="S99" i="1"/>
  <c r="S100" i="1"/>
  <c r="S101" i="1"/>
  <c r="S102" i="1"/>
  <c r="S103" i="1"/>
  <c r="S112" i="1"/>
  <c r="S113" i="1"/>
  <c r="S114" i="1"/>
  <c r="S115" i="1"/>
  <c r="S116" i="1"/>
  <c r="S121" i="1"/>
  <c r="S122" i="1"/>
  <c r="S123" i="1"/>
  <c r="S124" i="1"/>
  <c r="S135" i="1"/>
  <c r="S136" i="1"/>
  <c r="S137" i="1"/>
  <c r="S138" i="1"/>
  <c r="S139" i="1"/>
  <c r="S140" i="1"/>
  <c r="S141" i="1"/>
  <c r="S203" i="1"/>
  <c r="S204" i="1"/>
  <c r="S205" i="1"/>
  <c r="S206" i="1"/>
  <c r="S207" i="1"/>
  <c r="S254" i="1"/>
  <c r="S255" i="1"/>
  <c r="S256" i="1"/>
  <c r="S257" i="1"/>
  <c r="S258" i="1"/>
  <c r="S259" i="1"/>
  <c r="S260" i="1"/>
  <c r="S265" i="1"/>
  <c r="S266" i="1"/>
  <c r="S267" i="1"/>
  <c r="S268" i="1"/>
  <c r="S269" i="1"/>
  <c r="S279" i="1"/>
  <c r="S280" i="1"/>
  <c r="S281" i="1"/>
  <c r="S282" i="1"/>
  <c r="S283" i="1"/>
  <c r="S288" i="1"/>
  <c r="S289" i="1"/>
  <c r="S290" i="1"/>
  <c r="S291" i="1"/>
  <c r="S302" i="1"/>
  <c r="S303" i="1"/>
  <c r="S304" i="1"/>
  <c r="S305" i="1"/>
  <c r="S306" i="1"/>
  <c r="S307" i="1"/>
  <c r="S308" i="1"/>
  <c r="S365" i="1"/>
  <c r="S366" i="1"/>
  <c r="S367" i="1"/>
  <c r="S368" i="1"/>
  <c r="S369" i="1"/>
  <c r="T8" i="1"/>
  <c r="T76" i="1" s="1"/>
  <c r="T9" i="1"/>
  <c r="T150" i="1" s="1"/>
  <c r="T10" i="1"/>
  <c r="T332" i="1" s="1"/>
  <c r="T88" i="1"/>
  <c r="T89" i="1"/>
  <c r="T90" i="1"/>
  <c r="T91" i="1"/>
  <c r="T92" i="1"/>
  <c r="T93" i="1"/>
  <c r="T94" i="1"/>
  <c r="T99" i="1"/>
  <c r="T100" i="1"/>
  <c r="T101" i="1"/>
  <c r="T102" i="1"/>
  <c r="T103" i="1"/>
  <c r="T112" i="1"/>
  <c r="T113" i="1"/>
  <c r="T114" i="1"/>
  <c r="T115" i="1"/>
  <c r="T116" i="1"/>
  <c r="T121" i="1"/>
  <c r="T122" i="1"/>
  <c r="T123" i="1"/>
  <c r="T124" i="1"/>
  <c r="T135" i="1"/>
  <c r="T136" i="1"/>
  <c r="T137" i="1"/>
  <c r="T138" i="1"/>
  <c r="T139" i="1"/>
  <c r="T140" i="1"/>
  <c r="T141" i="1"/>
  <c r="T203" i="1"/>
  <c r="T204" i="1"/>
  <c r="T205" i="1"/>
  <c r="T206" i="1"/>
  <c r="T207" i="1"/>
  <c r="T254" i="1"/>
  <c r="T255" i="1"/>
  <c r="T256" i="1"/>
  <c r="T257" i="1"/>
  <c r="T258" i="1"/>
  <c r="T259" i="1"/>
  <c r="T260" i="1"/>
  <c r="T265" i="1"/>
  <c r="T266" i="1"/>
  <c r="T267" i="1"/>
  <c r="T268" i="1"/>
  <c r="T269" i="1"/>
  <c r="T279" i="1"/>
  <c r="T280" i="1"/>
  <c r="T281" i="1"/>
  <c r="T282" i="1"/>
  <c r="T283" i="1"/>
  <c r="T288" i="1"/>
  <c r="T289" i="1"/>
  <c r="T290" i="1"/>
  <c r="T291" i="1"/>
  <c r="T302" i="1"/>
  <c r="T303" i="1"/>
  <c r="T304" i="1"/>
  <c r="T305" i="1"/>
  <c r="T306" i="1"/>
  <c r="T307" i="1"/>
  <c r="T308" i="1"/>
  <c r="T365" i="1"/>
  <c r="T366" i="1"/>
  <c r="T367" i="1"/>
  <c r="T368" i="1"/>
  <c r="T369" i="1"/>
  <c r="U8" i="1"/>
  <c r="U25" i="1" s="1"/>
  <c r="U9" i="1"/>
  <c r="U150" i="1" s="1"/>
  <c r="U10" i="1"/>
  <c r="U335" i="1" s="1"/>
  <c r="U88" i="1"/>
  <c r="U89" i="1"/>
  <c r="U90" i="1"/>
  <c r="U91" i="1"/>
  <c r="U92" i="1"/>
  <c r="U93" i="1"/>
  <c r="U94" i="1"/>
  <c r="U99" i="1"/>
  <c r="U100" i="1"/>
  <c r="U101" i="1"/>
  <c r="U102" i="1"/>
  <c r="U103" i="1"/>
  <c r="U112" i="1"/>
  <c r="U113" i="1"/>
  <c r="U114" i="1"/>
  <c r="U115" i="1"/>
  <c r="U116" i="1"/>
  <c r="U121" i="1"/>
  <c r="U122" i="1"/>
  <c r="U123" i="1"/>
  <c r="U124" i="1"/>
  <c r="U135" i="1"/>
  <c r="U136" i="1"/>
  <c r="U137" i="1"/>
  <c r="U138" i="1"/>
  <c r="U139" i="1"/>
  <c r="U140" i="1"/>
  <c r="U141" i="1"/>
  <c r="U203" i="1"/>
  <c r="U204" i="1"/>
  <c r="U205" i="1"/>
  <c r="U206" i="1"/>
  <c r="U207" i="1"/>
  <c r="U254" i="1"/>
  <c r="U255" i="1"/>
  <c r="U256" i="1"/>
  <c r="U257" i="1"/>
  <c r="U258" i="1"/>
  <c r="U259" i="1"/>
  <c r="U260" i="1"/>
  <c r="U265" i="1"/>
  <c r="U266" i="1"/>
  <c r="U267" i="1"/>
  <c r="U268" i="1"/>
  <c r="U269" i="1"/>
  <c r="U279" i="1"/>
  <c r="U280" i="1"/>
  <c r="U281" i="1"/>
  <c r="U282" i="1"/>
  <c r="U283" i="1"/>
  <c r="U288" i="1"/>
  <c r="U289" i="1"/>
  <c r="U290" i="1"/>
  <c r="U291" i="1"/>
  <c r="U302" i="1"/>
  <c r="U303" i="1"/>
  <c r="U304" i="1"/>
  <c r="U305" i="1"/>
  <c r="U306" i="1"/>
  <c r="U307" i="1"/>
  <c r="U308" i="1"/>
  <c r="U365" i="1"/>
  <c r="U366" i="1"/>
  <c r="U367" i="1"/>
  <c r="U368" i="1"/>
  <c r="U369" i="1"/>
  <c r="V8" i="1"/>
  <c r="V415" i="1" s="1"/>
  <c r="V9" i="1"/>
  <c r="V318" i="1" s="1"/>
  <c r="V10" i="1"/>
  <c r="V352" i="1" s="1"/>
  <c r="V88" i="1"/>
  <c r="V89" i="1"/>
  <c r="V90" i="1"/>
  <c r="V91" i="1"/>
  <c r="V92" i="1"/>
  <c r="V93" i="1"/>
  <c r="V94" i="1"/>
  <c r="V99" i="1"/>
  <c r="V100" i="1"/>
  <c r="V101" i="1"/>
  <c r="V102" i="1"/>
  <c r="V103" i="1"/>
  <c r="V112" i="1"/>
  <c r="V113" i="1"/>
  <c r="V114" i="1"/>
  <c r="V115" i="1"/>
  <c r="V116" i="1"/>
  <c r="V121" i="1"/>
  <c r="V122" i="1"/>
  <c r="V123" i="1"/>
  <c r="V124" i="1"/>
  <c r="V135" i="1"/>
  <c r="V136" i="1"/>
  <c r="V137" i="1"/>
  <c r="V138" i="1"/>
  <c r="V139" i="1"/>
  <c r="V140" i="1"/>
  <c r="V141" i="1"/>
  <c r="V203" i="1"/>
  <c r="V204" i="1"/>
  <c r="V205" i="1"/>
  <c r="V206" i="1"/>
  <c r="V207" i="1"/>
  <c r="V254" i="1"/>
  <c r="V255" i="1"/>
  <c r="V256" i="1"/>
  <c r="V257" i="1"/>
  <c r="V258" i="1"/>
  <c r="V259" i="1"/>
  <c r="V260" i="1"/>
  <c r="V265" i="1"/>
  <c r="V266" i="1"/>
  <c r="V267" i="1"/>
  <c r="V268" i="1"/>
  <c r="V269" i="1"/>
  <c r="V279" i="1"/>
  <c r="V280" i="1"/>
  <c r="V281" i="1"/>
  <c r="V282" i="1"/>
  <c r="V283" i="1"/>
  <c r="V288" i="1"/>
  <c r="V289" i="1"/>
  <c r="V290" i="1"/>
  <c r="V291" i="1"/>
  <c r="V302" i="1"/>
  <c r="V303" i="1"/>
  <c r="V304" i="1"/>
  <c r="V305" i="1"/>
  <c r="V306" i="1"/>
  <c r="V307" i="1"/>
  <c r="V308" i="1"/>
  <c r="V365" i="1"/>
  <c r="V366" i="1"/>
  <c r="V367" i="1"/>
  <c r="V368" i="1"/>
  <c r="V369" i="1"/>
  <c r="W8" i="1"/>
  <c r="W420" i="1" s="1"/>
  <c r="W9" i="1"/>
  <c r="W314" i="1" s="1"/>
  <c r="W10" i="1"/>
  <c r="W171" i="1" s="1"/>
  <c r="W88" i="1"/>
  <c r="W89" i="1"/>
  <c r="W90" i="1"/>
  <c r="W91" i="1"/>
  <c r="W92" i="1"/>
  <c r="W93" i="1"/>
  <c r="W94" i="1"/>
  <c r="W99" i="1"/>
  <c r="W100" i="1"/>
  <c r="W101" i="1"/>
  <c r="W102" i="1"/>
  <c r="W103" i="1"/>
  <c r="W112" i="1"/>
  <c r="W113" i="1"/>
  <c r="W114" i="1"/>
  <c r="W115" i="1"/>
  <c r="W116" i="1"/>
  <c r="W121" i="1"/>
  <c r="W122" i="1"/>
  <c r="W123" i="1"/>
  <c r="W124" i="1"/>
  <c r="W135" i="1"/>
  <c r="W136" i="1"/>
  <c r="W137" i="1"/>
  <c r="W138" i="1"/>
  <c r="W139" i="1"/>
  <c r="W140" i="1"/>
  <c r="W141" i="1"/>
  <c r="W203" i="1"/>
  <c r="W204" i="1"/>
  <c r="W205" i="1"/>
  <c r="W206" i="1"/>
  <c r="W207" i="1"/>
  <c r="W254" i="1"/>
  <c r="W255" i="1"/>
  <c r="W256" i="1"/>
  <c r="W257" i="1"/>
  <c r="W258" i="1"/>
  <c r="W259" i="1"/>
  <c r="W260" i="1"/>
  <c r="W265" i="1"/>
  <c r="W266" i="1"/>
  <c r="W267" i="1"/>
  <c r="W268" i="1"/>
  <c r="W269" i="1"/>
  <c r="W279" i="1"/>
  <c r="W280" i="1"/>
  <c r="W281" i="1"/>
  <c r="W282" i="1"/>
  <c r="W283" i="1"/>
  <c r="W288" i="1"/>
  <c r="W289" i="1"/>
  <c r="W290" i="1"/>
  <c r="W291" i="1"/>
  <c r="W302" i="1"/>
  <c r="W303" i="1"/>
  <c r="W304" i="1"/>
  <c r="W305" i="1"/>
  <c r="W306" i="1"/>
  <c r="W307" i="1"/>
  <c r="W308" i="1"/>
  <c r="W365" i="1"/>
  <c r="W366" i="1"/>
  <c r="W367" i="1"/>
  <c r="W368" i="1"/>
  <c r="W369" i="1"/>
  <c r="X8" i="1"/>
  <c r="X70" i="1" s="1"/>
  <c r="X9" i="1"/>
  <c r="X324" i="1" s="1"/>
  <c r="X10" i="1"/>
  <c r="X333" i="1" s="1"/>
  <c r="X88" i="1"/>
  <c r="X89" i="1"/>
  <c r="X90" i="1"/>
  <c r="X91" i="1"/>
  <c r="X92" i="1"/>
  <c r="X93" i="1"/>
  <c r="X94" i="1"/>
  <c r="X99" i="1"/>
  <c r="X100" i="1"/>
  <c r="X101" i="1"/>
  <c r="X102" i="1"/>
  <c r="X103" i="1"/>
  <c r="X112" i="1"/>
  <c r="X113" i="1"/>
  <c r="X114" i="1"/>
  <c r="X115" i="1"/>
  <c r="X116" i="1"/>
  <c r="X121" i="1"/>
  <c r="X122" i="1"/>
  <c r="X123" i="1"/>
  <c r="X124" i="1"/>
  <c r="X135" i="1"/>
  <c r="X136" i="1"/>
  <c r="X137" i="1"/>
  <c r="X138" i="1"/>
  <c r="X139" i="1"/>
  <c r="X140" i="1"/>
  <c r="X141" i="1"/>
  <c r="X203" i="1"/>
  <c r="X204" i="1"/>
  <c r="X205" i="1"/>
  <c r="X206" i="1"/>
  <c r="X207" i="1"/>
  <c r="X254" i="1"/>
  <c r="X255" i="1"/>
  <c r="X256" i="1"/>
  <c r="X257" i="1"/>
  <c r="X258" i="1"/>
  <c r="X259" i="1"/>
  <c r="X260" i="1"/>
  <c r="X265" i="1"/>
  <c r="X266" i="1"/>
  <c r="X267" i="1"/>
  <c r="X268" i="1"/>
  <c r="X269" i="1"/>
  <c r="X279" i="1"/>
  <c r="X280" i="1"/>
  <c r="X281" i="1"/>
  <c r="X282" i="1"/>
  <c r="X283" i="1"/>
  <c r="X288" i="1"/>
  <c r="X289" i="1"/>
  <c r="X290" i="1"/>
  <c r="X291" i="1"/>
  <c r="X302" i="1"/>
  <c r="X303" i="1"/>
  <c r="X304" i="1"/>
  <c r="X305" i="1"/>
  <c r="X306" i="1"/>
  <c r="X307" i="1"/>
  <c r="X308" i="1"/>
  <c r="X365" i="1"/>
  <c r="X366" i="1"/>
  <c r="X367" i="1"/>
  <c r="X368" i="1"/>
  <c r="X369" i="1"/>
  <c r="Y8" i="1"/>
  <c r="Y421" i="1" s="1"/>
  <c r="Y9" i="1"/>
  <c r="Y154" i="1" s="1"/>
  <c r="Y10" i="1"/>
  <c r="Y174" i="1" s="1"/>
  <c r="Y88" i="1"/>
  <c r="Y89" i="1"/>
  <c r="Y90" i="1"/>
  <c r="Y91" i="1"/>
  <c r="Y92" i="1"/>
  <c r="Y93" i="1"/>
  <c r="Y94" i="1"/>
  <c r="Y99" i="1"/>
  <c r="Y100" i="1"/>
  <c r="Y101" i="1"/>
  <c r="Y102" i="1"/>
  <c r="Y103" i="1"/>
  <c r="Y112" i="1"/>
  <c r="Y113" i="1"/>
  <c r="Y114" i="1"/>
  <c r="Y115" i="1"/>
  <c r="Y116" i="1"/>
  <c r="Y121" i="1"/>
  <c r="Y122" i="1"/>
  <c r="Y123" i="1"/>
  <c r="Y124" i="1"/>
  <c r="Y135" i="1"/>
  <c r="Y136" i="1"/>
  <c r="Y137" i="1"/>
  <c r="Y138" i="1"/>
  <c r="Y139" i="1"/>
  <c r="Y140" i="1"/>
  <c r="Y141" i="1"/>
  <c r="Y203" i="1"/>
  <c r="Y204" i="1"/>
  <c r="Y205" i="1"/>
  <c r="Y206" i="1"/>
  <c r="Y207" i="1"/>
  <c r="Y254" i="1"/>
  <c r="Y255" i="1"/>
  <c r="Y256" i="1"/>
  <c r="Y257" i="1"/>
  <c r="Y258" i="1"/>
  <c r="Y259" i="1"/>
  <c r="Y260" i="1"/>
  <c r="Y265" i="1"/>
  <c r="Y266" i="1"/>
  <c r="Y267" i="1"/>
  <c r="Y268" i="1"/>
  <c r="Y269" i="1"/>
  <c r="Y279" i="1"/>
  <c r="Y280" i="1"/>
  <c r="Y281" i="1"/>
  <c r="Y282" i="1"/>
  <c r="Y283" i="1"/>
  <c r="Y288" i="1"/>
  <c r="Y289" i="1"/>
  <c r="Y290" i="1"/>
  <c r="Y291" i="1"/>
  <c r="Y302" i="1"/>
  <c r="Y303" i="1"/>
  <c r="Y304" i="1"/>
  <c r="Y305" i="1"/>
  <c r="Y306" i="1"/>
  <c r="Y307" i="1"/>
  <c r="Y308" i="1"/>
  <c r="Y365" i="1"/>
  <c r="Y366" i="1"/>
  <c r="Y367" i="1"/>
  <c r="Y368" i="1"/>
  <c r="Y369" i="1"/>
  <c r="Z8" i="1"/>
  <c r="Z16" i="1" s="1"/>
  <c r="Z9" i="1"/>
  <c r="Z319" i="1" s="1"/>
  <c r="Z10" i="1"/>
  <c r="Z338" i="1" s="1"/>
  <c r="Z88" i="1"/>
  <c r="Z89" i="1"/>
  <c r="Z90" i="1"/>
  <c r="Z91" i="1"/>
  <c r="Z92" i="1"/>
  <c r="Z93" i="1"/>
  <c r="Z94" i="1"/>
  <c r="Z99" i="1"/>
  <c r="Z100" i="1"/>
  <c r="Z101" i="1"/>
  <c r="Z102" i="1"/>
  <c r="Z103" i="1"/>
  <c r="Z112" i="1"/>
  <c r="Z113" i="1"/>
  <c r="Z114" i="1"/>
  <c r="Z115" i="1"/>
  <c r="Z116" i="1"/>
  <c r="Z121" i="1"/>
  <c r="Z122" i="1"/>
  <c r="Z123" i="1"/>
  <c r="Z124" i="1"/>
  <c r="Z135" i="1"/>
  <c r="Z136" i="1"/>
  <c r="Z137" i="1"/>
  <c r="Z138" i="1"/>
  <c r="Z139" i="1"/>
  <c r="Z140" i="1"/>
  <c r="Z141" i="1"/>
  <c r="Z203" i="1"/>
  <c r="Z204" i="1"/>
  <c r="Z205" i="1"/>
  <c r="Z206" i="1"/>
  <c r="Z207" i="1"/>
  <c r="Z254" i="1"/>
  <c r="Z255" i="1"/>
  <c r="Z256" i="1"/>
  <c r="Z257" i="1"/>
  <c r="Z258" i="1"/>
  <c r="Z259" i="1"/>
  <c r="Z260" i="1"/>
  <c r="Z265" i="1"/>
  <c r="Z266" i="1"/>
  <c r="Z267" i="1"/>
  <c r="Z268" i="1"/>
  <c r="Z269" i="1"/>
  <c r="Z279" i="1"/>
  <c r="Z280" i="1"/>
  <c r="Z281" i="1"/>
  <c r="Z282" i="1"/>
  <c r="Z283" i="1"/>
  <c r="Z288" i="1"/>
  <c r="Z289" i="1"/>
  <c r="Z290" i="1"/>
  <c r="Z291" i="1"/>
  <c r="Z302" i="1"/>
  <c r="Z303" i="1"/>
  <c r="Z304" i="1"/>
  <c r="Z305" i="1"/>
  <c r="Z306" i="1"/>
  <c r="Z307" i="1"/>
  <c r="Z308" i="1"/>
  <c r="Z365" i="1"/>
  <c r="Z366" i="1"/>
  <c r="Z367" i="1"/>
  <c r="Z368" i="1"/>
  <c r="Z369" i="1"/>
  <c r="AA8" i="1"/>
  <c r="AA416" i="1" s="1"/>
  <c r="AA9" i="1"/>
  <c r="AA315" i="1" s="1"/>
  <c r="AA10" i="1"/>
  <c r="AA192" i="1" s="1"/>
  <c r="AA88" i="1"/>
  <c r="AA89" i="1"/>
  <c r="AA90" i="1"/>
  <c r="AA91" i="1"/>
  <c r="AA92" i="1"/>
  <c r="AA93" i="1"/>
  <c r="AA94" i="1"/>
  <c r="AA99" i="1"/>
  <c r="AA100" i="1"/>
  <c r="AA101" i="1"/>
  <c r="AA102" i="1"/>
  <c r="AA103" i="1"/>
  <c r="AA112" i="1"/>
  <c r="AA113" i="1"/>
  <c r="AA114" i="1"/>
  <c r="AA115" i="1"/>
  <c r="AA116" i="1"/>
  <c r="AA121" i="1"/>
  <c r="AA122" i="1"/>
  <c r="AA123" i="1"/>
  <c r="AA124" i="1"/>
  <c r="AA135" i="1"/>
  <c r="AA136" i="1"/>
  <c r="AA137" i="1"/>
  <c r="AA138" i="1"/>
  <c r="AA139" i="1"/>
  <c r="AA140" i="1"/>
  <c r="AA141" i="1"/>
  <c r="AA203" i="1"/>
  <c r="AA204" i="1"/>
  <c r="AA205" i="1"/>
  <c r="AA206" i="1"/>
  <c r="AA207" i="1"/>
  <c r="AA254" i="1"/>
  <c r="AA255" i="1"/>
  <c r="AA256" i="1"/>
  <c r="AA257" i="1"/>
  <c r="AA258" i="1"/>
  <c r="AA259" i="1"/>
  <c r="AA260" i="1"/>
  <c r="AA265" i="1"/>
  <c r="AA266" i="1"/>
  <c r="AA267" i="1"/>
  <c r="AA268" i="1"/>
  <c r="AA269" i="1"/>
  <c r="AA279" i="1"/>
  <c r="AA280" i="1"/>
  <c r="AA281" i="1"/>
  <c r="AA282" i="1"/>
  <c r="AA283" i="1"/>
  <c r="AA288" i="1"/>
  <c r="AA289" i="1"/>
  <c r="AA290" i="1"/>
  <c r="AA291" i="1"/>
  <c r="AA302" i="1"/>
  <c r="AA303" i="1"/>
  <c r="AA304" i="1"/>
  <c r="AA305" i="1"/>
  <c r="AA306" i="1"/>
  <c r="AA307" i="1"/>
  <c r="AA308" i="1"/>
  <c r="AA365" i="1"/>
  <c r="AA366" i="1"/>
  <c r="AA367" i="1"/>
  <c r="AA368" i="1"/>
  <c r="AA369" i="1"/>
  <c r="AB8" i="1"/>
  <c r="AB16" i="1" s="1"/>
  <c r="AB9" i="1"/>
  <c r="AB317" i="1" s="1"/>
  <c r="AB10" i="1"/>
  <c r="AB177" i="1" s="1"/>
  <c r="AB88" i="1"/>
  <c r="AB89" i="1"/>
  <c r="AB90" i="1"/>
  <c r="AB91" i="1"/>
  <c r="AB92" i="1"/>
  <c r="AB93" i="1"/>
  <c r="AB94" i="1"/>
  <c r="AB99" i="1"/>
  <c r="AB100" i="1"/>
  <c r="AB101" i="1"/>
  <c r="AB102" i="1"/>
  <c r="AB103" i="1"/>
  <c r="AB112" i="1"/>
  <c r="AB113" i="1"/>
  <c r="AB114" i="1"/>
  <c r="AB115" i="1"/>
  <c r="AB116" i="1"/>
  <c r="AB121" i="1"/>
  <c r="AB122" i="1"/>
  <c r="AB123" i="1"/>
  <c r="AB124" i="1"/>
  <c r="AB135" i="1"/>
  <c r="AB136" i="1"/>
  <c r="AB137" i="1"/>
  <c r="AB138" i="1"/>
  <c r="AB139" i="1"/>
  <c r="AB140" i="1"/>
  <c r="AB141" i="1"/>
  <c r="AB203" i="1"/>
  <c r="AB204" i="1"/>
  <c r="AB205" i="1"/>
  <c r="AB206" i="1"/>
  <c r="AB207" i="1"/>
  <c r="AB254" i="1"/>
  <c r="AB255" i="1"/>
  <c r="AB256" i="1"/>
  <c r="AB257" i="1"/>
  <c r="AB258" i="1"/>
  <c r="AB259" i="1"/>
  <c r="AB260" i="1"/>
  <c r="AB265" i="1"/>
  <c r="AB266" i="1"/>
  <c r="AB267" i="1"/>
  <c r="AB268" i="1"/>
  <c r="AB269" i="1"/>
  <c r="AB279" i="1"/>
  <c r="AB280" i="1"/>
  <c r="AB281" i="1"/>
  <c r="AB282" i="1"/>
  <c r="AB283" i="1"/>
  <c r="AB288" i="1"/>
  <c r="AB289" i="1"/>
  <c r="AB290" i="1"/>
  <c r="AB291" i="1"/>
  <c r="AB302" i="1"/>
  <c r="AB303" i="1"/>
  <c r="AB304" i="1"/>
  <c r="AB305" i="1"/>
  <c r="AB306" i="1"/>
  <c r="AB307" i="1"/>
  <c r="AB308" i="1"/>
  <c r="AB365" i="1"/>
  <c r="AB366" i="1"/>
  <c r="AB367" i="1"/>
  <c r="AB368" i="1"/>
  <c r="AB369" i="1"/>
  <c r="AC8" i="1"/>
  <c r="AC420" i="1" s="1"/>
  <c r="AC9" i="1"/>
  <c r="AC150" i="1" s="1"/>
  <c r="AC10" i="1"/>
  <c r="AC335" i="1" s="1"/>
  <c r="AC88" i="1"/>
  <c r="AC89" i="1"/>
  <c r="AC90" i="1"/>
  <c r="AC91" i="1"/>
  <c r="AC92" i="1"/>
  <c r="AC93" i="1"/>
  <c r="AC94" i="1"/>
  <c r="AC99" i="1"/>
  <c r="AC100" i="1"/>
  <c r="AC101" i="1"/>
  <c r="AC102" i="1"/>
  <c r="AC103" i="1"/>
  <c r="AC112" i="1"/>
  <c r="AC113" i="1"/>
  <c r="AC114" i="1"/>
  <c r="AC115" i="1"/>
  <c r="AC116" i="1"/>
  <c r="AC121" i="1"/>
  <c r="AC122" i="1"/>
  <c r="AC123" i="1"/>
  <c r="AC124" i="1"/>
  <c r="AC135" i="1"/>
  <c r="AC136" i="1"/>
  <c r="AC137" i="1"/>
  <c r="AC138" i="1"/>
  <c r="AC139" i="1"/>
  <c r="AC140" i="1"/>
  <c r="AC141" i="1"/>
  <c r="AC203" i="1"/>
  <c r="AC204" i="1"/>
  <c r="AC205" i="1"/>
  <c r="AC206" i="1"/>
  <c r="AC207" i="1"/>
  <c r="AC254" i="1"/>
  <c r="AC255" i="1"/>
  <c r="AC256" i="1"/>
  <c r="AC257" i="1"/>
  <c r="AC258" i="1"/>
  <c r="AC259" i="1"/>
  <c r="AC260" i="1"/>
  <c r="AC265" i="1"/>
  <c r="AC266" i="1"/>
  <c r="AC267" i="1"/>
  <c r="AC268" i="1"/>
  <c r="AC269" i="1"/>
  <c r="AC279" i="1"/>
  <c r="AC280" i="1"/>
  <c r="AC281" i="1"/>
  <c r="AC282" i="1"/>
  <c r="AC283" i="1"/>
  <c r="AC288" i="1"/>
  <c r="AC289" i="1"/>
  <c r="AC290" i="1"/>
  <c r="AC291" i="1"/>
  <c r="AC302" i="1"/>
  <c r="AC303" i="1"/>
  <c r="AC304" i="1"/>
  <c r="AC305" i="1"/>
  <c r="AC306" i="1"/>
  <c r="AC307" i="1"/>
  <c r="AC308" i="1"/>
  <c r="AC365" i="1"/>
  <c r="AC366" i="1"/>
  <c r="AC367" i="1"/>
  <c r="AC368" i="1"/>
  <c r="AC369" i="1"/>
  <c r="AD8" i="1"/>
  <c r="AD76" i="1" s="1"/>
  <c r="AD9" i="1"/>
  <c r="AD315" i="1" s="1"/>
  <c r="AD10" i="1"/>
  <c r="AD177" i="1" s="1"/>
  <c r="AD88" i="1"/>
  <c r="AD89" i="1"/>
  <c r="AD90" i="1"/>
  <c r="AD91" i="1"/>
  <c r="AD92" i="1"/>
  <c r="AD93" i="1"/>
  <c r="AD94" i="1"/>
  <c r="AD99" i="1"/>
  <c r="AD100" i="1"/>
  <c r="AD101" i="1"/>
  <c r="AD102" i="1"/>
  <c r="AD103" i="1"/>
  <c r="AD112" i="1"/>
  <c r="AD113" i="1"/>
  <c r="AD114" i="1"/>
  <c r="AD115" i="1"/>
  <c r="AD116" i="1"/>
  <c r="AD121" i="1"/>
  <c r="AD122" i="1"/>
  <c r="AD123" i="1"/>
  <c r="AD124" i="1"/>
  <c r="AD135" i="1"/>
  <c r="AD136" i="1"/>
  <c r="AD137" i="1"/>
  <c r="AD138" i="1"/>
  <c r="AD139" i="1"/>
  <c r="AD140" i="1"/>
  <c r="AD141" i="1"/>
  <c r="AD203" i="1"/>
  <c r="AD204" i="1"/>
  <c r="AD205" i="1"/>
  <c r="AD206" i="1"/>
  <c r="AD207" i="1"/>
  <c r="AD254" i="1"/>
  <c r="AD255" i="1"/>
  <c r="AD256" i="1"/>
  <c r="AD257" i="1"/>
  <c r="AD258" i="1"/>
  <c r="AD259" i="1"/>
  <c r="AD260" i="1"/>
  <c r="AD265" i="1"/>
  <c r="AD266" i="1"/>
  <c r="AD267" i="1"/>
  <c r="AD268" i="1"/>
  <c r="AD269" i="1"/>
  <c r="AD279" i="1"/>
  <c r="AD280" i="1"/>
  <c r="AD281" i="1"/>
  <c r="AD282" i="1"/>
  <c r="AD283" i="1"/>
  <c r="AD288" i="1"/>
  <c r="AD289" i="1"/>
  <c r="AD290" i="1"/>
  <c r="AD291" i="1"/>
  <c r="AD302" i="1"/>
  <c r="AD303" i="1"/>
  <c r="AD304" i="1"/>
  <c r="AD305" i="1"/>
  <c r="AD306" i="1"/>
  <c r="AD307" i="1"/>
  <c r="AD308" i="1"/>
  <c r="AD365" i="1"/>
  <c r="AD366" i="1"/>
  <c r="AD367" i="1"/>
  <c r="AD368" i="1"/>
  <c r="AD369" i="1"/>
  <c r="AF8" i="1"/>
  <c r="AF16" i="1" s="1"/>
  <c r="AF9" i="1"/>
  <c r="AF315" i="1" s="1"/>
  <c r="AF10" i="1"/>
  <c r="AF348" i="1" s="1"/>
  <c r="AF88" i="1"/>
  <c r="AF89" i="1"/>
  <c r="AF90" i="1"/>
  <c r="AF91" i="1"/>
  <c r="AF92" i="1"/>
  <c r="AF93" i="1"/>
  <c r="AF94" i="1"/>
  <c r="AF99" i="1"/>
  <c r="AF100" i="1"/>
  <c r="AF101" i="1"/>
  <c r="AF102" i="1"/>
  <c r="AF103" i="1"/>
  <c r="AF112" i="1"/>
  <c r="AF113" i="1"/>
  <c r="AF114" i="1"/>
  <c r="AF115" i="1"/>
  <c r="AF116" i="1"/>
  <c r="AF121" i="1"/>
  <c r="AF122" i="1"/>
  <c r="AF123" i="1"/>
  <c r="AF124" i="1"/>
  <c r="AF135" i="1"/>
  <c r="AF136" i="1"/>
  <c r="AF137" i="1"/>
  <c r="AF138" i="1"/>
  <c r="AF139" i="1"/>
  <c r="AF140" i="1"/>
  <c r="AF141" i="1"/>
  <c r="AF203" i="1"/>
  <c r="AF204" i="1"/>
  <c r="AF205" i="1"/>
  <c r="AF206" i="1"/>
  <c r="AF207" i="1"/>
  <c r="AF254" i="1"/>
  <c r="AF255" i="1"/>
  <c r="AF256" i="1"/>
  <c r="AF257" i="1"/>
  <c r="AF258" i="1"/>
  <c r="AF259" i="1"/>
  <c r="AF260" i="1"/>
  <c r="AF265" i="1"/>
  <c r="AF266" i="1"/>
  <c r="AF267" i="1"/>
  <c r="AF268" i="1"/>
  <c r="AF269" i="1"/>
  <c r="AF279" i="1"/>
  <c r="AF280" i="1"/>
  <c r="AF281" i="1"/>
  <c r="AF282" i="1"/>
  <c r="AF283" i="1"/>
  <c r="AF288" i="1"/>
  <c r="AF289" i="1"/>
  <c r="AF290" i="1"/>
  <c r="AF291" i="1"/>
  <c r="AF302" i="1"/>
  <c r="AF303" i="1"/>
  <c r="AF304" i="1"/>
  <c r="AF305" i="1"/>
  <c r="AF306" i="1"/>
  <c r="AF307" i="1"/>
  <c r="AF308" i="1"/>
  <c r="AF365" i="1"/>
  <c r="AF366" i="1"/>
  <c r="AF367" i="1"/>
  <c r="AF368" i="1"/>
  <c r="AF369" i="1"/>
  <c r="AH8" i="1"/>
  <c r="AH420" i="1" s="1"/>
  <c r="AH9" i="1"/>
  <c r="AH313" i="1" s="1"/>
  <c r="AH10" i="1"/>
  <c r="AH173" i="1" s="1"/>
  <c r="AH88" i="1"/>
  <c r="AH89" i="1"/>
  <c r="AH90" i="1"/>
  <c r="AH91" i="1"/>
  <c r="AH92" i="1"/>
  <c r="AH93" i="1"/>
  <c r="AH94" i="1"/>
  <c r="AH99" i="1"/>
  <c r="AH100" i="1"/>
  <c r="AH101" i="1"/>
  <c r="AH102" i="1"/>
  <c r="AH103" i="1"/>
  <c r="AH112" i="1"/>
  <c r="AH113" i="1"/>
  <c r="AH114" i="1"/>
  <c r="AH115" i="1"/>
  <c r="AH116" i="1"/>
  <c r="AH121" i="1"/>
  <c r="AH122" i="1"/>
  <c r="AH123" i="1"/>
  <c r="AH124" i="1"/>
  <c r="AH135" i="1"/>
  <c r="AH136" i="1"/>
  <c r="AH137" i="1"/>
  <c r="AH138" i="1"/>
  <c r="AH139" i="1"/>
  <c r="AH140" i="1"/>
  <c r="AH141" i="1"/>
  <c r="AH203" i="1"/>
  <c r="AH204" i="1"/>
  <c r="AH205" i="1"/>
  <c r="AH206" i="1"/>
  <c r="AH207" i="1"/>
  <c r="AH254" i="1"/>
  <c r="AH255" i="1"/>
  <c r="AH256" i="1"/>
  <c r="AH257" i="1"/>
  <c r="AH258" i="1"/>
  <c r="AH259" i="1"/>
  <c r="AH260" i="1"/>
  <c r="AH265" i="1"/>
  <c r="AH266" i="1"/>
  <c r="AH267" i="1"/>
  <c r="AH268" i="1"/>
  <c r="AH269" i="1"/>
  <c r="AH279" i="1"/>
  <c r="AH280" i="1"/>
  <c r="AH281" i="1"/>
  <c r="AH282" i="1"/>
  <c r="AH283" i="1"/>
  <c r="AH288" i="1"/>
  <c r="AH289" i="1"/>
  <c r="AH290" i="1"/>
  <c r="AH291" i="1"/>
  <c r="AH302" i="1"/>
  <c r="AH303" i="1"/>
  <c r="AH304" i="1"/>
  <c r="AH305" i="1"/>
  <c r="AH306" i="1"/>
  <c r="AH307" i="1"/>
  <c r="AH308" i="1"/>
  <c r="AH365" i="1"/>
  <c r="AH366" i="1"/>
  <c r="AH367" i="1"/>
  <c r="AH368" i="1"/>
  <c r="AH369" i="1"/>
  <c r="AJ8" i="1"/>
  <c r="AJ416" i="1" s="1"/>
  <c r="AJ9" i="1"/>
  <c r="AJ317" i="1" s="1"/>
  <c r="AJ10" i="1"/>
  <c r="AJ187" i="1" s="1"/>
  <c r="AJ88" i="1"/>
  <c r="AJ89" i="1"/>
  <c r="AJ90" i="1"/>
  <c r="AJ91" i="1"/>
  <c r="AJ92" i="1"/>
  <c r="AJ93" i="1"/>
  <c r="AJ94" i="1"/>
  <c r="AJ99" i="1"/>
  <c r="AJ100" i="1"/>
  <c r="AJ101" i="1"/>
  <c r="AJ102" i="1"/>
  <c r="AJ103" i="1"/>
  <c r="AJ112" i="1"/>
  <c r="AJ113" i="1"/>
  <c r="AJ114" i="1"/>
  <c r="AJ115" i="1"/>
  <c r="AJ116" i="1"/>
  <c r="AJ121" i="1"/>
  <c r="AJ122" i="1"/>
  <c r="AJ123" i="1"/>
  <c r="AJ124" i="1"/>
  <c r="AJ135" i="1"/>
  <c r="AJ136" i="1"/>
  <c r="AJ137" i="1"/>
  <c r="AJ138" i="1"/>
  <c r="AJ139" i="1"/>
  <c r="AJ140" i="1"/>
  <c r="AJ141" i="1"/>
  <c r="AJ203" i="1"/>
  <c r="AJ204" i="1"/>
  <c r="AJ205" i="1"/>
  <c r="AJ206" i="1"/>
  <c r="AJ207" i="1"/>
  <c r="AJ254" i="1"/>
  <c r="AJ255" i="1"/>
  <c r="AJ256" i="1"/>
  <c r="AJ257" i="1"/>
  <c r="AJ258" i="1"/>
  <c r="AJ259" i="1"/>
  <c r="AJ260" i="1"/>
  <c r="AJ265" i="1"/>
  <c r="AJ266" i="1"/>
  <c r="AJ267" i="1"/>
  <c r="AJ268" i="1"/>
  <c r="AJ269" i="1"/>
  <c r="AJ279" i="1"/>
  <c r="AJ280" i="1"/>
  <c r="AJ281" i="1"/>
  <c r="AJ282" i="1"/>
  <c r="AJ283" i="1"/>
  <c r="AJ288" i="1"/>
  <c r="AJ289" i="1"/>
  <c r="AJ290" i="1"/>
  <c r="AJ291" i="1"/>
  <c r="AJ302" i="1"/>
  <c r="AJ303" i="1"/>
  <c r="AJ304" i="1"/>
  <c r="AJ305" i="1"/>
  <c r="AJ306" i="1"/>
  <c r="AJ307" i="1"/>
  <c r="AJ308" i="1"/>
  <c r="AJ365" i="1"/>
  <c r="AJ366" i="1"/>
  <c r="AJ367" i="1"/>
  <c r="AJ368" i="1"/>
  <c r="AJ369" i="1"/>
  <c r="H9" i="1"/>
  <c r="H157" i="1" s="1"/>
  <c r="H89" i="1"/>
  <c r="H94" i="1"/>
  <c r="H99" i="1"/>
  <c r="H101" i="1"/>
  <c r="H102" i="1"/>
  <c r="H113" i="1"/>
  <c r="H135" i="1"/>
  <c r="H136" i="1"/>
  <c r="H137" i="1"/>
  <c r="H138" i="1"/>
  <c r="H141" i="1"/>
  <c r="H203" i="1"/>
  <c r="H204" i="1"/>
  <c r="H205" i="1"/>
  <c r="H206" i="1"/>
  <c r="H207" i="1"/>
  <c r="H255" i="1"/>
  <c r="H260" i="1"/>
  <c r="H265" i="1"/>
  <c r="H267" i="1"/>
  <c r="H268" i="1"/>
  <c r="H280" i="1"/>
  <c r="H302" i="1"/>
  <c r="H303" i="1"/>
  <c r="H304" i="1"/>
  <c r="H305" i="1"/>
  <c r="H308" i="1"/>
  <c r="H365" i="1"/>
  <c r="H366" i="1"/>
  <c r="H367" i="1"/>
  <c r="H368" i="1"/>
  <c r="H369" i="1"/>
  <c r="F47" i="1"/>
  <c r="G428" i="6"/>
  <c r="H428" i="6"/>
  <c r="I428" i="6"/>
  <c r="J428" i="6"/>
  <c r="K428" i="6"/>
  <c r="AH430" i="6"/>
  <c r="M428" i="6"/>
  <c r="N428" i="6"/>
  <c r="O428" i="6"/>
  <c r="P428" i="6"/>
  <c r="Q428" i="6"/>
  <c r="R428" i="6"/>
  <c r="S428" i="6"/>
  <c r="T428" i="6"/>
  <c r="U428" i="6"/>
  <c r="V428" i="6"/>
  <c r="W428" i="6"/>
  <c r="X428" i="6"/>
  <c r="Y428" i="6"/>
  <c r="Z428" i="6"/>
  <c r="AA428" i="6"/>
  <c r="AB422" i="6"/>
  <c r="AB428" i="6"/>
  <c r="AC428" i="6"/>
  <c r="AD428" i="6"/>
  <c r="AE428" i="6"/>
  <c r="AF428" i="6"/>
  <c r="AG428" i="6"/>
  <c r="F406" i="1"/>
  <c r="H427" i="1"/>
  <c r="I427" i="1"/>
  <c r="J427" i="1"/>
  <c r="K427" i="1"/>
  <c r="L427" i="1"/>
  <c r="M427" i="1"/>
  <c r="N346" i="6"/>
  <c r="O346" i="6"/>
  <c r="P346" i="6"/>
  <c r="Q346" i="6"/>
  <c r="R346" i="6"/>
  <c r="S346" i="6"/>
  <c r="T346" i="6"/>
  <c r="U346" i="6"/>
  <c r="V346" i="6"/>
  <c r="W346" i="6"/>
  <c r="X346" i="6"/>
  <c r="Y346" i="6"/>
  <c r="Z346" i="6"/>
  <c r="AA346" i="6"/>
  <c r="AB346" i="6"/>
  <c r="AC346" i="6"/>
  <c r="AD346" i="6"/>
  <c r="AE346" i="6"/>
  <c r="AF346" i="6"/>
  <c r="AG346" i="6"/>
  <c r="AH404" i="6"/>
  <c r="AI404" i="6" s="1"/>
  <c r="N416" i="6"/>
  <c r="N415" i="6" s="1"/>
  <c r="O416" i="6"/>
  <c r="O415" i="6" s="1"/>
  <c r="P416" i="6"/>
  <c r="P415" i="6" s="1"/>
  <c r="Q416" i="6"/>
  <c r="Q415" i="6" s="1"/>
  <c r="R416" i="6"/>
  <c r="R415" i="6" s="1"/>
  <c r="S416" i="6"/>
  <c r="S415" i="6" s="1"/>
  <c r="T416" i="6"/>
  <c r="T415" i="6" s="1"/>
  <c r="U416" i="6"/>
  <c r="U415" i="6" s="1"/>
  <c r="V416" i="6"/>
  <c r="V415" i="6" s="1"/>
  <c r="W416" i="6"/>
  <c r="W415" i="6" s="1"/>
  <c r="X416" i="6"/>
  <c r="X415" i="6" s="1"/>
  <c r="Y416" i="6"/>
  <c r="Y415" i="6" s="1"/>
  <c r="Z416" i="6"/>
  <c r="Z415" i="6" s="1"/>
  <c r="AA416" i="6"/>
  <c r="AA415" i="6" s="1"/>
  <c r="AH417" i="6"/>
  <c r="AI417" i="6" s="1"/>
  <c r="AH437" i="6"/>
  <c r="AI437" i="6" s="1"/>
  <c r="V427" i="1"/>
  <c r="AC427" i="1"/>
  <c r="AB427" i="1"/>
  <c r="Y427" i="1"/>
  <c r="W427" i="1"/>
  <c r="X427" i="1"/>
  <c r="AA427" i="1"/>
  <c r="U427" i="1"/>
  <c r="AH427" i="1"/>
  <c r="Z427" i="1"/>
  <c r="AD427" i="1"/>
  <c r="AF427" i="1"/>
  <c r="AJ427" i="1"/>
  <c r="S427" i="1"/>
  <c r="T427" i="1"/>
  <c r="O427" i="1"/>
  <c r="P427" i="1"/>
  <c r="Q427" i="1"/>
  <c r="G163" i="1"/>
  <c r="G179" i="1"/>
  <c r="G194" i="1"/>
  <c r="G209" i="1"/>
  <c r="G224" i="1"/>
  <c r="G245" i="1"/>
  <c r="R477" i="1"/>
  <c r="G326" i="1"/>
  <c r="G341" i="1"/>
  <c r="G356" i="1"/>
  <c r="G371" i="1"/>
  <c r="G386" i="1"/>
  <c r="G406" i="1"/>
  <c r="G410" i="1"/>
  <c r="F424" i="1"/>
  <c r="F443" i="1"/>
  <c r="G445" i="1"/>
  <c r="AE445" i="1"/>
  <c r="AG445" i="1"/>
  <c r="AI445" i="1"/>
  <c r="AK454" i="1"/>
  <c r="AL454" i="1"/>
  <c r="AK455" i="1"/>
  <c r="AL455" i="1"/>
  <c r="AK457" i="1"/>
  <c r="AL457" i="1"/>
  <c r="AK460" i="1"/>
  <c r="AL460" i="1"/>
  <c r="AK461" i="1"/>
  <c r="AL461" i="1"/>
  <c r="AK466" i="1"/>
  <c r="AL466" i="1"/>
  <c r="AK452" i="1"/>
  <c r="AL452" i="1"/>
  <c r="AK464" i="1"/>
  <c r="AL464" i="1"/>
  <c r="F273" i="1"/>
  <c r="F297" i="1"/>
  <c r="AI477" i="1"/>
  <c r="N477" i="1"/>
  <c r="F295" i="1"/>
  <c r="AG477" i="1"/>
  <c r="F358" i="1"/>
  <c r="F360" i="1"/>
  <c r="Q55" i="1"/>
  <c r="AA55" i="1"/>
  <c r="J55" i="1"/>
  <c r="L55" i="1"/>
  <c r="S55" i="1"/>
  <c r="X55" i="1"/>
  <c r="AF55" i="1"/>
  <c r="M55" i="1"/>
  <c r="F196" i="1"/>
  <c r="F198" i="1"/>
  <c r="AD55" i="1"/>
  <c r="O330" i="1"/>
  <c r="S330" i="1"/>
  <c r="AJ55" i="1"/>
  <c r="W55" i="1"/>
  <c r="P55" i="1"/>
  <c r="AC330" i="1"/>
  <c r="AH330" i="1"/>
  <c r="AC55" i="1"/>
  <c r="AH167" i="1"/>
  <c r="S167" i="1"/>
  <c r="O167" i="1"/>
  <c r="Z55" i="1"/>
  <c r="T55" i="1"/>
  <c r="I330" i="1"/>
  <c r="O55" i="1"/>
  <c r="I167" i="1"/>
  <c r="AH55" i="1"/>
  <c r="V168" i="1"/>
  <c r="H55" i="1"/>
  <c r="G196" i="1"/>
  <c r="G198" i="1"/>
  <c r="G226" i="1"/>
  <c r="AK453" i="1"/>
  <c r="AL453" i="1"/>
  <c r="F107" i="1"/>
  <c r="G358" i="1"/>
  <c r="G360" i="1"/>
  <c r="G362" i="1"/>
  <c r="AB55" i="1"/>
  <c r="V55" i="1"/>
  <c r="H10" i="1"/>
  <c r="H331" i="1" s="1"/>
  <c r="I55" i="1"/>
  <c r="Y55" i="1"/>
  <c r="K330" i="1"/>
  <c r="K167" i="1"/>
  <c r="U55" i="1"/>
  <c r="K55" i="1"/>
  <c r="AH377" i="6"/>
  <c r="AI377" i="6" s="1"/>
  <c r="F130" i="1"/>
  <c r="F145" i="1"/>
  <c r="F200" i="1"/>
  <c r="F128" i="1"/>
  <c r="Y330" i="1"/>
  <c r="Y167" i="1"/>
  <c r="V330" i="1"/>
  <c r="T167" i="1"/>
  <c r="T330" i="1"/>
  <c r="V167" i="1"/>
  <c r="Z330" i="1"/>
  <c r="Z167" i="1"/>
  <c r="M330" i="1"/>
  <c r="AF167" i="1"/>
  <c r="J167" i="1"/>
  <c r="J330" i="1"/>
  <c r="U330" i="1"/>
  <c r="U167" i="1"/>
  <c r="P167" i="1"/>
  <c r="P330" i="1"/>
  <c r="L167" i="1"/>
  <c r="AJ330" i="1"/>
  <c r="Q167" i="1"/>
  <c r="X167" i="1"/>
  <c r="AD167" i="1"/>
  <c r="L330" i="1"/>
  <c r="X330" i="1"/>
  <c r="AD330" i="1"/>
  <c r="AB330" i="1"/>
  <c r="AF330" i="1"/>
  <c r="AB167" i="1"/>
  <c r="M167" i="1"/>
  <c r="Q330" i="1"/>
  <c r="W167" i="1"/>
  <c r="W330" i="1"/>
  <c r="AC167" i="1"/>
  <c r="AJ167" i="1"/>
  <c r="AA167" i="1"/>
  <c r="AA330" i="1"/>
  <c r="F32" i="1"/>
  <c r="F37" i="1"/>
  <c r="F83" i="1"/>
  <c r="F362" i="1"/>
  <c r="F226" i="1"/>
  <c r="F247" i="1"/>
  <c r="G200" i="1"/>
  <c r="AH405" i="6"/>
  <c r="AI405" i="6" s="1"/>
  <c r="H330" i="1"/>
  <c r="H167" i="1"/>
  <c r="AI430" i="6"/>
  <c r="F49" i="1"/>
  <c r="F388" i="1"/>
  <c r="F408" i="1"/>
  <c r="F410" i="1"/>
  <c r="F445" i="1"/>
  <c r="F57" i="1"/>
  <c r="L510" i="6"/>
  <c r="K510" i="6"/>
  <c r="I510" i="6"/>
  <c r="K505" i="6"/>
  <c r="L505" i="6"/>
  <c r="I505" i="6"/>
  <c r="H505" i="6"/>
  <c r="H510" i="6"/>
  <c r="M510" i="6"/>
  <c r="M500" i="6"/>
  <c r="M505" i="6"/>
  <c r="M490" i="6"/>
  <c r="M495" i="6"/>
  <c r="H4" i="11" a="1"/>
  <c r="H7" i="11" a="1"/>
  <c r="E7" i="11" a="1"/>
  <c r="G4" i="11" a="1"/>
  <c r="E4" i="11" a="1"/>
  <c r="D4" i="11" a="1"/>
  <c r="AH407" i="6" l="1"/>
  <c r="AI407" i="6" s="1"/>
  <c r="AH410" i="6"/>
  <c r="AI410" i="6" s="1"/>
  <c r="AH336" i="6"/>
  <c r="F336" i="6"/>
  <c r="F337" i="6" s="1"/>
  <c r="AH406" i="6"/>
  <c r="AI406" i="6" s="1"/>
  <c r="F250" i="6"/>
  <c r="F283" i="6" s="1"/>
  <c r="AH428" i="6"/>
  <c r="AI428" i="6" s="1"/>
  <c r="AH442" i="6"/>
  <c r="AI442" i="6" s="1"/>
  <c r="AH409" i="6"/>
  <c r="AI409" i="6" s="1"/>
  <c r="O421" i="1"/>
  <c r="S319" i="1"/>
  <c r="S314" i="1"/>
  <c r="O25" i="1"/>
  <c r="S313" i="1"/>
  <c r="I331" i="1"/>
  <c r="S159" i="1"/>
  <c r="S417" i="1"/>
  <c r="S152" i="1"/>
  <c r="O350" i="1"/>
  <c r="O338" i="1"/>
  <c r="U154" i="1"/>
  <c r="U470" i="1"/>
  <c r="I190" i="1"/>
  <c r="V347" i="1"/>
  <c r="Z416" i="1"/>
  <c r="AC314" i="1"/>
  <c r="Z420" i="1"/>
  <c r="AH191" i="1"/>
  <c r="AC151" i="1"/>
  <c r="S41" i="1"/>
  <c r="S153" i="1"/>
  <c r="S26" i="1"/>
  <c r="K160" i="1"/>
  <c r="O481" i="1"/>
  <c r="S160" i="1"/>
  <c r="S323" i="1"/>
  <c r="S320" i="1"/>
  <c r="K154" i="1"/>
  <c r="O415" i="1"/>
  <c r="S317" i="1"/>
  <c r="S156" i="1"/>
  <c r="S158" i="1"/>
  <c r="V189" i="1"/>
  <c r="S150" i="1"/>
  <c r="S151" i="1"/>
  <c r="O40" i="1"/>
  <c r="S321" i="1"/>
  <c r="S77" i="1"/>
  <c r="X76" i="1"/>
  <c r="V174" i="1"/>
  <c r="O416" i="1"/>
  <c r="O76" i="1"/>
  <c r="S315" i="1"/>
  <c r="S322" i="1"/>
  <c r="K150" i="1"/>
  <c r="L78" i="1"/>
  <c r="O420" i="1"/>
  <c r="S316" i="1"/>
  <c r="S324" i="1"/>
  <c r="S428" i="1"/>
  <c r="O16" i="1"/>
  <c r="AH350" i="1"/>
  <c r="AC26" i="1"/>
  <c r="AC318" i="1"/>
  <c r="AH352" i="1"/>
  <c r="AA428" i="1"/>
  <c r="AA470" i="1"/>
  <c r="V338" i="1"/>
  <c r="AA153" i="1"/>
  <c r="V42" i="1"/>
  <c r="AA154" i="1"/>
  <c r="AA417" i="1"/>
  <c r="V418" i="1"/>
  <c r="AA158" i="1"/>
  <c r="V354" i="1"/>
  <c r="X16" i="1"/>
  <c r="V429" i="1"/>
  <c r="I41" i="1"/>
  <c r="K192" i="1"/>
  <c r="O417" i="1"/>
  <c r="I151" i="1"/>
  <c r="I428" i="1"/>
  <c r="G119" i="16"/>
  <c r="I138" i="16" s="1"/>
  <c r="K138" i="16" s="1"/>
  <c r="G118" i="16"/>
  <c r="I137" i="16" s="1"/>
  <c r="K137" i="16" s="1"/>
  <c r="G117" i="16"/>
  <c r="I136" i="16" s="1"/>
  <c r="K136" i="16" s="1"/>
  <c r="G116" i="16"/>
  <c r="X189" i="1"/>
  <c r="X27" i="1"/>
  <c r="J470" i="1"/>
  <c r="X191" i="1"/>
  <c r="X187" i="1"/>
  <c r="X171" i="1"/>
  <c r="X190" i="1"/>
  <c r="X334" i="1"/>
  <c r="J152" i="1"/>
  <c r="X186" i="1"/>
  <c r="X78" i="1"/>
  <c r="X168" i="1"/>
  <c r="X185" i="1"/>
  <c r="X175" i="1"/>
  <c r="X174" i="1"/>
  <c r="X348" i="1"/>
  <c r="F438" i="6"/>
  <c r="F439" i="6" s="1"/>
  <c r="AH436" i="6"/>
  <c r="AI436" i="6" s="1"/>
  <c r="H8" i="16"/>
  <c r="AH188" i="1"/>
  <c r="AH170" i="1"/>
  <c r="AH421" i="1"/>
  <c r="AH16" i="1"/>
  <c r="AD351" i="1"/>
  <c r="AD189" i="1"/>
  <c r="AD42" i="1"/>
  <c r="AD171" i="1"/>
  <c r="AD187" i="1"/>
  <c r="AD170" i="1"/>
  <c r="AD176" i="1"/>
  <c r="P319" i="1"/>
  <c r="Y318" i="1"/>
  <c r="H428" i="1"/>
  <c r="P320" i="1"/>
  <c r="Y26" i="1"/>
  <c r="Y157" i="1"/>
  <c r="Y322" i="1"/>
  <c r="AB27" i="1"/>
  <c r="P151" i="1"/>
  <c r="Y314" i="1"/>
  <c r="T169" i="1"/>
  <c r="P316" i="1"/>
  <c r="T185" i="1"/>
  <c r="P318" i="1"/>
  <c r="AJ150" i="1"/>
  <c r="AB188" i="1"/>
  <c r="AB185" i="1"/>
  <c r="AB336" i="1"/>
  <c r="AJ151" i="1"/>
  <c r="Y470" i="1"/>
  <c r="L76" i="1"/>
  <c r="L421" i="1"/>
  <c r="AB352" i="1"/>
  <c r="AB191" i="1"/>
  <c r="Y152" i="1"/>
  <c r="AJ156" i="1"/>
  <c r="V76" i="1"/>
  <c r="L40" i="1"/>
  <c r="AB337" i="1"/>
  <c r="AH25" i="1"/>
  <c r="AH40" i="1"/>
  <c r="AH415" i="1"/>
  <c r="AH76" i="1"/>
  <c r="E64" i="16"/>
  <c r="E97" i="16" s="1"/>
  <c r="D64" i="16"/>
  <c r="D97" i="16" s="1"/>
  <c r="F64" i="16"/>
  <c r="F97" i="16" s="1"/>
  <c r="G64" i="16"/>
  <c r="L428" i="1"/>
  <c r="G53" i="16"/>
  <c r="F53" i="16"/>
  <c r="F86" i="16" s="1"/>
  <c r="Y94" i="16" s="1"/>
  <c r="V94" i="16" s="1"/>
  <c r="E53" i="16"/>
  <c r="E86" i="16" s="1"/>
  <c r="Y93" i="16" s="1"/>
  <c r="V93" i="16" s="1"/>
  <c r="D53" i="16"/>
  <c r="D86" i="16" s="1"/>
  <c r="E56" i="16"/>
  <c r="E89" i="16" s="1"/>
  <c r="D56" i="16"/>
  <c r="D89" i="16" s="1"/>
  <c r="F56" i="16"/>
  <c r="F89" i="16" s="1"/>
  <c r="G56" i="16"/>
  <c r="L150" i="1"/>
  <c r="E58" i="16"/>
  <c r="E91" i="16" s="1"/>
  <c r="D58" i="16"/>
  <c r="D91" i="16" s="1"/>
  <c r="G58" i="16"/>
  <c r="F58" i="16"/>
  <c r="F91" i="16" s="1"/>
  <c r="E54" i="16"/>
  <c r="E87" i="16" s="1"/>
  <c r="D54" i="16"/>
  <c r="D87" i="16" s="1"/>
  <c r="Y92" i="16" s="1"/>
  <c r="V92" i="16" s="1"/>
  <c r="G54" i="16"/>
  <c r="F54" i="16"/>
  <c r="F87" i="16" s="1"/>
  <c r="AD322" i="1"/>
  <c r="L77" i="1"/>
  <c r="L152" i="1"/>
  <c r="E60" i="16"/>
  <c r="E93" i="16" s="1"/>
  <c r="D60" i="16"/>
  <c r="D93" i="16" s="1"/>
  <c r="F60" i="16"/>
  <c r="F93" i="16" s="1"/>
  <c r="G60" i="16"/>
  <c r="G55" i="16"/>
  <c r="F55" i="16"/>
  <c r="F88" i="16" s="1"/>
  <c r="E55" i="16"/>
  <c r="E88" i="16" s="1"/>
  <c r="D55" i="16"/>
  <c r="D88" i="16" s="1"/>
  <c r="L159" i="1"/>
  <c r="L324" i="1"/>
  <c r="L320" i="1"/>
  <c r="G61" i="16"/>
  <c r="F61" i="16"/>
  <c r="F94" i="16" s="1"/>
  <c r="E61" i="16"/>
  <c r="E94" i="16" s="1"/>
  <c r="D61" i="16"/>
  <c r="D94" i="16" s="1"/>
  <c r="G57" i="16"/>
  <c r="F57" i="16"/>
  <c r="F90" i="16" s="1"/>
  <c r="E57" i="16"/>
  <c r="E90" i="16" s="1"/>
  <c r="D57" i="16"/>
  <c r="D90" i="16" s="1"/>
  <c r="L157" i="1"/>
  <c r="L318" i="1"/>
  <c r="E62" i="16"/>
  <c r="E95" i="16" s="1"/>
  <c r="D62" i="16"/>
  <c r="D95" i="16" s="1"/>
  <c r="G62" i="16"/>
  <c r="F62" i="16"/>
  <c r="F95" i="16" s="1"/>
  <c r="G59" i="16"/>
  <c r="F59" i="16"/>
  <c r="F92" i="16" s="1"/>
  <c r="E59" i="16"/>
  <c r="E92" i="16" s="1"/>
  <c r="D59" i="16"/>
  <c r="D92" i="16" s="1"/>
  <c r="L323" i="1"/>
  <c r="L313" i="1"/>
  <c r="L317" i="1"/>
  <c r="G63" i="16"/>
  <c r="F63" i="16"/>
  <c r="F96" i="16" s="1"/>
  <c r="E63" i="16"/>
  <c r="E96" i="16" s="1"/>
  <c r="D63" i="16"/>
  <c r="D96" i="16" s="1"/>
  <c r="P314" i="1"/>
  <c r="V417" i="1"/>
  <c r="AB173" i="1"/>
  <c r="Y313" i="1"/>
  <c r="P154" i="1"/>
  <c r="AJ319" i="1"/>
  <c r="L420" i="1"/>
  <c r="Y323" i="1"/>
  <c r="Y156" i="1"/>
  <c r="Y150" i="1"/>
  <c r="AB331" i="1"/>
  <c r="AB335" i="1"/>
  <c r="AB189" i="1"/>
  <c r="AJ157" i="1"/>
  <c r="AB78" i="1"/>
  <c r="P158" i="1"/>
  <c r="P417" i="1"/>
  <c r="AJ160" i="1"/>
  <c r="L25" i="1"/>
  <c r="Y316" i="1"/>
  <c r="Y317" i="1"/>
  <c r="Y319" i="1"/>
  <c r="AB169" i="1"/>
  <c r="AB339" i="1"/>
  <c r="AB42" i="1"/>
  <c r="AJ428" i="1"/>
  <c r="AB348" i="1"/>
  <c r="P152" i="1"/>
  <c r="AD16" i="1"/>
  <c r="AJ320" i="1"/>
  <c r="L416" i="1"/>
  <c r="Y417" i="1"/>
  <c r="Y160" i="1"/>
  <c r="Y320" i="1"/>
  <c r="T186" i="1"/>
  <c r="AB170" i="1"/>
  <c r="AB186" i="1"/>
  <c r="AB338" i="1"/>
  <c r="V323" i="1"/>
  <c r="V157" i="1"/>
  <c r="AD160" i="1"/>
  <c r="L481" i="1"/>
  <c r="P41" i="1"/>
  <c r="AD70" i="1"/>
  <c r="AJ77" i="1"/>
  <c r="L70" i="1"/>
  <c r="Y428" i="1"/>
  <c r="Y151" i="1"/>
  <c r="Y159" i="1"/>
  <c r="Y315" i="1"/>
  <c r="AB347" i="1"/>
  <c r="AB187" i="1"/>
  <c r="AB349" i="1"/>
  <c r="AD158" i="1"/>
  <c r="AA25" i="1"/>
  <c r="AB429" i="1"/>
  <c r="P321" i="1"/>
  <c r="AD25" i="1"/>
  <c r="Y41" i="1"/>
  <c r="L415" i="1"/>
  <c r="Y321" i="1"/>
  <c r="Y77" i="1"/>
  <c r="AD481" i="1"/>
  <c r="T175" i="1"/>
  <c r="AB176" i="1"/>
  <c r="AB168" i="1"/>
  <c r="AD421" i="1"/>
  <c r="AB192" i="1"/>
  <c r="Y324" i="1"/>
  <c r="Y153" i="1"/>
  <c r="Y158" i="1"/>
  <c r="AB332" i="1"/>
  <c r="AB354" i="1"/>
  <c r="H159" i="1"/>
  <c r="AF188" i="1"/>
  <c r="W170" i="1"/>
  <c r="W42" i="1"/>
  <c r="W78" i="1"/>
  <c r="P25" i="1"/>
  <c r="AB314" i="1"/>
  <c r="AF42" i="1"/>
  <c r="AB157" i="1"/>
  <c r="T151" i="1"/>
  <c r="AF168" i="1"/>
  <c r="AB319" i="1"/>
  <c r="W333" i="1"/>
  <c r="AB41" i="1"/>
  <c r="M191" i="1"/>
  <c r="T320" i="1"/>
  <c r="AF349" i="1"/>
  <c r="P70" i="1"/>
  <c r="W185" i="1"/>
  <c r="W175" i="1"/>
  <c r="Y415" i="1"/>
  <c r="M168" i="1"/>
  <c r="AF337" i="1"/>
  <c r="W174" i="1"/>
  <c r="AB313" i="1"/>
  <c r="AB318" i="1"/>
  <c r="AF186" i="1"/>
  <c r="Y70" i="1"/>
  <c r="W418" i="1"/>
  <c r="W176" i="1"/>
  <c r="AB470" i="1"/>
  <c r="AB153" i="1"/>
  <c r="W190" i="1"/>
  <c r="AH416" i="1"/>
  <c r="AF192" i="1"/>
  <c r="AD78" i="1"/>
  <c r="AH70" i="1"/>
  <c r="AD174" i="1"/>
  <c r="W351" i="1"/>
  <c r="T321" i="1"/>
  <c r="Y40" i="1"/>
  <c r="Y481" i="1"/>
  <c r="AB152" i="1"/>
  <c r="AF351" i="1"/>
  <c r="AH481" i="1"/>
  <c r="AF191" i="1"/>
  <c r="AD168" i="1"/>
  <c r="W339" i="1"/>
  <c r="W349" i="1"/>
  <c r="W331" i="1"/>
  <c r="AB158" i="1"/>
  <c r="Y16" i="1"/>
  <c r="AB156" i="1"/>
  <c r="P420" i="1"/>
  <c r="U177" i="1"/>
  <c r="J78" i="1"/>
  <c r="H154" i="1"/>
  <c r="U169" i="1"/>
  <c r="H150" i="1"/>
  <c r="I318" i="1"/>
  <c r="X316" i="1"/>
  <c r="I154" i="1"/>
  <c r="K347" i="1"/>
  <c r="I319" i="1"/>
  <c r="M160" i="1"/>
  <c r="O160" i="1"/>
  <c r="X152" i="1"/>
  <c r="S347" i="1"/>
  <c r="Q170" i="1"/>
  <c r="Q172" i="1"/>
  <c r="M159" i="1"/>
  <c r="U348" i="1"/>
  <c r="M420" i="1"/>
  <c r="M154" i="1"/>
  <c r="J175" i="1"/>
  <c r="M26" i="1"/>
  <c r="J418" i="1"/>
  <c r="J335" i="1"/>
  <c r="M421" i="1"/>
  <c r="AF157" i="1"/>
  <c r="M316" i="1"/>
  <c r="J170" i="1"/>
  <c r="Q347" i="1"/>
  <c r="U168" i="1"/>
  <c r="M156" i="1"/>
  <c r="Q190" i="1"/>
  <c r="T481" i="1"/>
  <c r="M481" i="1"/>
  <c r="Q177" i="1"/>
  <c r="Q331" i="1"/>
  <c r="Q339" i="1"/>
  <c r="U354" i="1"/>
  <c r="M40" i="1"/>
  <c r="Q332" i="1"/>
  <c r="M41" i="1"/>
  <c r="Z158" i="1"/>
  <c r="J352" i="1"/>
  <c r="J190" i="1"/>
  <c r="J349" i="1"/>
  <c r="U333" i="1"/>
  <c r="Z417" i="1"/>
  <c r="AC349" i="1"/>
  <c r="W70" i="1"/>
  <c r="U349" i="1"/>
  <c r="U78" i="1"/>
  <c r="M416" i="1"/>
  <c r="J172" i="1"/>
  <c r="J188" i="1"/>
  <c r="J353" i="1"/>
  <c r="J174" i="1"/>
  <c r="J187" i="1"/>
  <c r="U27" i="1"/>
  <c r="M16" i="1"/>
  <c r="M70" i="1"/>
  <c r="U175" i="1"/>
  <c r="M415" i="1"/>
  <c r="U176" i="1"/>
  <c r="J354" i="1"/>
  <c r="J169" i="1"/>
  <c r="Q26" i="1"/>
  <c r="J348" i="1"/>
  <c r="J168" i="1"/>
  <c r="J350" i="1"/>
  <c r="U334" i="1"/>
  <c r="Z153" i="1"/>
  <c r="U191" i="1"/>
  <c r="U332" i="1"/>
  <c r="Q160" i="1"/>
  <c r="U42" i="1"/>
  <c r="Q151" i="1"/>
  <c r="Z26" i="1"/>
  <c r="U429" i="1"/>
  <c r="J189" i="1"/>
  <c r="J334" i="1"/>
  <c r="J176" i="1"/>
  <c r="J351" i="1"/>
  <c r="AC173" i="1"/>
  <c r="Q317" i="1"/>
  <c r="U338" i="1"/>
  <c r="W481" i="1"/>
  <c r="Q313" i="1"/>
  <c r="J332" i="1"/>
  <c r="J347" i="1"/>
  <c r="J185" i="1"/>
  <c r="U186" i="1"/>
  <c r="U171" i="1"/>
  <c r="U337" i="1"/>
  <c r="U352" i="1"/>
  <c r="U351" i="1"/>
  <c r="AC188" i="1"/>
  <c r="U331" i="1"/>
  <c r="U192" i="1"/>
  <c r="U172" i="1"/>
  <c r="J173" i="1"/>
  <c r="J337" i="1"/>
  <c r="Q315" i="1"/>
  <c r="J42" i="1"/>
  <c r="U187" i="1"/>
  <c r="Z315" i="1"/>
  <c r="U339" i="1"/>
  <c r="U185" i="1"/>
  <c r="U336" i="1"/>
  <c r="U188" i="1"/>
  <c r="J171" i="1"/>
  <c r="J191" i="1"/>
  <c r="M25" i="1"/>
  <c r="Q470" i="1"/>
  <c r="J177" i="1"/>
  <c r="J333" i="1"/>
  <c r="J338" i="1"/>
  <c r="U190" i="1"/>
  <c r="Q156" i="1"/>
  <c r="AC418" i="1"/>
  <c r="AC338" i="1"/>
  <c r="Q428" i="1"/>
  <c r="U353" i="1"/>
  <c r="U174" i="1"/>
  <c r="U189" i="1"/>
  <c r="J27" i="1"/>
  <c r="J331" i="1"/>
  <c r="Z428" i="1"/>
  <c r="J339" i="1"/>
  <c r="J429" i="1"/>
  <c r="J186" i="1"/>
  <c r="AC333" i="1"/>
  <c r="U170" i="1"/>
  <c r="AC191" i="1"/>
  <c r="U418" i="1"/>
  <c r="U347" i="1"/>
  <c r="U350" i="1"/>
  <c r="Z152" i="1"/>
  <c r="J336" i="1"/>
  <c r="AC42" i="1"/>
  <c r="AC169" i="1"/>
  <c r="W16" i="1"/>
  <c r="AC339" i="1"/>
  <c r="Z470" i="1"/>
  <c r="W415" i="1"/>
  <c r="AC347" i="1"/>
  <c r="AC168" i="1"/>
  <c r="AC348" i="1"/>
  <c r="W416" i="1"/>
  <c r="AC176" i="1"/>
  <c r="W76" i="1"/>
  <c r="Z41" i="1"/>
  <c r="Z322" i="1"/>
  <c r="AC186" i="1"/>
  <c r="AC175" i="1"/>
  <c r="Z324" i="1"/>
  <c r="AC351" i="1"/>
  <c r="Z157" i="1"/>
  <c r="W40" i="1"/>
  <c r="AC331" i="1"/>
  <c r="Z314" i="1"/>
  <c r="W25" i="1"/>
  <c r="AC174" i="1"/>
  <c r="Z318" i="1"/>
  <c r="AC354" i="1"/>
  <c r="Z321" i="1"/>
  <c r="AC352" i="1"/>
  <c r="AC190" i="1"/>
  <c r="AC350" i="1"/>
  <c r="U173" i="1"/>
  <c r="AC353" i="1"/>
  <c r="W421" i="1"/>
  <c r="AC337" i="1"/>
  <c r="AC429" i="1"/>
  <c r="Z77" i="1"/>
  <c r="AC336" i="1"/>
  <c r="Z151" i="1"/>
  <c r="AC170" i="1"/>
  <c r="Z154" i="1"/>
  <c r="AC187" i="1"/>
  <c r="AC185" i="1"/>
  <c r="Z313" i="1"/>
  <c r="AF152" i="1"/>
  <c r="Z160" i="1"/>
  <c r="Z156" i="1"/>
  <c r="AC334" i="1"/>
  <c r="Z316" i="1"/>
  <c r="Z317" i="1"/>
  <c r="Z320" i="1"/>
  <c r="AC189" i="1"/>
  <c r="AC177" i="1"/>
  <c r="AC171" i="1"/>
  <c r="AC78" i="1"/>
  <c r="AC172" i="1"/>
  <c r="AC27" i="1"/>
  <c r="Z150" i="1"/>
  <c r="AC192" i="1"/>
  <c r="Z323" i="1"/>
  <c r="Z159" i="1"/>
  <c r="AC332" i="1"/>
  <c r="T420" i="1"/>
  <c r="AH176" i="1"/>
  <c r="AH175" i="1"/>
  <c r="AC319" i="1"/>
  <c r="Z76" i="1"/>
  <c r="H323" i="1"/>
  <c r="AF314" i="1"/>
  <c r="Q351" i="1"/>
  <c r="AF317" i="1"/>
  <c r="M318" i="1"/>
  <c r="M150" i="1"/>
  <c r="Q336" i="1"/>
  <c r="AF26" i="1"/>
  <c r="M428" i="1"/>
  <c r="Q333" i="1"/>
  <c r="T25" i="1"/>
  <c r="H429" i="1"/>
  <c r="T70" i="1"/>
  <c r="AF320" i="1"/>
  <c r="Q349" i="1"/>
  <c r="M470" i="1"/>
  <c r="M320" i="1"/>
  <c r="AF159" i="1"/>
  <c r="M158" i="1"/>
  <c r="T416" i="1"/>
  <c r="Z25" i="1"/>
  <c r="H185" i="1"/>
  <c r="AH339" i="1"/>
  <c r="AH169" i="1"/>
  <c r="AC470" i="1"/>
  <c r="H336" i="1"/>
  <c r="AJ16" i="1"/>
  <c r="Q189" i="1"/>
  <c r="AF318" i="1"/>
  <c r="AF322" i="1"/>
  <c r="AF470" i="1"/>
  <c r="AF154" i="1"/>
  <c r="Q191" i="1"/>
  <c r="Q78" i="1"/>
  <c r="Q171" i="1"/>
  <c r="M152" i="1"/>
  <c r="AF319" i="1"/>
  <c r="M315" i="1"/>
  <c r="Q353" i="1"/>
  <c r="Q186" i="1"/>
  <c r="Q418" i="1"/>
  <c r="M313" i="1"/>
  <c r="T40" i="1"/>
  <c r="T421" i="1"/>
  <c r="Q27" i="1"/>
  <c r="Q174" i="1"/>
  <c r="M319" i="1"/>
  <c r="H160" i="1"/>
  <c r="AC160" i="1"/>
  <c r="H187" i="1"/>
  <c r="AH429" i="1"/>
  <c r="AH347" i="1"/>
  <c r="AC322" i="1"/>
  <c r="AJ421" i="1"/>
  <c r="H175" i="1"/>
  <c r="Q354" i="1"/>
  <c r="AF150" i="1"/>
  <c r="AF158" i="1"/>
  <c r="Q350" i="1"/>
  <c r="Q42" i="1"/>
  <c r="AF156" i="1"/>
  <c r="Q192" i="1"/>
  <c r="AF153" i="1"/>
  <c r="M322" i="1"/>
  <c r="Q429" i="1"/>
  <c r="AF316" i="1"/>
  <c r="M417" i="1"/>
  <c r="M317" i="1"/>
  <c r="M151" i="1"/>
  <c r="T415" i="1"/>
  <c r="T16" i="1"/>
  <c r="H333" i="1"/>
  <c r="Q176" i="1"/>
  <c r="Q352" i="1"/>
  <c r="M153" i="1"/>
  <c r="AC321" i="1"/>
  <c r="AH172" i="1"/>
  <c r="H189" i="1"/>
  <c r="AF313" i="1"/>
  <c r="AF151" i="1"/>
  <c r="Q175" i="1"/>
  <c r="Q185" i="1"/>
  <c r="AF77" i="1"/>
  <c r="Q338" i="1"/>
  <c r="AF160" i="1"/>
  <c r="Q348" i="1"/>
  <c r="Q187" i="1"/>
  <c r="M324" i="1"/>
  <c r="M77" i="1"/>
  <c r="M323" i="1"/>
  <c r="H191" i="1"/>
  <c r="AH187" i="1"/>
  <c r="H321" i="1"/>
  <c r="AC317" i="1"/>
  <c r="H42" i="1"/>
  <c r="AH418" i="1"/>
  <c r="AC315" i="1"/>
  <c r="AJ76" i="1"/>
  <c r="H324" i="1"/>
  <c r="H156" i="1"/>
  <c r="H313" i="1"/>
  <c r="Q334" i="1"/>
  <c r="Q337" i="1"/>
  <c r="Q335" i="1"/>
  <c r="Q169" i="1"/>
  <c r="AF428" i="1"/>
  <c r="AF41" i="1"/>
  <c r="Q168" i="1"/>
  <c r="M321" i="1"/>
  <c r="M314" i="1"/>
  <c r="Q173" i="1"/>
  <c r="AF323" i="1"/>
  <c r="AF321" i="1"/>
  <c r="AF417" i="1"/>
  <c r="AF324" i="1"/>
  <c r="AD316" i="1"/>
  <c r="Y348" i="1"/>
  <c r="V317" i="1"/>
  <c r="AA76" i="1"/>
  <c r="AF334" i="1"/>
  <c r="AF353" i="1"/>
  <c r="AJ415" i="1"/>
  <c r="Y333" i="1"/>
  <c r="Y331" i="1"/>
  <c r="Y429" i="1"/>
  <c r="Y187" i="1"/>
  <c r="AF331" i="1"/>
  <c r="V152" i="1"/>
  <c r="AC320" i="1"/>
  <c r="AA16" i="1"/>
  <c r="AD151" i="1"/>
  <c r="AJ350" i="1"/>
  <c r="AH190" i="1"/>
  <c r="AH186" i="1"/>
  <c r="AC316" i="1"/>
  <c r="AC158" i="1"/>
  <c r="X42" i="1"/>
  <c r="X347" i="1"/>
  <c r="X192" i="1"/>
  <c r="AF176" i="1"/>
  <c r="AF185" i="1"/>
  <c r="AF335" i="1"/>
  <c r="Y192" i="1"/>
  <c r="AD417" i="1"/>
  <c r="Y347" i="1"/>
  <c r="Y350" i="1"/>
  <c r="V151" i="1"/>
  <c r="Y334" i="1"/>
  <c r="Y338" i="1"/>
  <c r="H316" i="1"/>
  <c r="W429" i="1"/>
  <c r="W334" i="1"/>
  <c r="T317" i="1"/>
  <c r="W173" i="1"/>
  <c r="W353" i="1"/>
  <c r="AB321" i="1"/>
  <c r="AB324" i="1"/>
  <c r="Y76" i="1"/>
  <c r="M185" i="1"/>
  <c r="AB316" i="1"/>
  <c r="W335" i="1"/>
  <c r="W332" i="1"/>
  <c r="W177" i="1"/>
  <c r="AA285" i="1"/>
  <c r="AA477" i="1" s="1"/>
  <c r="Z293" i="1"/>
  <c r="Z96" i="1"/>
  <c r="Y143" i="1"/>
  <c r="W293" i="1"/>
  <c r="V143" i="1"/>
  <c r="S105" i="1"/>
  <c r="AD26" i="1"/>
  <c r="V158" i="1"/>
  <c r="V150" i="1"/>
  <c r="AA481" i="1"/>
  <c r="AD150" i="1"/>
  <c r="AF177" i="1"/>
  <c r="AF175" i="1"/>
  <c r="AD153" i="1"/>
  <c r="V470" i="1"/>
  <c r="Y190" i="1"/>
  <c r="T152" i="1"/>
  <c r="L314" i="1"/>
  <c r="V314" i="1"/>
  <c r="AA40" i="1"/>
  <c r="AD321" i="1"/>
  <c r="AH353" i="1"/>
  <c r="AH349" i="1"/>
  <c r="AC324" i="1"/>
  <c r="X332" i="1"/>
  <c r="X176" i="1"/>
  <c r="Z40" i="1"/>
  <c r="AF171" i="1"/>
  <c r="H151" i="1"/>
  <c r="AB160" i="1"/>
  <c r="L153" i="1"/>
  <c r="L156" i="1"/>
  <c r="V313" i="1"/>
  <c r="Z415" i="1"/>
  <c r="AC417" i="1"/>
  <c r="AD154" i="1"/>
  <c r="AA415" i="1"/>
  <c r="AH335" i="1"/>
  <c r="AH42" i="1"/>
  <c r="AH336" i="1"/>
  <c r="AH337" i="1"/>
  <c r="AH334" i="1"/>
  <c r="AC159" i="1"/>
  <c r="AC154" i="1"/>
  <c r="AC313" i="1"/>
  <c r="U320" i="1"/>
  <c r="X354" i="1"/>
  <c r="X353" i="1"/>
  <c r="X429" i="1"/>
  <c r="X336" i="1"/>
  <c r="X331" i="1"/>
  <c r="AH171" i="1"/>
  <c r="AF187" i="1"/>
  <c r="AF429" i="1"/>
  <c r="AF336" i="1"/>
  <c r="AF347" i="1"/>
  <c r="AF418" i="1"/>
  <c r="AJ70" i="1"/>
  <c r="P190" i="1"/>
  <c r="I350" i="1"/>
  <c r="Y349" i="1"/>
  <c r="Y351" i="1"/>
  <c r="AD159" i="1"/>
  <c r="Y173" i="1"/>
  <c r="H317" i="1"/>
  <c r="H315" i="1"/>
  <c r="AF339" i="1"/>
  <c r="J313" i="1"/>
  <c r="W188" i="1"/>
  <c r="W168" i="1"/>
  <c r="T26" i="1"/>
  <c r="W192" i="1"/>
  <c r="AB320" i="1"/>
  <c r="AB315" i="1"/>
  <c r="Y420" i="1"/>
  <c r="Y416" i="1"/>
  <c r="T313" i="1"/>
  <c r="L470" i="1"/>
  <c r="V322" i="1"/>
  <c r="L158" i="1"/>
  <c r="V324" i="1"/>
  <c r="L316" i="1"/>
  <c r="L322" i="1"/>
  <c r="Z421" i="1"/>
  <c r="AC153" i="1"/>
  <c r="AD323" i="1"/>
  <c r="AD317" i="1"/>
  <c r="AH177" i="1"/>
  <c r="AH351" i="1"/>
  <c r="AH338" i="1"/>
  <c r="AH331" i="1"/>
  <c r="AH354" i="1"/>
  <c r="AC428" i="1"/>
  <c r="AC152" i="1"/>
  <c r="O170" i="1"/>
  <c r="U318" i="1"/>
  <c r="X188" i="1"/>
  <c r="X177" i="1"/>
  <c r="X351" i="1"/>
  <c r="X335" i="1"/>
  <c r="Z70" i="1"/>
  <c r="AJ40" i="1"/>
  <c r="AF189" i="1"/>
  <c r="AF173" i="1"/>
  <c r="AF78" i="1"/>
  <c r="AF350" i="1"/>
  <c r="AF170" i="1"/>
  <c r="AJ25" i="1"/>
  <c r="P175" i="1"/>
  <c r="L41" i="1"/>
  <c r="P347" i="1"/>
  <c r="L26" i="1"/>
  <c r="L319" i="1"/>
  <c r="H158" i="1"/>
  <c r="W352" i="1"/>
  <c r="W186" i="1"/>
  <c r="W336" i="1"/>
  <c r="W350" i="1"/>
  <c r="AB26" i="1"/>
  <c r="AF172" i="1"/>
  <c r="AB77" i="1"/>
  <c r="M333" i="1"/>
  <c r="T77" i="1"/>
  <c r="W191" i="1"/>
  <c r="AH105" i="1"/>
  <c r="V428" i="1"/>
  <c r="Y12" i="1"/>
  <c r="Y469" i="1" s="1"/>
  <c r="V41" i="1"/>
  <c r="V315" i="1"/>
  <c r="AC323" i="1"/>
  <c r="AD156" i="1"/>
  <c r="AD428" i="1"/>
  <c r="AH333" i="1"/>
  <c r="AH189" i="1"/>
  <c r="AH332" i="1"/>
  <c r="AH174" i="1"/>
  <c r="AH185" i="1"/>
  <c r="AC157" i="1"/>
  <c r="AC41" i="1"/>
  <c r="O173" i="1"/>
  <c r="X418" i="1"/>
  <c r="X170" i="1"/>
  <c r="X173" i="1"/>
  <c r="X169" i="1"/>
  <c r="X172" i="1"/>
  <c r="Z481" i="1"/>
  <c r="AF352" i="1"/>
  <c r="AF354" i="1"/>
  <c r="AF190" i="1"/>
  <c r="AF333" i="1"/>
  <c r="AF332" i="1"/>
  <c r="AJ481" i="1"/>
  <c r="V77" i="1"/>
  <c r="Y332" i="1"/>
  <c r="V156" i="1"/>
  <c r="L315" i="1"/>
  <c r="Y172" i="1"/>
  <c r="L151" i="1"/>
  <c r="L321" i="1"/>
  <c r="H322" i="1"/>
  <c r="AH192" i="1"/>
  <c r="AB154" i="1"/>
  <c r="W354" i="1"/>
  <c r="W172" i="1"/>
  <c r="W27" i="1"/>
  <c r="W337" i="1"/>
  <c r="M176" i="1"/>
  <c r="AB159" i="1"/>
  <c r="AB151" i="1"/>
  <c r="AB428" i="1"/>
  <c r="M352" i="1"/>
  <c r="M192" i="1"/>
  <c r="Y27" i="1"/>
  <c r="L417" i="1"/>
  <c r="W338" i="1"/>
  <c r="V159" i="1"/>
  <c r="V320" i="1"/>
  <c r="AD152" i="1"/>
  <c r="Y189" i="1"/>
  <c r="V154" i="1"/>
  <c r="L154" i="1"/>
  <c r="V153" i="1"/>
  <c r="V160" i="1"/>
  <c r="V319" i="1"/>
  <c r="AC77" i="1"/>
  <c r="AD318" i="1"/>
  <c r="AD157" i="1"/>
  <c r="AD320" i="1"/>
  <c r="H320" i="1"/>
  <c r="AH27" i="1"/>
  <c r="AH168" i="1"/>
  <c r="AH348" i="1"/>
  <c r="AH78" i="1"/>
  <c r="X352" i="1"/>
  <c r="AC156" i="1"/>
  <c r="O189" i="1"/>
  <c r="X349" i="1"/>
  <c r="X339" i="1"/>
  <c r="X337" i="1"/>
  <c r="X350" i="1"/>
  <c r="X338" i="1"/>
  <c r="AF338" i="1"/>
  <c r="AF169" i="1"/>
  <c r="AF174" i="1"/>
  <c r="AF27" i="1"/>
  <c r="AJ420" i="1"/>
  <c r="Y168" i="1"/>
  <c r="V26" i="1"/>
  <c r="V321" i="1"/>
  <c r="Y42" i="1"/>
  <c r="Y171" i="1"/>
  <c r="V316" i="1"/>
  <c r="H318" i="1"/>
  <c r="H417" i="1"/>
  <c r="AB323" i="1"/>
  <c r="W169" i="1"/>
  <c r="W348" i="1"/>
  <c r="W347" i="1"/>
  <c r="AB150" i="1"/>
  <c r="Y25" i="1"/>
  <c r="H470" i="1"/>
  <c r="AB322" i="1"/>
  <c r="AB417" i="1"/>
  <c r="M190" i="1"/>
  <c r="W189" i="1"/>
  <c r="W187" i="1"/>
  <c r="T316" i="1"/>
  <c r="O318" i="1"/>
  <c r="K169" i="1"/>
  <c r="O321" i="1"/>
  <c r="I159" i="1"/>
  <c r="I323" i="1"/>
  <c r="I317" i="1"/>
  <c r="K174" i="1"/>
  <c r="J481" i="1"/>
  <c r="X157" i="1"/>
  <c r="AA190" i="1"/>
  <c r="U415" i="1"/>
  <c r="O154" i="1"/>
  <c r="S331" i="1"/>
  <c r="Q262" i="1"/>
  <c r="Q475" i="1" s="1"/>
  <c r="Q209" i="1"/>
  <c r="Q12" i="1"/>
  <c r="Q43" i="1" s="1"/>
  <c r="O371" i="1"/>
  <c r="L143" i="1"/>
  <c r="K105" i="1"/>
  <c r="J371" i="1"/>
  <c r="O314" i="1"/>
  <c r="I150" i="1"/>
  <c r="I77" i="1"/>
  <c r="I158" i="1"/>
  <c r="AA338" i="1"/>
  <c r="O317" i="1"/>
  <c r="S418" i="1"/>
  <c r="O159" i="1"/>
  <c r="S332" i="1"/>
  <c r="K429" i="1"/>
  <c r="O151" i="1"/>
  <c r="K176" i="1"/>
  <c r="AH126" i="1"/>
  <c r="O77" i="1"/>
  <c r="K350" i="1"/>
  <c r="I26" i="1"/>
  <c r="AJ334" i="1"/>
  <c r="O156" i="1"/>
  <c r="K337" i="1"/>
  <c r="J40" i="1"/>
  <c r="AD77" i="1"/>
  <c r="AD313" i="1"/>
  <c r="I152" i="1"/>
  <c r="AJ152" i="1"/>
  <c r="I313" i="1"/>
  <c r="I160" i="1"/>
  <c r="I316" i="1"/>
  <c r="AJ191" i="1"/>
  <c r="AD41" i="1"/>
  <c r="AD314" i="1"/>
  <c r="H319" i="1"/>
  <c r="H41" i="1"/>
  <c r="H26" i="1"/>
  <c r="S169" i="1"/>
  <c r="K188" i="1"/>
  <c r="K171" i="1"/>
  <c r="K177" i="1"/>
  <c r="AA347" i="1"/>
  <c r="X317" i="1"/>
  <c r="AA191" i="1"/>
  <c r="S126" i="1"/>
  <c r="O158" i="1"/>
  <c r="I322" i="1"/>
  <c r="O324" i="1"/>
  <c r="I321" i="1"/>
  <c r="I157" i="1"/>
  <c r="K351" i="1"/>
  <c r="V126" i="1"/>
  <c r="S354" i="1"/>
  <c r="I315" i="1"/>
  <c r="K339" i="1"/>
  <c r="K185" i="1"/>
  <c r="K187" i="1"/>
  <c r="I320" i="1"/>
  <c r="I314" i="1"/>
  <c r="O157" i="1"/>
  <c r="K175" i="1"/>
  <c r="AA171" i="1"/>
  <c r="AA187" i="1"/>
  <c r="U420" i="1"/>
  <c r="K186" i="1"/>
  <c r="O153" i="1"/>
  <c r="AD319" i="1"/>
  <c r="AD470" i="1"/>
  <c r="AD324" i="1"/>
  <c r="H351" i="1"/>
  <c r="AJ333" i="1"/>
  <c r="AJ153" i="1"/>
  <c r="AJ313" i="1"/>
  <c r="I324" i="1"/>
  <c r="I156" i="1"/>
  <c r="I470" i="1"/>
  <c r="I417" i="1"/>
  <c r="AJ322" i="1"/>
  <c r="K190" i="1"/>
  <c r="K331" i="1"/>
  <c r="U481" i="1"/>
  <c r="AA353" i="1"/>
  <c r="O470" i="1"/>
  <c r="H348" i="1"/>
  <c r="H153" i="1"/>
  <c r="O186" i="1"/>
  <c r="O333" i="1"/>
  <c r="Q16" i="1"/>
  <c r="U151" i="1"/>
  <c r="I348" i="1"/>
  <c r="I42" i="1"/>
  <c r="X318" i="1"/>
  <c r="AA333" i="1"/>
  <c r="AA349" i="1"/>
  <c r="AA331" i="1"/>
  <c r="AA27" i="1"/>
  <c r="AA354" i="1"/>
  <c r="AC293" i="1"/>
  <c r="AC262" i="1"/>
  <c r="AC475" i="1" s="1"/>
  <c r="AC126" i="1"/>
  <c r="AB126" i="1"/>
  <c r="AB105" i="1"/>
  <c r="AA371" i="1"/>
  <c r="AA209" i="1"/>
  <c r="Z271" i="1"/>
  <c r="Z476" i="1" s="1"/>
  <c r="Z126" i="1"/>
  <c r="Y371" i="1"/>
  <c r="Y105" i="1"/>
  <c r="Y96" i="1"/>
  <c r="X293" i="1"/>
  <c r="X118" i="1"/>
  <c r="W271" i="1"/>
  <c r="W476" i="1" s="1"/>
  <c r="V371" i="1"/>
  <c r="U293" i="1"/>
  <c r="T293" i="1"/>
  <c r="T126" i="1"/>
  <c r="S310" i="1"/>
  <c r="Q118" i="1"/>
  <c r="P271" i="1"/>
  <c r="P476" i="1" s="1"/>
  <c r="P126" i="1"/>
  <c r="O285" i="1"/>
  <c r="O477" i="1" s="1"/>
  <c r="M293" i="1"/>
  <c r="O169" i="1"/>
  <c r="O188" i="1"/>
  <c r="O348" i="1"/>
  <c r="U323" i="1"/>
  <c r="U157" i="1"/>
  <c r="I172" i="1"/>
  <c r="X319" i="1"/>
  <c r="AA350" i="1"/>
  <c r="AA177" i="1"/>
  <c r="J324" i="1"/>
  <c r="X156" i="1"/>
  <c r="J315" i="1"/>
  <c r="O12" i="1"/>
  <c r="O43" i="1" s="1"/>
  <c r="O172" i="1"/>
  <c r="O354" i="1"/>
  <c r="O352" i="1"/>
  <c r="O27" i="1"/>
  <c r="O336" i="1"/>
  <c r="Q481" i="1"/>
  <c r="U153" i="1"/>
  <c r="U26" i="1"/>
  <c r="U319" i="1"/>
  <c r="AJ324" i="1"/>
  <c r="AD416" i="1"/>
  <c r="AJ41" i="1"/>
  <c r="AJ316" i="1"/>
  <c r="I27" i="1"/>
  <c r="I187" i="1"/>
  <c r="I335" i="1"/>
  <c r="AA186" i="1"/>
  <c r="AA339" i="1"/>
  <c r="X320" i="1"/>
  <c r="AA170" i="1"/>
  <c r="X154" i="1"/>
  <c r="AA174" i="1"/>
  <c r="AA185" i="1"/>
  <c r="AA335" i="1"/>
  <c r="I189" i="1"/>
  <c r="X153" i="1"/>
  <c r="J154" i="1"/>
  <c r="J160" i="1"/>
  <c r="J159" i="1"/>
  <c r="H209" i="1"/>
  <c r="AD310" i="1"/>
  <c r="O190" i="1"/>
  <c r="Q40" i="1"/>
  <c r="I78" i="1"/>
  <c r="X77" i="1"/>
  <c r="X323" i="1"/>
  <c r="AA176" i="1"/>
  <c r="O192" i="1"/>
  <c r="U313" i="1"/>
  <c r="AC416" i="1"/>
  <c r="O78" i="1"/>
  <c r="O351" i="1"/>
  <c r="O42" i="1"/>
  <c r="O175" i="1"/>
  <c r="Q415" i="1"/>
  <c r="Q76" i="1"/>
  <c r="U77" i="1"/>
  <c r="U41" i="1"/>
  <c r="U315" i="1"/>
  <c r="AD420" i="1"/>
  <c r="AJ159" i="1"/>
  <c r="AJ318" i="1"/>
  <c r="I349" i="1"/>
  <c r="I177" i="1"/>
  <c r="X26" i="1"/>
  <c r="AA189" i="1"/>
  <c r="AA348" i="1"/>
  <c r="AC415" i="1"/>
  <c r="AA429" i="1"/>
  <c r="AA172" i="1"/>
  <c r="J318" i="1"/>
  <c r="X150" i="1"/>
  <c r="AC70" i="1"/>
  <c r="U160" i="1"/>
  <c r="I175" i="1"/>
  <c r="X151" i="1"/>
  <c r="O337" i="1"/>
  <c r="Q25" i="1"/>
  <c r="U428" i="1"/>
  <c r="AJ26" i="1"/>
  <c r="I334" i="1"/>
  <c r="I188" i="1"/>
  <c r="AA188" i="1"/>
  <c r="X41" i="1"/>
  <c r="X160" i="1"/>
  <c r="AA173" i="1"/>
  <c r="AC40" i="1"/>
  <c r="X159" i="1"/>
  <c r="AC16" i="1"/>
  <c r="J320" i="1"/>
  <c r="J156" i="1"/>
  <c r="J321" i="1"/>
  <c r="AC310" i="1"/>
  <c r="AA293" i="1"/>
  <c r="AA271" i="1"/>
  <c r="AA476" i="1" s="1"/>
  <c r="Z143" i="1"/>
  <c r="X262" i="1"/>
  <c r="X475" i="1" s="1"/>
  <c r="M118" i="1"/>
  <c r="L293" i="1"/>
  <c r="L271" i="1"/>
  <c r="L476" i="1" s="1"/>
  <c r="L96" i="1"/>
  <c r="K126" i="1"/>
  <c r="J285" i="1"/>
  <c r="J477" i="1" s="1"/>
  <c r="J143" i="1"/>
  <c r="O429" i="1"/>
  <c r="O187" i="1"/>
  <c r="X470" i="1"/>
  <c r="AA169" i="1"/>
  <c r="X428" i="1"/>
  <c r="X322" i="1"/>
  <c r="J158" i="1"/>
  <c r="J316" i="1"/>
  <c r="AC481" i="1"/>
  <c r="O171" i="1"/>
  <c r="Q420" i="1"/>
  <c r="AC421" i="1"/>
  <c r="O174" i="1"/>
  <c r="O353" i="1"/>
  <c r="O176" i="1"/>
  <c r="O349" i="1"/>
  <c r="O168" i="1"/>
  <c r="Q70" i="1"/>
  <c r="Q421" i="1"/>
  <c r="U417" i="1"/>
  <c r="U322" i="1"/>
  <c r="U152" i="1"/>
  <c r="AD40" i="1"/>
  <c r="AJ154" i="1"/>
  <c r="AJ315" i="1"/>
  <c r="AJ321" i="1"/>
  <c r="I347" i="1"/>
  <c r="I176" i="1"/>
  <c r="I168" i="1"/>
  <c r="I418" i="1"/>
  <c r="AA168" i="1"/>
  <c r="AA175" i="1"/>
  <c r="X321" i="1"/>
  <c r="AA351" i="1"/>
  <c r="X313" i="1"/>
  <c r="AA78" i="1"/>
  <c r="X314" i="1"/>
  <c r="J26" i="1"/>
  <c r="J41" i="1"/>
  <c r="AF285" i="1"/>
  <c r="AF477" i="1" s="1"/>
  <c r="AC76" i="1"/>
  <c r="O331" i="1"/>
  <c r="O177" i="1"/>
  <c r="U158" i="1"/>
  <c r="I332" i="1"/>
  <c r="O335" i="1"/>
  <c r="O332" i="1"/>
  <c r="O185" i="1"/>
  <c r="U316" i="1"/>
  <c r="U159" i="1"/>
  <c r="AJ470" i="1"/>
  <c r="U321" i="1"/>
  <c r="AC12" i="1"/>
  <c r="AC79" i="1" s="1"/>
  <c r="O418" i="1"/>
  <c r="O334" i="1"/>
  <c r="O191" i="1"/>
  <c r="O339" i="1"/>
  <c r="U314" i="1"/>
  <c r="U156" i="1"/>
  <c r="U317" i="1"/>
  <c r="U324" i="1"/>
  <c r="AD415" i="1"/>
  <c r="AJ158" i="1"/>
  <c r="AJ314" i="1"/>
  <c r="AJ417" i="1"/>
  <c r="AJ323" i="1"/>
  <c r="I339" i="1"/>
  <c r="I191" i="1"/>
  <c r="I192" i="1"/>
  <c r="AA352" i="1"/>
  <c r="X417" i="1"/>
  <c r="AA332" i="1"/>
  <c r="X158" i="1"/>
  <c r="AA42" i="1"/>
  <c r="X315" i="1"/>
  <c r="AA337" i="1"/>
  <c r="AA334" i="1"/>
  <c r="AC25" i="1"/>
  <c r="AA336" i="1"/>
  <c r="X415" i="1"/>
  <c r="AA320" i="1"/>
  <c r="AA150" i="1"/>
  <c r="AJ42" i="1"/>
  <c r="AJ173" i="1"/>
  <c r="S333" i="1"/>
  <c r="S348" i="1"/>
  <c r="S170" i="1"/>
  <c r="AD429" i="1"/>
  <c r="V171" i="1"/>
  <c r="V172" i="1"/>
  <c r="AD188" i="1"/>
  <c r="V351" i="1"/>
  <c r="S339" i="1"/>
  <c r="AD338" i="1"/>
  <c r="M336" i="1"/>
  <c r="M350" i="1"/>
  <c r="M338" i="1"/>
  <c r="M418" i="1"/>
  <c r="M331" i="1"/>
  <c r="W153" i="1"/>
  <c r="V173" i="1"/>
  <c r="P415" i="1"/>
  <c r="X421" i="1"/>
  <c r="AA322" i="1"/>
  <c r="S189" i="1"/>
  <c r="S191" i="1"/>
  <c r="S353" i="1"/>
  <c r="S177" i="1"/>
  <c r="V333" i="1"/>
  <c r="AD332" i="1"/>
  <c r="V192" i="1"/>
  <c r="AD175" i="1"/>
  <c r="P416" i="1"/>
  <c r="T318" i="1"/>
  <c r="P76" i="1"/>
  <c r="O152" i="1"/>
  <c r="O315" i="1"/>
  <c r="X416" i="1"/>
  <c r="X40" i="1"/>
  <c r="AA151" i="1"/>
  <c r="AA313" i="1"/>
  <c r="AA318" i="1"/>
  <c r="AA41" i="1"/>
  <c r="AJ27" i="1"/>
  <c r="S174" i="1"/>
  <c r="S173" i="1"/>
  <c r="O319" i="1"/>
  <c r="U416" i="1"/>
  <c r="S352" i="1"/>
  <c r="O320" i="1"/>
  <c r="S192" i="1"/>
  <c r="U40" i="1"/>
  <c r="V188" i="1"/>
  <c r="V185" i="1"/>
  <c r="AD185" i="1"/>
  <c r="AD331" i="1"/>
  <c r="V187" i="1"/>
  <c r="V336" i="1"/>
  <c r="AD333" i="1"/>
  <c r="AD172" i="1"/>
  <c r="V335" i="1"/>
  <c r="P481" i="1"/>
  <c r="M353" i="1"/>
  <c r="M332" i="1"/>
  <c r="M187" i="1"/>
  <c r="M174" i="1"/>
  <c r="M175" i="1"/>
  <c r="Z333" i="1"/>
  <c r="V349" i="1"/>
  <c r="T157" i="1"/>
  <c r="P40" i="1"/>
  <c r="T160" i="1"/>
  <c r="AF105" i="1"/>
  <c r="T323" i="1"/>
  <c r="AA159" i="1"/>
  <c r="X420" i="1"/>
  <c r="AA152" i="1"/>
  <c r="AA319" i="1"/>
  <c r="AA316" i="1"/>
  <c r="AA323" i="1"/>
  <c r="AJ169" i="1"/>
  <c r="S190" i="1"/>
  <c r="S337" i="1"/>
  <c r="S336" i="1"/>
  <c r="V337" i="1"/>
  <c r="V175" i="1"/>
  <c r="AD348" i="1"/>
  <c r="AD349" i="1"/>
  <c r="AD335" i="1"/>
  <c r="V334" i="1"/>
  <c r="V332" i="1"/>
  <c r="AD192" i="1"/>
  <c r="AD186" i="1"/>
  <c r="S429" i="1"/>
  <c r="T159" i="1"/>
  <c r="P421" i="1"/>
  <c r="M337" i="1"/>
  <c r="M171" i="1"/>
  <c r="M349" i="1"/>
  <c r="M177" i="1"/>
  <c r="M170" i="1"/>
  <c r="Z42" i="1"/>
  <c r="T153" i="1"/>
  <c r="O150" i="1"/>
  <c r="T315" i="1"/>
  <c r="T322" i="1"/>
  <c r="AD418" i="1"/>
  <c r="F26" i="16"/>
  <c r="T154" i="1"/>
  <c r="O313" i="1"/>
  <c r="X12" i="1"/>
  <c r="X79" i="1" s="1"/>
  <c r="AA156" i="1"/>
  <c r="AA324" i="1"/>
  <c r="AA314" i="1"/>
  <c r="AJ331" i="1"/>
  <c r="AJ339" i="1"/>
  <c r="O316" i="1"/>
  <c r="S168" i="1"/>
  <c r="S188" i="1"/>
  <c r="U16" i="1"/>
  <c r="S350" i="1"/>
  <c r="S172" i="1"/>
  <c r="S27" i="1"/>
  <c r="U421" i="1"/>
  <c r="S78" i="1"/>
  <c r="AD337" i="1"/>
  <c r="V186" i="1"/>
  <c r="V78" i="1"/>
  <c r="AD169" i="1"/>
  <c r="AD27" i="1"/>
  <c r="V176" i="1"/>
  <c r="V190" i="1"/>
  <c r="AD190" i="1"/>
  <c r="H77" i="1"/>
  <c r="T156" i="1"/>
  <c r="T314" i="1"/>
  <c r="AB481" i="1"/>
  <c r="M42" i="1"/>
  <c r="AJ338" i="1"/>
  <c r="M348" i="1"/>
  <c r="M334" i="1"/>
  <c r="M335" i="1"/>
  <c r="M173" i="1"/>
  <c r="M429" i="1"/>
  <c r="T470" i="1"/>
  <c r="Z418" i="1"/>
  <c r="T319" i="1"/>
  <c r="X481" i="1"/>
  <c r="AA77" i="1"/>
  <c r="U12" i="1"/>
  <c r="U19" i="1" s="1"/>
  <c r="S187" i="1"/>
  <c r="U70" i="1"/>
  <c r="O41" i="1"/>
  <c r="V331" i="1"/>
  <c r="V170" i="1"/>
  <c r="AD173" i="1"/>
  <c r="AD353" i="1"/>
  <c r="V339" i="1"/>
  <c r="M27" i="1"/>
  <c r="AA321" i="1"/>
  <c r="AA26" i="1"/>
  <c r="S186" i="1"/>
  <c r="S42" i="1"/>
  <c r="S176" i="1"/>
  <c r="S175" i="1"/>
  <c r="AD352" i="1"/>
  <c r="V169" i="1"/>
  <c r="AD336" i="1"/>
  <c r="V353" i="1"/>
  <c r="M188" i="1"/>
  <c r="T41" i="1"/>
  <c r="T324" i="1"/>
  <c r="M189" i="1"/>
  <c r="AD339" i="1"/>
  <c r="M186" i="1"/>
  <c r="M354" i="1"/>
  <c r="Z175" i="1"/>
  <c r="Z177" i="1"/>
  <c r="Z171" i="1"/>
  <c r="T158" i="1"/>
  <c r="O322" i="1"/>
  <c r="X25" i="1"/>
  <c r="AA160" i="1"/>
  <c r="AA317" i="1"/>
  <c r="AA157" i="1"/>
  <c r="AJ190" i="1"/>
  <c r="AD12" i="1"/>
  <c r="AD79" i="1" s="1"/>
  <c r="AJ172" i="1"/>
  <c r="AF25" i="1"/>
  <c r="M12" i="1"/>
  <c r="M7" i="1" s="1"/>
  <c r="M482" i="1" s="1"/>
  <c r="O26" i="1"/>
  <c r="S338" i="1"/>
  <c r="S171" i="1"/>
  <c r="S351" i="1"/>
  <c r="S334" i="1"/>
  <c r="S335" i="1"/>
  <c r="S349" i="1"/>
  <c r="U76" i="1"/>
  <c r="V350" i="1"/>
  <c r="AD347" i="1"/>
  <c r="AD350" i="1"/>
  <c r="V191" i="1"/>
  <c r="V348" i="1"/>
  <c r="AD334" i="1"/>
  <c r="AD354" i="1"/>
  <c r="AD191" i="1"/>
  <c r="V177" i="1"/>
  <c r="O428" i="1"/>
  <c r="H152" i="1"/>
  <c r="M172" i="1"/>
  <c r="T428" i="1"/>
  <c r="T417" i="1"/>
  <c r="H314" i="1"/>
  <c r="M347" i="1"/>
  <c r="M339" i="1"/>
  <c r="M78" i="1"/>
  <c r="M351" i="1"/>
  <c r="W77" i="1"/>
  <c r="V27" i="1"/>
  <c r="AD293" i="1"/>
  <c r="AD271" i="1"/>
  <c r="AD476" i="1" s="1"/>
  <c r="AD143" i="1"/>
  <c r="AD126" i="1"/>
  <c r="AC285" i="1"/>
  <c r="AC477" i="1" s="1"/>
  <c r="AC271" i="1"/>
  <c r="AC476" i="1" s="1"/>
  <c r="AC209" i="1"/>
  <c r="AC118" i="1"/>
  <c r="AC105" i="1"/>
  <c r="AC96" i="1"/>
  <c r="AB293" i="1"/>
  <c r="AB285" i="1"/>
  <c r="AB477" i="1" s="1"/>
  <c r="AB262" i="1"/>
  <c r="AB475" i="1" s="1"/>
  <c r="AB209" i="1"/>
  <c r="AB143" i="1"/>
  <c r="AA262" i="1"/>
  <c r="AA475" i="1" s="1"/>
  <c r="AA143" i="1"/>
  <c r="AA105" i="1"/>
  <c r="AA96" i="1"/>
  <c r="Z371" i="1"/>
  <c r="Z285" i="1"/>
  <c r="Z477" i="1" s="1"/>
  <c r="Z262" i="1"/>
  <c r="Z209" i="1"/>
  <c r="Z118" i="1"/>
  <c r="Z105" i="1"/>
  <c r="Y293" i="1"/>
  <c r="Y271" i="1"/>
  <c r="Y476" i="1" s="1"/>
  <c r="Y209" i="1"/>
  <c r="Y126" i="1"/>
  <c r="X310" i="1"/>
  <c r="X285" i="1"/>
  <c r="X477" i="1" s="1"/>
  <c r="X271" i="1"/>
  <c r="X476" i="1" s="1"/>
  <c r="X143" i="1"/>
  <c r="X126" i="1"/>
  <c r="X105" i="1"/>
  <c r="W262" i="1"/>
  <c r="W475" i="1" s="1"/>
  <c r="AJ271" i="1"/>
  <c r="AJ476" i="1" s="1"/>
  <c r="AJ262" i="1"/>
  <c r="AJ475" i="1" s="1"/>
  <c r="AJ105" i="1"/>
  <c r="AH262" i="1"/>
  <c r="AH475" i="1" s="1"/>
  <c r="AH209" i="1"/>
  <c r="AF262" i="1"/>
  <c r="AF475" i="1" s="1"/>
  <c r="AF143" i="1"/>
  <c r="AF126" i="1"/>
  <c r="L285" i="1"/>
  <c r="L477" i="1" s="1"/>
  <c r="L262" i="1"/>
  <c r="L475" i="1" s="1"/>
  <c r="L209" i="1"/>
  <c r="L105" i="1"/>
  <c r="K310" i="1"/>
  <c r="K262" i="1"/>
  <c r="K475" i="1" s="1"/>
  <c r="K209" i="1"/>
  <c r="K143" i="1"/>
  <c r="K118" i="1"/>
  <c r="AK94" i="1"/>
  <c r="AL94" i="1" s="1"/>
  <c r="AK268" i="1"/>
  <c r="AL268" i="1" s="1"/>
  <c r="J118" i="1"/>
  <c r="I371" i="1"/>
  <c r="I209" i="1"/>
  <c r="U262" i="1"/>
  <c r="U475" i="1" s="1"/>
  <c r="U126" i="1"/>
  <c r="T271" i="1"/>
  <c r="T476" i="1" s="1"/>
  <c r="T105" i="1"/>
  <c r="S371" i="1"/>
  <c r="S285" i="1"/>
  <c r="S477" i="1" s="1"/>
  <c r="S118" i="1"/>
  <c r="Q293" i="1"/>
  <c r="Q143" i="1"/>
  <c r="AK102" i="1"/>
  <c r="AL102" i="1" s="1"/>
  <c r="Q96" i="1"/>
  <c r="P310" i="1"/>
  <c r="P143" i="1"/>
  <c r="P118" i="1"/>
  <c r="O310" i="1"/>
  <c r="O271" i="1"/>
  <c r="O476" i="1" s="1"/>
  <c r="O209" i="1"/>
  <c r="O118" i="1"/>
  <c r="M310" i="1"/>
  <c r="M285" i="1"/>
  <c r="M477" i="1" s="1"/>
  <c r="M271" i="1"/>
  <c r="M476" i="1" s="1"/>
  <c r="M262" i="1"/>
  <c r="M475" i="1" s="1"/>
  <c r="M143" i="1"/>
  <c r="M126" i="1"/>
  <c r="AK101" i="1"/>
  <c r="AL101" i="1" s="1"/>
  <c r="AK89" i="1"/>
  <c r="AL89" i="1" s="1"/>
  <c r="V293" i="1"/>
  <c r="V271" i="1"/>
  <c r="V476" i="1" s="1"/>
  <c r="V96" i="1"/>
  <c r="W158" i="1"/>
  <c r="V16" i="1"/>
  <c r="K96" i="1"/>
  <c r="K153" i="1"/>
  <c r="K428" i="1"/>
  <c r="P169" i="1"/>
  <c r="L169" i="1"/>
  <c r="L170" i="1"/>
  <c r="L333" i="1"/>
  <c r="AB421" i="1"/>
  <c r="Z337" i="1"/>
  <c r="Z187" i="1"/>
  <c r="W151" i="1"/>
  <c r="Z27" i="1"/>
  <c r="Z347" i="1"/>
  <c r="W154" i="1"/>
  <c r="W150" i="1"/>
  <c r="W159" i="1"/>
  <c r="W319" i="1"/>
  <c r="AH293" i="1"/>
  <c r="AK135" i="1"/>
  <c r="AL135" i="1" s="1"/>
  <c r="AH96" i="1"/>
  <c r="W324" i="1"/>
  <c r="S415" i="1"/>
  <c r="K159" i="1"/>
  <c r="AH26" i="1"/>
  <c r="L338" i="1"/>
  <c r="L331" i="1"/>
  <c r="AB70" i="1"/>
  <c r="AB416" i="1"/>
  <c r="P335" i="1"/>
  <c r="Z173" i="1"/>
  <c r="Z353" i="1"/>
  <c r="Z78" i="1"/>
  <c r="Z350" i="1"/>
  <c r="Z174" i="1"/>
  <c r="Z336" i="1"/>
  <c r="W323" i="1"/>
  <c r="Z170" i="1"/>
  <c r="Z352" i="1"/>
  <c r="W156" i="1"/>
  <c r="AK305" i="1"/>
  <c r="AL305" i="1" s="1"/>
  <c r="AH322" i="1"/>
  <c r="V25" i="1"/>
  <c r="K26" i="1"/>
  <c r="W12" i="1"/>
  <c r="W18" i="1" s="1"/>
  <c r="AH318" i="1"/>
  <c r="L42" i="1"/>
  <c r="L188" i="1"/>
  <c r="AB40" i="1"/>
  <c r="Z189" i="1"/>
  <c r="Z351" i="1"/>
  <c r="Z176" i="1"/>
  <c r="Z190" i="1"/>
  <c r="W417" i="1"/>
  <c r="Z335" i="1"/>
  <c r="K151" i="1"/>
  <c r="Z191" i="1"/>
  <c r="AK366" i="1"/>
  <c r="AL366" i="1" s="1"/>
  <c r="AK302" i="1"/>
  <c r="AL302" i="1" s="1"/>
  <c r="AJ285" i="1"/>
  <c r="AJ477" i="1" s="1"/>
  <c r="AK136" i="1"/>
  <c r="AL136" i="1" s="1"/>
  <c r="AJ118" i="1"/>
  <c r="S76" i="1"/>
  <c r="W428" i="1"/>
  <c r="S12" i="1"/>
  <c r="S79" i="1" s="1"/>
  <c r="Z12" i="1"/>
  <c r="W317" i="1"/>
  <c r="S481" i="1"/>
  <c r="AH156" i="1"/>
  <c r="V70" i="1"/>
  <c r="V420" i="1"/>
  <c r="S70" i="1"/>
  <c r="K322" i="1"/>
  <c r="P42" i="1"/>
  <c r="P27" i="1"/>
  <c r="AF70" i="1"/>
  <c r="AF420" i="1"/>
  <c r="L352" i="1"/>
  <c r="L176" i="1"/>
  <c r="AB415" i="1"/>
  <c r="AB420" i="1"/>
  <c r="W321" i="1"/>
  <c r="W313" i="1"/>
  <c r="Z354" i="1"/>
  <c r="Z334" i="1"/>
  <c r="Z185" i="1"/>
  <c r="W316" i="1"/>
  <c r="Z186" i="1"/>
  <c r="AK308" i="1"/>
  <c r="AL308" i="1" s="1"/>
  <c r="AK99" i="1"/>
  <c r="AL99" i="1" s="1"/>
  <c r="AA310" i="1"/>
  <c r="V40" i="1"/>
  <c r="AH316" i="1"/>
  <c r="V481" i="1"/>
  <c r="V421" i="1"/>
  <c r="K315" i="1"/>
  <c r="K316" i="1"/>
  <c r="P354" i="1"/>
  <c r="AF76" i="1"/>
  <c r="AF40" i="1"/>
  <c r="L349" i="1"/>
  <c r="K319" i="1"/>
  <c r="L171" i="1"/>
  <c r="AB76" i="1"/>
  <c r="W152" i="1"/>
  <c r="Z339" i="1"/>
  <c r="Z332" i="1"/>
  <c r="Z188" i="1"/>
  <c r="W157" i="1"/>
  <c r="W315" i="1"/>
  <c r="Z168" i="1"/>
  <c r="Z169" i="1"/>
  <c r="G24" i="15"/>
  <c r="H24" i="15" s="1"/>
  <c r="W26" i="1"/>
  <c r="S421" i="1"/>
  <c r="S16" i="1"/>
  <c r="AH153" i="1"/>
  <c r="V12" i="1"/>
  <c r="AF12" i="1"/>
  <c r="AB12" i="1"/>
  <c r="AB79" i="1" s="1"/>
  <c r="P337" i="1"/>
  <c r="P78" i="1"/>
  <c r="P338" i="1"/>
  <c r="P176" i="1"/>
  <c r="AF416" i="1"/>
  <c r="AF421" i="1"/>
  <c r="AF481" i="1"/>
  <c r="L351" i="1"/>
  <c r="AB25" i="1"/>
  <c r="W320" i="1"/>
  <c r="Z192" i="1"/>
  <c r="W41" i="1"/>
  <c r="Z429" i="1"/>
  <c r="Z172" i="1"/>
  <c r="W160" i="1"/>
  <c r="W470" i="1"/>
  <c r="V416" i="1"/>
  <c r="K77" i="1"/>
  <c r="P351" i="1"/>
  <c r="K314" i="1"/>
  <c r="P188" i="1"/>
  <c r="P429" i="1"/>
  <c r="P334" i="1"/>
  <c r="H173" i="1"/>
  <c r="AF415" i="1"/>
  <c r="W322" i="1"/>
  <c r="Z349" i="1"/>
  <c r="W318" i="1"/>
  <c r="Z331" i="1"/>
  <c r="Z348" i="1"/>
  <c r="AF310" i="1"/>
  <c r="AF293" i="1"/>
  <c r="AF271" i="1"/>
  <c r="AF476" i="1" s="1"/>
  <c r="AF118" i="1"/>
  <c r="AH371" i="1"/>
  <c r="AK365" i="1"/>
  <c r="AL365" i="1" s="1"/>
  <c r="AK113" i="1"/>
  <c r="AL113" i="1" s="1"/>
  <c r="AH118" i="1"/>
  <c r="AJ310" i="1"/>
  <c r="AJ353" i="1"/>
  <c r="AJ349" i="1"/>
  <c r="AJ348" i="1"/>
  <c r="AJ418" i="1"/>
  <c r="AJ170" i="1"/>
  <c r="AJ186" i="1"/>
  <c r="AJ78" i="1"/>
  <c r="AJ352" i="1"/>
  <c r="AJ177" i="1"/>
  <c r="AJ171" i="1"/>
  <c r="AJ174" i="1"/>
  <c r="AJ335" i="1"/>
  <c r="AJ175" i="1"/>
  <c r="AJ189" i="1"/>
  <c r="AJ429" i="1"/>
  <c r="AJ347" i="1"/>
  <c r="AJ337" i="1"/>
  <c r="AJ332" i="1"/>
  <c r="AJ336" i="1"/>
  <c r="AJ354" i="1"/>
  <c r="AJ192" i="1"/>
  <c r="AJ185" i="1"/>
  <c r="AJ12" i="1"/>
  <c r="AJ45" i="1" s="1"/>
  <c r="AJ188" i="1"/>
  <c r="AJ176" i="1"/>
  <c r="AJ168" i="1"/>
  <c r="AJ351" i="1"/>
  <c r="AH315" i="1"/>
  <c r="AB310" i="1"/>
  <c r="Y262" i="1"/>
  <c r="V262" i="1"/>
  <c r="V475" i="1" s="1"/>
  <c r="AH319" i="1"/>
  <c r="AB96" i="1"/>
  <c r="W118" i="1"/>
  <c r="AH324" i="1"/>
  <c r="AD371" i="1"/>
  <c r="AD285" i="1"/>
  <c r="AD477" i="1" s="1"/>
  <c r="AD209" i="1"/>
  <c r="AD105" i="1"/>
  <c r="AD96" i="1"/>
  <c r="AH41" i="1"/>
  <c r="AH285" i="1"/>
  <c r="AH477" i="1" s="1"/>
  <c r="AH143" i="1"/>
  <c r="AH77" i="1"/>
  <c r="AH12" i="1"/>
  <c r="AH45" i="1" s="1"/>
  <c r="AH158" i="1"/>
  <c r="AH323" i="1"/>
  <c r="AH154" i="1"/>
  <c r="AH321" i="1"/>
  <c r="AJ126" i="1"/>
  <c r="AH159" i="1"/>
  <c r="AH157" i="1"/>
  <c r="AH160" i="1"/>
  <c r="AH320" i="1"/>
  <c r="AH428" i="1"/>
  <c r="AH470" i="1"/>
  <c r="AH317" i="1"/>
  <c r="AJ209" i="1"/>
  <c r="AJ96" i="1"/>
  <c r="T96" i="1"/>
  <c r="S143" i="1"/>
  <c r="K293" i="1"/>
  <c r="K271" i="1"/>
  <c r="K476" i="1" s="1"/>
  <c r="J209" i="1"/>
  <c r="AH152" i="1"/>
  <c r="AK9" i="1"/>
  <c r="AL9" i="1" s="1"/>
  <c r="AH150" i="1"/>
  <c r="AH314" i="1"/>
  <c r="AH417" i="1"/>
  <c r="AH151" i="1"/>
  <c r="U371" i="1"/>
  <c r="U310" i="1"/>
  <c r="U285" i="1"/>
  <c r="U477" i="1" s="1"/>
  <c r="U271" i="1"/>
  <c r="U209" i="1"/>
  <c r="U143" i="1"/>
  <c r="U118" i="1"/>
  <c r="U96" i="1"/>
  <c r="AK367" i="1"/>
  <c r="AL367" i="1" s="1"/>
  <c r="T310" i="1"/>
  <c r="T285" i="1"/>
  <c r="T477" i="1" s="1"/>
  <c r="T262" i="1"/>
  <c r="T209" i="1"/>
  <c r="T143" i="1"/>
  <c r="T118" i="1"/>
  <c r="S293" i="1"/>
  <c r="S271" i="1"/>
  <c r="S476" i="1" s="1"/>
  <c r="S262" i="1"/>
  <c r="S475" i="1" s="1"/>
  <c r="S96" i="1"/>
  <c r="Q310" i="1"/>
  <c r="Q285" i="1"/>
  <c r="Q126" i="1"/>
  <c r="Q105" i="1"/>
  <c r="P371" i="1"/>
  <c r="P285" i="1"/>
  <c r="P477" i="1" s="1"/>
  <c r="P262" i="1"/>
  <c r="P209" i="1"/>
  <c r="P96" i="1"/>
  <c r="O293" i="1"/>
  <c r="O262" i="1"/>
  <c r="O475" i="1" s="1"/>
  <c r="O105" i="1"/>
  <c r="O96" i="1"/>
  <c r="M371" i="1"/>
  <c r="M209" i="1"/>
  <c r="M105" i="1"/>
  <c r="M96" i="1"/>
  <c r="L371" i="1"/>
  <c r="L310" i="1"/>
  <c r="L118" i="1"/>
  <c r="AK55" i="1"/>
  <c r="AL55" i="1" s="1"/>
  <c r="T337" i="1"/>
  <c r="T351" i="1"/>
  <c r="T371" i="1"/>
  <c r="T336" i="1"/>
  <c r="T339" i="1"/>
  <c r="T192" i="1"/>
  <c r="AK303" i="1"/>
  <c r="AL303" i="1" s="1"/>
  <c r="T335" i="1"/>
  <c r="T176" i="1"/>
  <c r="T333" i="1"/>
  <c r="T191" i="1"/>
  <c r="T348" i="1"/>
  <c r="T78" i="1"/>
  <c r="T190" i="1"/>
  <c r="T334" i="1"/>
  <c r="T27" i="1"/>
  <c r="T429" i="1"/>
  <c r="T350" i="1"/>
  <c r="T189" i="1"/>
  <c r="T347" i="1"/>
  <c r="T338" i="1"/>
  <c r="T349" i="1"/>
  <c r="T42" i="1"/>
  <c r="T353" i="1"/>
  <c r="T12" i="1"/>
  <c r="T352" i="1"/>
  <c r="T173" i="1"/>
  <c r="T354" i="1"/>
  <c r="S209" i="1"/>
  <c r="AK203" i="1"/>
  <c r="AL203" i="1" s="1"/>
  <c r="Q371" i="1"/>
  <c r="AK369" i="1"/>
  <c r="AL369" i="1" s="1"/>
  <c r="H172" i="1"/>
  <c r="H418" i="1"/>
  <c r="AK205" i="1"/>
  <c r="AL205" i="1" s="1"/>
  <c r="AK10" i="1"/>
  <c r="AL10" i="1" s="1"/>
  <c r="AK280" i="1"/>
  <c r="AL280" i="1" s="1"/>
  <c r="P150" i="1"/>
  <c r="H170" i="1"/>
  <c r="P313" i="1"/>
  <c r="P160" i="1"/>
  <c r="AF96" i="1"/>
  <c r="H332" i="1"/>
  <c r="P153" i="1"/>
  <c r="P77" i="1"/>
  <c r="H168" i="1"/>
  <c r="H352" i="1"/>
  <c r="H177" i="1"/>
  <c r="H349" i="1"/>
  <c r="H176" i="1"/>
  <c r="H353" i="1"/>
  <c r="H171" i="1"/>
  <c r="H174" i="1"/>
  <c r="L191" i="1"/>
  <c r="L185" i="1"/>
  <c r="L334" i="1"/>
  <c r="L173" i="1"/>
  <c r="L350" i="1"/>
  <c r="L354" i="1"/>
  <c r="L187" i="1"/>
  <c r="L335" i="1"/>
  <c r="L332" i="1"/>
  <c r="L337" i="1"/>
  <c r="L336" i="1"/>
  <c r="L348" i="1"/>
  <c r="L174" i="1"/>
  <c r="L339" i="1"/>
  <c r="L192" i="1"/>
  <c r="L418" i="1"/>
  <c r="L353" i="1"/>
  <c r="L189" i="1"/>
  <c r="L347" i="1"/>
  <c r="L27" i="1"/>
  <c r="L177" i="1"/>
  <c r="L429" i="1"/>
  <c r="L168" i="1"/>
  <c r="L175" i="1"/>
  <c r="L12" i="1"/>
  <c r="L17" i="1" s="1"/>
  <c r="L190" i="1"/>
  <c r="L172" i="1"/>
  <c r="P315" i="1"/>
  <c r="P159" i="1"/>
  <c r="P323" i="1"/>
  <c r="P26" i="1"/>
  <c r="P322" i="1"/>
  <c r="P324" i="1"/>
  <c r="P12" i="1"/>
  <c r="P428" i="1"/>
  <c r="P156" i="1"/>
  <c r="P157" i="1"/>
  <c r="P317" i="1"/>
  <c r="AK141" i="1"/>
  <c r="AL141" i="1" s="1"/>
  <c r="O143" i="1"/>
  <c r="H371" i="1"/>
  <c r="AH310" i="1"/>
  <c r="AH271" i="1"/>
  <c r="AH476" i="1" s="1"/>
  <c r="J151" i="1"/>
  <c r="J317" i="1"/>
  <c r="J322" i="1"/>
  <c r="J77" i="1"/>
  <c r="J319" i="1"/>
  <c r="J417" i="1"/>
  <c r="J150" i="1"/>
  <c r="J428" i="1"/>
  <c r="J153" i="1"/>
  <c r="J157" i="1"/>
  <c r="J323" i="1"/>
  <c r="I336" i="1"/>
  <c r="I351" i="1"/>
  <c r="I173" i="1"/>
  <c r="I353" i="1"/>
  <c r="I337" i="1"/>
  <c r="I174" i="1"/>
  <c r="I352" i="1"/>
  <c r="I169" i="1"/>
  <c r="I170" i="1"/>
  <c r="I429" i="1"/>
  <c r="I354" i="1"/>
  <c r="I186" i="1"/>
  <c r="I185" i="1"/>
  <c r="I338" i="1"/>
  <c r="I171" i="1"/>
  <c r="S420" i="1"/>
  <c r="S25" i="1"/>
  <c r="P187" i="1"/>
  <c r="P172" i="1"/>
  <c r="P336" i="1"/>
  <c r="P349" i="1"/>
  <c r="P192" i="1"/>
  <c r="P191" i="1"/>
  <c r="P332" i="1"/>
  <c r="P177" i="1"/>
  <c r="P339" i="1"/>
  <c r="P353" i="1"/>
  <c r="P173" i="1"/>
  <c r="P348" i="1"/>
  <c r="P189" i="1"/>
  <c r="P168" i="1"/>
  <c r="P331" i="1"/>
  <c r="P333" i="1"/>
  <c r="P170" i="1"/>
  <c r="P186" i="1"/>
  <c r="P171" i="1"/>
  <c r="AK137" i="1"/>
  <c r="AL137" i="1" s="1"/>
  <c r="K191" i="1"/>
  <c r="K349" i="1"/>
  <c r="K348" i="1"/>
  <c r="K335" i="1"/>
  <c r="K332" i="1"/>
  <c r="K173" i="1"/>
  <c r="K352" i="1"/>
  <c r="K189" i="1"/>
  <c r="K338" i="1"/>
  <c r="K336" i="1"/>
  <c r="K27" i="1"/>
  <c r="K42" i="1"/>
  <c r="K354" i="1"/>
  <c r="K333" i="1"/>
  <c r="K170" i="1"/>
  <c r="K418" i="1"/>
  <c r="K78" i="1"/>
  <c r="K168" i="1"/>
  <c r="K334" i="1"/>
  <c r="K172" i="1"/>
  <c r="J16" i="1"/>
  <c r="J415" i="1"/>
  <c r="K320" i="1"/>
  <c r="K41" i="1"/>
  <c r="K324" i="1"/>
  <c r="K157" i="1"/>
  <c r="K321" i="1"/>
  <c r="K323" i="1"/>
  <c r="K156" i="1"/>
  <c r="K318" i="1"/>
  <c r="K158" i="1"/>
  <c r="K417" i="1"/>
  <c r="AK206" i="1"/>
  <c r="AL206" i="1" s="1"/>
  <c r="U105" i="1"/>
  <c r="AB350" i="1"/>
  <c r="AB174" i="1"/>
  <c r="AB418" i="1"/>
  <c r="AB333" i="1"/>
  <c r="AB172" i="1"/>
  <c r="AB190" i="1"/>
  <c r="AB353" i="1"/>
  <c r="AB351" i="1"/>
  <c r="AB171" i="1"/>
  <c r="AB334" i="1"/>
  <c r="AB175" i="1"/>
  <c r="AA118" i="1"/>
  <c r="Z310" i="1"/>
  <c r="Y118" i="1"/>
  <c r="Y78" i="1"/>
  <c r="Y186" i="1"/>
  <c r="Y418" i="1"/>
  <c r="Y336" i="1"/>
  <c r="Y191" i="1"/>
  <c r="Y335" i="1"/>
  <c r="Y352" i="1"/>
  <c r="Y169" i="1"/>
  <c r="Y353" i="1"/>
  <c r="Y175" i="1"/>
  <c r="Y170" i="1"/>
  <c r="Y354" i="1"/>
  <c r="Y337" i="1"/>
  <c r="Y188" i="1"/>
  <c r="Y176" i="1"/>
  <c r="Y177" i="1"/>
  <c r="Y185" i="1"/>
  <c r="Y339" i="1"/>
  <c r="X209" i="1"/>
  <c r="W126" i="1"/>
  <c r="V310" i="1"/>
  <c r="V285" i="1"/>
  <c r="V209" i="1"/>
  <c r="V118" i="1"/>
  <c r="V105" i="1"/>
  <c r="S40" i="1"/>
  <c r="P350" i="1"/>
  <c r="K152" i="1"/>
  <c r="P174" i="1"/>
  <c r="P352" i="1"/>
  <c r="K313" i="1"/>
  <c r="K470" i="1"/>
  <c r="AK167" i="1"/>
  <c r="AL167" i="1" s="1"/>
  <c r="P418" i="1"/>
  <c r="AC371" i="1"/>
  <c r="AC143" i="1"/>
  <c r="AB371" i="1"/>
  <c r="W285" i="1"/>
  <c r="AK265" i="1"/>
  <c r="AL265" i="1" s="1"/>
  <c r="W105" i="1"/>
  <c r="W96" i="1"/>
  <c r="J310" i="1"/>
  <c r="J293" i="1"/>
  <c r="J126" i="1"/>
  <c r="J105" i="1"/>
  <c r="J96" i="1"/>
  <c r="AB271" i="1"/>
  <c r="AB476" i="1" s="1"/>
  <c r="AB118" i="1"/>
  <c r="AA126" i="1"/>
  <c r="O126" i="1"/>
  <c r="AK330" i="1"/>
  <c r="AL330" i="1" s="1"/>
  <c r="AJ293" i="1"/>
  <c r="AK204" i="1"/>
  <c r="AL204" i="1" s="1"/>
  <c r="AF371" i="1"/>
  <c r="AF209" i="1"/>
  <c r="AD262" i="1"/>
  <c r="AD118" i="1"/>
  <c r="P293" i="1"/>
  <c r="P105" i="1"/>
  <c r="X371" i="1"/>
  <c r="X96" i="1"/>
  <c r="K371" i="1"/>
  <c r="K285" i="1"/>
  <c r="K477" i="1" s="1"/>
  <c r="Q271" i="1"/>
  <c r="L126" i="1"/>
  <c r="Y310" i="1"/>
  <c r="Y285" i="1"/>
  <c r="W371" i="1"/>
  <c r="AK368" i="1"/>
  <c r="AL368" i="1" s="1"/>
  <c r="W310" i="1"/>
  <c r="AK304" i="1"/>
  <c r="AL304" i="1" s="1"/>
  <c r="W209" i="1"/>
  <c r="AK207" i="1"/>
  <c r="AL207" i="1" s="1"/>
  <c r="AK138" i="1"/>
  <c r="AL138" i="1" s="1"/>
  <c r="W143" i="1"/>
  <c r="K40" i="1"/>
  <c r="K481" i="1"/>
  <c r="K70" i="1"/>
  <c r="K16" i="1"/>
  <c r="K25" i="1"/>
  <c r="K76" i="1"/>
  <c r="K420" i="1"/>
  <c r="K416" i="1"/>
  <c r="K12" i="1"/>
  <c r="K415" i="1"/>
  <c r="J271" i="1"/>
  <c r="J476" i="1" s="1"/>
  <c r="AK267" i="1"/>
  <c r="AL267" i="1" s="1"/>
  <c r="J262" i="1"/>
  <c r="AK255" i="1"/>
  <c r="AL255" i="1" s="1"/>
  <c r="AK427" i="1"/>
  <c r="AL427" i="1" s="1"/>
  <c r="AK260" i="1"/>
  <c r="AL260" i="1" s="1"/>
  <c r="H338" i="1"/>
  <c r="H78" i="1"/>
  <c r="H188" i="1"/>
  <c r="H190" i="1"/>
  <c r="H339" i="1"/>
  <c r="H192" i="1"/>
  <c r="H27" i="1"/>
  <c r="H354" i="1"/>
  <c r="H347" i="1"/>
  <c r="H335" i="1"/>
  <c r="H337" i="1"/>
  <c r="H169" i="1"/>
  <c r="H350" i="1"/>
  <c r="H186" i="1"/>
  <c r="H334" i="1"/>
  <c r="AA70" i="1"/>
  <c r="AA421" i="1"/>
  <c r="T174" i="1"/>
  <c r="T171" i="1"/>
  <c r="T418" i="1"/>
  <c r="T172" i="1"/>
  <c r="T168" i="1"/>
  <c r="T177" i="1"/>
  <c r="T170" i="1"/>
  <c r="T331" i="1"/>
  <c r="T187" i="1"/>
  <c r="T188" i="1"/>
  <c r="J421" i="1"/>
  <c r="J416" i="1"/>
  <c r="J70" i="1"/>
  <c r="J25" i="1"/>
  <c r="J76" i="1"/>
  <c r="J12" i="1"/>
  <c r="AJ371" i="1"/>
  <c r="AJ143" i="1"/>
  <c r="Q321" i="1"/>
  <c r="Q150" i="1"/>
  <c r="Q153" i="1"/>
  <c r="Q314" i="1"/>
  <c r="Q159" i="1"/>
  <c r="Q157" i="1"/>
  <c r="Q324" i="1"/>
  <c r="Q417" i="1"/>
  <c r="Q316" i="1"/>
  <c r="Q322" i="1"/>
  <c r="Q320" i="1"/>
  <c r="Q154" i="1"/>
  <c r="Q77" i="1"/>
  <c r="Q158" i="1"/>
  <c r="Q323" i="1"/>
  <c r="Q318" i="1"/>
  <c r="Q152" i="1"/>
  <c r="Q319" i="1"/>
  <c r="AA12" i="1"/>
  <c r="AA420" i="1"/>
  <c r="S154" i="1"/>
  <c r="S318" i="1"/>
  <c r="S157" i="1"/>
  <c r="AA418" i="1"/>
  <c r="E7" i="11"/>
  <c r="H4" i="11"/>
  <c r="H7" i="11"/>
  <c r="E4" i="11"/>
  <c r="D4" i="11"/>
  <c r="G4" i="11"/>
  <c r="D7" i="11" a="1"/>
  <c r="D7" i="11" l="1"/>
  <c r="F7" i="11" s="1"/>
  <c r="F339" i="6"/>
  <c r="AI336" i="6"/>
  <c r="G8" i="15"/>
  <c r="I135" i="16"/>
  <c r="K135" i="16" s="1"/>
  <c r="K139" i="16" s="1"/>
  <c r="AA431" i="1"/>
  <c r="I431" i="1"/>
  <c r="F148" i="6" s="1"/>
  <c r="S431" i="1"/>
  <c r="S326" i="1"/>
  <c r="S478" i="1" s="1"/>
  <c r="V431" i="1"/>
  <c r="G95" i="16"/>
  <c r="O95" i="16"/>
  <c r="H95" i="16" s="1"/>
  <c r="G90" i="16"/>
  <c r="O90" i="16"/>
  <c r="H90" i="16" s="1"/>
  <c r="G91" i="16"/>
  <c r="O91" i="16"/>
  <c r="H91" i="16" s="1"/>
  <c r="G88" i="16"/>
  <c r="O88" i="16"/>
  <c r="H88" i="16" s="1"/>
  <c r="G86" i="16"/>
  <c r="O86" i="16"/>
  <c r="G94" i="16"/>
  <c r="O94" i="16"/>
  <c r="H94" i="16" s="1"/>
  <c r="G93" i="16"/>
  <c r="O93" i="16"/>
  <c r="H93" i="16" s="1"/>
  <c r="G87" i="16"/>
  <c r="O87" i="16"/>
  <c r="H87" i="16" s="1"/>
  <c r="G89" i="16"/>
  <c r="O89" i="16"/>
  <c r="H89" i="16" s="1"/>
  <c r="G97" i="16"/>
  <c r="Y95" i="16" s="1"/>
  <c r="V95" i="16" s="1"/>
  <c r="O97" i="16"/>
  <c r="H97" i="16" s="1"/>
  <c r="G92" i="16"/>
  <c r="O92" i="16"/>
  <c r="H92" i="16" s="1"/>
  <c r="G96" i="16"/>
  <c r="O96" i="16"/>
  <c r="H96" i="16" s="1"/>
  <c r="H98" i="16" s="1"/>
  <c r="H99" i="16" s="1"/>
  <c r="H431" i="1"/>
  <c r="F147" i="6" s="1"/>
  <c r="Z107" i="1"/>
  <c r="I116" i="16"/>
  <c r="AJ431" i="1"/>
  <c r="X431" i="1"/>
  <c r="L431" i="1"/>
  <c r="F151" i="6" s="1"/>
  <c r="E98" i="16"/>
  <c r="F98" i="16"/>
  <c r="J61" i="16"/>
  <c r="J55" i="16"/>
  <c r="AB128" i="1"/>
  <c r="J57" i="16"/>
  <c r="Y45" i="1"/>
  <c r="Y44" i="1"/>
  <c r="Y18" i="1"/>
  <c r="S128" i="1"/>
  <c r="AB431" i="1"/>
  <c r="W17" i="1"/>
  <c r="Y431" i="1"/>
  <c r="G65" i="16"/>
  <c r="Y326" i="1"/>
  <c r="Y161" i="1" s="1"/>
  <c r="J56" i="16"/>
  <c r="J58" i="16"/>
  <c r="J53" i="16"/>
  <c r="D65" i="16"/>
  <c r="J64" i="16"/>
  <c r="J62" i="16"/>
  <c r="E65" i="16"/>
  <c r="J63" i="16"/>
  <c r="J59" i="16"/>
  <c r="J60" i="16"/>
  <c r="J54" i="16"/>
  <c r="F65" i="16"/>
  <c r="L128" i="1"/>
  <c r="X17" i="1"/>
  <c r="AD81" i="1"/>
  <c r="X7" i="1"/>
  <c r="X482" i="1" s="1"/>
  <c r="J431" i="1"/>
  <c r="F149" i="6" s="1"/>
  <c r="T128" i="1"/>
  <c r="AB295" i="1"/>
  <c r="Q431" i="1"/>
  <c r="P128" i="1"/>
  <c r="AF107" i="1"/>
  <c r="U431" i="1"/>
  <c r="Y107" i="1"/>
  <c r="AC128" i="1"/>
  <c r="K431" i="1"/>
  <c r="F150" i="6" s="1"/>
  <c r="O431" i="1"/>
  <c r="F158" i="6" s="1"/>
  <c r="M431" i="1"/>
  <c r="F155" i="6" s="1"/>
  <c r="AC431" i="1"/>
  <c r="W431" i="1"/>
  <c r="U458" i="1"/>
  <c r="U329" i="1" s="1"/>
  <c r="U341" i="1" s="1"/>
  <c r="U166" i="1" s="1"/>
  <c r="U179" i="1" s="1"/>
  <c r="X45" i="1"/>
  <c r="X43" i="1"/>
  <c r="J295" i="1"/>
  <c r="U14" i="1"/>
  <c r="U480" i="1" s="1"/>
  <c r="X44" i="1"/>
  <c r="Y7" i="1"/>
  <c r="Y482" i="1" s="1"/>
  <c r="T107" i="1"/>
  <c r="Y79" i="1"/>
  <c r="Y81" i="1" s="1"/>
  <c r="U18" i="1"/>
  <c r="X469" i="1"/>
  <c r="Y19" i="1"/>
  <c r="S81" i="1"/>
  <c r="X19" i="1"/>
  <c r="V128" i="1"/>
  <c r="Y14" i="1"/>
  <c r="Y480" i="1" s="1"/>
  <c r="X14" i="1"/>
  <c r="X243" i="1" s="1"/>
  <c r="Y43" i="1"/>
  <c r="Z431" i="1"/>
  <c r="AF431" i="1"/>
  <c r="U43" i="1"/>
  <c r="Y28" i="1"/>
  <c r="Y30" i="1" s="1"/>
  <c r="Y17" i="1"/>
  <c r="Q459" i="1"/>
  <c r="Q346" i="1" s="1"/>
  <c r="Q356" i="1" s="1"/>
  <c r="Q184" i="1" s="1"/>
  <c r="Q194" i="1" s="1"/>
  <c r="U459" i="1"/>
  <c r="U346" i="1" s="1"/>
  <c r="U356" i="1" s="1"/>
  <c r="U184" i="1" s="1"/>
  <c r="U194" i="1" s="1"/>
  <c r="J458" i="1"/>
  <c r="J329" i="1" s="1"/>
  <c r="J341" i="1" s="1"/>
  <c r="J166" i="1" s="1"/>
  <c r="J179" i="1" s="1"/>
  <c r="J459" i="1"/>
  <c r="J346" i="1" s="1"/>
  <c r="J356" i="1" s="1"/>
  <c r="J184" i="1" s="1"/>
  <c r="J194" i="1" s="1"/>
  <c r="X107" i="1"/>
  <c r="AH431" i="1"/>
  <c r="AC81" i="1"/>
  <c r="Z273" i="1"/>
  <c r="AC458" i="1"/>
  <c r="AC329" i="1" s="1"/>
  <c r="AC341" i="1" s="1"/>
  <c r="AC166" i="1" s="1"/>
  <c r="AC179" i="1" s="1"/>
  <c r="AH128" i="1"/>
  <c r="AD431" i="1"/>
  <c r="O295" i="1"/>
  <c r="AF128" i="1"/>
  <c r="M107" i="1"/>
  <c r="S107" i="1"/>
  <c r="Z326" i="1"/>
  <c r="Z478" i="1" s="1"/>
  <c r="AC459" i="1"/>
  <c r="AC346" i="1" s="1"/>
  <c r="AC356" i="1" s="1"/>
  <c r="AC358" i="1" s="1"/>
  <c r="W273" i="1"/>
  <c r="Q79" i="1"/>
  <c r="Q81" i="1" s="1"/>
  <c r="K107" i="1"/>
  <c r="X326" i="1"/>
  <c r="X161" i="1" s="1"/>
  <c r="S7" i="1"/>
  <c r="S482" i="1" s="1"/>
  <c r="Z475" i="1"/>
  <c r="S18" i="1"/>
  <c r="AF459" i="1"/>
  <c r="AF346" i="1" s="1"/>
  <c r="AF356" i="1" s="1"/>
  <c r="AF184" i="1" s="1"/>
  <c r="AF194" i="1" s="1"/>
  <c r="L326" i="1"/>
  <c r="L149" i="1" s="1"/>
  <c r="X458" i="1"/>
  <c r="X329" i="1" s="1"/>
  <c r="X341" i="1" s="1"/>
  <c r="X166" i="1" s="1"/>
  <c r="X179" i="1" s="1"/>
  <c r="V326" i="1"/>
  <c r="V155" i="1" s="1"/>
  <c r="AB326" i="1"/>
  <c r="AB155" i="1" s="1"/>
  <c r="AF458" i="1"/>
  <c r="AF329" i="1" s="1"/>
  <c r="AF341" i="1" s="1"/>
  <c r="AF166" i="1" s="1"/>
  <c r="AF179" i="1" s="1"/>
  <c r="AC326" i="1"/>
  <c r="AC148" i="1" s="1"/>
  <c r="M326" i="1"/>
  <c r="M149" i="1" s="1"/>
  <c r="Q458" i="1"/>
  <c r="Q329" i="1" s="1"/>
  <c r="Q341" i="1" s="1"/>
  <c r="Q166" i="1" s="1"/>
  <c r="Q179" i="1" s="1"/>
  <c r="AF326" i="1"/>
  <c r="AF161" i="1" s="1"/>
  <c r="W128" i="1"/>
  <c r="Q19" i="1"/>
  <c r="AA107" i="1"/>
  <c r="H326" i="1"/>
  <c r="H148" i="1" s="1"/>
  <c r="X295" i="1"/>
  <c r="Q469" i="1"/>
  <c r="AJ107" i="1"/>
  <c r="K128" i="1"/>
  <c r="AA295" i="1"/>
  <c r="Q107" i="1"/>
  <c r="V459" i="1"/>
  <c r="V346" i="1" s="1"/>
  <c r="V356" i="1" s="1"/>
  <c r="V184" i="1" s="1"/>
  <c r="V194" i="1" s="1"/>
  <c r="O273" i="1"/>
  <c r="W295" i="1"/>
  <c r="H25" i="15"/>
  <c r="I450" i="1" s="1"/>
  <c r="I451" i="1" s="1"/>
  <c r="I91" i="1" s="1"/>
  <c r="O469" i="1"/>
  <c r="J128" i="1"/>
  <c r="AA273" i="1"/>
  <c r="S28" i="1"/>
  <c r="S30" i="1" s="1"/>
  <c r="O17" i="1"/>
  <c r="T431" i="1"/>
  <c r="O28" i="1"/>
  <c r="O30" i="1" s="1"/>
  <c r="O19" i="1"/>
  <c r="AJ326" i="1"/>
  <c r="AJ478" i="1" s="1"/>
  <c r="O14" i="1"/>
  <c r="O419" i="1" s="1"/>
  <c r="O44" i="1"/>
  <c r="S43" i="1"/>
  <c r="O79" i="1"/>
  <c r="O81" i="1" s="1"/>
  <c r="M128" i="1"/>
  <c r="O18" i="1"/>
  <c r="M295" i="1"/>
  <c r="I326" i="1"/>
  <c r="I148" i="1" s="1"/>
  <c r="AD326" i="1"/>
  <c r="AD149" i="1" s="1"/>
  <c r="X459" i="1"/>
  <c r="X346" i="1" s="1"/>
  <c r="X356" i="1" s="1"/>
  <c r="X184" i="1" s="1"/>
  <c r="X194" i="1" s="1"/>
  <c r="AH458" i="1"/>
  <c r="AH329" i="1" s="1"/>
  <c r="AH341" i="1" s="1"/>
  <c r="AH166" i="1" s="1"/>
  <c r="AH179" i="1" s="1"/>
  <c r="W458" i="1"/>
  <c r="W329" i="1" s="1"/>
  <c r="W341" i="1" s="1"/>
  <c r="W166" i="1" s="1"/>
  <c r="W179" i="1" s="1"/>
  <c r="AH459" i="1"/>
  <c r="AH346" i="1" s="1"/>
  <c r="AH356" i="1" s="1"/>
  <c r="AH184" i="1" s="1"/>
  <c r="AH194" i="1" s="1"/>
  <c r="W459" i="1"/>
  <c r="W346" i="1" s="1"/>
  <c r="W356" i="1" s="1"/>
  <c r="W184" i="1" s="1"/>
  <c r="W194" i="1" s="1"/>
  <c r="X128" i="1"/>
  <c r="T326" i="1"/>
  <c r="T148" i="1" s="1"/>
  <c r="X81" i="1"/>
  <c r="AC44" i="1"/>
  <c r="Z128" i="1"/>
  <c r="Z130" i="1" s="1"/>
  <c r="Z145" i="1" s="1"/>
  <c r="AH107" i="1"/>
  <c r="P431" i="1"/>
  <c r="F161" i="6" s="1"/>
  <c r="AA459" i="1"/>
  <c r="AA346" i="1" s="1"/>
  <c r="AA356" i="1" s="1"/>
  <c r="AA184" i="1" s="1"/>
  <c r="AA194" i="1" s="1"/>
  <c r="AD459" i="1"/>
  <c r="AD346" i="1" s="1"/>
  <c r="AD356" i="1" s="1"/>
  <c r="AD184" i="1" s="1"/>
  <c r="AD194" i="1" s="1"/>
  <c r="O459" i="1"/>
  <c r="O346" i="1" s="1"/>
  <c r="O356" i="1" s="1"/>
  <c r="O184" i="1" s="1"/>
  <c r="O194" i="1" s="1"/>
  <c r="W469" i="1"/>
  <c r="AK313" i="1"/>
  <c r="AL313" i="1" s="1"/>
  <c r="AC295" i="1"/>
  <c r="Q18" i="1"/>
  <c r="Q45" i="1"/>
  <c r="Q28" i="1"/>
  <c r="Q30" i="1" s="1"/>
  <c r="Q44" i="1"/>
  <c r="Q17" i="1"/>
  <c r="Z295" i="1"/>
  <c r="Q7" i="1"/>
  <c r="Q482" i="1" s="1"/>
  <c r="S459" i="1"/>
  <c r="S346" i="1" s="1"/>
  <c r="S356" i="1" s="1"/>
  <c r="S184" i="1" s="1"/>
  <c r="S194" i="1" s="1"/>
  <c r="AA458" i="1"/>
  <c r="AA329" i="1" s="1"/>
  <c r="AA341" i="1" s="1"/>
  <c r="AA166" i="1" s="1"/>
  <c r="AA179" i="1" s="1"/>
  <c r="U326" i="1"/>
  <c r="U149" i="1" s="1"/>
  <c r="O458" i="1"/>
  <c r="O329" i="1" s="1"/>
  <c r="O341" i="1" s="1"/>
  <c r="O166" i="1" s="1"/>
  <c r="O179" i="1" s="1"/>
  <c r="T295" i="1"/>
  <c r="W19" i="1"/>
  <c r="O128" i="1"/>
  <c r="W45" i="1"/>
  <c r="AJ273" i="1"/>
  <c r="Q128" i="1"/>
  <c r="AF295" i="1"/>
  <c r="O326" i="1"/>
  <c r="O478" i="1" s="1"/>
  <c r="W7" i="1"/>
  <c r="W482" i="1" s="1"/>
  <c r="Q14" i="1"/>
  <c r="Q419" i="1" s="1"/>
  <c r="W79" i="1"/>
  <c r="W81" i="1" s="1"/>
  <c r="Y128" i="1"/>
  <c r="W44" i="1"/>
  <c r="U295" i="1"/>
  <c r="AH17" i="1"/>
  <c r="AB107" i="1"/>
  <c r="W107" i="1"/>
  <c r="AC17" i="1"/>
  <c r="L107" i="1"/>
  <c r="M459" i="1"/>
  <c r="M346" i="1" s="1"/>
  <c r="M356" i="1" s="1"/>
  <c r="M184" i="1" s="1"/>
  <c r="M194" i="1" s="1"/>
  <c r="K273" i="1"/>
  <c r="AC14" i="1"/>
  <c r="AC403" i="1" s="1"/>
  <c r="M28" i="1"/>
  <c r="M30" i="1" s="1"/>
  <c r="M14" i="1"/>
  <c r="M480" i="1" s="1"/>
  <c r="W477" i="1"/>
  <c r="M45" i="1"/>
  <c r="AC45" i="1"/>
  <c r="S295" i="1"/>
  <c r="M43" i="1"/>
  <c r="AC19" i="1"/>
  <c r="AC28" i="1"/>
  <c r="AC30" i="1" s="1"/>
  <c r="AB81" i="1"/>
  <c r="Z459" i="1"/>
  <c r="Z346" i="1" s="1"/>
  <c r="Z356" i="1" s="1"/>
  <c r="Z184" i="1" s="1"/>
  <c r="Z194" i="1" s="1"/>
  <c r="O45" i="1"/>
  <c r="O7" i="1"/>
  <c r="O482" i="1" s="1"/>
  <c r="AK151" i="1"/>
  <c r="AL151" i="1" s="1"/>
  <c r="AC7" i="1"/>
  <c r="AC482" i="1" s="1"/>
  <c r="O107" i="1"/>
  <c r="M18" i="1"/>
  <c r="AC469" i="1"/>
  <c r="M79" i="1"/>
  <c r="M81" i="1" s="1"/>
  <c r="AJ295" i="1"/>
  <c r="AK470" i="1"/>
  <c r="AL470" i="1" s="1"/>
  <c r="AC18" i="1"/>
  <c r="M17" i="1"/>
  <c r="AC43" i="1"/>
  <c r="AC273" i="1"/>
  <c r="M19" i="1"/>
  <c r="M458" i="1"/>
  <c r="M329" i="1" s="1"/>
  <c r="M341" i="1" s="1"/>
  <c r="M166" i="1" s="1"/>
  <c r="M179" i="1" s="1"/>
  <c r="AJ458" i="1"/>
  <c r="AJ329" i="1" s="1"/>
  <c r="AJ341" i="1" s="1"/>
  <c r="AJ166" i="1" s="1"/>
  <c r="AJ179" i="1" s="1"/>
  <c r="V458" i="1"/>
  <c r="V329" i="1" s="1"/>
  <c r="V341" i="1" s="1"/>
  <c r="V166" i="1" s="1"/>
  <c r="V179" i="1" s="1"/>
  <c r="AA326" i="1"/>
  <c r="AA148" i="1" s="1"/>
  <c r="S458" i="1"/>
  <c r="S329" i="1" s="1"/>
  <c r="S341" i="1" s="1"/>
  <c r="S166" i="1" s="1"/>
  <c r="S179" i="1" s="1"/>
  <c r="AK324" i="1"/>
  <c r="AL324" i="1" s="1"/>
  <c r="AD128" i="1"/>
  <c r="AK41" i="1"/>
  <c r="AL41" i="1" s="1"/>
  <c r="U469" i="1"/>
  <c r="U7" i="1"/>
  <c r="U482" i="1" s="1"/>
  <c r="U128" i="1"/>
  <c r="M469" i="1"/>
  <c r="AK338" i="1"/>
  <c r="AL338" i="1" s="1"/>
  <c r="U17" i="1"/>
  <c r="AK314" i="1"/>
  <c r="AL314" i="1" s="1"/>
  <c r="AK156" i="1"/>
  <c r="AL156" i="1" s="1"/>
  <c r="AK315" i="1"/>
  <c r="AL315" i="1" s="1"/>
  <c r="U44" i="1"/>
  <c r="X18" i="1"/>
  <c r="X28" i="1"/>
  <c r="X30" i="1" s="1"/>
  <c r="U45" i="1"/>
  <c r="AB18" i="1"/>
  <c r="AD458" i="1"/>
  <c r="AD329" i="1" s="1"/>
  <c r="AD341" i="1" s="1"/>
  <c r="AD166" i="1" s="1"/>
  <c r="AD179" i="1" s="1"/>
  <c r="AK319" i="1"/>
  <c r="AL319" i="1" s="1"/>
  <c r="AK339" i="1"/>
  <c r="AL339" i="1" s="1"/>
  <c r="V107" i="1"/>
  <c r="U28" i="1"/>
  <c r="U30" i="1" s="1"/>
  <c r="L273" i="1"/>
  <c r="AD469" i="1"/>
  <c r="AD17" i="1"/>
  <c r="AD7" i="1"/>
  <c r="AD43" i="1"/>
  <c r="AD19" i="1"/>
  <c r="AD45" i="1"/>
  <c r="AD28" i="1"/>
  <c r="AD30" i="1" s="1"/>
  <c r="AD18" i="1"/>
  <c r="AD44" i="1"/>
  <c r="AD14" i="1"/>
  <c r="AK316" i="1"/>
  <c r="AL316" i="1" s="1"/>
  <c r="AK169" i="1"/>
  <c r="AL169" i="1" s="1"/>
  <c r="AK190" i="1"/>
  <c r="AL190" i="1" s="1"/>
  <c r="U107" i="1"/>
  <c r="U79" i="1"/>
  <c r="U81" i="1" s="1"/>
  <c r="L295" i="1"/>
  <c r="M273" i="1"/>
  <c r="M44" i="1"/>
  <c r="AB459" i="1"/>
  <c r="AB346" i="1" s="1"/>
  <c r="AB356" i="1" s="1"/>
  <c r="AB184" i="1" s="1"/>
  <c r="AB194" i="1" s="1"/>
  <c r="Z458" i="1"/>
  <c r="Z329" i="1" s="1"/>
  <c r="Z341" i="1" s="1"/>
  <c r="Z166" i="1" s="1"/>
  <c r="Z179" i="1" s="1"/>
  <c r="AK333" i="1"/>
  <c r="AL333" i="1" s="1"/>
  <c r="AC107" i="1"/>
  <c r="AB273" i="1"/>
  <c r="W326" i="1"/>
  <c r="W148" i="1" s="1"/>
  <c r="X273" i="1"/>
  <c r="Z45" i="1"/>
  <c r="Z17" i="1"/>
  <c r="Z7" i="1"/>
  <c r="Z44" i="1"/>
  <c r="Z469" i="1"/>
  <c r="Z43" i="1"/>
  <c r="Z28" i="1"/>
  <c r="Z30" i="1" s="1"/>
  <c r="Z79" i="1"/>
  <c r="Z81" i="1" s="1"/>
  <c r="Z19" i="1"/>
  <c r="Z18" i="1"/>
  <c r="Z14" i="1"/>
  <c r="W28" i="1"/>
  <c r="W30" i="1" s="1"/>
  <c r="W43" i="1"/>
  <c r="AK159" i="1"/>
  <c r="AL159" i="1" s="1"/>
  <c r="AK317" i="1"/>
  <c r="AL317" i="1" s="1"/>
  <c r="AK353" i="1"/>
  <c r="AL353" i="1" s="1"/>
  <c r="AJ79" i="1"/>
  <c r="AJ81" i="1" s="1"/>
  <c r="AF7" i="1"/>
  <c r="AF482" i="1" s="1"/>
  <c r="AF44" i="1"/>
  <c r="AF45" i="1"/>
  <c r="AF28" i="1"/>
  <c r="AF30" i="1" s="1"/>
  <c r="AF19" i="1"/>
  <c r="AF14" i="1"/>
  <c r="AF79" i="1"/>
  <c r="AF81" i="1" s="1"/>
  <c r="AF18" i="1"/>
  <c r="AF43" i="1"/>
  <c r="AF469" i="1"/>
  <c r="AF17" i="1"/>
  <c r="AK158" i="1"/>
  <c r="AL158" i="1" s="1"/>
  <c r="AK320" i="1"/>
  <c r="AL320" i="1" s="1"/>
  <c r="AK168" i="1"/>
  <c r="AL168" i="1" s="1"/>
  <c r="AK192" i="1"/>
  <c r="AL192" i="1" s="1"/>
  <c r="P295" i="1"/>
  <c r="AJ7" i="1"/>
  <c r="AJ482" i="1" s="1"/>
  <c r="AJ128" i="1"/>
  <c r="AH295" i="1"/>
  <c r="G9" i="15"/>
  <c r="S469" i="1"/>
  <c r="S45" i="1"/>
  <c r="S44" i="1"/>
  <c r="S19" i="1"/>
  <c r="S17" i="1"/>
  <c r="V17" i="1"/>
  <c r="V44" i="1"/>
  <c r="V19" i="1"/>
  <c r="V18" i="1"/>
  <c r="V43" i="1"/>
  <c r="V469" i="1"/>
  <c r="V79" i="1"/>
  <c r="V81" i="1" s="1"/>
  <c r="V14" i="1"/>
  <c r="V7" i="1"/>
  <c r="V45" i="1"/>
  <c r="V28" i="1"/>
  <c r="V30" i="1" s="1"/>
  <c r="AK172" i="1"/>
  <c r="AL172" i="1" s="1"/>
  <c r="AK173" i="1"/>
  <c r="AL173" i="1" s="1"/>
  <c r="AK349" i="1"/>
  <c r="AL349" i="1" s="1"/>
  <c r="AK160" i="1"/>
  <c r="AL160" i="1" s="1"/>
  <c r="S273" i="1"/>
  <c r="AK150" i="1"/>
  <c r="AL150" i="1" s="1"/>
  <c r="AK350" i="1"/>
  <c r="AL350" i="1" s="1"/>
  <c r="Y458" i="1"/>
  <c r="Y329" i="1" s="1"/>
  <c r="Y341" i="1" s="1"/>
  <c r="Y166" i="1" s="1"/>
  <c r="Y179" i="1" s="1"/>
  <c r="AK321" i="1"/>
  <c r="AL321" i="1" s="1"/>
  <c r="Y459" i="1"/>
  <c r="Y346" i="1" s="1"/>
  <c r="Y356" i="1" s="1"/>
  <c r="Y184" i="1" s="1"/>
  <c r="Y194" i="1" s="1"/>
  <c r="L459" i="1"/>
  <c r="L346" i="1" s="1"/>
  <c r="L356" i="1" s="1"/>
  <c r="L184" i="1" s="1"/>
  <c r="L194" i="1" s="1"/>
  <c r="L458" i="1"/>
  <c r="L329" i="1" s="1"/>
  <c r="L341" i="1" s="1"/>
  <c r="L166" i="1" s="1"/>
  <c r="L179" i="1" s="1"/>
  <c r="AH326" i="1"/>
  <c r="AH161" i="1" s="1"/>
  <c r="AK176" i="1"/>
  <c r="AL176" i="1" s="1"/>
  <c r="AF273" i="1"/>
  <c r="AK322" i="1"/>
  <c r="AL322" i="1" s="1"/>
  <c r="K458" i="1"/>
  <c r="K329" i="1" s="1"/>
  <c r="K341" i="1" s="1"/>
  <c r="K166" i="1" s="1"/>
  <c r="K179" i="1" s="1"/>
  <c r="AK42" i="1"/>
  <c r="AL42" i="1" s="1"/>
  <c r="I458" i="1"/>
  <c r="I329" i="1" s="1"/>
  <c r="I341" i="1" s="1"/>
  <c r="I166" i="1" s="1"/>
  <c r="I179" i="1" s="1"/>
  <c r="AK171" i="1"/>
  <c r="AL171" i="1" s="1"/>
  <c r="V273" i="1"/>
  <c r="W14" i="1"/>
  <c r="W419" i="1" s="1"/>
  <c r="S14" i="1"/>
  <c r="S403" i="1" s="1"/>
  <c r="AJ459" i="1"/>
  <c r="AJ346" i="1" s="1"/>
  <c r="AJ356" i="1" s="1"/>
  <c r="AJ184" i="1" s="1"/>
  <c r="AJ194" i="1" s="1"/>
  <c r="AB28" i="1"/>
  <c r="AB30" i="1" s="1"/>
  <c r="AB45" i="1"/>
  <c r="AB14" i="1"/>
  <c r="AB17" i="1"/>
  <c r="AB469" i="1"/>
  <c r="AB43" i="1"/>
  <c r="AB44" i="1"/>
  <c r="AB7" i="1"/>
  <c r="AB482" i="1" s="1"/>
  <c r="AB19" i="1"/>
  <c r="K459" i="1"/>
  <c r="K346" i="1" s="1"/>
  <c r="K356" i="1" s="1"/>
  <c r="AJ17" i="1"/>
  <c r="AJ18" i="1"/>
  <c r="AJ44" i="1"/>
  <c r="AJ469" i="1"/>
  <c r="AJ19" i="1"/>
  <c r="AJ14" i="1"/>
  <c r="AJ28" i="1"/>
  <c r="AJ30" i="1" s="1"/>
  <c r="AJ43" i="1"/>
  <c r="AK337" i="1"/>
  <c r="AL337" i="1" s="1"/>
  <c r="AK323" i="1"/>
  <c r="AL323" i="1" s="1"/>
  <c r="AK174" i="1"/>
  <c r="AL174" i="1" s="1"/>
  <c r="AK335" i="1"/>
  <c r="AL335" i="1" s="1"/>
  <c r="AK78" i="1"/>
  <c r="AL78" i="1" s="1"/>
  <c r="AK209" i="1"/>
  <c r="AL209" i="1" s="1"/>
  <c r="J326" i="1"/>
  <c r="J148" i="1" s="1"/>
  <c r="P273" i="1"/>
  <c r="P475" i="1"/>
  <c r="U476" i="1"/>
  <c r="U273" i="1"/>
  <c r="AB458" i="1"/>
  <c r="AB329" i="1" s="1"/>
  <c r="AB341" i="1" s="1"/>
  <c r="AB166" i="1" s="1"/>
  <c r="AB179" i="1" s="1"/>
  <c r="AK191" i="1"/>
  <c r="AL191" i="1" s="1"/>
  <c r="AK175" i="1"/>
  <c r="AL175" i="1" s="1"/>
  <c r="AK152" i="1"/>
  <c r="AL152" i="1" s="1"/>
  <c r="T475" i="1"/>
  <c r="T273" i="1"/>
  <c r="AK157" i="1"/>
  <c r="AL157" i="1" s="1"/>
  <c r="AK170" i="1"/>
  <c r="AL170" i="1" s="1"/>
  <c r="AK354" i="1"/>
  <c r="AL354" i="1" s="1"/>
  <c r="P107" i="1"/>
  <c r="AD295" i="1"/>
  <c r="AD107" i="1"/>
  <c r="AK177" i="1"/>
  <c r="AL177" i="1" s="1"/>
  <c r="AK27" i="1"/>
  <c r="AL27" i="1" s="1"/>
  <c r="Q477" i="1"/>
  <c r="Q295" i="1"/>
  <c r="AK153" i="1"/>
  <c r="AL153" i="1" s="1"/>
  <c r="AK186" i="1"/>
  <c r="AL186" i="1" s="1"/>
  <c r="AK428" i="1"/>
  <c r="AL428" i="1" s="1"/>
  <c r="AH19" i="1"/>
  <c r="AH18" i="1"/>
  <c r="AH44" i="1"/>
  <c r="AH14" i="1"/>
  <c r="AH43" i="1"/>
  <c r="AH7" i="1"/>
  <c r="AH79" i="1"/>
  <c r="AH81" i="1" s="1"/>
  <c r="AH469" i="1"/>
  <c r="AH28" i="1"/>
  <c r="AH30" i="1" s="1"/>
  <c r="Y475" i="1"/>
  <c r="Y273" i="1"/>
  <c r="P458" i="1"/>
  <c r="P329" i="1" s="1"/>
  <c r="P341" i="1" s="1"/>
  <c r="P166" i="1" s="1"/>
  <c r="P179" i="1" s="1"/>
  <c r="AK154" i="1"/>
  <c r="AL154" i="1" s="1"/>
  <c r="I459" i="1"/>
  <c r="I346" i="1" s="1"/>
  <c r="I356" i="1" s="1"/>
  <c r="T79" i="1"/>
  <c r="T81" i="1" s="1"/>
  <c r="T19" i="1"/>
  <c r="T28" i="1"/>
  <c r="T30" i="1" s="1"/>
  <c r="T17" i="1"/>
  <c r="T469" i="1"/>
  <c r="T43" i="1"/>
  <c r="T18" i="1"/>
  <c r="T45" i="1"/>
  <c r="T44" i="1"/>
  <c r="T7" i="1"/>
  <c r="T482" i="1" s="1"/>
  <c r="T14" i="1"/>
  <c r="AD475" i="1"/>
  <c r="AD273" i="1"/>
  <c r="T459" i="1"/>
  <c r="T346" i="1" s="1"/>
  <c r="T356" i="1" s="1"/>
  <c r="T184" i="1" s="1"/>
  <c r="T194" i="1" s="1"/>
  <c r="AK348" i="1"/>
  <c r="AL348" i="1" s="1"/>
  <c r="Y295" i="1"/>
  <c r="Y477" i="1"/>
  <c r="K295" i="1"/>
  <c r="P459" i="1"/>
  <c r="P346" i="1" s="1"/>
  <c r="P356" i="1" s="1"/>
  <c r="AK332" i="1"/>
  <c r="AL332" i="1" s="1"/>
  <c r="AK26" i="1"/>
  <c r="AL26" i="1" s="1"/>
  <c r="AK336" i="1"/>
  <c r="AL336" i="1" s="1"/>
  <c r="AH273" i="1"/>
  <c r="AK429" i="1"/>
  <c r="AL429" i="1" s="1"/>
  <c r="Q476" i="1"/>
  <c r="Q273" i="1"/>
  <c r="V477" i="1"/>
  <c r="V295" i="1"/>
  <c r="AA128" i="1"/>
  <c r="AK351" i="1"/>
  <c r="AL351" i="1" s="1"/>
  <c r="P28" i="1"/>
  <c r="P30" i="1" s="1"/>
  <c r="P17" i="1"/>
  <c r="P14" i="1"/>
  <c r="P44" i="1"/>
  <c r="P18" i="1"/>
  <c r="P469" i="1"/>
  <c r="P43" i="1"/>
  <c r="P7" i="1"/>
  <c r="P45" i="1"/>
  <c r="P79" i="1"/>
  <c r="P81" i="1" s="1"/>
  <c r="P19" i="1"/>
  <c r="AK352" i="1"/>
  <c r="AL352" i="1" s="1"/>
  <c r="K326" i="1"/>
  <c r="J107" i="1"/>
  <c r="L28" i="1"/>
  <c r="L30" i="1" s="1"/>
  <c r="L14" i="1"/>
  <c r="L43" i="1"/>
  <c r="L44" i="1"/>
  <c r="L19" i="1"/>
  <c r="L18" i="1"/>
  <c r="L79" i="1"/>
  <c r="L81" i="1" s="1"/>
  <c r="L7" i="1"/>
  <c r="L482" i="1" s="1"/>
  <c r="L45" i="1"/>
  <c r="L469" i="1"/>
  <c r="P326" i="1"/>
  <c r="AK189" i="1"/>
  <c r="AL189" i="1" s="1"/>
  <c r="AK318" i="1"/>
  <c r="AL318" i="1" s="1"/>
  <c r="AK417" i="1"/>
  <c r="AL417" i="1" s="1"/>
  <c r="AK188" i="1"/>
  <c r="AL188" i="1" s="1"/>
  <c r="J43" i="1"/>
  <c r="J79" i="1"/>
  <c r="J81" i="1" s="1"/>
  <c r="J44" i="1"/>
  <c r="J45" i="1"/>
  <c r="J18" i="1"/>
  <c r="J28" i="1"/>
  <c r="J30" i="1" s="1"/>
  <c r="J17" i="1"/>
  <c r="J469" i="1"/>
  <c r="J7" i="1"/>
  <c r="J19" i="1"/>
  <c r="J14" i="1"/>
  <c r="T458" i="1"/>
  <c r="T329" i="1" s="1"/>
  <c r="T341" i="1" s="1"/>
  <c r="AK331" i="1"/>
  <c r="AL331" i="1" s="1"/>
  <c r="AK347" i="1"/>
  <c r="AL347" i="1" s="1"/>
  <c r="H459" i="1"/>
  <c r="AA28" i="1"/>
  <c r="AA30" i="1" s="1"/>
  <c r="AA18" i="1"/>
  <c r="AA45" i="1"/>
  <c r="AA469" i="1"/>
  <c r="AA43" i="1"/>
  <c r="AA17" i="1"/>
  <c r="AA44" i="1"/>
  <c r="AA19" i="1"/>
  <c r="AA7" i="1"/>
  <c r="AA14" i="1"/>
  <c r="AA79" i="1"/>
  <c r="AA81" i="1" s="1"/>
  <c r="AK187" i="1"/>
  <c r="AL187" i="1" s="1"/>
  <c r="AK418" i="1"/>
  <c r="AL418" i="1" s="1"/>
  <c r="K469" i="1"/>
  <c r="K14" i="1"/>
  <c r="K19" i="1"/>
  <c r="K18" i="1"/>
  <c r="K45" i="1"/>
  <c r="K44" i="1"/>
  <c r="K28" i="1"/>
  <c r="K30" i="1" s="1"/>
  <c r="K7" i="1"/>
  <c r="K79" i="1"/>
  <c r="K81" i="1" s="1"/>
  <c r="K17" i="1"/>
  <c r="K43" i="1"/>
  <c r="AK371" i="1"/>
  <c r="AL371" i="1" s="1"/>
  <c r="Q326" i="1"/>
  <c r="H458" i="1"/>
  <c r="AK334" i="1"/>
  <c r="AL334" i="1" s="1"/>
  <c r="AK77" i="1"/>
  <c r="AL77" i="1" s="1"/>
  <c r="J273" i="1"/>
  <c r="J475" i="1"/>
  <c r="S148" i="1" l="1"/>
  <c r="S155" i="1"/>
  <c r="S149" i="1"/>
  <c r="Y478" i="1"/>
  <c r="Y149" i="1"/>
  <c r="Y148" i="1"/>
  <c r="Y163" i="1" s="1"/>
  <c r="Y155" i="1"/>
  <c r="S161" i="1"/>
  <c r="S163" i="1" s="1"/>
  <c r="G98" i="16"/>
  <c r="J14" i="15" s="1"/>
  <c r="O98" i="16"/>
  <c r="H86" i="16"/>
  <c r="D119" i="16"/>
  <c r="G66" i="16"/>
  <c r="J424" i="6" s="1"/>
  <c r="D117" i="16"/>
  <c r="E66" i="16"/>
  <c r="H424" i="6" s="1"/>
  <c r="D118" i="16"/>
  <c r="F66" i="16"/>
  <c r="I424" i="6" s="1"/>
  <c r="D116" i="16"/>
  <c r="D66" i="16"/>
  <c r="G424" i="6" s="1"/>
  <c r="I118" i="16"/>
  <c r="I8" i="15"/>
  <c r="I9" i="15" s="1"/>
  <c r="F99" i="16"/>
  <c r="I14" i="15"/>
  <c r="E99" i="16"/>
  <c r="H14" i="15"/>
  <c r="I117" i="16"/>
  <c r="H8" i="15"/>
  <c r="M148" i="1"/>
  <c r="G120" i="16"/>
  <c r="I139" i="16" s="1"/>
  <c r="I119" i="16"/>
  <c r="J8" i="15"/>
  <c r="J9" i="15" s="1"/>
  <c r="I92" i="1"/>
  <c r="H149" i="1"/>
  <c r="Y403" i="1"/>
  <c r="Y404" i="1"/>
  <c r="S130" i="1"/>
  <c r="S145" i="1" s="1"/>
  <c r="Y47" i="1"/>
  <c r="Z161" i="1"/>
  <c r="P130" i="1"/>
  <c r="P145" i="1" s="1"/>
  <c r="L130" i="1"/>
  <c r="L145" i="1" s="1"/>
  <c r="AA297" i="1"/>
  <c r="D98" i="16"/>
  <c r="V478" i="1"/>
  <c r="F152" i="6"/>
  <c r="F164" i="6" s="1"/>
  <c r="J297" i="1"/>
  <c r="AB130" i="1"/>
  <c r="AB145" i="1" s="1"/>
  <c r="O243" i="1"/>
  <c r="J130" i="1"/>
  <c r="J145" i="1" s="1"/>
  <c r="AD155" i="1"/>
  <c r="AD148" i="1"/>
  <c r="T130" i="1"/>
  <c r="T145" i="1" s="1"/>
  <c r="I140" i="1"/>
  <c r="I282" i="1"/>
  <c r="Y419" i="1"/>
  <c r="I116" i="1"/>
  <c r="I100" i="1"/>
  <c r="I112" i="1"/>
  <c r="O47" i="1"/>
  <c r="I291" i="1"/>
  <c r="M478" i="1"/>
  <c r="M161" i="1"/>
  <c r="I279" i="1"/>
  <c r="Y242" i="1"/>
  <c r="I258" i="1"/>
  <c r="Y243" i="1"/>
  <c r="AC184" i="1"/>
  <c r="AC194" i="1" s="1"/>
  <c r="AC196" i="1" s="1"/>
  <c r="M155" i="1"/>
  <c r="I124" i="1"/>
  <c r="AC130" i="1"/>
  <c r="AC145" i="1" s="1"/>
  <c r="AF130" i="1"/>
  <c r="AF145" i="1" s="1"/>
  <c r="AJ130" i="1"/>
  <c r="AJ145" i="1" s="1"/>
  <c r="K130" i="1"/>
  <c r="K145" i="1" s="1"/>
  <c r="X130" i="1"/>
  <c r="X145" i="1" s="1"/>
  <c r="AD161" i="1"/>
  <c r="AD478" i="1"/>
  <c r="O242" i="1"/>
  <c r="O480" i="1"/>
  <c r="T297" i="1"/>
  <c r="H161" i="1"/>
  <c r="H155" i="1"/>
  <c r="H478" i="1"/>
  <c r="J65" i="16"/>
  <c r="J66" i="16" s="1"/>
  <c r="F424" i="6" s="1"/>
  <c r="AC47" i="1"/>
  <c r="U404" i="1"/>
  <c r="Q297" i="1"/>
  <c r="AB297" i="1"/>
  <c r="I288" i="1"/>
  <c r="M297" i="1"/>
  <c r="I93" i="1"/>
  <c r="I283" i="1"/>
  <c r="I281" i="1"/>
  <c r="I307" i="1"/>
  <c r="I289" i="1"/>
  <c r="I90" i="1"/>
  <c r="I88" i="1"/>
  <c r="I306" i="1"/>
  <c r="I254" i="1"/>
  <c r="I115" i="1"/>
  <c r="I290" i="1"/>
  <c r="I256" i="1"/>
  <c r="I8" i="1"/>
  <c r="I76" i="1" s="1"/>
  <c r="AF358" i="1"/>
  <c r="AF360" i="1" s="1"/>
  <c r="L478" i="1"/>
  <c r="I139" i="1"/>
  <c r="I122" i="1"/>
  <c r="I266" i="1"/>
  <c r="I259" i="1"/>
  <c r="I269" i="1"/>
  <c r="I123" i="1"/>
  <c r="I121" i="1"/>
  <c r="I114" i="1"/>
  <c r="I257" i="1"/>
  <c r="I103" i="1"/>
  <c r="Q358" i="1"/>
  <c r="Q360" i="1" s="1"/>
  <c r="O196" i="1"/>
  <c r="Q196" i="1"/>
  <c r="Q404" i="1"/>
  <c r="O130" i="1"/>
  <c r="O145" i="1" s="1"/>
  <c r="L155" i="1"/>
  <c r="L148" i="1"/>
  <c r="L161" i="1"/>
  <c r="AF478" i="1"/>
  <c r="AB358" i="1"/>
  <c r="AB360" i="1" s="1"/>
  <c r="AF148" i="1"/>
  <c r="U297" i="1"/>
  <c r="AF149" i="1"/>
  <c r="AF155" i="1"/>
  <c r="Y130" i="1"/>
  <c r="Y145" i="1" s="1"/>
  <c r="H450" i="1"/>
  <c r="H451" i="1" s="1"/>
  <c r="W297" i="1"/>
  <c r="U403" i="1"/>
  <c r="U242" i="1"/>
  <c r="AH196" i="1"/>
  <c r="M130" i="1"/>
  <c r="M145" i="1" s="1"/>
  <c r="U243" i="1"/>
  <c r="X148" i="1"/>
  <c r="AK431" i="1"/>
  <c r="AL431" i="1" s="1"/>
  <c r="U419" i="1"/>
  <c r="X47" i="1"/>
  <c r="Q47" i="1"/>
  <c r="AB196" i="1"/>
  <c r="AH478" i="1"/>
  <c r="Z148" i="1"/>
  <c r="S297" i="1"/>
  <c r="Z297" i="1"/>
  <c r="I478" i="1"/>
  <c r="V161" i="1"/>
  <c r="V149" i="1"/>
  <c r="J196" i="1"/>
  <c r="V148" i="1"/>
  <c r="AA161" i="1"/>
  <c r="T149" i="1"/>
  <c r="Z149" i="1"/>
  <c r="J358" i="1"/>
  <c r="J360" i="1" s="1"/>
  <c r="Y21" i="1"/>
  <c r="U130" i="1"/>
  <c r="U145" i="1" s="1"/>
  <c r="V130" i="1"/>
  <c r="V145" i="1" s="1"/>
  <c r="AC360" i="1"/>
  <c r="Q130" i="1"/>
  <c r="Q145" i="1" s="1"/>
  <c r="Z155" i="1"/>
  <c r="X149" i="1"/>
  <c r="X480" i="1"/>
  <c r="X404" i="1"/>
  <c r="Q242" i="1"/>
  <c r="X21" i="1"/>
  <c r="X472" i="1" s="1"/>
  <c r="AA130" i="1"/>
  <c r="AA145" i="1" s="1"/>
  <c r="X155" i="1"/>
  <c r="Q403" i="1"/>
  <c r="AH130" i="1"/>
  <c r="AH145" i="1" s="1"/>
  <c r="Y358" i="1"/>
  <c r="Y360" i="1" s="1"/>
  <c r="U358" i="1"/>
  <c r="U360" i="1" s="1"/>
  <c r="AB149" i="1"/>
  <c r="Q243" i="1"/>
  <c r="X242" i="1"/>
  <c r="U196" i="1"/>
  <c r="AB478" i="1"/>
  <c r="X478" i="1"/>
  <c r="X403" i="1"/>
  <c r="AB161" i="1"/>
  <c r="W404" i="1"/>
  <c r="X419" i="1"/>
  <c r="AB148" i="1"/>
  <c r="Q480" i="1"/>
  <c r="Z196" i="1"/>
  <c r="O297" i="1"/>
  <c r="P297" i="1"/>
  <c r="I149" i="1"/>
  <c r="X297" i="1"/>
  <c r="T478" i="1"/>
  <c r="AH155" i="1"/>
  <c r="T155" i="1"/>
  <c r="Z358" i="1"/>
  <c r="Z360" i="1" s="1"/>
  <c r="AC149" i="1"/>
  <c r="T161" i="1"/>
  <c r="AA196" i="1"/>
  <c r="AJ148" i="1"/>
  <c r="AC478" i="1"/>
  <c r="AD196" i="1"/>
  <c r="AJ149" i="1"/>
  <c r="I155" i="1"/>
  <c r="AC161" i="1"/>
  <c r="AJ155" i="1"/>
  <c r="I161" i="1"/>
  <c r="AC155" i="1"/>
  <c r="AJ161" i="1"/>
  <c r="U478" i="1"/>
  <c r="L297" i="1"/>
  <c r="U148" i="1"/>
  <c r="U155" i="1"/>
  <c r="X196" i="1"/>
  <c r="AF297" i="1"/>
  <c r="W130" i="1"/>
  <c r="W145" i="1" s="1"/>
  <c r="V358" i="1"/>
  <c r="V360" i="1" s="1"/>
  <c r="U161" i="1"/>
  <c r="V196" i="1"/>
  <c r="O21" i="1"/>
  <c r="O69" i="1" s="1"/>
  <c r="O155" i="1"/>
  <c r="O149" i="1"/>
  <c r="O161" i="1"/>
  <c r="W358" i="1"/>
  <c r="W360" i="1" s="1"/>
  <c r="AH358" i="1"/>
  <c r="AH360" i="1" s="1"/>
  <c r="O148" i="1"/>
  <c r="W196" i="1"/>
  <c r="J161" i="1"/>
  <c r="W155" i="1"/>
  <c r="O403" i="1"/>
  <c r="O404" i="1"/>
  <c r="U21" i="1"/>
  <c r="U422" i="1" s="1"/>
  <c r="S243" i="1"/>
  <c r="W161" i="1"/>
  <c r="AA358" i="1"/>
  <c r="AA360" i="1" s="1"/>
  <c r="X358" i="1"/>
  <c r="X360" i="1" s="1"/>
  <c r="W478" i="1"/>
  <c r="Q21" i="1"/>
  <c r="Q422" i="1" s="1"/>
  <c r="Q424" i="1" s="1"/>
  <c r="V297" i="1"/>
  <c r="AF196" i="1"/>
  <c r="AD358" i="1"/>
  <c r="AD360" i="1" s="1"/>
  <c r="AC297" i="1"/>
  <c r="AC362" i="1" s="1"/>
  <c r="AJ196" i="1"/>
  <c r="W47" i="1"/>
  <c r="AJ358" i="1"/>
  <c r="AJ360" i="1" s="1"/>
  <c r="K297" i="1"/>
  <c r="M196" i="1"/>
  <c r="AA155" i="1"/>
  <c r="M21" i="1"/>
  <c r="M53" i="1" s="1"/>
  <c r="Y297" i="1"/>
  <c r="AA478" i="1"/>
  <c r="M47" i="1"/>
  <c r="AJ297" i="1"/>
  <c r="AA149" i="1"/>
  <c r="S358" i="1"/>
  <c r="S360" i="1" s="1"/>
  <c r="AF47" i="1"/>
  <c r="U47" i="1"/>
  <c r="O358" i="1"/>
  <c r="O360" i="1" s="1"/>
  <c r="S196" i="1"/>
  <c r="M419" i="1"/>
  <c r="AC419" i="1"/>
  <c r="S21" i="1"/>
  <c r="S54" i="1" s="1"/>
  <c r="AC21" i="1"/>
  <c r="AC404" i="1"/>
  <c r="AC242" i="1"/>
  <c r="V47" i="1"/>
  <c r="AF21" i="1"/>
  <c r="AF54" i="1" s="1"/>
  <c r="AH297" i="1"/>
  <c r="S480" i="1"/>
  <c r="AC480" i="1"/>
  <c r="AH148" i="1"/>
  <c r="M358" i="1"/>
  <c r="M360" i="1" s="1"/>
  <c r="AC243" i="1"/>
  <c r="AH149" i="1"/>
  <c r="M243" i="1"/>
  <c r="M403" i="1"/>
  <c r="M242" i="1"/>
  <c r="M404" i="1"/>
  <c r="Y196" i="1"/>
  <c r="AD482" i="1"/>
  <c r="AD21" i="1"/>
  <c r="AD47" i="1"/>
  <c r="W21" i="1"/>
  <c r="W68" i="1" s="1"/>
  <c r="AK326" i="1"/>
  <c r="AL326" i="1" s="1"/>
  <c r="S419" i="1"/>
  <c r="W149" i="1"/>
  <c r="AD242" i="1"/>
  <c r="AD404" i="1"/>
  <c r="AD480" i="1"/>
  <c r="AD419" i="1"/>
  <c r="AD403" i="1"/>
  <c r="AD243" i="1"/>
  <c r="J155" i="1"/>
  <c r="AD130" i="1"/>
  <c r="AD145" i="1" s="1"/>
  <c r="J478" i="1"/>
  <c r="S404" i="1"/>
  <c r="J149" i="1"/>
  <c r="W480" i="1"/>
  <c r="W403" i="1"/>
  <c r="K358" i="1"/>
  <c r="K360" i="1" s="1"/>
  <c r="W242" i="1"/>
  <c r="W243" i="1"/>
  <c r="S47" i="1"/>
  <c r="L196" i="1"/>
  <c r="Z47" i="1"/>
  <c r="S242" i="1"/>
  <c r="K184" i="1"/>
  <c r="K194" i="1" s="1"/>
  <c r="K196" i="1" s="1"/>
  <c r="AH401" i="6"/>
  <c r="AI401" i="6" s="1"/>
  <c r="AD297" i="1"/>
  <c r="AH47" i="1"/>
  <c r="AJ47" i="1"/>
  <c r="AB47" i="1"/>
  <c r="G17" i="15"/>
  <c r="Z419" i="1"/>
  <c r="Z404" i="1"/>
  <c r="Z480" i="1"/>
  <c r="Z403" i="1"/>
  <c r="Z243" i="1"/>
  <c r="Z242" i="1"/>
  <c r="Z482" i="1"/>
  <c r="Z21" i="1"/>
  <c r="AJ21" i="1"/>
  <c r="AJ68" i="1" s="1"/>
  <c r="V482" i="1"/>
  <c r="V21" i="1"/>
  <c r="L358" i="1"/>
  <c r="L360" i="1" s="1"/>
  <c r="V419" i="1"/>
  <c r="V403" i="1"/>
  <c r="V243" i="1"/>
  <c r="V404" i="1"/>
  <c r="V480" i="1"/>
  <c r="V242" i="1"/>
  <c r="AF242" i="1"/>
  <c r="AF480" i="1"/>
  <c r="AF404" i="1"/>
  <c r="AF403" i="1"/>
  <c r="AF419" i="1"/>
  <c r="AF243" i="1"/>
  <c r="AB404" i="1"/>
  <c r="AB419" i="1"/>
  <c r="AB403" i="1"/>
  <c r="AB242" i="1"/>
  <c r="AB480" i="1"/>
  <c r="AB243" i="1"/>
  <c r="AB21" i="1"/>
  <c r="AH482" i="1"/>
  <c r="AH21" i="1"/>
  <c r="AJ243" i="1"/>
  <c r="AJ404" i="1"/>
  <c r="AJ403" i="1"/>
  <c r="AJ480" i="1"/>
  <c r="AJ419" i="1"/>
  <c r="AJ242" i="1"/>
  <c r="AH419" i="1"/>
  <c r="AH480" i="1"/>
  <c r="AH403" i="1"/>
  <c r="AH243" i="1"/>
  <c r="AH404" i="1"/>
  <c r="AH242" i="1"/>
  <c r="P47" i="1"/>
  <c r="T47" i="1"/>
  <c r="K47" i="1"/>
  <c r="I184" i="1"/>
  <c r="I194" i="1" s="1"/>
  <c r="I196" i="1" s="1"/>
  <c r="I358" i="1"/>
  <c r="I360" i="1" s="1"/>
  <c r="L21" i="1"/>
  <c r="K161" i="1"/>
  <c r="K478" i="1"/>
  <c r="K149" i="1"/>
  <c r="K155" i="1"/>
  <c r="K148" i="1"/>
  <c r="P419" i="1"/>
  <c r="P243" i="1"/>
  <c r="P404" i="1"/>
  <c r="P480" i="1"/>
  <c r="P403" i="1"/>
  <c r="P242" i="1"/>
  <c r="P184" i="1"/>
  <c r="P194" i="1" s="1"/>
  <c r="P196" i="1" s="1"/>
  <c r="P358" i="1"/>
  <c r="P360" i="1" s="1"/>
  <c r="L47" i="1"/>
  <c r="P478" i="1"/>
  <c r="P149" i="1"/>
  <c r="P148" i="1"/>
  <c r="P155" i="1"/>
  <c r="P161" i="1"/>
  <c r="P21" i="1"/>
  <c r="P482" i="1"/>
  <c r="T21" i="1"/>
  <c r="T32" i="1" s="1"/>
  <c r="T37" i="1" s="1"/>
  <c r="L403" i="1"/>
  <c r="L480" i="1"/>
  <c r="L242" i="1"/>
  <c r="L243" i="1"/>
  <c r="L404" i="1"/>
  <c r="L419" i="1"/>
  <c r="T419" i="1"/>
  <c r="T404" i="1"/>
  <c r="T242" i="1"/>
  <c r="T403" i="1"/>
  <c r="T480" i="1"/>
  <c r="T243" i="1"/>
  <c r="AA480" i="1"/>
  <c r="AA243" i="1"/>
  <c r="AA404" i="1"/>
  <c r="AA403" i="1"/>
  <c r="AA242" i="1"/>
  <c r="AA419" i="1"/>
  <c r="AA482" i="1"/>
  <c r="AA21" i="1"/>
  <c r="J404" i="1"/>
  <c r="J403" i="1"/>
  <c r="J419" i="1"/>
  <c r="J480" i="1"/>
  <c r="J242" i="1"/>
  <c r="J243" i="1"/>
  <c r="Q478" i="1"/>
  <c r="Q155" i="1"/>
  <c r="Q149" i="1"/>
  <c r="Q148" i="1"/>
  <c r="Q161" i="1"/>
  <c r="K404" i="1"/>
  <c r="K419" i="1"/>
  <c r="K403" i="1"/>
  <c r="K242" i="1"/>
  <c r="K243" i="1"/>
  <c r="K480" i="1"/>
  <c r="J482" i="1"/>
  <c r="J21" i="1"/>
  <c r="J47" i="1"/>
  <c r="AK458" i="1"/>
  <c r="AL458" i="1" s="1"/>
  <c r="H329" i="1"/>
  <c r="K482" i="1"/>
  <c r="K21" i="1"/>
  <c r="T166" i="1"/>
  <c r="T179" i="1" s="1"/>
  <c r="T196" i="1" s="1"/>
  <c r="T358" i="1"/>
  <c r="T360" i="1" s="1"/>
  <c r="AA47" i="1"/>
  <c r="H346" i="1"/>
  <c r="AK459" i="1"/>
  <c r="AL459" i="1" s="1"/>
  <c r="F119" i="16" l="1"/>
  <c r="H138" i="16" s="1"/>
  <c r="L138" i="16" s="1"/>
  <c r="F138" i="16"/>
  <c r="F116" i="16"/>
  <c r="H135" i="16" s="1"/>
  <c r="F135" i="16"/>
  <c r="F118" i="16"/>
  <c r="H137" i="16" s="1"/>
  <c r="L137" i="16" s="1"/>
  <c r="F137" i="16"/>
  <c r="F117" i="16"/>
  <c r="H136" i="16" s="1"/>
  <c r="L136" i="16" s="1"/>
  <c r="F136" i="16"/>
  <c r="G99" i="16"/>
  <c r="D120" i="16"/>
  <c r="K66" i="16"/>
  <c r="AH424" i="6"/>
  <c r="AF362" i="1"/>
  <c r="I120" i="16"/>
  <c r="AB362" i="1"/>
  <c r="D99" i="16"/>
  <c r="G14" i="15"/>
  <c r="J17" i="15"/>
  <c r="J421" i="6" s="1"/>
  <c r="J15" i="15"/>
  <c r="J16" i="15" s="1"/>
  <c r="J420" i="6" s="1"/>
  <c r="H9" i="15"/>
  <c r="F8" i="15"/>
  <c r="F9" i="15" s="1"/>
  <c r="I15" i="15"/>
  <c r="I16" i="15" s="1"/>
  <c r="I420" i="6" s="1"/>
  <c r="I17" i="15"/>
  <c r="I421" i="6" s="1"/>
  <c r="AA362" i="1"/>
  <c r="H163" i="1"/>
  <c r="I143" i="1"/>
  <c r="T362" i="1"/>
  <c r="J362" i="1"/>
  <c r="W53" i="1"/>
  <c r="AD163" i="1"/>
  <c r="AD200" i="1" s="1"/>
  <c r="I96" i="1"/>
  <c r="M163" i="1"/>
  <c r="M198" i="1" s="1"/>
  <c r="I105" i="1"/>
  <c r="I285" i="1"/>
  <c r="I477" i="1" s="1"/>
  <c r="M362" i="1"/>
  <c r="I118" i="1"/>
  <c r="W32" i="1"/>
  <c r="W37" i="1" s="1"/>
  <c r="W383" i="1" s="1"/>
  <c r="W71" i="1"/>
  <c r="P362" i="1"/>
  <c r="I310" i="1"/>
  <c r="Q362" i="1"/>
  <c r="F16" i="6"/>
  <c r="M422" i="1"/>
  <c r="M424" i="1" s="1"/>
  <c r="F132" i="6" s="1"/>
  <c r="X68" i="1"/>
  <c r="I481" i="1"/>
  <c r="AF163" i="1"/>
  <c r="AF200" i="1" s="1"/>
  <c r="I262" i="1"/>
  <c r="I475" i="1" s="1"/>
  <c r="I126" i="1"/>
  <c r="I293" i="1"/>
  <c r="I12" i="1"/>
  <c r="I44" i="1" s="1"/>
  <c r="I416" i="1"/>
  <c r="I40" i="1"/>
  <c r="W69" i="1"/>
  <c r="X422" i="1"/>
  <c r="X424" i="1" s="1"/>
  <c r="I25" i="1"/>
  <c r="X32" i="1"/>
  <c r="X37" i="1" s="1"/>
  <c r="X441" i="1" s="1"/>
  <c r="S68" i="1"/>
  <c r="U362" i="1"/>
  <c r="X69" i="1"/>
  <c r="S472" i="1"/>
  <c r="Q71" i="1"/>
  <c r="W362" i="1"/>
  <c r="I271" i="1"/>
  <c r="I476" i="1" s="1"/>
  <c r="I415" i="1"/>
  <c r="I70" i="1"/>
  <c r="X54" i="1"/>
  <c r="X362" i="1"/>
  <c r="I16" i="1"/>
  <c r="S53" i="1"/>
  <c r="I421" i="1"/>
  <c r="I420" i="1"/>
  <c r="X53" i="1"/>
  <c r="S71" i="1"/>
  <c r="Z362" i="1"/>
  <c r="L163" i="1"/>
  <c r="L200" i="1" s="1"/>
  <c r="X71" i="1"/>
  <c r="U53" i="1"/>
  <c r="S69" i="1"/>
  <c r="Q69" i="1"/>
  <c r="W422" i="1"/>
  <c r="W424" i="1" s="1"/>
  <c r="M71" i="1"/>
  <c r="Q53" i="1"/>
  <c r="U163" i="1"/>
  <c r="U198" i="1" s="1"/>
  <c r="I163" i="1"/>
  <c r="I198" i="1" s="1"/>
  <c r="X163" i="1"/>
  <c r="X198" i="1" s="1"/>
  <c r="H116" i="1"/>
  <c r="AK116" i="1" s="1"/>
  <c r="AL116" i="1" s="1"/>
  <c r="H91" i="1"/>
  <c r="AK91" i="1" s="1"/>
  <c r="AL91" i="1" s="1"/>
  <c r="H112" i="1"/>
  <c r="H291" i="1"/>
  <c r="AK291" i="1" s="1"/>
  <c r="AL291" i="1" s="1"/>
  <c r="H140" i="1"/>
  <c r="AK140" i="1" s="1"/>
  <c r="AL140" i="1" s="1"/>
  <c r="H282" i="1"/>
  <c r="AK282" i="1" s="1"/>
  <c r="AL282" i="1" s="1"/>
  <c r="H103" i="1"/>
  <c r="AK103" i="1" s="1"/>
  <c r="AL103" i="1" s="1"/>
  <c r="H124" i="1"/>
  <c r="AK124" i="1" s="1"/>
  <c r="AL124" i="1" s="1"/>
  <c r="H114" i="1"/>
  <c r="AK114" i="1" s="1"/>
  <c r="AL114" i="1" s="1"/>
  <c r="H288" i="1"/>
  <c r="H139" i="1"/>
  <c r="H269" i="1"/>
  <c r="AK269" i="1" s="1"/>
  <c r="AL269" i="1" s="1"/>
  <c r="H254" i="1"/>
  <c r="H122" i="1"/>
  <c r="AK122" i="1" s="1"/>
  <c r="AL122" i="1" s="1"/>
  <c r="H8" i="1"/>
  <c r="H121" i="1"/>
  <c r="H123" i="1"/>
  <c r="AK123" i="1" s="1"/>
  <c r="AL123" i="1" s="1"/>
  <c r="H257" i="1"/>
  <c r="AK257" i="1" s="1"/>
  <c r="AL257" i="1" s="1"/>
  <c r="H259" i="1"/>
  <c r="AK259" i="1" s="1"/>
  <c r="AL259" i="1" s="1"/>
  <c r="H256" i="1"/>
  <c r="AK256" i="1" s="1"/>
  <c r="AL256" i="1" s="1"/>
  <c r="H115" i="1"/>
  <c r="AK115" i="1" s="1"/>
  <c r="AL115" i="1" s="1"/>
  <c r="H258" i="1"/>
  <c r="AK258" i="1" s="1"/>
  <c r="AL258" i="1" s="1"/>
  <c r="H290" i="1"/>
  <c r="AK290" i="1" s="1"/>
  <c r="AL290" i="1" s="1"/>
  <c r="H283" i="1"/>
  <c r="AK283" i="1" s="1"/>
  <c r="AL283" i="1" s="1"/>
  <c r="H289" i="1"/>
  <c r="AK289" i="1" s="1"/>
  <c r="AL289" i="1" s="1"/>
  <c r="H266" i="1"/>
  <c r="H307" i="1"/>
  <c r="AK307" i="1" s="1"/>
  <c r="AL307" i="1" s="1"/>
  <c r="H93" i="1"/>
  <c r="AK93" i="1" s="1"/>
  <c r="AL93" i="1" s="1"/>
  <c r="H306" i="1"/>
  <c r="H88" i="1"/>
  <c r="H90" i="1"/>
  <c r="AK90" i="1" s="1"/>
  <c r="AL90" i="1" s="1"/>
  <c r="H100" i="1"/>
  <c r="AK451" i="1"/>
  <c r="AL451" i="1" s="1"/>
  <c r="H92" i="1"/>
  <c r="AK92" i="1" s="1"/>
  <c r="AL92" i="1" s="1"/>
  <c r="H279" i="1"/>
  <c r="H281" i="1"/>
  <c r="AK281" i="1" s="1"/>
  <c r="AL281" i="1" s="1"/>
  <c r="W54" i="1"/>
  <c r="Q68" i="1"/>
  <c r="W472" i="1"/>
  <c r="L362" i="1"/>
  <c r="S362" i="1"/>
  <c r="M68" i="1"/>
  <c r="Z163" i="1"/>
  <c r="Z200" i="1" s="1"/>
  <c r="M69" i="1"/>
  <c r="M54" i="1"/>
  <c r="K362" i="1"/>
  <c r="U424" i="1"/>
  <c r="M32" i="1"/>
  <c r="M37" i="1" s="1"/>
  <c r="M441" i="1" s="1"/>
  <c r="F200" i="6" s="1"/>
  <c r="AF472" i="1"/>
  <c r="O362" i="1"/>
  <c r="Y362" i="1"/>
  <c r="M472" i="1"/>
  <c r="AB163" i="1"/>
  <c r="AB198" i="1" s="1"/>
  <c r="V163" i="1"/>
  <c r="V198" i="1" s="1"/>
  <c r="AH163" i="1"/>
  <c r="AH200" i="1" s="1"/>
  <c r="S200" i="1"/>
  <c r="AJ163" i="1"/>
  <c r="AJ200" i="1" s="1"/>
  <c r="T163" i="1"/>
  <c r="T198" i="1" s="1"/>
  <c r="Y68" i="1"/>
  <c r="Y71" i="1"/>
  <c r="Y54" i="1"/>
  <c r="Y422" i="1"/>
  <c r="Y424" i="1" s="1"/>
  <c r="Y69" i="1"/>
  <c r="Y53" i="1"/>
  <c r="Y472" i="1"/>
  <c r="Y32" i="1"/>
  <c r="Y37" i="1" s="1"/>
  <c r="O163" i="1"/>
  <c r="O198" i="1" s="1"/>
  <c r="AH362" i="1"/>
  <c r="V362" i="1"/>
  <c r="S32" i="1"/>
  <c r="S37" i="1" s="1"/>
  <c r="S380" i="1" s="1"/>
  <c r="S422" i="1"/>
  <c r="S424" i="1" s="1"/>
  <c r="U32" i="1"/>
  <c r="U37" i="1" s="1"/>
  <c r="U379" i="1" s="1"/>
  <c r="U68" i="1"/>
  <c r="U54" i="1"/>
  <c r="U472" i="1"/>
  <c r="U71" i="1"/>
  <c r="AC163" i="1"/>
  <c r="AC200" i="1" s="1"/>
  <c r="U69" i="1"/>
  <c r="AD362" i="1"/>
  <c r="AF71" i="1"/>
  <c r="J163" i="1"/>
  <c r="J198" i="1" s="1"/>
  <c r="Q54" i="1"/>
  <c r="O71" i="1"/>
  <c r="O32" i="1"/>
  <c r="O37" i="1" s="1"/>
  <c r="O221" i="1" s="1"/>
  <c r="O68" i="1"/>
  <c r="W163" i="1"/>
  <c r="W198" i="1" s="1"/>
  <c r="O422" i="1"/>
  <c r="O424" i="1" s="1"/>
  <c r="F135" i="6" s="1"/>
  <c r="Q32" i="1"/>
  <c r="Q37" i="1" s="1"/>
  <c r="Q439" i="1" s="1"/>
  <c r="O472" i="1"/>
  <c r="Q472" i="1"/>
  <c r="AJ362" i="1"/>
  <c r="Y200" i="1"/>
  <c r="O53" i="1"/>
  <c r="F19" i="6"/>
  <c r="O54" i="1"/>
  <c r="AK148" i="1"/>
  <c r="AL148" i="1" s="1"/>
  <c r="AJ32" i="1"/>
  <c r="AJ37" i="1" s="1"/>
  <c r="AJ218" i="1" s="1"/>
  <c r="AA163" i="1"/>
  <c r="AA198" i="1" s="1"/>
  <c r="AF422" i="1"/>
  <c r="AF424" i="1" s="1"/>
  <c r="AF32" i="1"/>
  <c r="AF37" i="1" s="1"/>
  <c r="AF213" i="1" s="1"/>
  <c r="AF68" i="1"/>
  <c r="AF69" i="1"/>
  <c r="AF53" i="1"/>
  <c r="S198" i="1"/>
  <c r="AJ71" i="1"/>
  <c r="AJ53" i="1"/>
  <c r="AJ69" i="1"/>
  <c r="AC71" i="1"/>
  <c r="AC54" i="1"/>
  <c r="AC32" i="1"/>
  <c r="AC37" i="1" s="1"/>
  <c r="AC69" i="1"/>
  <c r="AC53" i="1"/>
  <c r="AC68" i="1"/>
  <c r="AC422" i="1"/>
  <c r="AC424" i="1" s="1"/>
  <c r="AC472" i="1"/>
  <c r="AJ54" i="1"/>
  <c r="AJ472" i="1"/>
  <c r="AJ422" i="1"/>
  <c r="AJ424" i="1" s="1"/>
  <c r="AK155" i="1"/>
  <c r="AL155" i="1" s="1"/>
  <c r="AD71" i="1"/>
  <c r="AD54" i="1"/>
  <c r="AD472" i="1"/>
  <c r="AD32" i="1"/>
  <c r="AD37" i="1" s="1"/>
  <c r="AD53" i="1"/>
  <c r="AD68" i="1"/>
  <c r="AD69" i="1"/>
  <c r="AD422" i="1"/>
  <c r="AD424" i="1" s="1"/>
  <c r="AK478" i="1"/>
  <c r="AL478" i="1" s="1"/>
  <c r="Y198" i="1"/>
  <c r="AK161" i="1"/>
  <c r="AL161" i="1" s="1"/>
  <c r="AB32" i="1"/>
  <c r="AB37" i="1" s="1"/>
  <c r="AB69" i="1"/>
  <c r="AB68" i="1"/>
  <c r="AB472" i="1"/>
  <c r="AB422" i="1"/>
  <c r="AB424" i="1" s="1"/>
  <c r="AB53" i="1"/>
  <c r="AB54" i="1"/>
  <c r="AB71" i="1"/>
  <c r="AK149" i="1"/>
  <c r="AL149" i="1" s="1"/>
  <c r="V54" i="1"/>
  <c r="V32" i="1"/>
  <c r="V37" i="1" s="1"/>
  <c r="V68" i="1"/>
  <c r="V422" i="1"/>
  <c r="V424" i="1" s="1"/>
  <c r="V53" i="1"/>
  <c r="V69" i="1"/>
  <c r="V472" i="1"/>
  <c r="V71" i="1"/>
  <c r="Z69" i="1"/>
  <c r="Z32" i="1"/>
  <c r="Z37" i="1" s="1"/>
  <c r="Z71" i="1"/>
  <c r="Z472" i="1"/>
  <c r="Z54" i="1"/>
  <c r="Z68" i="1"/>
  <c r="Z53" i="1"/>
  <c r="Z422" i="1"/>
  <c r="Z424" i="1" s="1"/>
  <c r="G421" i="6"/>
  <c r="AH422" i="1"/>
  <c r="AH424" i="1" s="1"/>
  <c r="AH69" i="1"/>
  <c r="AH32" i="1"/>
  <c r="AH37" i="1" s="1"/>
  <c r="AH472" i="1"/>
  <c r="AH71" i="1"/>
  <c r="AH53" i="1"/>
  <c r="AH68" i="1"/>
  <c r="AH54" i="1"/>
  <c r="T375" i="1"/>
  <c r="T397" i="1"/>
  <c r="T439" i="1"/>
  <c r="T219" i="1"/>
  <c r="T400" i="1"/>
  <c r="T222" i="1"/>
  <c r="T381" i="1"/>
  <c r="T384" i="1"/>
  <c r="T374" i="1"/>
  <c r="T213" i="1"/>
  <c r="T437" i="1"/>
  <c r="T217" i="1"/>
  <c r="T215" i="1"/>
  <c r="T214" i="1"/>
  <c r="T379" i="1"/>
  <c r="T218" i="1"/>
  <c r="T235" i="1"/>
  <c r="T435" i="1"/>
  <c r="T376" i="1"/>
  <c r="T383" i="1"/>
  <c r="T49" i="1"/>
  <c r="T377" i="1"/>
  <c r="T441" i="1"/>
  <c r="T220" i="1"/>
  <c r="T212" i="1"/>
  <c r="T238" i="1"/>
  <c r="T433" i="1"/>
  <c r="T382" i="1"/>
  <c r="T380" i="1"/>
  <c r="T216" i="1"/>
  <c r="T378" i="1"/>
  <c r="T239" i="1"/>
  <c r="T221" i="1"/>
  <c r="P69" i="1"/>
  <c r="P71" i="1"/>
  <c r="P32" i="1"/>
  <c r="P37" i="1" s="1"/>
  <c r="P472" i="1"/>
  <c r="P68" i="1"/>
  <c r="P54" i="1"/>
  <c r="F22" i="6"/>
  <c r="P422" i="1"/>
  <c r="P424" i="1" s="1"/>
  <c r="P53" i="1"/>
  <c r="T53" i="1"/>
  <c r="T69" i="1"/>
  <c r="T422" i="1"/>
  <c r="T424" i="1" s="1"/>
  <c r="T71" i="1"/>
  <c r="T472" i="1"/>
  <c r="T54" i="1"/>
  <c r="T68" i="1"/>
  <c r="P163" i="1"/>
  <c r="P200" i="1" s="1"/>
  <c r="K163" i="1"/>
  <c r="L54" i="1"/>
  <c r="L32" i="1"/>
  <c r="L37" i="1" s="1"/>
  <c r="L53" i="1"/>
  <c r="L472" i="1"/>
  <c r="L422" i="1"/>
  <c r="L424" i="1" s="1"/>
  <c r="F12" i="6"/>
  <c r="L69" i="1"/>
  <c r="L71" i="1"/>
  <c r="L68" i="1"/>
  <c r="AA68" i="1"/>
  <c r="AA71" i="1"/>
  <c r="AA422" i="1"/>
  <c r="AA424" i="1" s="1"/>
  <c r="AA472" i="1"/>
  <c r="AA69" i="1"/>
  <c r="AA32" i="1"/>
  <c r="AA37" i="1" s="1"/>
  <c r="AA54" i="1"/>
  <c r="AA53" i="1"/>
  <c r="K422" i="1"/>
  <c r="K424" i="1" s="1"/>
  <c r="K53" i="1"/>
  <c r="F11" i="6"/>
  <c r="K472" i="1"/>
  <c r="K69" i="1"/>
  <c r="K68" i="1"/>
  <c r="K54" i="1"/>
  <c r="K32" i="1"/>
  <c r="K37" i="1" s="1"/>
  <c r="K71" i="1"/>
  <c r="AK346" i="1"/>
  <c r="AL346" i="1" s="1"/>
  <c r="H356" i="1"/>
  <c r="H341" i="1"/>
  <c r="AK329" i="1"/>
  <c r="AL329" i="1" s="1"/>
  <c r="F255" i="6"/>
  <c r="Q163" i="1"/>
  <c r="W374" i="1"/>
  <c r="W217" i="1"/>
  <c r="J53" i="1"/>
  <c r="J54" i="1"/>
  <c r="J69" i="1"/>
  <c r="J472" i="1"/>
  <c r="J71" i="1"/>
  <c r="J32" i="1"/>
  <c r="J37" i="1" s="1"/>
  <c r="F10" i="6"/>
  <c r="J68" i="1"/>
  <c r="J422" i="1"/>
  <c r="J424" i="1" s="1"/>
  <c r="AD198" i="1" l="1"/>
  <c r="W212" i="1"/>
  <c r="W384" i="1"/>
  <c r="J116" i="16"/>
  <c r="G291" i="6" s="1"/>
  <c r="F120" i="16"/>
  <c r="J118" i="16"/>
  <c r="I291" i="6" s="1"/>
  <c r="F139" i="16"/>
  <c r="J117" i="16"/>
  <c r="H291" i="6" s="1"/>
  <c r="H139" i="16"/>
  <c r="L135" i="16"/>
  <c r="L139" i="16" s="1"/>
  <c r="J119" i="16"/>
  <c r="J291" i="6" s="1"/>
  <c r="J422" i="6"/>
  <c r="AI424" i="6"/>
  <c r="W218" i="1"/>
  <c r="W437" i="1"/>
  <c r="W381" i="1"/>
  <c r="W377" i="1"/>
  <c r="I422" i="6"/>
  <c r="O9" i="15"/>
  <c r="H17" i="15"/>
  <c r="H15" i="15"/>
  <c r="H16" i="15" s="1"/>
  <c r="F17" i="15"/>
  <c r="I28" i="15" s="1"/>
  <c r="G15" i="15"/>
  <c r="G16" i="15" s="1"/>
  <c r="F14" i="15"/>
  <c r="F15" i="15" s="1"/>
  <c r="F16" i="15" s="1"/>
  <c r="L198" i="1"/>
  <c r="I273" i="1"/>
  <c r="W73" i="1"/>
  <c r="Z198" i="1"/>
  <c r="M200" i="1"/>
  <c r="I107" i="1"/>
  <c r="X73" i="1"/>
  <c r="U200" i="1"/>
  <c r="W215" i="1"/>
  <c r="Q73" i="1"/>
  <c r="W213" i="1"/>
  <c r="W49" i="1"/>
  <c r="AC198" i="1"/>
  <c r="W378" i="1"/>
  <c r="W376" i="1"/>
  <c r="W221" i="1"/>
  <c r="W397" i="1"/>
  <c r="W375" i="1"/>
  <c r="W435" i="1"/>
  <c r="W379" i="1"/>
  <c r="W382" i="1"/>
  <c r="W220" i="1"/>
  <c r="W216" i="1"/>
  <c r="W441" i="1"/>
  <c r="W235" i="1"/>
  <c r="W433" i="1"/>
  <c r="W222" i="1"/>
  <c r="W380" i="1"/>
  <c r="W439" i="1"/>
  <c r="W219" i="1"/>
  <c r="AF198" i="1"/>
  <c r="W238" i="1"/>
  <c r="W214" i="1"/>
  <c r="W400" i="1"/>
  <c r="W239" i="1"/>
  <c r="O441" i="1"/>
  <c r="F203" i="6" s="1"/>
  <c r="I295" i="1"/>
  <c r="I128" i="1"/>
  <c r="I130" i="1" s="1"/>
  <c r="I145" i="1" s="1"/>
  <c r="I200" i="1" s="1"/>
  <c r="X400" i="1"/>
  <c r="X382" i="1"/>
  <c r="I18" i="1"/>
  <c r="O217" i="1"/>
  <c r="S435" i="1"/>
  <c r="S73" i="1"/>
  <c r="I17" i="1"/>
  <c r="Q397" i="1"/>
  <c r="I79" i="1"/>
  <c r="I81" i="1" s="1"/>
  <c r="I14" i="1"/>
  <c r="I242" i="1" s="1"/>
  <c r="U218" i="1"/>
  <c r="Q400" i="1"/>
  <c r="I45" i="1"/>
  <c r="AJ383" i="1"/>
  <c r="T200" i="1"/>
  <c r="I43" i="1"/>
  <c r="I7" i="1"/>
  <c r="I482" i="1" s="1"/>
  <c r="I19" i="1"/>
  <c r="I469" i="1"/>
  <c r="AJ377" i="1"/>
  <c r="O374" i="1"/>
  <c r="I28" i="1"/>
  <c r="I30" i="1" s="1"/>
  <c r="O218" i="1"/>
  <c r="O222" i="1"/>
  <c r="U380" i="1"/>
  <c r="S384" i="1"/>
  <c r="S49" i="1"/>
  <c r="U239" i="1"/>
  <c r="S437" i="1"/>
  <c r="S213" i="1"/>
  <c r="S397" i="1"/>
  <c r="S214" i="1"/>
  <c r="S379" i="1"/>
  <c r="S239" i="1"/>
  <c r="S400" i="1"/>
  <c r="S382" i="1"/>
  <c r="S235" i="1"/>
  <c r="X439" i="1"/>
  <c r="M378" i="1"/>
  <c r="X220" i="1"/>
  <c r="X235" i="1"/>
  <c r="M222" i="1"/>
  <c r="X381" i="1"/>
  <c r="M219" i="1"/>
  <c r="X217" i="1"/>
  <c r="S222" i="1"/>
  <c r="M375" i="1"/>
  <c r="X215" i="1"/>
  <c r="S439" i="1"/>
  <c r="S220" i="1"/>
  <c r="M437" i="1"/>
  <c r="M435" i="1"/>
  <c r="M49" i="1"/>
  <c r="F40" i="6" s="1"/>
  <c r="M73" i="1"/>
  <c r="M376" i="1"/>
  <c r="U435" i="1"/>
  <c r="X374" i="1"/>
  <c r="M397" i="1"/>
  <c r="M439" i="1"/>
  <c r="F223" i="6" s="1"/>
  <c r="M216" i="1"/>
  <c r="O397" i="1"/>
  <c r="O384" i="1"/>
  <c r="AJ198" i="1"/>
  <c r="U220" i="1"/>
  <c r="U216" i="1"/>
  <c r="X379" i="1"/>
  <c r="U439" i="1"/>
  <c r="X435" i="1"/>
  <c r="AJ382" i="1"/>
  <c r="U219" i="1"/>
  <c r="X437" i="1"/>
  <c r="X49" i="1"/>
  <c r="M221" i="1"/>
  <c r="M214" i="1"/>
  <c r="M220" i="1"/>
  <c r="M212" i="1"/>
  <c r="U215" i="1"/>
  <c r="U381" i="1"/>
  <c r="U238" i="1"/>
  <c r="U374" i="1"/>
  <c r="X212" i="1"/>
  <c r="X384" i="1"/>
  <c r="X375" i="1"/>
  <c r="X219" i="1"/>
  <c r="S441" i="1"/>
  <c r="S377" i="1"/>
  <c r="M218" i="1"/>
  <c r="M213" i="1"/>
  <c r="M382" i="1"/>
  <c r="M380" i="1"/>
  <c r="U400" i="1"/>
  <c r="X213" i="1"/>
  <c r="U212" i="1"/>
  <c r="X216" i="1"/>
  <c r="U441" i="1"/>
  <c r="U222" i="1"/>
  <c r="U214" i="1"/>
  <c r="U221" i="1"/>
  <c r="X214" i="1"/>
  <c r="X239" i="1"/>
  <c r="X377" i="1"/>
  <c r="X380" i="1"/>
  <c r="X433" i="1"/>
  <c r="S383" i="1"/>
  <c r="S381" i="1"/>
  <c r="M235" i="1"/>
  <c r="M374" i="1"/>
  <c r="M400" i="1"/>
  <c r="M377" i="1"/>
  <c r="M433" i="1"/>
  <c r="F177" i="6" s="1"/>
  <c r="O400" i="1"/>
  <c r="O381" i="1"/>
  <c r="U437" i="1"/>
  <c r="X376" i="1"/>
  <c r="M239" i="1"/>
  <c r="U433" i="1"/>
  <c r="AJ374" i="1"/>
  <c r="U384" i="1"/>
  <c r="U49" i="1"/>
  <c r="U383" i="1"/>
  <c r="U213" i="1"/>
  <c r="X383" i="1"/>
  <c r="X222" i="1"/>
  <c r="X218" i="1"/>
  <c r="X238" i="1"/>
  <c r="S215" i="1"/>
  <c r="S433" i="1"/>
  <c r="M215" i="1"/>
  <c r="M238" i="1"/>
  <c r="M217" i="1"/>
  <c r="M384" i="1"/>
  <c r="O377" i="1"/>
  <c r="O213" i="1"/>
  <c r="U217" i="1"/>
  <c r="U377" i="1"/>
  <c r="U378" i="1"/>
  <c r="U235" i="1"/>
  <c r="AJ441" i="1"/>
  <c r="X397" i="1"/>
  <c r="X378" i="1"/>
  <c r="X221" i="1"/>
  <c r="M379" i="1"/>
  <c r="M383" i="1"/>
  <c r="M381" i="1"/>
  <c r="AJ219" i="1"/>
  <c r="S216" i="1"/>
  <c r="S374" i="1"/>
  <c r="S221" i="1"/>
  <c r="S378" i="1"/>
  <c r="O433" i="1"/>
  <c r="F180" i="6" s="1"/>
  <c r="O435" i="1"/>
  <c r="O216" i="1"/>
  <c r="H70" i="1"/>
  <c r="AK70" i="1" s="1"/>
  <c r="AL70" i="1" s="1"/>
  <c r="H76" i="1"/>
  <c r="AK76" i="1" s="1"/>
  <c r="AL76" i="1" s="1"/>
  <c r="AK8" i="1"/>
  <c r="AL8" i="1" s="1"/>
  <c r="H415" i="1"/>
  <c r="AK415" i="1" s="1"/>
  <c r="AL415" i="1" s="1"/>
  <c r="H40" i="1"/>
  <c r="AK40" i="1" s="1"/>
  <c r="AL40" i="1" s="1"/>
  <c r="H16" i="1"/>
  <c r="AK16" i="1" s="1"/>
  <c r="AL16" i="1" s="1"/>
  <c r="H416" i="1"/>
  <c r="AK416" i="1" s="1"/>
  <c r="AL416" i="1" s="1"/>
  <c r="H12" i="1"/>
  <c r="H420" i="1"/>
  <c r="AK420" i="1" s="1"/>
  <c r="AL420" i="1" s="1"/>
  <c r="H421" i="1"/>
  <c r="AK421" i="1" s="1"/>
  <c r="AL421" i="1" s="1"/>
  <c r="H481" i="1"/>
  <c r="AK481" i="1" s="1"/>
  <c r="AL481" i="1" s="1"/>
  <c r="H25" i="1"/>
  <c r="AK25" i="1" s="1"/>
  <c r="AL25" i="1" s="1"/>
  <c r="AK100" i="1"/>
  <c r="AL100" i="1" s="1"/>
  <c r="H105" i="1"/>
  <c r="AK105" i="1" s="1"/>
  <c r="AL105" i="1" s="1"/>
  <c r="V200" i="1"/>
  <c r="Q215" i="1"/>
  <c r="O238" i="1"/>
  <c r="O382" i="1"/>
  <c r="AB200" i="1"/>
  <c r="AK88" i="1"/>
  <c r="H96" i="1"/>
  <c r="AK121" i="1"/>
  <c r="AL121" i="1" s="1"/>
  <c r="H126" i="1"/>
  <c r="AK126" i="1" s="1"/>
  <c r="AL126" i="1" s="1"/>
  <c r="AK306" i="1"/>
  <c r="AL306" i="1" s="1"/>
  <c r="H310" i="1"/>
  <c r="AK310" i="1" s="1"/>
  <c r="AL310" i="1" s="1"/>
  <c r="H262" i="1"/>
  <c r="AK254" i="1"/>
  <c r="AL254" i="1" s="1"/>
  <c r="AJ215" i="1"/>
  <c r="S376" i="1"/>
  <c r="S219" i="1"/>
  <c r="S217" i="1"/>
  <c r="S238" i="1"/>
  <c r="O375" i="1"/>
  <c r="O214" i="1"/>
  <c r="O235" i="1"/>
  <c r="O219" i="1"/>
  <c r="X200" i="1"/>
  <c r="U376" i="1"/>
  <c r="U382" i="1"/>
  <c r="U397" i="1"/>
  <c r="U375" i="1"/>
  <c r="AJ216" i="1"/>
  <c r="S218" i="1"/>
  <c r="S212" i="1"/>
  <c r="S375" i="1"/>
  <c r="O380" i="1"/>
  <c r="O376" i="1"/>
  <c r="O220" i="1"/>
  <c r="H285" i="1"/>
  <c r="AK279" i="1"/>
  <c r="AL279" i="1" s="1"/>
  <c r="AK139" i="1"/>
  <c r="AL139" i="1" s="1"/>
  <c r="H143" i="1"/>
  <c r="AK143" i="1" s="1"/>
  <c r="AL143" i="1" s="1"/>
  <c r="H118" i="1"/>
  <c r="AK112" i="1"/>
  <c r="AL112" i="1" s="1"/>
  <c r="H271" i="1"/>
  <c r="AK266" i="1"/>
  <c r="AL266" i="1" s="1"/>
  <c r="H293" i="1"/>
  <c r="AK293" i="1" s="1"/>
  <c r="AL293" i="1" s="1"/>
  <c r="AK288" i="1"/>
  <c r="AL288" i="1" s="1"/>
  <c r="Q376" i="1"/>
  <c r="Q222" i="1"/>
  <c r="Q378" i="1"/>
  <c r="Q49" i="1"/>
  <c r="Q213" i="1"/>
  <c r="Q380" i="1"/>
  <c r="Q239" i="1"/>
  <c r="O200" i="1"/>
  <c r="Q441" i="1"/>
  <c r="Q384" i="1"/>
  <c r="Q374" i="1"/>
  <c r="AF441" i="1"/>
  <c r="AH198" i="1"/>
  <c r="Q216" i="1"/>
  <c r="Q220" i="1"/>
  <c r="Q382" i="1"/>
  <c r="Q437" i="1"/>
  <c r="AF238" i="1"/>
  <c r="Q379" i="1"/>
  <c r="Q435" i="1"/>
  <c r="AF214" i="1"/>
  <c r="Q375" i="1"/>
  <c r="Q217" i="1"/>
  <c r="Q218" i="1"/>
  <c r="Q219" i="1"/>
  <c r="O437" i="1"/>
  <c r="AJ379" i="1"/>
  <c r="AJ239" i="1"/>
  <c r="AJ433" i="1"/>
  <c r="AJ397" i="1"/>
  <c r="AF222" i="1"/>
  <c r="AJ235" i="1"/>
  <c r="AJ221" i="1"/>
  <c r="AJ217" i="1"/>
  <c r="AJ375" i="1"/>
  <c r="AJ435" i="1"/>
  <c r="AF73" i="1"/>
  <c r="Y73" i="1"/>
  <c r="AJ214" i="1"/>
  <c r="AJ439" i="1"/>
  <c r="AJ384" i="1"/>
  <c r="AJ400" i="1"/>
  <c r="J200" i="1"/>
  <c r="Y216" i="1"/>
  <c r="Y437" i="1"/>
  <c r="Y49" i="1"/>
  <c r="Y397" i="1"/>
  <c r="Y219" i="1"/>
  <c r="Y441" i="1"/>
  <c r="Y377" i="1"/>
  <c r="Y379" i="1"/>
  <c r="Y376" i="1"/>
  <c r="Y384" i="1"/>
  <c r="Y382" i="1"/>
  <c r="Y374" i="1"/>
  <c r="Y238" i="1"/>
  <c r="Y221" i="1"/>
  <c r="Y239" i="1"/>
  <c r="Y439" i="1"/>
  <c r="Y213" i="1"/>
  <c r="Y378" i="1"/>
  <c r="Y380" i="1"/>
  <c r="Y235" i="1"/>
  <c r="Y220" i="1"/>
  <c r="Y222" i="1"/>
  <c r="Y218" i="1"/>
  <c r="Y217" i="1"/>
  <c r="Y212" i="1"/>
  <c r="Y375" i="1"/>
  <c r="Y433" i="1"/>
  <c r="Y383" i="1"/>
  <c r="Y435" i="1"/>
  <c r="Y215" i="1"/>
  <c r="Y214" i="1"/>
  <c r="Y400" i="1"/>
  <c r="Y381" i="1"/>
  <c r="AJ380" i="1"/>
  <c r="AJ220" i="1"/>
  <c r="AJ222" i="1"/>
  <c r="AJ378" i="1"/>
  <c r="AF382" i="1"/>
  <c r="AJ213" i="1"/>
  <c r="AJ437" i="1"/>
  <c r="AJ376" i="1"/>
  <c r="AJ49" i="1"/>
  <c r="O73" i="1"/>
  <c r="U73" i="1"/>
  <c r="AJ212" i="1"/>
  <c r="AJ238" i="1"/>
  <c r="AJ381" i="1"/>
  <c r="AF49" i="1"/>
  <c r="AF375" i="1"/>
  <c r="AF377" i="1"/>
  <c r="O379" i="1"/>
  <c r="O378" i="1"/>
  <c r="AF239" i="1"/>
  <c r="O215" i="1"/>
  <c r="O212" i="1"/>
  <c r="AF380" i="1"/>
  <c r="AF215" i="1"/>
  <c r="AF437" i="1"/>
  <c r="AF384" i="1"/>
  <c r="AF433" i="1"/>
  <c r="AF400" i="1"/>
  <c r="AF235" i="1"/>
  <c r="AF378" i="1"/>
  <c r="W200" i="1"/>
  <c r="O49" i="1"/>
  <c r="F43" i="6" s="1"/>
  <c r="O239" i="1"/>
  <c r="O439" i="1"/>
  <c r="F226" i="6" s="1"/>
  <c r="O383" i="1"/>
  <c r="AF381" i="1"/>
  <c r="AF374" i="1"/>
  <c r="AF220" i="1"/>
  <c r="AF218" i="1"/>
  <c r="AF376" i="1"/>
  <c r="AF435" i="1"/>
  <c r="AF221" i="1"/>
  <c r="AF216" i="1"/>
  <c r="AA200" i="1"/>
  <c r="AF383" i="1"/>
  <c r="AF439" i="1"/>
  <c r="AF212" i="1"/>
  <c r="AF397" i="1"/>
  <c r="AF217" i="1"/>
  <c r="AF379" i="1"/>
  <c r="AF219" i="1"/>
  <c r="Q235" i="1"/>
  <c r="Q212" i="1"/>
  <c r="Q433" i="1"/>
  <c r="Q381" i="1"/>
  <c r="Q377" i="1"/>
  <c r="Q383" i="1"/>
  <c r="Q238" i="1"/>
  <c r="Q214" i="1"/>
  <c r="Q221" i="1"/>
  <c r="AC73" i="1"/>
  <c r="AJ73" i="1"/>
  <c r="AC216" i="1"/>
  <c r="AC238" i="1"/>
  <c r="AC49" i="1"/>
  <c r="AC220" i="1"/>
  <c r="AC219" i="1"/>
  <c r="AC217" i="1"/>
  <c r="AC437" i="1"/>
  <c r="AC221" i="1"/>
  <c r="AC215" i="1"/>
  <c r="AC433" i="1"/>
  <c r="AC374" i="1"/>
  <c r="AC400" i="1"/>
  <c r="AC212" i="1"/>
  <c r="AC213" i="1"/>
  <c r="AC235" i="1"/>
  <c r="AC377" i="1"/>
  <c r="AC439" i="1"/>
  <c r="AC382" i="1"/>
  <c r="AC376" i="1"/>
  <c r="AC379" i="1"/>
  <c r="AC384" i="1"/>
  <c r="AC222" i="1"/>
  <c r="AC435" i="1"/>
  <c r="AC397" i="1"/>
  <c r="AC214" i="1"/>
  <c r="AC441" i="1"/>
  <c r="AC375" i="1"/>
  <c r="AC380" i="1"/>
  <c r="AC218" i="1"/>
  <c r="AC383" i="1"/>
  <c r="AC381" i="1"/>
  <c r="AC239" i="1"/>
  <c r="AC378" i="1"/>
  <c r="AD73" i="1"/>
  <c r="Z73" i="1"/>
  <c r="AD382" i="1"/>
  <c r="AD214" i="1"/>
  <c r="AD376" i="1"/>
  <c r="AD397" i="1"/>
  <c r="AD400" i="1"/>
  <c r="AD213" i="1"/>
  <c r="AD217" i="1"/>
  <c r="AD439" i="1"/>
  <c r="AD441" i="1"/>
  <c r="AD238" i="1"/>
  <c r="AD212" i="1"/>
  <c r="AD218" i="1"/>
  <c r="AD381" i="1"/>
  <c r="AD49" i="1"/>
  <c r="AD222" i="1"/>
  <c r="AD437" i="1"/>
  <c r="AD378" i="1"/>
  <c r="AD433" i="1"/>
  <c r="AD380" i="1"/>
  <c r="AD235" i="1"/>
  <c r="AD374" i="1"/>
  <c r="AD239" i="1"/>
  <c r="AD215" i="1"/>
  <c r="AD220" i="1"/>
  <c r="AD375" i="1"/>
  <c r="AD379" i="1"/>
  <c r="AD384" i="1"/>
  <c r="AD219" i="1"/>
  <c r="AD216" i="1"/>
  <c r="AD221" i="1"/>
  <c r="AD377" i="1"/>
  <c r="AD435" i="1"/>
  <c r="AD383" i="1"/>
  <c r="AB73" i="1"/>
  <c r="P198" i="1"/>
  <c r="V73" i="1"/>
  <c r="Z217" i="1"/>
  <c r="Z215" i="1"/>
  <c r="Z379" i="1"/>
  <c r="Z375" i="1"/>
  <c r="Z235" i="1"/>
  <c r="Z382" i="1"/>
  <c r="Z222" i="1"/>
  <c r="Z221" i="1"/>
  <c r="Z433" i="1"/>
  <c r="Z212" i="1"/>
  <c r="Z384" i="1"/>
  <c r="Z239" i="1"/>
  <c r="Z380" i="1"/>
  <c r="Z219" i="1"/>
  <c r="Z377" i="1"/>
  <c r="Z383" i="1"/>
  <c r="Z397" i="1"/>
  <c r="Z435" i="1"/>
  <c r="Z439" i="1"/>
  <c r="Z220" i="1"/>
  <c r="Z400" i="1"/>
  <c r="Z213" i="1"/>
  <c r="Z238" i="1"/>
  <c r="Z378" i="1"/>
  <c r="Z214" i="1"/>
  <c r="Z381" i="1"/>
  <c r="Z441" i="1"/>
  <c r="Z216" i="1"/>
  <c r="Z218" i="1"/>
  <c r="Z437" i="1"/>
  <c r="Z374" i="1"/>
  <c r="Z376" i="1"/>
  <c r="Z49" i="1"/>
  <c r="V435" i="1"/>
  <c r="V433" i="1"/>
  <c r="V383" i="1"/>
  <c r="V397" i="1"/>
  <c r="V221" i="1"/>
  <c r="V212" i="1"/>
  <c r="V49" i="1"/>
  <c r="V217" i="1"/>
  <c r="V375" i="1"/>
  <c r="V216" i="1"/>
  <c r="V220" i="1"/>
  <c r="V218" i="1"/>
  <c r="V235" i="1"/>
  <c r="V214" i="1"/>
  <c r="V215" i="1"/>
  <c r="V378" i="1"/>
  <c r="V400" i="1"/>
  <c r="V213" i="1"/>
  <c r="V441" i="1"/>
  <c r="V222" i="1"/>
  <c r="V374" i="1"/>
  <c r="V376" i="1"/>
  <c r="V380" i="1"/>
  <c r="V381" i="1"/>
  <c r="V377" i="1"/>
  <c r="V384" i="1"/>
  <c r="V219" i="1"/>
  <c r="V439" i="1"/>
  <c r="V437" i="1"/>
  <c r="V238" i="1"/>
  <c r="V382" i="1"/>
  <c r="V379" i="1"/>
  <c r="V239" i="1"/>
  <c r="AB49" i="1"/>
  <c r="AB215" i="1"/>
  <c r="AB376" i="1"/>
  <c r="AB435" i="1"/>
  <c r="AB377" i="1"/>
  <c r="AB213" i="1"/>
  <c r="AB375" i="1"/>
  <c r="AB217" i="1"/>
  <c r="AB441" i="1"/>
  <c r="AB235" i="1"/>
  <c r="AB218" i="1"/>
  <c r="AB400" i="1"/>
  <c r="AB382" i="1"/>
  <c r="AB214" i="1"/>
  <c r="AB212" i="1"/>
  <c r="AB379" i="1"/>
  <c r="AB238" i="1"/>
  <c r="AB220" i="1"/>
  <c r="AB433" i="1"/>
  <c r="AB397" i="1"/>
  <c r="AB384" i="1"/>
  <c r="AB239" i="1"/>
  <c r="AB439" i="1"/>
  <c r="AB380" i="1"/>
  <c r="AB222" i="1"/>
  <c r="AB381" i="1"/>
  <c r="AB437" i="1"/>
  <c r="AB378" i="1"/>
  <c r="AB219" i="1"/>
  <c r="AB221" i="1"/>
  <c r="AB216" i="1"/>
  <c r="AB383" i="1"/>
  <c r="AB374" i="1"/>
  <c r="T443" i="1"/>
  <c r="AH73" i="1"/>
  <c r="AH238" i="1"/>
  <c r="AH397" i="1"/>
  <c r="AH439" i="1"/>
  <c r="AH212" i="1"/>
  <c r="AH218" i="1"/>
  <c r="AH215" i="1"/>
  <c r="AH239" i="1"/>
  <c r="AH379" i="1"/>
  <c r="AH441" i="1"/>
  <c r="AH377" i="1"/>
  <c r="AH378" i="1"/>
  <c r="AH400" i="1"/>
  <c r="AH222" i="1"/>
  <c r="AH435" i="1"/>
  <c r="AH214" i="1"/>
  <c r="AH49" i="1"/>
  <c r="AH433" i="1"/>
  <c r="AH217" i="1"/>
  <c r="AH374" i="1"/>
  <c r="AH219" i="1"/>
  <c r="AH216" i="1"/>
  <c r="AH382" i="1"/>
  <c r="AH384" i="1"/>
  <c r="AH213" i="1"/>
  <c r="AH380" i="1"/>
  <c r="AH375" i="1"/>
  <c r="AH383" i="1"/>
  <c r="AH220" i="1"/>
  <c r="AH235" i="1"/>
  <c r="AH376" i="1"/>
  <c r="AH221" i="1"/>
  <c r="AH437" i="1"/>
  <c r="AH381" i="1"/>
  <c r="L73" i="1"/>
  <c r="F128" i="6"/>
  <c r="P214" i="1"/>
  <c r="P217" i="1"/>
  <c r="P437" i="1"/>
  <c r="P400" i="1"/>
  <c r="P219" i="1"/>
  <c r="P441" i="1"/>
  <c r="F206" i="6" s="1"/>
  <c r="P377" i="1"/>
  <c r="P378" i="1"/>
  <c r="P382" i="1"/>
  <c r="P212" i="1"/>
  <c r="P439" i="1"/>
  <c r="F229" i="6" s="1"/>
  <c r="P222" i="1"/>
  <c r="P221" i="1"/>
  <c r="P216" i="1"/>
  <c r="P374" i="1"/>
  <c r="P383" i="1"/>
  <c r="P215" i="1"/>
  <c r="P49" i="1"/>
  <c r="F46" i="6" s="1"/>
  <c r="P239" i="1"/>
  <c r="P397" i="1"/>
  <c r="P381" i="1"/>
  <c r="P379" i="1"/>
  <c r="P435" i="1"/>
  <c r="P220" i="1"/>
  <c r="P384" i="1"/>
  <c r="P218" i="1"/>
  <c r="P376" i="1"/>
  <c r="P235" i="1"/>
  <c r="P213" i="1"/>
  <c r="P238" i="1"/>
  <c r="P380" i="1"/>
  <c r="P433" i="1"/>
  <c r="F183" i="6" s="1"/>
  <c r="P375" i="1"/>
  <c r="K200" i="1"/>
  <c r="K198" i="1"/>
  <c r="F138" i="6"/>
  <c r="L376" i="1"/>
  <c r="L217" i="1"/>
  <c r="L441" i="1"/>
  <c r="F196" i="6" s="1"/>
  <c r="L400" i="1"/>
  <c r="L221" i="1"/>
  <c r="L375" i="1"/>
  <c r="L433" i="1"/>
  <c r="F173" i="6" s="1"/>
  <c r="L374" i="1"/>
  <c r="L381" i="1"/>
  <c r="L215" i="1"/>
  <c r="L379" i="1"/>
  <c r="L397" i="1"/>
  <c r="L220" i="1"/>
  <c r="L435" i="1"/>
  <c r="L382" i="1"/>
  <c r="L383" i="1"/>
  <c r="L437" i="1"/>
  <c r="L219" i="1"/>
  <c r="L212" i="1"/>
  <c r="L216" i="1"/>
  <c r="L239" i="1"/>
  <c r="L439" i="1"/>
  <c r="F219" i="6" s="1"/>
  <c r="L49" i="1"/>
  <c r="F36" i="6" s="1"/>
  <c r="L235" i="1"/>
  <c r="L380" i="1"/>
  <c r="L218" i="1"/>
  <c r="L214" i="1"/>
  <c r="L384" i="1"/>
  <c r="L213" i="1"/>
  <c r="L377" i="1"/>
  <c r="L238" i="1"/>
  <c r="L222" i="1"/>
  <c r="L378" i="1"/>
  <c r="T73" i="1"/>
  <c r="P73" i="1"/>
  <c r="T224" i="1"/>
  <c r="T386" i="1"/>
  <c r="T388" i="1" s="1"/>
  <c r="T236" i="1" s="1"/>
  <c r="F302" i="6"/>
  <c r="H166" i="1"/>
  <c r="AK341" i="1"/>
  <c r="AL341" i="1" s="1"/>
  <c r="F126" i="6"/>
  <c r="AA215" i="1"/>
  <c r="AA376" i="1"/>
  <c r="AA377" i="1"/>
  <c r="AA218" i="1"/>
  <c r="AA439" i="1"/>
  <c r="AA437" i="1"/>
  <c r="AA235" i="1"/>
  <c r="AA219" i="1"/>
  <c r="AA216" i="1"/>
  <c r="AA379" i="1"/>
  <c r="AA375" i="1"/>
  <c r="AA238" i="1"/>
  <c r="AA380" i="1"/>
  <c r="AA435" i="1"/>
  <c r="AA397" i="1"/>
  <c r="AA383" i="1"/>
  <c r="AA214" i="1"/>
  <c r="AA400" i="1"/>
  <c r="AA441" i="1"/>
  <c r="AA381" i="1"/>
  <c r="AA212" i="1"/>
  <c r="AA221" i="1"/>
  <c r="AA217" i="1"/>
  <c r="AA433" i="1"/>
  <c r="AA374" i="1"/>
  <c r="AA213" i="1"/>
  <c r="AA239" i="1"/>
  <c r="AA49" i="1"/>
  <c r="AA222" i="1"/>
  <c r="AA384" i="1"/>
  <c r="AA378" i="1"/>
  <c r="AA382" i="1"/>
  <c r="AA220" i="1"/>
  <c r="Q200" i="1"/>
  <c r="Q198" i="1"/>
  <c r="F127" i="6"/>
  <c r="K376" i="1"/>
  <c r="K384" i="1"/>
  <c r="K435" i="1"/>
  <c r="K218" i="1"/>
  <c r="K219" i="1"/>
  <c r="K382" i="1"/>
  <c r="K379" i="1"/>
  <c r="K238" i="1"/>
  <c r="K433" i="1"/>
  <c r="F172" i="6" s="1"/>
  <c r="K437" i="1"/>
  <c r="K441" i="1"/>
  <c r="F195" i="6" s="1"/>
  <c r="K380" i="1"/>
  <c r="K217" i="1"/>
  <c r="K378" i="1"/>
  <c r="K375" i="1"/>
  <c r="K381" i="1"/>
  <c r="K221" i="1"/>
  <c r="K220" i="1"/>
  <c r="K216" i="1"/>
  <c r="K377" i="1"/>
  <c r="K239" i="1"/>
  <c r="K383" i="1"/>
  <c r="K400" i="1"/>
  <c r="K235" i="1"/>
  <c r="K397" i="1"/>
  <c r="K222" i="1"/>
  <c r="K49" i="1"/>
  <c r="F35" i="6" s="1"/>
  <c r="K213" i="1"/>
  <c r="K214" i="1"/>
  <c r="K374" i="1"/>
  <c r="K212" i="1"/>
  <c r="K439" i="1"/>
  <c r="F218" i="6" s="1"/>
  <c r="K215" i="1"/>
  <c r="H184" i="1"/>
  <c r="AK356" i="1"/>
  <c r="AL356" i="1" s="1"/>
  <c r="H358" i="1"/>
  <c r="J73" i="1"/>
  <c r="K73" i="1"/>
  <c r="AK163" i="1"/>
  <c r="AL163" i="1" s="1"/>
  <c r="J380" i="1"/>
  <c r="J382" i="1"/>
  <c r="J239" i="1"/>
  <c r="J375" i="1"/>
  <c r="J215" i="1"/>
  <c r="J377" i="1"/>
  <c r="J400" i="1"/>
  <c r="J376" i="1"/>
  <c r="J383" i="1"/>
  <c r="J235" i="1"/>
  <c r="J378" i="1"/>
  <c r="J437" i="1"/>
  <c r="J217" i="1"/>
  <c r="J220" i="1"/>
  <c r="J238" i="1"/>
  <c r="J222" i="1"/>
  <c r="J219" i="1"/>
  <c r="J212" i="1"/>
  <c r="J441" i="1"/>
  <c r="F194" i="6" s="1"/>
  <c r="J214" i="1"/>
  <c r="J379" i="1"/>
  <c r="J49" i="1"/>
  <c r="F34" i="6" s="1"/>
  <c r="J433" i="1"/>
  <c r="F171" i="6" s="1"/>
  <c r="J439" i="1"/>
  <c r="F217" i="6" s="1"/>
  <c r="J374" i="1"/>
  <c r="J384" i="1"/>
  <c r="J216" i="1"/>
  <c r="J218" i="1"/>
  <c r="J397" i="1"/>
  <c r="J221" i="1"/>
  <c r="J213" i="1"/>
  <c r="J381" i="1"/>
  <c r="J435" i="1"/>
  <c r="AA73" i="1"/>
  <c r="J120" i="16" l="1"/>
  <c r="AH291" i="6"/>
  <c r="I29" i="15"/>
  <c r="I297" i="1"/>
  <c r="I362" i="1" s="1"/>
  <c r="G29" i="15"/>
  <c r="G420" i="6"/>
  <c r="K29" i="15"/>
  <c r="O16" i="15"/>
  <c r="J29" i="15"/>
  <c r="F420" i="6"/>
  <c r="F421" i="6"/>
  <c r="J28" i="15"/>
  <c r="K28" i="15"/>
  <c r="G28" i="15"/>
  <c r="O17" i="15"/>
  <c r="H420" i="6"/>
  <c r="H29" i="15"/>
  <c r="H421" i="6"/>
  <c r="AH421" i="6" s="1"/>
  <c r="H28" i="15"/>
  <c r="I47" i="1"/>
  <c r="W224" i="1"/>
  <c r="W386" i="1"/>
  <c r="W388" i="1" s="1"/>
  <c r="W443" i="1"/>
  <c r="I419" i="1"/>
  <c r="T226" i="1"/>
  <c r="T474" i="1" s="1"/>
  <c r="I21" i="1"/>
  <c r="I53" i="1" s="1"/>
  <c r="I404" i="1"/>
  <c r="I243" i="1"/>
  <c r="I403" i="1"/>
  <c r="I480" i="1"/>
  <c r="X443" i="1"/>
  <c r="S386" i="1"/>
  <c r="S388" i="1" s="1"/>
  <c r="S401" i="1" s="1"/>
  <c r="X386" i="1"/>
  <c r="X388" i="1" s="1"/>
  <c r="X234" i="1" s="1"/>
  <c r="U224" i="1"/>
  <c r="U226" i="1" s="1"/>
  <c r="U474" i="1" s="1"/>
  <c r="S443" i="1"/>
  <c r="U443" i="1"/>
  <c r="M224" i="1"/>
  <c r="M226" i="1" s="1"/>
  <c r="M474" i="1" s="1"/>
  <c r="X224" i="1"/>
  <c r="X226" i="1" s="1"/>
  <c r="X474" i="1" s="1"/>
  <c r="M386" i="1"/>
  <c r="M388" i="1" s="1"/>
  <c r="M479" i="1" s="1"/>
  <c r="Q443" i="1"/>
  <c r="M443" i="1"/>
  <c r="U386" i="1"/>
  <c r="U388" i="1" s="1"/>
  <c r="U396" i="1" s="1"/>
  <c r="S224" i="1"/>
  <c r="S226" i="1" s="1"/>
  <c r="S61" i="1" s="1"/>
  <c r="H14" i="1"/>
  <c r="H7" i="1"/>
  <c r="H18" i="1"/>
  <c r="AK18" i="1" s="1"/>
  <c r="AL18" i="1" s="1"/>
  <c r="H19" i="1"/>
  <c r="AK19" i="1" s="1"/>
  <c r="AL19" i="1" s="1"/>
  <c r="H44" i="1"/>
  <c r="AK44" i="1" s="1"/>
  <c r="AL44" i="1" s="1"/>
  <c r="H45" i="1"/>
  <c r="AK45" i="1" s="1"/>
  <c r="AL45" i="1" s="1"/>
  <c r="H17" i="1"/>
  <c r="AK17" i="1" s="1"/>
  <c r="AL17" i="1" s="1"/>
  <c r="AK12" i="1"/>
  <c r="AL12" i="1" s="1"/>
  <c r="H43" i="1"/>
  <c r="H79" i="1"/>
  <c r="H469" i="1"/>
  <c r="AK469" i="1" s="1"/>
  <c r="AL469" i="1" s="1"/>
  <c r="H28" i="1"/>
  <c r="H476" i="1"/>
  <c r="AK476" i="1" s="1"/>
  <c r="AL476" i="1" s="1"/>
  <c r="AK271" i="1"/>
  <c r="AL271" i="1" s="1"/>
  <c r="AK118" i="1"/>
  <c r="AL118" i="1" s="1"/>
  <c r="H128" i="1"/>
  <c r="AK128" i="1" s="1"/>
  <c r="AL128" i="1" s="1"/>
  <c r="H107" i="1"/>
  <c r="AL88" i="1"/>
  <c r="AK96" i="1"/>
  <c r="AL96" i="1" s="1"/>
  <c r="AJ386" i="1"/>
  <c r="AJ388" i="1" s="1"/>
  <c r="AJ394" i="1" s="1"/>
  <c r="AJ443" i="1"/>
  <c r="H273" i="1"/>
  <c r="H475" i="1"/>
  <c r="AK475" i="1" s="1"/>
  <c r="AL475" i="1" s="1"/>
  <c r="AK262" i="1"/>
  <c r="AL262" i="1" s="1"/>
  <c r="H477" i="1"/>
  <c r="AK477" i="1" s="1"/>
  <c r="AL477" i="1" s="1"/>
  <c r="H295" i="1"/>
  <c r="AK295" i="1" s="1"/>
  <c r="AL295" i="1" s="1"/>
  <c r="AK285" i="1"/>
  <c r="AL285" i="1" s="1"/>
  <c r="AF224" i="1"/>
  <c r="AF226" i="1" s="1"/>
  <c r="AF474" i="1" s="1"/>
  <c r="O386" i="1"/>
  <c r="O388" i="1" s="1"/>
  <c r="O401" i="1" s="1"/>
  <c r="AF443" i="1"/>
  <c r="AJ224" i="1"/>
  <c r="AJ226" i="1" s="1"/>
  <c r="AJ474" i="1" s="1"/>
  <c r="O224" i="1"/>
  <c r="O226" i="1" s="1"/>
  <c r="O61" i="1" s="1"/>
  <c r="AF386" i="1"/>
  <c r="AF388" i="1" s="1"/>
  <c r="AF231" i="1" s="1"/>
  <c r="Y386" i="1"/>
  <c r="Y388" i="1" s="1"/>
  <c r="Y402" i="1" s="1"/>
  <c r="Y443" i="1"/>
  <c r="O443" i="1"/>
  <c r="Y224" i="1"/>
  <c r="Y226" i="1" s="1"/>
  <c r="T398" i="1"/>
  <c r="Q386" i="1"/>
  <c r="Q388" i="1" s="1"/>
  <c r="Q393" i="1" s="1"/>
  <c r="Q224" i="1"/>
  <c r="Q226" i="1" s="1"/>
  <c r="AA443" i="1"/>
  <c r="AC224" i="1"/>
  <c r="AC226" i="1" s="1"/>
  <c r="AC474" i="1" s="1"/>
  <c r="AC386" i="1"/>
  <c r="AC388" i="1" s="1"/>
  <c r="AC240" i="1" s="1"/>
  <c r="AC443" i="1"/>
  <c r="AD386" i="1"/>
  <c r="AD388" i="1" s="1"/>
  <c r="AD224" i="1"/>
  <c r="AD226" i="1" s="1"/>
  <c r="AD443" i="1"/>
  <c r="T479" i="1"/>
  <c r="T240" i="1"/>
  <c r="Z224" i="1"/>
  <c r="Z226" i="1" s="1"/>
  <c r="Z61" i="1" s="1"/>
  <c r="T402" i="1"/>
  <c r="T394" i="1"/>
  <c r="Z443" i="1"/>
  <c r="T241" i="1"/>
  <c r="T231" i="1"/>
  <c r="T393" i="1"/>
  <c r="T395" i="1"/>
  <c r="V224" i="1"/>
  <c r="V226" i="1" s="1"/>
  <c r="V474" i="1" s="1"/>
  <c r="Z386" i="1"/>
  <c r="Z388" i="1" s="1"/>
  <c r="T232" i="1"/>
  <c r="T234" i="1"/>
  <c r="T399" i="1"/>
  <c r="AB443" i="1"/>
  <c r="V386" i="1"/>
  <c r="V388" i="1" s="1"/>
  <c r="V479" i="1" s="1"/>
  <c r="T237" i="1"/>
  <c r="AB224" i="1"/>
  <c r="AB226" i="1" s="1"/>
  <c r="T401" i="1"/>
  <c r="T233" i="1"/>
  <c r="AB386" i="1"/>
  <c r="AB388" i="1" s="1"/>
  <c r="T396" i="1"/>
  <c r="V443" i="1"/>
  <c r="AH224" i="1"/>
  <c r="AH226" i="1" s="1"/>
  <c r="AH386" i="1"/>
  <c r="AH388" i="1" s="1"/>
  <c r="AH393" i="1" s="1"/>
  <c r="AH443" i="1"/>
  <c r="L224" i="1"/>
  <c r="L226" i="1" s="1"/>
  <c r="L61" i="1" s="1"/>
  <c r="P224" i="1"/>
  <c r="P226" i="1" s="1"/>
  <c r="P386" i="1"/>
  <c r="P388" i="1" s="1"/>
  <c r="L443" i="1"/>
  <c r="L386" i="1"/>
  <c r="L388" i="1" s="1"/>
  <c r="L240" i="1" s="1"/>
  <c r="P443" i="1"/>
  <c r="AA224" i="1"/>
  <c r="AA226" i="1" s="1"/>
  <c r="W226" i="1"/>
  <c r="H179" i="1"/>
  <c r="AK166" i="1"/>
  <c r="AL166" i="1" s="1"/>
  <c r="AK358" i="1"/>
  <c r="AL358" i="1" s="1"/>
  <c r="H360" i="1"/>
  <c r="K443" i="1"/>
  <c r="J224" i="1"/>
  <c r="K224" i="1"/>
  <c r="AA386" i="1"/>
  <c r="J386" i="1"/>
  <c r="H194" i="1"/>
  <c r="AK194" i="1" s="1"/>
  <c r="AL194" i="1" s="1"/>
  <c r="AK184" i="1"/>
  <c r="AL184" i="1" s="1"/>
  <c r="K386" i="1"/>
  <c r="J443" i="1"/>
  <c r="T61" i="1" l="1"/>
  <c r="F291" i="6"/>
  <c r="F293" i="6" s="1"/>
  <c r="F374" i="6" s="1"/>
  <c r="F379" i="6" s="1"/>
  <c r="H422" i="6"/>
  <c r="AK421" i="6"/>
  <c r="AI421" i="6"/>
  <c r="AK420" i="6"/>
  <c r="F422" i="6"/>
  <c r="AK422" i="6" s="1"/>
  <c r="AH420" i="6"/>
  <c r="AI420" i="6" s="1"/>
  <c r="G422" i="6"/>
  <c r="F9" i="6"/>
  <c r="S394" i="1"/>
  <c r="I54" i="1"/>
  <c r="I422" i="1"/>
  <c r="I424" i="1" s="1"/>
  <c r="F125" i="6" s="1"/>
  <c r="I32" i="1"/>
  <c r="I37" i="1" s="1"/>
  <c r="I222" i="1" s="1"/>
  <c r="U232" i="1"/>
  <c r="I71" i="1"/>
  <c r="I472" i="1"/>
  <c r="I69" i="1"/>
  <c r="I68" i="1"/>
  <c r="S474" i="1"/>
  <c r="AC61" i="1"/>
  <c r="S237" i="1"/>
  <c r="S395" i="1"/>
  <c r="S232" i="1"/>
  <c r="O237" i="1"/>
  <c r="O241" i="1"/>
  <c r="O398" i="1"/>
  <c r="X231" i="1"/>
  <c r="X479" i="1"/>
  <c r="M61" i="1"/>
  <c r="O474" i="1"/>
  <c r="Y236" i="1"/>
  <c r="O231" i="1"/>
  <c r="M241" i="1"/>
  <c r="AJ233" i="1"/>
  <c r="AJ237" i="1"/>
  <c r="X237" i="1"/>
  <c r="O396" i="1"/>
  <c r="O479" i="1"/>
  <c r="X399" i="1"/>
  <c r="X395" i="1"/>
  <c r="S240" i="1"/>
  <c r="S396" i="1"/>
  <c r="M401" i="1"/>
  <c r="O232" i="1"/>
  <c r="O393" i="1"/>
  <c r="S241" i="1"/>
  <c r="X232" i="1"/>
  <c r="X393" i="1"/>
  <c r="S393" i="1"/>
  <c r="S234" i="1"/>
  <c r="M232" i="1"/>
  <c r="O240" i="1"/>
  <c r="O394" i="1"/>
  <c r="X241" i="1"/>
  <c r="S231" i="1"/>
  <c r="X233" i="1"/>
  <c r="X398" i="1"/>
  <c r="S399" i="1"/>
  <c r="S398" i="1"/>
  <c r="M395" i="1"/>
  <c r="O395" i="1"/>
  <c r="O234" i="1"/>
  <c r="O402" i="1"/>
  <c r="X402" i="1"/>
  <c r="AJ393" i="1"/>
  <c r="X240" i="1"/>
  <c r="X394" i="1"/>
  <c r="X401" i="1"/>
  <c r="S479" i="1"/>
  <c r="S233" i="1"/>
  <c r="M237" i="1"/>
  <c r="O236" i="1"/>
  <c r="O233" i="1"/>
  <c r="X236" i="1"/>
  <c r="X396" i="1"/>
  <c r="S402" i="1"/>
  <c r="S236" i="1"/>
  <c r="O399" i="1"/>
  <c r="X61" i="1"/>
  <c r="AH236" i="1"/>
  <c r="Y241" i="1"/>
  <c r="U479" i="1"/>
  <c r="U233" i="1"/>
  <c r="AH241" i="1"/>
  <c r="AH402" i="1"/>
  <c r="AH234" i="1"/>
  <c r="Y398" i="1"/>
  <c r="U61" i="1"/>
  <c r="Y399" i="1"/>
  <c r="U398" i="1"/>
  <c r="AH399" i="1"/>
  <c r="Y232" i="1"/>
  <c r="Y234" i="1"/>
  <c r="U401" i="1"/>
  <c r="U241" i="1"/>
  <c r="M399" i="1"/>
  <c r="M402" i="1"/>
  <c r="AH240" i="1"/>
  <c r="AH396" i="1"/>
  <c r="AH479" i="1"/>
  <c r="Y401" i="1"/>
  <c r="Y237" i="1"/>
  <c r="U399" i="1"/>
  <c r="U402" i="1"/>
  <c r="M394" i="1"/>
  <c r="M236" i="1"/>
  <c r="AH395" i="1"/>
  <c r="Y396" i="1"/>
  <c r="Y233" i="1"/>
  <c r="L399" i="1"/>
  <c r="U237" i="1"/>
  <c r="U240" i="1"/>
  <c r="M234" i="1"/>
  <c r="M393" i="1"/>
  <c r="AH233" i="1"/>
  <c r="U236" i="1"/>
  <c r="U393" i="1"/>
  <c r="M231" i="1"/>
  <c r="M398" i="1"/>
  <c r="AH394" i="1"/>
  <c r="AH231" i="1"/>
  <c r="AH232" i="1"/>
  <c r="Y394" i="1"/>
  <c r="Y479" i="1"/>
  <c r="U394" i="1"/>
  <c r="U395" i="1"/>
  <c r="U234" i="1"/>
  <c r="M233" i="1"/>
  <c r="M240" i="1"/>
  <c r="AH398" i="1"/>
  <c r="Y393" i="1"/>
  <c r="Y395" i="1"/>
  <c r="AH401" i="1"/>
  <c r="AH237" i="1"/>
  <c r="Y231" i="1"/>
  <c r="Y240" i="1"/>
  <c r="U231" i="1"/>
  <c r="M396" i="1"/>
  <c r="AJ402" i="1"/>
  <c r="AJ479" i="1"/>
  <c r="AJ236" i="1"/>
  <c r="AJ401" i="1"/>
  <c r="AJ234" i="1"/>
  <c r="AJ232" i="1"/>
  <c r="AJ399" i="1"/>
  <c r="AJ398" i="1"/>
  <c r="AJ241" i="1"/>
  <c r="AJ396" i="1"/>
  <c r="AJ395" i="1"/>
  <c r="AF61" i="1"/>
  <c r="AJ231" i="1"/>
  <c r="AJ240" i="1"/>
  <c r="AF240" i="1"/>
  <c r="AF398" i="1"/>
  <c r="AF395" i="1"/>
  <c r="AF393" i="1"/>
  <c r="AK273" i="1"/>
  <c r="AL273" i="1" s="1"/>
  <c r="H297" i="1"/>
  <c r="AK297" i="1" s="1"/>
  <c r="AL297" i="1" s="1"/>
  <c r="Q237" i="1"/>
  <c r="H30" i="1"/>
  <c r="AK30" i="1" s="1"/>
  <c r="AL30" i="1" s="1"/>
  <c r="AK28" i="1"/>
  <c r="AL28" i="1" s="1"/>
  <c r="AJ61" i="1"/>
  <c r="Q396" i="1"/>
  <c r="Q241" i="1"/>
  <c r="AK79" i="1"/>
  <c r="AL79" i="1" s="1"/>
  <c r="H81" i="1"/>
  <c r="AK81" i="1" s="1"/>
  <c r="AL81" i="1" s="1"/>
  <c r="H21" i="1"/>
  <c r="AK7" i="1"/>
  <c r="AL7" i="1" s="1"/>
  <c r="H482" i="1"/>
  <c r="AK482" i="1" s="1"/>
  <c r="AL482" i="1" s="1"/>
  <c r="Q394" i="1"/>
  <c r="H130" i="1"/>
  <c r="AK107" i="1"/>
  <c r="AL107" i="1" s="1"/>
  <c r="H47" i="1"/>
  <c r="AK43" i="1"/>
  <c r="H419" i="1"/>
  <c r="AK419" i="1" s="1"/>
  <c r="AL419" i="1" s="1"/>
  <c r="H403" i="1"/>
  <c r="AK403" i="1" s="1"/>
  <c r="AL403" i="1" s="1"/>
  <c r="H480" i="1"/>
  <c r="AK480" i="1" s="1"/>
  <c r="AL480" i="1" s="1"/>
  <c r="AK14" i="1"/>
  <c r="AL14" i="1" s="1"/>
  <c r="H404" i="1"/>
  <c r="AK404" i="1" s="1"/>
  <c r="AL404" i="1" s="1"/>
  <c r="H242" i="1"/>
  <c r="AK242" i="1" s="1"/>
  <c r="AL242" i="1" s="1"/>
  <c r="H243" i="1"/>
  <c r="AF237" i="1"/>
  <c r="AF479" i="1"/>
  <c r="AF233" i="1"/>
  <c r="AF401" i="1"/>
  <c r="AF236" i="1"/>
  <c r="L401" i="1"/>
  <c r="AF234" i="1"/>
  <c r="AF399" i="1"/>
  <c r="AF241" i="1"/>
  <c r="AF232" i="1"/>
  <c r="AF396" i="1"/>
  <c r="AF394" i="1"/>
  <c r="AF402" i="1"/>
  <c r="AC237" i="1"/>
  <c r="Q402" i="1"/>
  <c r="Q232" i="1"/>
  <c r="AC398" i="1"/>
  <c r="Q233" i="1"/>
  <c r="Q395" i="1"/>
  <c r="Y61" i="1"/>
  <c r="Y474" i="1"/>
  <c r="AC394" i="1"/>
  <c r="Q236" i="1"/>
  <c r="Q479" i="1"/>
  <c r="AC393" i="1"/>
  <c r="Q401" i="1"/>
  <c r="Q234" i="1"/>
  <c r="Q398" i="1"/>
  <c r="Q240" i="1"/>
  <c r="Q231" i="1"/>
  <c r="Q399" i="1"/>
  <c r="V241" i="1"/>
  <c r="AC395" i="1"/>
  <c r="AC401" i="1"/>
  <c r="V399" i="1"/>
  <c r="AC234" i="1"/>
  <c r="AC236" i="1"/>
  <c r="AC241" i="1"/>
  <c r="AC479" i="1"/>
  <c r="AC233" i="1"/>
  <c r="AC232" i="1"/>
  <c r="AC231" i="1"/>
  <c r="AC396" i="1"/>
  <c r="AC402" i="1"/>
  <c r="AC399" i="1"/>
  <c r="Z474" i="1"/>
  <c r="V395" i="1"/>
  <c r="V234" i="1"/>
  <c r="V401" i="1"/>
  <c r="V240" i="1"/>
  <c r="V237" i="1"/>
  <c r="V393" i="1"/>
  <c r="V236" i="1"/>
  <c r="T245" i="1"/>
  <c r="T247" i="1" s="1"/>
  <c r="T249" i="1" s="1"/>
  <c r="V396" i="1"/>
  <c r="V232" i="1"/>
  <c r="L393" i="1"/>
  <c r="V402" i="1"/>
  <c r="V233" i="1"/>
  <c r="V394" i="1"/>
  <c r="L236" i="1"/>
  <c r="V231" i="1"/>
  <c r="V398" i="1"/>
  <c r="L394" i="1"/>
  <c r="L234" i="1"/>
  <c r="L396" i="1"/>
  <c r="L233" i="1"/>
  <c r="L241" i="1"/>
  <c r="L398" i="1"/>
  <c r="L231" i="1"/>
  <c r="L402" i="1"/>
  <c r="L232" i="1"/>
  <c r="L395" i="1"/>
  <c r="AD474" i="1"/>
  <c r="AD61" i="1"/>
  <c r="L479" i="1"/>
  <c r="L237" i="1"/>
  <c r="AD236" i="1"/>
  <c r="AD233" i="1"/>
  <c r="AD232" i="1"/>
  <c r="AD394" i="1"/>
  <c r="AD393" i="1"/>
  <c r="AD237" i="1"/>
  <c r="AD241" i="1"/>
  <c r="AD231" i="1"/>
  <c r="AD398" i="1"/>
  <c r="AD234" i="1"/>
  <c r="AD401" i="1"/>
  <c r="AD395" i="1"/>
  <c r="AD402" i="1"/>
  <c r="AD399" i="1"/>
  <c r="AD396" i="1"/>
  <c r="AD479" i="1"/>
  <c r="AD240" i="1"/>
  <c r="L474" i="1"/>
  <c r="T406" i="1"/>
  <c r="T408" i="1" s="1"/>
  <c r="T473" i="1" s="1"/>
  <c r="AB236" i="1"/>
  <c r="AB401" i="1"/>
  <c r="AB399" i="1"/>
  <c r="AB479" i="1"/>
  <c r="AB232" i="1"/>
  <c r="AB394" i="1"/>
  <c r="AB393" i="1"/>
  <c r="AB395" i="1"/>
  <c r="AB240" i="1"/>
  <c r="AB237" i="1"/>
  <c r="AB234" i="1"/>
  <c r="AB231" i="1"/>
  <c r="AB402" i="1"/>
  <c r="AB396" i="1"/>
  <c r="AB233" i="1"/>
  <c r="AB398" i="1"/>
  <c r="AB241" i="1"/>
  <c r="AB474" i="1"/>
  <c r="AB61" i="1"/>
  <c r="V61" i="1"/>
  <c r="Z396" i="1"/>
  <c r="Z402" i="1"/>
  <c r="Z395" i="1"/>
  <c r="Z231" i="1"/>
  <c r="Z236" i="1"/>
  <c r="Z232" i="1"/>
  <c r="Z479" i="1"/>
  <c r="Z399" i="1"/>
  <c r="Z237" i="1"/>
  <c r="Z401" i="1"/>
  <c r="Z241" i="1"/>
  <c r="Z398" i="1"/>
  <c r="Z233" i="1"/>
  <c r="Z393" i="1"/>
  <c r="Z394" i="1"/>
  <c r="Z240" i="1"/>
  <c r="Z234" i="1"/>
  <c r="AH474" i="1"/>
  <c r="AH61" i="1"/>
  <c r="P61" i="1"/>
  <c r="P474" i="1"/>
  <c r="P393" i="1"/>
  <c r="P233" i="1"/>
  <c r="P399" i="1"/>
  <c r="P394" i="1"/>
  <c r="P402" i="1"/>
  <c r="P236" i="1"/>
  <c r="P395" i="1"/>
  <c r="P398" i="1"/>
  <c r="P396" i="1"/>
  <c r="P234" i="1"/>
  <c r="P237" i="1"/>
  <c r="P479" i="1"/>
  <c r="P240" i="1"/>
  <c r="P401" i="1"/>
  <c r="P231" i="1"/>
  <c r="P241" i="1"/>
  <c r="P232" i="1"/>
  <c r="K226" i="1"/>
  <c r="J388" i="1"/>
  <c r="W61" i="1"/>
  <c r="W474" i="1"/>
  <c r="AK179" i="1"/>
  <c r="AL179" i="1" s="1"/>
  <c r="H196" i="1"/>
  <c r="I380" i="1"/>
  <c r="K388" i="1"/>
  <c r="W396" i="1"/>
  <c r="W479" i="1"/>
  <c r="W395" i="1"/>
  <c r="W398" i="1"/>
  <c r="W237" i="1"/>
  <c r="W399" i="1"/>
  <c r="W402" i="1"/>
  <c r="W241" i="1"/>
  <c r="W232" i="1"/>
  <c r="W393" i="1"/>
  <c r="W240" i="1"/>
  <c r="W231" i="1"/>
  <c r="W394" i="1"/>
  <c r="W401" i="1"/>
  <c r="W233" i="1"/>
  <c r="W234" i="1"/>
  <c r="W236" i="1"/>
  <c r="Q474" i="1"/>
  <c r="Q61" i="1"/>
  <c r="AK360" i="1"/>
  <c r="AL360" i="1" s="1"/>
  <c r="AA388" i="1"/>
  <c r="AA61" i="1"/>
  <c r="AA474" i="1"/>
  <c r="J226" i="1"/>
  <c r="I400" i="1" l="1"/>
  <c r="I382" i="1"/>
  <c r="I239" i="1"/>
  <c r="I439" i="1"/>
  <c r="F216" i="6" s="1"/>
  <c r="I219" i="1"/>
  <c r="I220" i="1"/>
  <c r="I435" i="1"/>
  <c r="AI291" i="6"/>
  <c r="I238" i="1"/>
  <c r="I49" i="1"/>
  <c r="F33" i="6" s="1"/>
  <c r="I377" i="1"/>
  <c r="I397" i="1"/>
  <c r="I437" i="1"/>
  <c r="I212" i="1"/>
  <c r="I441" i="1"/>
  <c r="F193" i="6" s="1"/>
  <c r="I381" i="1"/>
  <c r="I215" i="1"/>
  <c r="I375" i="1"/>
  <c r="I433" i="1"/>
  <c r="F170" i="6" s="1"/>
  <c r="I374" i="1"/>
  <c r="I216" i="1"/>
  <c r="I384" i="1"/>
  <c r="I379" i="1"/>
  <c r="I383" i="1"/>
  <c r="I214" i="1"/>
  <c r="I217" i="1"/>
  <c r="I376" i="1"/>
  <c r="I218" i="1"/>
  <c r="I213" i="1"/>
  <c r="I378" i="1"/>
  <c r="I221" i="1"/>
  <c r="I235" i="1"/>
  <c r="I73" i="1"/>
  <c r="AH422" i="6"/>
  <c r="AI422" i="6" s="1"/>
  <c r="O406" i="1"/>
  <c r="O408" i="1" s="1"/>
  <c r="O410" i="1" s="1"/>
  <c r="X245" i="1"/>
  <c r="X247" i="1" s="1"/>
  <c r="X445" i="1" s="1"/>
  <c r="O245" i="1"/>
  <c r="O247" i="1" s="1"/>
  <c r="O445" i="1" s="1"/>
  <c r="X406" i="1"/>
  <c r="X408" i="1" s="1"/>
  <c r="X60" i="1" s="1"/>
  <c r="X63" i="1" s="1"/>
  <c r="S245" i="1"/>
  <c r="S247" i="1" s="1"/>
  <c r="S445" i="1" s="1"/>
  <c r="S406" i="1"/>
  <c r="S408" i="1" s="1"/>
  <c r="S60" i="1" s="1"/>
  <c r="S63" i="1" s="1"/>
  <c r="H362" i="1"/>
  <c r="AK362" i="1" s="1"/>
  <c r="AL362" i="1" s="1"/>
  <c r="Y406" i="1"/>
  <c r="Y408" i="1" s="1"/>
  <c r="Y410" i="1" s="1"/>
  <c r="T445" i="1"/>
  <c r="AJ245" i="1"/>
  <c r="AJ247" i="1" s="1"/>
  <c r="AJ445" i="1" s="1"/>
  <c r="Y245" i="1"/>
  <c r="Y247" i="1" s="1"/>
  <c r="Y445" i="1" s="1"/>
  <c r="U245" i="1"/>
  <c r="U247" i="1" s="1"/>
  <c r="U249" i="1" s="1"/>
  <c r="U406" i="1"/>
  <c r="U408" i="1" s="1"/>
  <c r="U410" i="1" s="1"/>
  <c r="AF406" i="1"/>
  <c r="AF408" i="1" s="1"/>
  <c r="AF410" i="1" s="1"/>
  <c r="AJ406" i="1"/>
  <c r="AJ408" i="1" s="1"/>
  <c r="AJ65" i="1" s="1"/>
  <c r="AH406" i="1"/>
  <c r="AH408" i="1" s="1"/>
  <c r="AH65" i="1" s="1"/>
  <c r="AH245" i="1"/>
  <c r="AH247" i="1" s="1"/>
  <c r="AH445" i="1" s="1"/>
  <c r="M406" i="1"/>
  <c r="M408" i="1" s="1"/>
  <c r="M410" i="1" s="1"/>
  <c r="M245" i="1"/>
  <c r="M247" i="1" s="1"/>
  <c r="M445" i="1" s="1"/>
  <c r="T60" i="1"/>
  <c r="T63" i="1" s="1"/>
  <c r="AF245" i="1"/>
  <c r="AF247" i="1" s="1"/>
  <c r="AF249" i="1" s="1"/>
  <c r="Q245" i="1"/>
  <c r="Q247" i="1" s="1"/>
  <c r="Q445" i="1" s="1"/>
  <c r="H32" i="1"/>
  <c r="H422" i="1"/>
  <c r="H53" i="1"/>
  <c r="AK53" i="1" s="1"/>
  <c r="AL53" i="1" s="1"/>
  <c r="H71" i="1"/>
  <c r="AK71" i="1" s="1"/>
  <c r="AL71" i="1" s="1"/>
  <c r="H69" i="1"/>
  <c r="AK69" i="1" s="1"/>
  <c r="AL69" i="1" s="1"/>
  <c r="H472" i="1"/>
  <c r="AK472" i="1" s="1"/>
  <c r="AL472" i="1" s="1"/>
  <c r="F8" i="6"/>
  <c r="F13" i="6" s="1"/>
  <c r="F25" i="6" s="1"/>
  <c r="H54" i="1"/>
  <c r="AK54" i="1" s="1"/>
  <c r="AL54" i="1" s="1"/>
  <c r="AK21" i="1"/>
  <c r="AL21" i="1" s="1"/>
  <c r="H68" i="1"/>
  <c r="H145" i="1"/>
  <c r="AK145" i="1" s="1"/>
  <c r="AL145" i="1" s="1"/>
  <c r="AK130" i="1"/>
  <c r="AL130" i="1" s="1"/>
  <c r="AL43" i="1"/>
  <c r="AK47" i="1"/>
  <c r="AL47" i="1" s="1"/>
  <c r="T410" i="1"/>
  <c r="Q406" i="1"/>
  <c r="Q408" i="1" s="1"/>
  <c r="T65" i="1"/>
  <c r="V406" i="1"/>
  <c r="V408" i="1" s="1"/>
  <c r="V473" i="1" s="1"/>
  <c r="AC406" i="1"/>
  <c r="AC408" i="1" s="1"/>
  <c r="AC60" i="1" s="1"/>
  <c r="AC63" i="1" s="1"/>
  <c r="AC245" i="1"/>
  <c r="AC247" i="1" s="1"/>
  <c r="AC445" i="1" s="1"/>
  <c r="V245" i="1"/>
  <c r="V247" i="1" s="1"/>
  <c r="V445" i="1" s="1"/>
  <c r="L245" i="1"/>
  <c r="L247" i="1" s="1"/>
  <c r="L249" i="1" s="1"/>
  <c r="L406" i="1"/>
  <c r="L408" i="1" s="1"/>
  <c r="L473" i="1" s="1"/>
  <c r="AD245" i="1"/>
  <c r="AD247" i="1" s="1"/>
  <c r="AD406" i="1"/>
  <c r="AD408" i="1" s="1"/>
  <c r="Z406" i="1"/>
  <c r="Z408" i="1" s="1"/>
  <c r="Z473" i="1" s="1"/>
  <c r="AB406" i="1"/>
  <c r="AB408" i="1" s="1"/>
  <c r="AB65" i="1" s="1"/>
  <c r="Z245" i="1"/>
  <c r="Z247" i="1" s="1"/>
  <c r="AB245" i="1"/>
  <c r="AB247" i="1" s="1"/>
  <c r="P245" i="1"/>
  <c r="P247" i="1" s="1"/>
  <c r="P445" i="1" s="1"/>
  <c r="P406" i="1"/>
  <c r="P408" i="1" s="1"/>
  <c r="J241" i="1"/>
  <c r="J237" i="1"/>
  <c r="J394" i="1"/>
  <c r="J236" i="1"/>
  <c r="J398" i="1"/>
  <c r="J399" i="1"/>
  <c r="J231" i="1"/>
  <c r="J393" i="1"/>
  <c r="J402" i="1"/>
  <c r="J401" i="1"/>
  <c r="J232" i="1"/>
  <c r="J395" i="1"/>
  <c r="J240" i="1"/>
  <c r="J479" i="1"/>
  <c r="J234" i="1"/>
  <c r="J396" i="1"/>
  <c r="J233" i="1"/>
  <c r="T471" i="1"/>
  <c r="T52" i="1"/>
  <c r="T57" i="1" s="1"/>
  <c r="W245" i="1"/>
  <c r="W247" i="1" s="1"/>
  <c r="K474" i="1"/>
  <c r="K61" i="1"/>
  <c r="K237" i="1"/>
  <c r="K399" i="1"/>
  <c r="K479" i="1"/>
  <c r="K231" i="1"/>
  <c r="K394" i="1"/>
  <c r="K232" i="1"/>
  <c r="K401" i="1"/>
  <c r="K233" i="1"/>
  <c r="K241" i="1"/>
  <c r="K240" i="1"/>
  <c r="K396" i="1"/>
  <c r="K236" i="1"/>
  <c r="K393" i="1"/>
  <c r="K395" i="1"/>
  <c r="K402" i="1"/>
  <c r="K398" i="1"/>
  <c r="K234" i="1"/>
  <c r="AA234" i="1"/>
  <c r="AA232" i="1"/>
  <c r="AA398" i="1"/>
  <c r="AA237" i="1"/>
  <c r="AA241" i="1"/>
  <c r="AA233" i="1"/>
  <c r="AA240" i="1"/>
  <c r="AA396" i="1"/>
  <c r="AA402" i="1"/>
  <c r="AA393" i="1"/>
  <c r="AA479" i="1"/>
  <c r="AA395" i="1"/>
  <c r="AA231" i="1"/>
  <c r="AA401" i="1"/>
  <c r="AA399" i="1"/>
  <c r="AA236" i="1"/>
  <c r="AA394" i="1"/>
  <c r="W406" i="1"/>
  <c r="W408" i="1" s="1"/>
  <c r="H198" i="1"/>
  <c r="AK198" i="1" s="1"/>
  <c r="AL198" i="1" s="1"/>
  <c r="AK196" i="1"/>
  <c r="AL196" i="1" s="1"/>
  <c r="J474" i="1"/>
  <c r="J61" i="1"/>
  <c r="AH60" i="1"/>
  <c r="AH63" i="1" s="1"/>
  <c r="F82" i="6"/>
  <c r="L445" i="1" l="1"/>
  <c r="Y65" i="1"/>
  <c r="AH410" i="1"/>
  <c r="Q249" i="1"/>
  <c r="I443" i="1"/>
  <c r="I224" i="1"/>
  <c r="I226" i="1" s="1"/>
  <c r="I474" i="1" s="1"/>
  <c r="I386" i="1"/>
  <c r="I388" i="1" s="1"/>
  <c r="X249" i="1"/>
  <c r="X471" i="1" s="1"/>
  <c r="M60" i="1"/>
  <c r="M63" i="1" s="1"/>
  <c r="X65" i="1"/>
  <c r="F112" i="6"/>
  <c r="O65" i="1"/>
  <c r="X410" i="1"/>
  <c r="M473" i="1"/>
  <c r="F109" i="6"/>
  <c r="M65" i="1"/>
  <c r="F89" i="6"/>
  <c r="F467" i="6" s="1"/>
  <c r="AJ249" i="1"/>
  <c r="AJ471" i="1" s="1"/>
  <c r="Y60" i="1"/>
  <c r="Y63" i="1" s="1"/>
  <c r="S65" i="1"/>
  <c r="S473" i="1"/>
  <c r="S410" i="1"/>
  <c r="O473" i="1"/>
  <c r="O60" i="1"/>
  <c r="O63" i="1" s="1"/>
  <c r="S249" i="1"/>
  <c r="S471" i="1" s="1"/>
  <c r="M249" i="1"/>
  <c r="Y249" i="1"/>
  <c r="Y52" i="1" s="1"/>
  <c r="Y57" i="1" s="1"/>
  <c r="X473" i="1"/>
  <c r="AJ410" i="1"/>
  <c r="O249" i="1"/>
  <c r="O52" i="1" s="1"/>
  <c r="O57" i="1" s="1"/>
  <c r="AJ473" i="1"/>
  <c r="AJ60" i="1"/>
  <c r="AJ63" i="1" s="1"/>
  <c r="AF60" i="1"/>
  <c r="AF63" i="1" s="1"/>
  <c r="AH473" i="1"/>
  <c r="Y473" i="1"/>
  <c r="U60" i="1"/>
  <c r="U63" i="1" s="1"/>
  <c r="U65" i="1"/>
  <c r="V249" i="1"/>
  <c r="V471" i="1" s="1"/>
  <c r="AH249" i="1"/>
  <c r="AH471" i="1" s="1"/>
  <c r="F86" i="6"/>
  <c r="F466" i="6" s="1"/>
  <c r="U445" i="1"/>
  <c r="T83" i="1"/>
  <c r="AF65" i="1"/>
  <c r="AF473" i="1"/>
  <c r="AF445" i="1"/>
  <c r="U473" i="1"/>
  <c r="H200" i="1"/>
  <c r="AK200" i="1" s="1"/>
  <c r="AL200" i="1" s="1"/>
  <c r="H73" i="1"/>
  <c r="AK73" i="1" s="1"/>
  <c r="AL73" i="1" s="1"/>
  <c r="AK68" i="1"/>
  <c r="AL68" i="1" s="1"/>
  <c r="H424" i="1"/>
  <c r="AK422" i="1"/>
  <c r="AL422" i="1" s="1"/>
  <c r="H37" i="1"/>
  <c r="AK32" i="1"/>
  <c r="AL32" i="1" s="1"/>
  <c r="Z410" i="1"/>
  <c r="V60" i="1"/>
  <c r="V63" i="1" s="1"/>
  <c r="AC65" i="1"/>
  <c r="V410" i="1"/>
  <c r="AC410" i="1"/>
  <c r="V65" i="1"/>
  <c r="AC473" i="1"/>
  <c r="Z65" i="1"/>
  <c r="Z60" i="1"/>
  <c r="Z63" i="1" s="1"/>
  <c r="AC249" i="1"/>
  <c r="Q473" i="1"/>
  <c r="Q410" i="1"/>
  <c r="Q65" i="1"/>
  <c r="Q60" i="1"/>
  <c r="Q63" i="1" s="1"/>
  <c r="P249" i="1"/>
  <c r="P471" i="1" s="1"/>
  <c r="L410" i="1"/>
  <c r="L60" i="1"/>
  <c r="L63" i="1" s="1"/>
  <c r="AB473" i="1"/>
  <c r="AB410" i="1"/>
  <c r="F105" i="6"/>
  <c r="L65" i="1"/>
  <c r="AB60" i="1"/>
  <c r="AB63" i="1" s="1"/>
  <c r="AD65" i="1"/>
  <c r="AD60" i="1"/>
  <c r="AD63" i="1" s="1"/>
  <c r="AD473" i="1"/>
  <c r="AD410" i="1"/>
  <c r="AD249" i="1"/>
  <c r="AD445" i="1"/>
  <c r="F92" i="6"/>
  <c r="F468" i="6" s="1"/>
  <c r="AF471" i="1"/>
  <c r="AF52" i="1"/>
  <c r="AF57" i="1" s="1"/>
  <c r="Z445" i="1"/>
  <c r="Z249" i="1"/>
  <c r="AB249" i="1"/>
  <c r="AB445" i="1"/>
  <c r="S52" i="1"/>
  <c r="S57" i="1" s="1"/>
  <c r="M471" i="1"/>
  <c r="M52" i="1"/>
  <c r="M57" i="1" s="1"/>
  <c r="J245" i="1"/>
  <c r="J247" i="1" s="1"/>
  <c r="J445" i="1" s="1"/>
  <c r="U471" i="1"/>
  <c r="U52" i="1"/>
  <c r="U57" i="1" s="1"/>
  <c r="P65" i="1"/>
  <c r="P410" i="1"/>
  <c r="F115" i="6"/>
  <c r="P60" i="1"/>
  <c r="P63" i="1" s="1"/>
  <c r="P473" i="1"/>
  <c r="F465" i="6"/>
  <c r="K406" i="1"/>
  <c r="K408" i="1" s="1"/>
  <c r="I61" i="1"/>
  <c r="W473" i="1"/>
  <c r="W410" i="1"/>
  <c r="W65" i="1"/>
  <c r="W60" i="1"/>
  <c r="W63" i="1" s="1"/>
  <c r="AA406" i="1"/>
  <c r="AA408" i="1" s="1"/>
  <c r="K245" i="1"/>
  <c r="K247" i="1" s="1"/>
  <c r="J406" i="1"/>
  <c r="J408" i="1" s="1"/>
  <c r="AA245" i="1"/>
  <c r="AA247" i="1" s="1"/>
  <c r="L52" i="1"/>
  <c r="L57" i="1" s="1"/>
  <c r="L471" i="1"/>
  <c r="W249" i="1"/>
  <c r="W445" i="1"/>
  <c r="X52" i="1" l="1"/>
  <c r="X57" i="1" s="1"/>
  <c r="X83" i="1" s="1"/>
  <c r="Q52" i="1"/>
  <c r="Q57" i="1" s="1"/>
  <c r="Q83" i="1" s="1"/>
  <c r="Q471" i="1"/>
  <c r="Y83" i="1"/>
  <c r="AJ52" i="1"/>
  <c r="AJ57" i="1" s="1"/>
  <c r="AJ83" i="1" s="1"/>
  <c r="Y471" i="1"/>
  <c r="S83" i="1"/>
  <c r="M83" i="1"/>
  <c r="F63" i="6" s="1"/>
  <c r="F477" i="6" s="1"/>
  <c r="O83" i="1"/>
  <c r="F66" i="6" s="1"/>
  <c r="F478" i="6" s="1"/>
  <c r="AH52" i="1"/>
  <c r="AH57" i="1" s="1"/>
  <c r="AH83" i="1" s="1"/>
  <c r="V52" i="1"/>
  <c r="V57" i="1" s="1"/>
  <c r="V83" i="1" s="1"/>
  <c r="U83" i="1"/>
  <c r="O471" i="1"/>
  <c r="F80" i="6"/>
  <c r="F443" i="6" s="1"/>
  <c r="AF83" i="1"/>
  <c r="J249" i="1"/>
  <c r="J471" i="1" s="1"/>
  <c r="F124" i="6"/>
  <c r="F129" i="6" s="1"/>
  <c r="F141" i="6" s="1"/>
  <c r="AK424" i="1"/>
  <c r="AL424" i="1" s="1"/>
  <c r="H213" i="1"/>
  <c r="AK213" i="1" s="1"/>
  <c r="AL213" i="1" s="1"/>
  <c r="H397" i="1"/>
  <c r="AK397" i="1" s="1"/>
  <c r="AL397" i="1" s="1"/>
  <c r="H49" i="1"/>
  <c r="AK37" i="1"/>
  <c r="AL37" i="1" s="1"/>
  <c r="H215" i="1"/>
  <c r="AK215" i="1" s="1"/>
  <c r="AL215" i="1" s="1"/>
  <c r="H380" i="1"/>
  <c r="AK380" i="1" s="1"/>
  <c r="AL380" i="1" s="1"/>
  <c r="H219" i="1"/>
  <c r="AK219" i="1" s="1"/>
  <c r="AL219" i="1" s="1"/>
  <c r="H433" i="1"/>
  <c r="H221" i="1"/>
  <c r="AK221" i="1" s="1"/>
  <c r="AL221" i="1" s="1"/>
  <c r="H383" i="1"/>
  <c r="AK383" i="1" s="1"/>
  <c r="AL383" i="1" s="1"/>
  <c r="H216" i="1"/>
  <c r="AK216" i="1" s="1"/>
  <c r="AL216" i="1" s="1"/>
  <c r="H382" i="1"/>
  <c r="AK382" i="1" s="1"/>
  <c r="AL382" i="1" s="1"/>
  <c r="H376" i="1"/>
  <c r="AK376" i="1" s="1"/>
  <c r="AL376" i="1" s="1"/>
  <c r="H214" i="1"/>
  <c r="AK214" i="1" s="1"/>
  <c r="AL214" i="1" s="1"/>
  <c r="H238" i="1"/>
  <c r="AK238" i="1" s="1"/>
  <c r="AL238" i="1" s="1"/>
  <c r="H212" i="1"/>
  <c r="H435" i="1"/>
  <c r="AK435" i="1" s="1"/>
  <c r="AL435" i="1" s="1"/>
  <c r="H384" i="1"/>
  <c r="AK384" i="1" s="1"/>
  <c r="AL384" i="1" s="1"/>
  <c r="H235" i="1"/>
  <c r="AK235" i="1" s="1"/>
  <c r="AL235" i="1" s="1"/>
  <c r="H375" i="1"/>
  <c r="AK375" i="1" s="1"/>
  <c r="AL375" i="1" s="1"/>
  <c r="H217" i="1"/>
  <c r="AK217" i="1" s="1"/>
  <c r="AL217" i="1" s="1"/>
  <c r="H222" i="1"/>
  <c r="AK222" i="1" s="1"/>
  <c r="AL222" i="1" s="1"/>
  <c r="H381" i="1"/>
  <c r="AK381" i="1" s="1"/>
  <c r="AL381" i="1" s="1"/>
  <c r="H377" i="1"/>
  <c r="AK377" i="1" s="1"/>
  <c r="AL377" i="1" s="1"/>
  <c r="H374" i="1"/>
  <c r="H437" i="1"/>
  <c r="AK437" i="1" s="1"/>
  <c r="AL437" i="1" s="1"/>
  <c r="H441" i="1"/>
  <c r="H239" i="1"/>
  <c r="AK239" i="1" s="1"/>
  <c r="AL239" i="1" s="1"/>
  <c r="H218" i="1"/>
  <c r="AK218" i="1" s="1"/>
  <c r="AL218" i="1" s="1"/>
  <c r="H378" i="1"/>
  <c r="AK378" i="1" s="1"/>
  <c r="AL378" i="1" s="1"/>
  <c r="H400" i="1"/>
  <c r="AK400" i="1" s="1"/>
  <c r="AL400" i="1" s="1"/>
  <c r="H379" i="1"/>
  <c r="AK379" i="1" s="1"/>
  <c r="AL379" i="1" s="1"/>
  <c r="H220" i="1"/>
  <c r="AK220" i="1" s="1"/>
  <c r="AL220" i="1" s="1"/>
  <c r="H439" i="1"/>
  <c r="P52" i="1"/>
  <c r="P57" i="1" s="1"/>
  <c r="P83" i="1" s="1"/>
  <c r="F69" i="6" s="1"/>
  <c r="L83" i="1"/>
  <c r="F59" i="6" s="1"/>
  <c r="F476" i="6" s="1"/>
  <c r="AC52" i="1"/>
  <c r="AC57" i="1" s="1"/>
  <c r="AC83" i="1" s="1"/>
  <c r="AC471" i="1"/>
  <c r="AD52" i="1"/>
  <c r="AD57" i="1" s="1"/>
  <c r="AD83" i="1" s="1"/>
  <c r="AD471" i="1"/>
  <c r="AB471" i="1"/>
  <c r="AB52" i="1"/>
  <c r="AB57" i="1" s="1"/>
  <c r="AB83" i="1" s="1"/>
  <c r="Z52" i="1"/>
  <c r="Z57" i="1" s="1"/>
  <c r="Z83" i="1" s="1"/>
  <c r="Z471" i="1"/>
  <c r="I393" i="1"/>
  <c r="I237" i="1"/>
  <c r="I398" i="1"/>
  <c r="I402" i="1"/>
  <c r="I236" i="1"/>
  <c r="I233" i="1"/>
  <c r="I232" i="1"/>
  <c r="I234" i="1"/>
  <c r="I399" i="1"/>
  <c r="I231" i="1"/>
  <c r="I401" i="1"/>
  <c r="I394" i="1"/>
  <c r="I395" i="1"/>
  <c r="I240" i="1"/>
  <c r="I396" i="1"/>
  <c r="I241" i="1"/>
  <c r="I479" i="1"/>
  <c r="F103" i="6"/>
  <c r="J60" i="1"/>
  <c r="J63" i="1" s="1"/>
  <c r="J65" i="1"/>
  <c r="J410" i="1"/>
  <c r="J473" i="1"/>
  <c r="AA249" i="1"/>
  <c r="AA445" i="1"/>
  <c r="K445" i="1"/>
  <c r="K249" i="1"/>
  <c r="F81" i="6"/>
  <c r="AA410" i="1"/>
  <c r="AA60" i="1"/>
  <c r="AA63" i="1" s="1"/>
  <c r="AA65" i="1"/>
  <c r="AA473" i="1"/>
  <c r="K473" i="1"/>
  <c r="F104" i="6"/>
  <c r="K410" i="1"/>
  <c r="K65" i="1"/>
  <c r="K60" i="1"/>
  <c r="K63" i="1" s="1"/>
  <c r="W471" i="1"/>
  <c r="W52" i="1"/>
  <c r="W57" i="1" s="1"/>
  <c r="W83" i="1" s="1"/>
  <c r="J52" i="1" l="1"/>
  <c r="J57" i="1" s="1"/>
  <c r="J83" i="1" s="1"/>
  <c r="F57" i="6" s="1"/>
  <c r="F474" i="6" s="1"/>
  <c r="F463" i="6"/>
  <c r="F192" i="6"/>
  <c r="F197" i="6" s="1"/>
  <c r="F209" i="6" s="1"/>
  <c r="AK441" i="1"/>
  <c r="AL441" i="1" s="1"/>
  <c r="F32" i="6"/>
  <c r="F37" i="6" s="1"/>
  <c r="F49" i="6" s="1"/>
  <c r="AK49" i="1"/>
  <c r="AL49" i="1" s="1"/>
  <c r="AK439" i="1"/>
  <c r="AL439" i="1" s="1"/>
  <c r="F215" i="6"/>
  <c r="F220" i="6" s="1"/>
  <c r="F232" i="6" s="1"/>
  <c r="AK374" i="1"/>
  <c r="AL374" i="1" s="1"/>
  <c r="H386" i="1"/>
  <c r="AK212" i="1"/>
  <c r="AL212" i="1" s="1"/>
  <c r="H224" i="1"/>
  <c r="AK433" i="1"/>
  <c r="AL433" i="1" s="1"/>
  <c r="H443" i="1"/>
  <c r="AK443" i="1" s="1"/>
  <c r="AL443" i="1" s="1"/>
  <c r="F169" i="6"/>
  <c r="F174" i="6" s="1"/>
  <c r="F186" i="6" s="1"/>
  <c r="F479" i="6"/>
  <c r="I245" i="1"/>
  <c r="I247" i="1" s="1"/>
  <c r="I445" i="1" s="1"/>
  <c r="AH443" i="6"/>
  <c r="AI443" i="6" s="1"/>
  <c r="F445" i="6"/>
  <c r="F254" i="6"/>
  <c r="I406" i="1"/>
  <c r="I408" i="1" s="1"/>
  <c r="K471" i="1"/>
  <c r="K52" i="1"/>
  <c r="K57" i="1" s="1"/>
  <c r="K83" i="1" s="1"/>
  <c r="F58" i="6" s="1"/>
  <c r="F450" i="6"/>
  <c r="F464" i="6"/>
  <c r="AA52" i="1"/>
  <c r="AA57" i="1" s="1"/>
  <c r="AA83" i="1" s="1"/>
  <c r="AA471" i="1"/>
  <c r="AK386" i="1" l="1"/>
  <c r="AL386" i="1" s="1"/>
  <c r="H388" i="1"/>
  <c r="H226" i="1"/>
  <c r="AK224" i="1"/>
  <c r="F79" i="6"/>
  <c r="F462" i="6" s="1"/>
  <c r="I249" i="1"/>
  <c r="I471" i="1" s="1"/>
  <c r="F475" i="6"/>
  <c r="F102" i="6"/>
  <c r="I60" i="1"/>
  <c r="I63" i="1" s="1"/>
  <c r="I473" i="1"/>
  <c r="I65" i="1"/>
  <c r="I410" i="1"/>
  <c r="F446" i="6"/>
  <c r="F257" i="6"/>
  <c r="F301" i="6"/>
  <c r="AH450" i="6"/>
  <c r="AI450" i="6" s="1"/>
  <c r="F452" i="6"/>
  <c r="F256" i="6"/>
  <c r="I52" i="1" l="1"/>
  <c r="I57" i="1" s="1"/>
  <c r="I83" i="1" s="1"/>
  <c r="F56" i="6" s="1"/>
  <c r="AL224" i="1"/>
  <c r="AK226" i="1"/>
  <c r="AL226" i="1" s="1"/>
  <c r="H474" i="1"/>
  <c r="AK474" i="1" s="1"/>
  <c r="AL474" i="1" s="1"/>
  <c r="H61" i="1"/>
  <c r="AK61" i="1" s="1"/>
  <c r="AL61" i="1" s="1"/>
  <c r="H231" i="1"/>
  <c r="H395" i="1"/>
  <c r="AK395" i="1" s="1"/>
  <c r="AL395" i="1" s="1"/>
  <c r="H241" i="1"/>
  <c r="AK241" i="1" s="1"/>
  <c r="AL241" i="1" s="1"/>
  <c r="H402" i="1"/>
  <c r="AK402" i="1" s="1"/>
  <c r="AL402" i="1" s="1"/>
  <c r="H240" i="1"/>
  <c r="AK240" i="1" s="1"/>
  <c r="AL240" i="1" s="1"/>
  <c r="H479" i="1"/>
  <c r="AK479" i="1" s="1"/>
  <c r="AL479" i="1" s="1"/>
  <c r="H394" i="1"/>
  <c r="AK394" i="1" s="1"/>
  <c r="AL394" i="1" s="1"/>
  <c r="H401" i="1"/>
  <c r="AK401" i="1" s="1"/>
  <c r="AL401" i="1" s="1"/>
  <c r="H232" i="1"/>
  <c r="AK232" i="1" s="1"/>
  <c r="AL232" i="1" s="1"/>
  <c r="H399" i="1"/>
  <c r="AK399" i="1" s="1"/>
  <c r="AL399" i="1" s="1"/>
  <c r="H233" i="1"/>
  <c r="AK233" i="1" s="1"/>
  <c r="AL233" i="1" s="1"/>
  <c r="H398" i="1"/>
  <c r="AK398" i="1" s="1"/>
  <c r="AL398" i="1" s="1"/>
  <c r="H393" i="1"/>
  <c r="H396" i="1"/>
  <c r="AK396" i="1" s="1"/>
  <c r="AL396" i="1" s="1"/>
  <c r="H237" i="1"/>
  <c r="AK237" i="1" s="1"/>
  <c r="AL237" i="1" s="1"/>
  <c r="AK388" i="1"/>
  <c r="AL388" i="1" s="1"/>
  <c r="H234" i="1"/>
  <c r="AK234" i="1" s="1"/>
  <c r="AL234" i="1" s="1"/>
  <c r="H236" i="1"/>
  <c r="AK236" i="1" s="1"/>
  <c r="AL236" i="1" s="1"/>
  <c r="F429" i="6"/>
  <c r="F431" i="6" s="1"/>
  <c r="F303" i="6"/>
  <c r="F453" i="6"/>
  <c r="F304" i="6"/>
  <c r="G7" i="11" a="1"/>
  <c r="G7" i="11" l="1"/>
  <c r="I7" i="11" s="1"/>
  <c r="J7" i="11" s="1"/>
  <c r="H245" i="1"/>
  <c r="AK231" i="1"/>
  <c r="AL231" i="1" s="1"/>
  <c r="H406" i="1"/>
  <c r="AK393" i="1"/>
  <c r="AL393" i="1" s="1"/>
  <c r="AH429" i="6"/>
  <c r="AI429" i="6" s="1"/>
  <c r="F432" i="6"/>
  <c r="H408" i="1" l="1"/>
  <c r="AK406" i="1"/>
  <c r="AL406" i="1" s="1"/>
  <c r="AK245" i="1"/>
  <c r="AL245" i="1" s="1"/>
  <c r="H247" i="1"/>
  <c r="H249" i="1" l="1"/>
  <c r="F78" i="6"/>
  <c r="AK247" i="1"/>
  <c r="AL247" i="1" s="1"/>
  <c r="H445" i="1"/>
  <c r="AK445" i="1" s="1"/>
  <c r="AL445" i="1" s="1"/>
  <c r="H473" i="1"/>
  <c r="AK473" i="1" s="1"/>
  <c r="AL473" i="1" s="1"/>
  <c r="F101" i="6"/>
  <c r="F106" i="6" s="1"/>
  <c r="F118" i="6" s="1"/>
  <c r="H60" i="1"/>
  <c r="H65" i="1"/>
  <c r="AK65" i="1" s="1"/>
  <c r="AL65" i="1" s="1"/>
  <c r="AK408" i="1"/>
  <c r="AL408" i="1" s="1"/>
  <c r="H410" i="1"/>
  <c r="AK410" i="1" s="1"/>
  <c r="AL410" i="1" s="1"/>
  <c r="H63" i="1" l="1"/>
  <c r="AK63" i="1" s="1"/>
  <c r="AL63" i="1" s="1"/>
  <c r="AK60" i="1"/>
  <c r="AL60" i="1" s="1"/>
  <c r="F461" i="6"/>
  <c r="F469" i="6" s="1"/>
  <c r="F83" i="6"/>
  <c r="F95" i="6" s="1"/>
  <c r="F253" i="6" s="1"/>
  <c r="AK249" i="1"/>
  <c r="AL249" i="1" s="1"/>
  <c r="H52" i="1"/>
  <c r="H471" i="1"/>
  <c r="AK471" i="1" s="1"/>
  <c r="AL471" i="1" s="1"/>
  <c r="H57" i="1" l="1"/>
  <c r="AK52" i="1"/>
  <c r="AL52" i="1" s="1"/>
  <c r="F300" i="6"/>
  <c r="F259" i="6"/>
  <c r="AK57" i="1" l="1"/>
  <c r="AL57" i="1" s="1"/>
  <c r="H83" i="1"/>
  <c r="F261" i="6"/>
  <c r="F341" i="6"/>
  <c r="AK83" i="1" l="1"/>
  <c r="AL83" i="1" s="1"/>
  <c r="F55" i="6"/>
  <c r="F384" i="6"/>
  <c r="F343" i="6"/>
  <c r="F271" i="6"/>
  <c r="F60" i="6" l="1"/>
  <c r="F72" i="6" s="1"/>
  <c r="F273" i="6" s="1"/>
  <c r="F472" i="6"/>
  <c r="F457" i="6"/>
  <c r="F473" i="6"/>
  <c r="F456" i="6"/>
  <c r="F353" i="6"/>
  <c r="F387" i="6"/>
  <c r="F480" i="6" l="1"/>
  <c r="F355" i="6"/>
  <c r="F275" i="6"/>
  <c r="F359" i="6" l="1"/>
  <c r="F389" i="6" l="1"/>
  <c r="F362" i="6"/>
  <c r="F391" i="6" l="1"/>
  <c r="S65" i="17" l="1"/>
  <c r="S67" i="17" s="1"/>
  <c r="M288" i="6"/>
  <c r="K288" i="6" l="1"/>
  <c r="I288" i="6" l="1"/>
  <c r="J288" i="6" l="1"/>
  <c r="L288" i="6" l="1"/>
  <c r="H288" i="6"/>
  <c r="N169" i="6" l="1"/>
  <c r="N307" i="6"/>
  <c r="S307" i="6"/>
  <c r="N215" i="6"/>
  <c r="N238" i="6"/>
  <c r="Y307" i="6" l="1"/>
  <c r="AE307" i="6"/>
  <c r="S238" i="6"/>
  <c r="U307" i="6"/>
  <c r="W307" i="6"/>
  <c r="R307" i="6" l="1"/>
  <c r="AC307" i="6"/>
  <c r="V238" i="6" l="1"/>
  <c r="AD238" i="6"/>
  <c r="T238" i="6"/>
  <c r="AA238" i="6"/>
  <c r="R238" i="6"/>
  <c r="U238" i="6"/>
  <c r="Q307" i="6"/>
  <c r="X238" i="6" l="1"/>
  <c r="AC238" i="6" l="1"/>
  <c r="AB238" i="6"/>
  <c r="AE238" i="6"/>
  <c r="Q238" i="6"/>
  <c r="AD307" i="6"/>
  <c r="N124" i="6" l="1"/>
  <c r="W238" i="6"/>
  <c r="AF238" i="6"/>
  <c r="Z238" i="6"/>
  <c r="O238" i="6"/>
  <c r="Y238" i="6"/>
  <c r="N101" i="6"/>
  <c r="AG238" i="6" l="1"/>
  <c r="P238" i="6"/>
  <c r="AA307" i="6"/>
  <c r="AB307" i="6"/>
  <c r="N192" i="6"/>
  <c r="N78" i="6"/>
  <c r="N32" i="6"/>
  <c r="Z307" i="6" l="1"/>
  <c r="N147" i="6"/>
  <c r="O307" i="6"/>
  <c r="N8" i="6"/>
  <c r="N461" i="6" l="1"/>
  <c r="AG307" i="6" l="1"/>
  <c r="P307" i="6"/>
  <c r="X307" i="6"/>
  <c r="T307" i="6"/>
  <c r="V307" i="6"/>
  <c r="AF307" i="6"/>
  <c r="AD55" i="6"/>
  <c r="AD472" i="6" s="1"/>
  <c r="Q55" i="6"/>
  <c r="Q472" i="6" s="1"/>
  <c r="V55" i="6"/>
  <c r="V472" i="6" s="1"/>
  <c r="N55" i="6"/>
  <c r="N472" i="6" s="1"/>
  <c r="AB55" i="6"/>
  <c r="AB472" i="6" s="1"/>
  <c r="AA55" i="6"/>
  <c r="AA472" i="6" s="1"/>
  <c r="O55" i="6"/>
  <c r="O472" i="6" s="1"/>
  <c r="H55" i="6"/>
  <c r="P55" i="6"/>
  <c r="P472" i="6" s="1"/>
  <c r="T55" i="6"/>
  <c r="T472" i="6" s="1"/>
  <c r="W55" i="6"/>
  <c r="W472" i="6" s="1"/>
  <c r="Y55" i="6"/>
  <c r="Y472" i="6" s="1"/>
  <c r="Z55" i="6"/>
  <c r="Z472" i="6" s="1"/>
  <c r="AG55" i="6"/>
  <c r="AG472" i="6" s="1"/>
  <c r="AF55" i="6"/>
  <c r="AF472" i="6" s="1"/>
  <c r="S55" i="6"/>
  <c r="S472" i="6" s="1"/>
  <c r="M55" i="6"/>
  <c r="AE55" i="6"/>
  <c r="X55" i="6"/>
  <c r="K55" i="6"/>
  <c r="K472" i="6" s="1"/>
  <c r="J55" i="6"/>
  <c r="L55" i="6"/>
  <c r="AC55" i="6"/>
  <c r="U55" i="6"/>
  <c r="I55" i="6"/>
  <c r="G55" i="6"/>
  <c r="R55" i="6"/>
  <c r="R472" i="6" s="1"/>
  <c r="K56" i="6"/>
  <c r="K473" i="6" s="1"/>
  <c r="H472" i="6" l="1"/>
  <c r="G472" i="6"/>
  <c r="AH55" i="6"/>
  <c r="AI55" i="6" s="1"/>
  <c r="U472" i="6"/>
  <c r="I472" i="6"/>
  <c r="AC472" i="6"/>
  <c r="K456" i="6"/>
  <c r="AE472" i="6"/>
  <c r="L472" i="6"/>
  <c r="J472" i="6"/>
  <c r="X472" i="6"/>
  <c r="M472" i="6"/>
  <c r="L56" i="6"/>
  <c r="H56" i="6"/>
  <c r="H456" i="6" s="1"/>
  <c r="H356" i="6" s="1"/>
  <c r="I56" i="6"/>
  <c r="I473" i="6" s="1"/>
  <c r="M56" i="6"/>
  <c r="J56" i="6"/>
  <c r="J473" i="6" s="1"/>
  <c r="M456" i="6" l="1"/>
  <c r="L473" i="6"/>
  <c r="I456" i="6"/>
  <c r="I356" i="6" s="1"/>
  <c r="L456" i="6"/>
  <c r="L356" i="6" s="1"/>
  <c r="M473" i="6"/>
  <c r="J456" i="6"/>
  <c r="J356" i="6" s="1"/>
  <c r="AH472" i="6"/>
  <c r="H473" i="6"/>
  <c r="K356" i="6"/>
  <c r="K335" i="6"/>
  <c r="M356" i="6" l="1"/>
  <c r="M335" i="6"/>
  <c r="AI472" i="6"/>
  <c r="T78" i="6" l="1"/>
  <c r="R78" i="6"/>
  <c r="T124" i="6"/>
  <c r="V78" i="6"/>
  <c r="O124" i="6"/>
  <c r="AF124" i="6"/>
  <c r="R124" i="6"/>
  <c r="AC78" i="6"/>
  <c r="Z124" i="6"/>
  <c r="W78" i="6"/>
  <c r="Q78" i="6"/>
  <c r="S124" i="6"/>
  <c r="AG124" i="6"/>
  <c r="X124" i="6"/>
  <c r="AC124" i="6"/>
  <c r="AD78" i="6"/>
  <c r="AE78" i="6"/>
  <c r="W124" i="6"/>
  <c r="U124" i="6"/>
  <c r="P78" i="6"/>
  <c r="AD124" i="6"/>
  <c r="AA78" i="6"/>
  <c r="Z78" i="6"/>
  <c r="AD101" i="6"/>
  <c r="P101" i="6"/>
  <c r="I101" i="6"/>
  <c r="L101" i="6"/>
  <c r="AB124" i="6"/>
  <c r="P124" i="6"/>
  <c r="AB78" i="6"/>
  <c r="U78" i="6"/>
  <c r="Y78" i="6"/>
  <c r="AC101" i="6"/>
  <c r="AG78" i="6"/>
  <c r="V124" i="6"/>
  <c r="Q124" i="6"/>
  <c r="K101" i="6"/>
  <c r="W101" i="6"/>
  <c r="V101" i="6"/>
  <c r="Q101" i="6"/>
  <c r="AF101" i="6"/>
  <c r="T101" i="6"/>
  <c r="S101" i="6"/>
  <c r="O101" i="6"/>
  <c r="AE101" i="6"/>
  <c r="U101" i="6"/>
  <c r="X101" i="6"/>
  <c r="M101" i="6"/>
  <c r="AB101" i="6"/>
  <c r="R101" i="6"/>
  <c r="Z101" i="6"/>
  <c r="J101" i="6"/>
  <c r="H101" i="6"/>
  <c r="AG101" i="6"/>
  <c r="AA101" i="6"/>
  <c r="Y101" i="6"/>
  <c r="AE124" i="6"/>
  <c r="AA124" i="6"/>
  <c r="Y124" i="6"/>
  <c r="X78" i="6"/>
  <c r="J78" i="6"/>
  <c r="O78" i="6"/>
  <c r="S78" i="6"/>
  <c r="AF78" i="6"/>
  <c r="H124" i="6"/>
  <c r="H78" i="6"/>
  <c r="H215" i="6"/>
  <c r="G101" i="6"/>
  <c r="M124" i="6"/>
  <c r="J124" i="6"/>
  <c r="K124" i="6"/>
  <c r="J215" i="6"/>
  <c r="I124" i="6"/>
  <c r="L124" i="6"/>
  <c r="M78" i="6"/>
  <c r="I78" i="6"/>
  <c r="I215" i="6"/>
  <c r="L78" i="6"/>
  <c r="L215" i="6"/>
  <c r="V56" i="6"/>
  <c r="V475" i="6" s="1"/>
  <c r="J8" i="6"/>
  <c r="T56" i="6"/>
  <c r="T473" i="6" s="1"/>
  <c r="K78" i="6"/>
  <c r="K215" i="6"/>
  <c r="AG431" i="6"/>
  <c r="O56" i="6"/>
  <c r="O475" i="6" s="1"/>
  <c r="Z431" i="6"/>
  <c r="Z449" i="6" s="1"/>
  <c r="Z452" i="6" s="1"/>
  <c r="Z453" i="6" s="1"/>
  <c r="Z454" i="6" s="1"/>
  <c r="Z81" i="6" s="1"/>
  <c r="Q56" i="6"/>
  <c r="Q473" i="6" s="1"/>
  <c r="R56" i="6"/>
  <c r="R473" i="6" s="1"/>
  <c r="N431" i="6"/>
  <c r="N432" i="6" s="1"/>
  <c r="W56" i="6"/>
  <c r="W475" i="6" s="1"/>
  <c r="P431" i="6"/>
  <c r="P432" i="6" s="1"/>
  <c r="P433" i="6" s="1"/>
  <c r="S431" i="6"/>
  <c r="S449" i="6" s="1"/>
  <c r="S452" i="6" s="1"/>
  <c r="S453" i="6" s="1"/>
  <c r="S454" i="6" s="1"/>
  <c r="S81" i="6" s="1"/>
  <c r="AA56" i="6"/>
  <c r="AA473" i="6" s="1"/>
  <c r="G431" i="6"/>
  <c r="O431" i="6"/>
  <c r="O449" i="6" s="1"/>
  <c r="O452" i="6" s="1"/>
  <c r="O453" i="6" s="1"/>
  <c r="O454" i="6" s="1"/>
  <c r="O81" i="6" s="1"/>
  <c r="U56" i="6"/>
  <c r="U475" i="6" s="1"/>
  <c r="X431" i="6"/>
  <c r="X449" i="6" s="1"/>
  <c r="X452" i="6" s="1"/>
  <c r="X453" i="6" s="1"/>
  <c r="X454" i="6" s="1"/>
  <c r="X81" i="6" s="1"/>
  <c r="AB431" i="6"/>
  <c r="AB449" i="6" s="1"/>
  <c r="AB452" i="6" s="1"/>
  <c r="AB453" i="6" s="1"/>
  <c r="AB454" i="6" s="1"/>
  <c r="AB81" i="6" s="1"/>
  <c r="W431" i="6"/>
  <c r="W449" i="6" s="1"/>
  <c r="W452" i="6" s="1"/>
  <c r="W453" i="6" s="1"/>
  <c r="W454" i="6" s="1"/>
  <c r="W81" i="6" s="1"/>
  <c r="AF431" i="6"/>
  <c r="AF432" i="6" s="1"/>
  <c r="AE431" i="6"/>
  <c r="AE449" i="6" s="1"/>
  <c r="AE452" i="6" s="1"/>
  <c r="AE453" i="6" s="1"/>
  <c r="AE454" i="6" s="1"/>
  <c r="AE81" i="6" s="1"/>
  <c r="R431" i="6"/>
  <c r="S56" i="6"/>
  <c r="S475" i="6" s="1"/>
  <c r="Q431" i="6"/>
  <c r="Q449" i="6" s="1"/>
  <c r="Q452" i="6" s="1"/>
  <c r="Q453" i="6" s="1"/>
  <c r="Q454" i="6" s="1"/>
  <c r="Q81" i="6" s="1"/>
  <c r="Z56" i="6"/>
  <c r="Y431" i="6"/>
  <c r="Y449" i="6" s="1"/>
  <c r="Y452" i="6" s="1"/>
  <c r="Y453" i="6" s="1"/>
  <c r="Y454" i="6" s="1"/>
  <c r="Y81" i="6" s="1"/>
  <c r="V431" i="6"/>
  <c r="V449" i="6" s="1"/>
  <c r="V452" i="6" s="1"/>
  <c r="V453" i="6" s="1"/>
  <c r="V454" i="6" s="1"/>
  <c r="V81" i="6" s="1"/>
  <c r="T431" i="6"/>
  <c r="G56" i="6"/>
  <c r="AD431" i="6"/>
  <c r="AD449" i="6" s="1"/>
  <c r="AD452" i="6" s="1"/>
  <c r="AD453" i="6" s="1"/>
  <c r="AD454" i="6" s="1"/>
  <c r="AD81" i="6" s="1"/>
  <c r="AB56" i="6"/>
  <c r="AB475" i="6" s="1"/>
  <c r="X56" i="6"/>
  <c r="X473" i="6" s="1"/>
  <c r="AF56" i="6"/>
  <c r="AF475" i="6" s="1"/>
  <c r="H32" i="6"/>
  <c r="AE56" i="6"/>
  <c r="AE475" i="6" s="1"/>
  <c r="P56" i="6"/>
  <c r="P475" i="6" s="1"/>
  <c r="AC431" i="6"/>
  <c r="AC449" i="6" s="1"/>
  <c r="AC452" i="6" s="1"/>
  <c r="AC453" i="6" s="1"/>
  <c r="AC454" i="6" s="1"/>
  <c r="AC81" i="6" s="1"/>
  <c r="AG56" i="6"/>
  <c r="AG473" i="6" s="1"/>
  <c r="U431" i="6"/>
  <c r="U449" i="6" s="1"/>
  <c r="U452" i="6" s="1"/>
  <c r="U453" i="6" s="1"/>
  <c r="U454" i="6" s="1"/>
  <c r="U81" i="6" s="1"/>
  <c r="N56" i="6"/>
  <c r="N475" i="6" s="1"/>
  <c r="AD56" i="6"/>
  <c r="AD475" i="6" s="1"/>
  <c r="Y56" i="6"/>
  <c r="Y473" i="6" s="1"/>
  <c r="AA431" i="6"/>
  <c r="AA432" i="6" s="1"/>
  <c r="AA433" i="6" s="1"/>
  <c r="AC56" i="6"/>
  <c r="AC473" i="6" s="1"/>
  <c r="G102" i="6"/>
  <c r="G452" i="6"/>
  <c r="G453" i="6" s="1"/>
  <c r="G445" i="6"/>
  <c r="G446" i="6" s="1"/>
  <c r="G447" i="6" s="1"/>
  <c r="G79" i="6"/>
  <c r="G69" i="6"/>
  <c r="G479" i="6" s="1"/>
  <c r="G32" i="6"/>
  <c r="G115" i="6"/>
  <c r="G169" i="6"/>
  <c r="G192" i="6"/>
  <c r="G78" i="6"/>
  <c r="G215" i="6"/>
  <c r="G59" i="6"/>
  <c r="G476" i="6" s="1"/>
  <c r="U432" i="6" l="1"/>
  <c r="U433" i="6" s="1"/>
  <c r="AB473" i="6"/>
  <c r="P449" i="6"/>
  <c r="P452" i="6" s="1"/>
  <c r="P453" i="6" s="1"/>
  <c r="P454" i="6" s="1"/>
  <c r="P81" i="6" s="1"/>
  <c r="AE432" i="6"/>
  <c r="X432" i="6"/>
  <c r="S432" i="6"/>
  <c r="S433" i="6" s="1"/>
  <c r="X475" i="6"/>
  <c r="AD432" i="6"/>
  <c r="AF449" i="6"/>
  <c r="AF452" i="6" s="1"/>
  <c r="AF453" i="6" s="1"/>
  <c r="AF454" i="6" s="1"/>
  <c r="AF81" i="6" s="1"/>
  <c r="AC432" i="6"/>
  <c r="AC433" i="6" s="1"/>
  <c r="AA449" i="6"/>
  <c r="AA452" i="6" s="1"/>
  <c r="AA453" i="6" s="1"/>
  <c r="AA454" i="6" s="1"/>
  <c r="AA81" i="6" s="1"/>
  <c r="V432" i="6"/>
  <c r="V433" i="6" s="1"/>
  <c r="V473" i="6"/>
  <c r="N449" i="6"/>
  <c r="N452" i="6" s="1"/>
  <c r="N453" i="6" s="1"/>
  <c r="W432" i="6"/>
  <c r="W433" i="6" s="1"/>
  <c r="AB432" i="6"/>
  <c r="AH56" i="6"/>
  <c r="AI56" i="6" s="1"/>
  <c r="G194" i="6"/>
  <c r="G149" i="6"/>
  <c r="G10" i="6"/>
  <c r="G80" i="6"/>
  <c r="G57" i="6"/>
  <c r="G217" i="6"/>
  <c r="G34" i="6"/>
  <c r="G126" i="6"/>
  <c r="AD473" i="6"/>
  <c r="R432" i="6"/>
  <c r="R433" i="6" s="1"/>
  <c r="R449" i="6"/>
  <c r="R452" i="6" s="1"/>
  <c r="R453" i="6" s="1"/>
  <c r="R454" i="6" s="1"/>
  <c r="R81" i="6" s="1"/>
  <c r="P473" i="6"/>
  <c r="T449" i="6"/>
  <c r="T452" i="6" s="1"/>
  <c r="T453" i="6" s="1"/>
  <c r="T454" i="6" s="1"/>
  <c r="T81" i="6" s="1"/>
  <c r="T432" i="6"/>
  <c r="T433" i="6" s="1"/>
  <c r="Z473" i="6"/>
  <c r="Z475" i="6"/>
  <c r="AG475" i="6"/>
  <c r="AG449" i="6"/>
  <c r="AG452" i="6" s="1"/>
  <c r="AG453" i="6" s="1"/>
  <c r="AG454" i="6" s="1"/>
  <c r="AG81" i="6" s="1"/>
  <c r="AG432" i="6"/>
  <c r="AG433" i="6" s="1"/>
  <c r="G171" i="6"/>
  <c r="Y475" i="6"/>
  <c r="AF473" i="6"/>
  <c r="AH78" i="6"/>
  <c r="AI78" i="6" s="1"/>
  <c r="G454" i="6"/>
  <c r="AC475" i="6"/>
  <c r="N473" i="6"/>
  <c r="AE473" i="6"/>
  <c r="Y432" i="6"/>
  <c r="Q432" i="6"/>
  <c r="G432" i="6"/>
  <c r="G473" i="6"/>
  <c r="G457" i="6"/>
  <c r="G456" i="6"/>
  <c r="AA475" i="6"/>
  <c r="Z432" i="6"/>
  <c r="Z433" i="6" s="1"/>
  <c r="O432" i="6"/>
  <c r="O433" i="6" s="1"/>
  <c r="AH101" i="6"/>
  <c r="AI101" i="6" s="1"/>
  <c r="S473" i="6"/>
  <c r="R475" i="6"/>
  <c r="Q475" i="6"/>
  <c r="T475" i="6"/>
  <c r="U473" i="6"/>
  <c r="W473" i="6"/>
  <c r="O473" i="6"/>
  <c r="G124" i="6"/>
  <c r="G82" i="6"/>
  <c r="AH449" i="6" l="1"/>
  <c r="AI449" i="6" s="1"/>
  <c r="G489" i="6"/>
  <c r="G325" i="6"/>
  <c r="G356" i="6"/>
  <c r="G335" i="6"/>
  <c r="AH456" i="6"/>
  <c r="AI456" i="6" s="1"/>
  <c r="G433" i="6"/>
  <c r="G474" i="6"/>
  <c r="G127" i="6"/>
  <c r="G172" i="6"/>
  <c r="G35" i="6"/>
  <c r="G104" i="6"/>
  <c r="G195" i="6"/>
  <c r="G150" i="6"/>
  <c r="G11" i="6"/>
  <c r="G81" i="6"/>
  <c r="G83" i="6" s="1"/>
  <c r="G218" i="6"/>
  <c r="G347" i="6"/>
  <c r="G312" i="6"/>
  <c r="G311" i="6"/>
  <c r="G309" i="6"/>
  <c r="G313" i="6"/>
  <c r="G463" i="6"/>
  <c r="AH473" i="6"/>
  <c r="AH124" i="6"/>
  <c r="AI124" i="6" s="1"/>
  <c r="G464" i="6" l="1"/>
  <c r="G488" i="6"/>
  <c r="G490" i="6" s="1"/>
  <c r="G494" i="6"/>
  <c r="AI473" i="6"/>
  <c r="G493" i="6" l="1"/>
  <c r="G495" i="6" s="1"/>
  <c r="G216" i="6"/>
  <c r="AG63" i="6"/>
  <c r="AG357" i="6" s="1"/>
  <c r="G33" i="6"/>
  <c r="G193" i="6"/>
  <c r="G125" i="6"/>
  <c r="G105" i="6"/>
  <c r="G92" i="6"/>
  <c r="X63" i="6"/>
  <c r="X323" i="6" s="1"/>
  <c r="O63" i="6"/>
  <c r="O323" i="6" s="1"/>
  <c r="V63" i="6"/>
  <c r="V245" i="6" s="1"/>
  <c r="AA63" i="6"/>
  <c r="AA323" i="6" s="1"/>
  <c r="AE63" i="6"/>
  <c r="AE357" i="6" s="1"/>
  <c r="W63" i="6"/>
  <c r="W245" i="6" s="1"/>
  <c r="K63" i="6"/>
  <c r="K245" i="6" s="1"/>
  <c r="G63" i="6"/>
  <c r="Z63" i="6"/>
  <c r="Z323" i="6" s="1"/>
  <c r="L63" i="6"/>
  <c r="L323" i="6" s="1"/>
  <c r="S63" i="6"/>
  <c r="S477" i="6" s="1"/>
  <c r="G170" i="6"/>
  <c r="AD63" i="6"/>
  <c r="AD477" i="6" s="1"/>
  <c r="M63" i="6"/>
  <c r="M357" i="6" s="1"/>
  <c r="R63" i="6"/>
  <c r="R477" i="6" s="1"/>
  <c r="N63" i="6"/>
  <c r="N245" i="6" s="1"/>
  <c r="AB63" i="6"/>
  <c r="AB245" i="6" s="1"/>
  <c r="AF63" i="6"/>
  <c r="AF477" i="6" s="1"/>
  <c r="U63" i="6"/>
  <c r="U245" i="6" s="1"/>
  <c r="T63" i="6"/>
  <c r="T357" i="6" s="1"/>
  <c r="AC63" i="6"/>
  <c r="AC323" i="6" s="1"/>
  <c r="AD323" i="6" l="1"/>
  <c r="S323" i="6"/>
  <c r="AB477" i="6"/>
  <c r="AB323" i="6"/>
  <c r="AD357" i="6"/>
  <c r="V477" i="6"/>
  <c r="T323" i="6"/>
  <c r="V357" i="6"/>
  <c r="T245" i="6"/>
  <c r="R323" i="6"/>
  <c r="W357" i="6"/>
  <c r="V323" i="6"/>
  <c r="R245" i="6"/>
  <c r="R357" i="6"/>
  <c r="S357" i="6"/>
  <c r="AA477" i="6"/>
  <c r="O357" i="6"/>
  <c r="AA245" i="6"/>
  <c r="Z477" i="6"/>
  <c r="W477" i="6"/>
  <c r="AE323" i="6"/>
  <c r="O245" i="6"/>
  <c r="AG245" i="6"/>
  <c r="AE245" i="6"/>
  <c r="X477" i="6"/>
  <c r="AG323" i="6"/>
  <c r="N477" i="6"/>
  <c r="Z357" i="6"/>
  <c r="G484" i="6"/>
  <c r="AF357" i="6"/>
  <c r="N357" i="6"/>
  <c r="M323" i="6"/>
  <c r="AD245" i="6"/>
  <c r="S245" i="6"/>
  <c r="Z245" i="6"/>
  <c r="G323" i="6"/>
  <c r="G245" i="6"/>
  <c r="G357" i="6"/>
  <c r="G477" i="6" s="1"/>
  <c r="W323" i="6"/>
  <c r="X357" i="6"/>
  <c r="AF245" i="6"/>
  <c r="AF323" i="6"/>
  <c r="AC245" i="6"/>
  <c r="N323" i="6"/>
  <c r="L245" i="6"/>
  <c r="AA357" i="6"/>
  <c r="O477" i="6"/>
  <c r="X245" i="6"/>
  <c r="U357" i="6"/>
  <c r="T477" i="6"/>
  <c r="M245" i="6"/>
  <c r="AE477" i="6"/>
  <c r="AG477" i="6"/>
  <c r="L357" i="6"/>
  <c r="AC477" i="6"/>
  <c r="U323" i="6"/>
  <c r="AB357" i="6"/>
  <c r="M477" i="6"/>
  <c r="K357" i="6"/>
  <c r="K477" i="6" s="1"/>
  <c r="AC357" i="6"/>
  <c r="U477" i="6"/>
  <c r="K323" i="6"/>
  <c r="L477" i="6" l="1"/>
  <c r="J63" i="6" l="1"/>
  <c r="J323" i="6" s="1"/>
  <c r="Y63" i="6"/>
  <c r="Y245" i="6" s="1"/>
  <c r="G8" i="6"/>
  <c r="G86" i="6"/>
  <c r="G9" i="6"/>
  <c r="I63" i="6"/>
  <c r="I357" i="6" s="1"/>
  <c r="Q63" i="6"/>
  <c r="Q245" i="6" s="1"/>
  <c r="H63" i="6"/>
  <c r="H245" i="6" s="1"/>
  <c r="P63" i="6"/>
  <c r="P477" i="6" s="1"/>
  <c r="G128" i="6"/>
  <c r="G46" i="6"/>
  <c r="G66" i="6"/>
  <c r="G478" i="6" s="1"/>
  <c r="G206" i="6"/>
  <c r="G183" i="6"/>
  <c r="G196" i="6"/>
  <c r="G197" i="6" s="1"/>
  <c r="G219" i="6"/>
  <c r="G220" i="6" s="1"/>
  <c r="G138" i="6"/>
  <c r="G109" i="6"/>
  <c r="G36" i="6"/>
  <c r="G37" i="6" s="1"/>
  <c r="G229" i="6"/>
  <c r="G509" i="6" s="1"/>
  <c r="G173" i="6"/>
  <c r="G174" i="6" s="1"/>
  <c r="G12" i="6"/>
  <c r="G112" i="6"/>
  <c r="G89" i="6"/>
  <c r="G22" i="6"/>
  <c r="G147" i="6"/>
  <c r="G16" i="6"/>
  <c r="G40" i="6"/>
  <c r="Q357" i="6" l="1"/>
  <c r="I477" i="6"/>
  <c r="Y477" i="6"/>
  <c r="I245" i="6"/>
  <c r="Q477" i="6"/>
  <c r="G13" i="6"/>
  <c r="P245" i="6"/>
  <c r="J245" i="6"/>
  <c r="P357" i="6"/>
  <c r="P323" i="6"/>
  <c r="Q323" i="6"/>
  <c r="J357" i="6"/>
  <c r="G129" i="6"/>
  <c r="Y323" i="6"/>
  <c r="AH63" i="6"/>
  <c r="AI63" i="6" s="1"/>
  <c r="H357" i="6"/>
  <c r="H477" i="6" s="1"/>
  <c r="G95" i="6"/>
  <c r="Y357" i="6"/>
  <c r="G461" i="6"/>
  <c r="H323" i="6"/>
  <c r="I323" i="6"/>
  <c r="G180" i="6"/>
  <c r="G132" i="6"/>
  <c r="G161" i="6"/>
  <c r="G468" i="6" s="1"/>
  <c r="G148" i="6"/>
  <c r="G462" i="6" s="1"/>
  <c r="G203" i="6"/>
  <c r="G151" i="6"/>
  <c r="G465" i="6" s="1"/>
  <c r="G177" i="6"/>
  <c r="G186" i="6" l="1"/>
  <c r="G256" i="6" s="1"/>
  <c r="AH245" i="6"/>
  <c r="AI245" i="6" s="1"/>
  <c r="AH357" i="6"/>
  <c r="AI357" i="6" s="1"/>
  <c r="G483" i="6"/>
  <c r="G485" i="6" s="1"/>
  <c r="G152" i="6"/>
  <c r="G508" i="6"/>
  <c r="G510" i="6" s="1"/>
  <c r="AH323" i="6"/>
  <c r="AI323" i="6" s="1"/>
  <c r="G358" i="6"/>
  <c r="G253" i="6"/>
  <c r="J477" i="6"/>
  <c r="AH477" i="6" s="1"/>
  <c r="AI477" i="6" s="1"/>
  <c r="G43" i="6"/>
  <c r="G49" i="6" s="1"/>
  <c r="G303" i="6" l="1"/>
  <c r="G300" i="6"/>
  <c r="G200" i="6"/>
  <c r="G209" i="6" s="1"/>
  <c r="G257" i="6" l="1"/>
  <c r="G223" i="6"/>
  <c r="G304" i="6" l="1"/>
  <c r="G499" i="6"/>
  <c r="G226" i="6"/>
  <c r="G504" i="6" s="1"/>
  <c r="G232" i="6" l="1"/>
  <c r="G135" i="6"/>
  <c r="G141" i="6" l="1"/>
  <c r="G267" i="6"/>
  <c r="G322" i="6" l="1"/>
  <c r="G254" i="6"/>
  <c r="G155" i="6"/>
  <c r="G466" i="6" l="1"/>
  <c r="G301" i="6"/>
  <c r="G498" i="6" l="1"/>
  <c r="G500" i="6" s="1"/>
  <c r="G158" i="6"/>
  <c r="G467" i="6" l="1"/>
  <c r="G164" i="6"/>
  <c r="G255" i="6" l="1"/>
  <c r="G503" i="6"/>
  <c r="G505" i="6" s="1"/>
  <c r="G469" i="6"/>
  <c r="G19" i="6"/>
  <c r="G25" i="6" s="1"/>
  <c r="G302" i="6" l="1"/>
  <c r="G259" i="6"/>
  <c r="G244" i="6"/>
  <c r="S286" i="6"/>
  <c r="AB286" i="6"/>
  <c r="W286" i="6"/>
  <c r="G238" i="6"/>
  <c r="G290" i="6"/>
  <c r="T286" i="6"/>
  <c r="Z286" i="6"/>
  <c r="G397" i="6"/>
  <c r="V286" i="6"/>
  <c r="G240" i="6"/>
  <c r="N286" i="6"/>
  <c r="U286" i="6"/>
  <c r="G239" i="6"/>
  <c r="G242" i="6"/>
  <c r="AE286" i="6"/>
  <c r="AD286" i="6"/>
  <c r="AF286" i="6"/>
  <c r="AA286" i="6"/>
  <c r="P286" i="6"/>
  <c r="X286" i="6"/>
  <c r="Q286" i="6"/>
  <c r="K286" i="6" l="1"/>
  <c r="G287" i="6"/>
  <c r="H286" i="6"/>
  <c r="H307" i="6"/>
  <c r="M307" i="6"/>
  <c r="J307" i="6" l="1"/>
  <c r="L310" i="6" l="1"/>
  <c r="K287" i="6" l="1"/>
  <c r="I307" i="6"/>
  <c r="E12" i="11" a="1"/>
  <c r="E12" i="11" l="1"/>
  <c r="K435" i="6"/>
  <c r="K438" i="6" s="1"/>
  <c r="K439" i="6" s="1"/>
  <c r="K408" i="6"/>
  <c r="M287" i="6"/>
  <c r="G310" i="6"/>
  <c r="L287" i="6" l="1"/>
  <c r="G288" i="6"/>
  <c r="H310" i="6" l="1"/>
  <c r="I310" i="6" l="1"/>
  <c r="K310" i="6" l="1"/>
  <c r="M286" i="6"/>
  <c r="E14" i="11" a="1"/>
  <c r="E14" i="11" l="1"/>
  <c r="M408" i="6"/>
  <c r="M308" i="6" s="1"/>
  <c r="M435" i="6"/>
  <c r="M438" i="6" s="1"/>
  <c r="M439" i="6" s="1"/>
  <c r="I287" i="6"/>
  <c r="H14" i="11" a="1"/>
  <c r="H14" i="11" l="1"/>
  <c r="J310" i="6"/>
  <c r="K308" i="6" l="1"/>
  <c r="J287" i="6" l="1"/>
  <c r="J286" i="6"/>
  <c r="L307" i="6"/>
  <c r="E11" i="11" a="1"/>
  <c r="J408" i="6" l="1"/>
  <c r="J308" i="6" s="1"/>
  <c r="E11" i="11"/>
  <c r="J435" i="6"/>
  <c r="J438" i="6" s="1"/>
  <c r="J439" i="6" s="1"/>
  <c r="M310" i="6"/>
  <c r="I286" i="6"/>
  <c r="G307" i="6"/>
  <c r="E10" i="11" a="1"/>
  <c r="H11" i="11" a="1"/>
  <c r="G8" i="11" a="1"/>
  <c r="E10" i="11" l="1"/>
  <c r="H11" i="11"/>
  <c r="G8" i="11"/>
  <c r="I408" i="6"/>
  <c r="I308" i="6" s="1"/>
  <c r="I435" i="6"/>
  <c r="I438" i="6" s="1"/>
  <c r="I439" i="6" s="1"/>
  <c r="H287" i="6"/>
  <c r="K307" i="6"/>
  <c r="J238" i="6"/>
  <c r="H12" i="11" a="1"/>
  <c r="E9" i="11" a="1"/>
  <c r="H10" i="11" a="1"/>
  <c r="H10" i="11" l="1"/>
  <c r="H12" i="11"/>
  <c r="AH307" i="6"/>
  <c r="AI307" i="6" s="1"/>
  <c r="E9" i="11"/>
  <c r="J367" i="6"/>
  <c r="H435" i="6"/>
  <c r="H438" i="6" s="1"/>
  <c r="H439" i="6" s="1"/>
  <c r="H408" i="6"/>
  <c r="H308" i="6" s="1"/>
  <c r="I238" i="6"/>
  <c r="H9" i="11" a="1"/>
  <c r="H9" i="11" l="1"/>
  <c r="I367" i="6"/>
  <c r="J368" i="6"/>
  <c r="H238" i="6"/>
  <c r="F59" i="8" l="1"/>
  <c r="I368" i="6"/>
  <c r="H367" i="6"/>
  <c r="M238" i="6"/>
  <c r="L238" i="6"/>
  <c r="K238" i="6"/>
  <c r="L368" i="6" l="1"/>
  <c r="AH238" i="6"/>
  <c r="AI238" i="6" s="1"/>
  <c r="H368" i="6"/>
  <c r="F58" i="8"/>
  <c r="K367" i="6"/>
  <c r="M367" i="6"/>
  <c r="L286" i="6"/>
  <c r="AG286" i="6"/>
  <c r="Y286" i="6"/>
  <c r="AC286" i="6"/>
  <c r="G286" i="6"/>
  <c r="G328" i="6"/>
  <c r="M328" i="6"/>
  <c r="G327" i="6"/>
  <c r="M327" i="6"/>
  <c r="K328" i="6"/>
  <c r="M325" i="6"/>
  <c r="K329" i="6"/>
  <c r="G329" i="6"/>
  <c r="M329" i="6"/>
  <c r="K327" i="6"/>
  <c r="AC325" i="6"/>
  <c r="AE313" i="6"/>
  <c r="R329" i="6"/>
  <c r="AE335" i="6"/>
  <c r="Z356" i="6"/>
  <c r="X327" i="6"/>
  <c r="L335" i="6"/>
  <c r="AG328" i="6"/>
  <c r="J329" i="6"/>
  <c r="AA325" i="6"/>
  <c r="U335" i="6"/>
  <c r="U325" i="6"/>
  <c r="AC356" i="6"/>
  <c r="N329" i="6"/>
  <c r="AF335" i="6"/>
  <c r="AA329" i="6"/>
  <c r="V335" i="6"/>
  <c r="S327" i="6"/>
  <c r="R327" i="6"/>
  <c r="T311" i="6"/>
  <c r="AA311" i="6"/>
  <c r="AA309" i="6"/>
  <c r="T313" i="6"/>
  <c r="Y309" i="6"/>
  <c r="AB309" i="6"/>
  <c r="AG309" i="6"/>
  <c r="AF313" i="6"/>
  <c r="AB313" i="6"/>
  <c r="AA347" i="6"/>
  <c r="AA351" i="6" s="1"/>
  <c r="X313" i="6"/>
  <c r="R312" i="6"/>
  <c r="Z312" i="6"/>
  <c r="P328" i="6"/>
  <c r="V328" i="6"/>
  <c r="U312" i="6"/>
  <c r="S311" i="6"/>
  <c r="Y327" i="6"/>
  <c r="X325" i="6"/>
  <c r="U329" i="6"/>
  <c r="T329" i="6"/>
  <c r="AF329" i="6"/>
  <c r="Q327" i="6"/>
  <c r="O328" i="6"/>
  <c r="H329" i="6"/>
  <c r="AC329" i="6"/>
  <c r="P335" i="6"/>
  <c r="W329" i="6"/>
  <c r="R328" i="6"/>
  <c r="L329" i="6"/>
  <c r="N327" i="6"/>
  <c r="J325" i="6"/>
  <c r="R356" i="6"/>
  <c r="Q335" i="6"/>
  <c r="V327" i="6"/>
  <c r="V356" i="6"/>
  <c r="S347" i="6"/>
  <c r="S351" i="6" s="1"/>
  <c r="AD312" i="6"/>
  <c r="U309" i="6"/>
  <c r="AB347" i="6"/>
  <c r="AB351" i="6" s="1"/>
  <c r="Y347" i="6"/>
  <c r="Y351" i="6" s="1"/>
  <c r="W312" i="6"/>
  <c r="AC309" i="6"/>
  <c r="Y313" i="6"/>
  <c r="S309" i="6"/>
  <c r="S313" i="6"/>
  <c r="V347" i="6"/>
  <c r="V351" i="6" s="1"/>
  <c r="AB311" i="6"/>
  <c r="U327" i="6"/>
  <c r="O327" i="6"/>
  <c r="Z335" i="6"/>
  <c r="V313" i="6"/>
  <c r="Q311" i="6"/>
  <c r="L325" i="6"/>
  <c r="H328" i="6"/>
  <c r="H335" i="6"/>
  <c r="AE356" i="6"/>
  <c r="AA328" i="6"/>
  <c r="AD327" i="6"/>
  <c r="Y328" i="6"/>
  <c r="AD325" i="6"/>
  <c r="AG327" i="6"/>
  <c r="AE327" i="6"/>
  <c r="AF328" i="6"/>
  <c r="P329" i="6"/>
  <c r="I325" i="6"/>
  <c r="V329" i="6"/>
  <c r="AD356" i="6"/>
  <c r="S335" i="6"/>
  <c r="Z311" i="6"/>
  <c r="U347" i="6"/>
  <c r="U351" i="6" s="1"/>
  <c r="P309" i="6"/>
  <c r="X347" i="6"/>
  <c r="X351" i="6" s="1"/>
  <c r="AD309" i="6"/>
  <c r="O347" i="6"/>
  <c r="O351" i="6" s="1"/>
  <c r="AC313" i="6"/>
  <c r="T312" i="6"/>
  <c r="T347" i="6"/>
  <c r="T351" i="6" s="1"/>
  <c r="R313" i="6"/>
  <c r="R309" i="6"/>
  <c r="AG312" i="6"/>
  <c r="W335" i="6"/>
  <c r="N335" i="6"/>
  <c r="N313" i="6"/>
  <c r="AF311" i="6"/>
  <c r="V325" i="6"/>
  <c r="Z325" i="6"/>
  <c r="I329" i="6"/>
  <c r="U328" i="6"/>
  <c r="AA335" i="6"/>
  <c r="S325" i="6"/>
  <c r="R325" i="6"/>
  <c r="Y356" i="6"/>
  <c r="K325" i="6"/>
  <c r="Z327" i="6"/>
  <c r="AG329" i="6"/>
  <c r="P356" i="6"/>
  <c r="W325" i="6"/>
  <c r="H325" i="6"/>
  <c r="AB328" i="6"/>
  <c r="Q328" i="6"/>
  <c r="AD335" i="6"/>
  <c r="W313" i="6"/>
  <c r="Y312" i="6"/>
  <c r="P311" i="6"/>
  <c r="O309" i="6"/>
  <c r="AA313" i="6"/>
  <c r="AG347" i="6"/>
  <c r="AG351" i="6" s="1"/>
  <c r="AE347" i="6"/>
  <c r="AE351" i="6" s="1"/>
  <c r="P312" i="6"/>
  <c r="N311" i="6"/>
  <c r="AG313" i="6"/>
  <c r="AF312" i="6"/>
  <c r="W311" i="6"/>
  <c r="P327" i="6"/>
  <c r="AF325" i="6"/>
  <c r="X329" i="6"/>
  <c r="AG311" i="6"/>
  <c r="O311" i="6"/>
  <c r="AA356" i="6"/>
  <c r="Q325" i="6"/>
  <c r="L328" i="6"/>
  <c r="AC327" i="6"/>
  <c r="O335" i="6"/>
  <c r="AB325" i="6"/>
  <c r="N325" i="6"/>
  <c r="AG356" i="6"/>
  <c r="O329" i="6"/>
  <c r="I327" i="6"/>
  <c r="X356" i="6"/>
  <c r="AC335" i="6"/>
  <c r="AB327" i="6"/>
  <c r="U356" i="6"/>
  <c r="AA327" i="6"/>
  <c r="N356" i="6"/>
  <c r="S328" i="6"/>
  <c r="Y335" i="6"/>
  <c r="X309" i="6"/>
  <c r="V312" i="6"/>
  <c r="S312" i="6"/>
  <c r="Z309" i="6"/>
  <c r="W347" i="6"/>
  <c r="W351" i="6" s="1"/>
  <c r="O312" i="6"/>
  <c r="U311" i="6"/>
  <c r="N309" i="6"/>
  <c r="Q347" i="6"/>
  <c r="Q351" i="6" s="1"/>
  <c r="R347" i="6"/>
  <c r="R351" i="6" s="1"/>
  <c r="AE312" i="6"/>
  <c r="P347" i="6"/>
  <c r="P351" i="6" s="1"/>
  <c r="Z347" i="6"/>
  <c r="Z351" i="6" s="1"/>
  <c r="AD313" i="6"/>
  <c r="Z329" i="6"/>
  <c r="Z328" i="6"/>
  <c r="V309" i="6"/>
  <c r="AB312" i="6"/>
  <c r="AD328" i="6"/>
  <c r="S356" i="6"/>
  <c r="AB335" i="6"/>
  <c r="J335" i="6"/>
  <c r="Y329" i="6"/>
  <c r="AG335" i="6"/>
  <c r="AD329" i="6"/>
  <c r="T356" i="6"/>
  <c r="AB356" i="6"/>
  <c r="AB329" i="6"/>
  <c r="H327" i="6"/>
  <c r="W328" i="6"/>
  <c r="X335" i="6"/>
  <c r="P325" i="6"/>
  <c r="AG325" i="6"/>
  <c r="Y325" i="6"/>
  <c r="T325" i="6"/>
  <c r="T327" i="6"/>
  <c r="Q356" i="6"/>
  <c r="T309" i="6"/>
  <c r="N347" i="6"/>
  <c r="N351" i="6" s="1"/>
  <c r="O313" i="6"/>
  <c r="AC311" i="6"/>
  <c r="P313" i="6"/>
  <c r="AF347" i="6"/>
  <c r="AF351" i="6" s="1"/>
  <c r="Y311" i="6"/>
  <c r="W309" i="6"/>
  <c r="AC312" i="6"/>
  <c r="V311" i="6"/>
  <c r="AE311" i="6"/>
  <c r="Q313" i="6"/>
  <c r="AC347" i="6"/>
  <c r="AC351" i="6" s="1"/>
  <c r="O356" i="6"/>
  <c r="N328" i="6"/>
  <c r="AF356" i="6"/>
  <c r="Q309" i="6"/>
  <c r="I335" i="6"/>
  <c r="AF327" i="6"/>
  <c r="I328" i="6"/>
  <c r="O325" i="6"/>
  <c r="Q329" i="6"/>
  <c r="L327" i="6"/>
  <c r="AE329" i="6"/>
  <c r="T335" i="6"/>
  <c r="AE325" i="6"/>
  <c r="W327" i="6"/>
  <c r="J328" i="6"/>
  <c r="AE328" i="6"/>
  <c r="J327" i="6"/>
  <c r="W356" i="6"/>
  <c r="R335" i="6"/>
  <c r="X328" i="6"/>
  <c r="AC328" i="6"/>
  <c r="T328" i="6"/>
  <c r="S329" i="6"/>
  <c r="R311" i="6"/>
  <c r="AE309" i="6"/>
  <c r="X311" i="6"/>
  <c r="AF309" i="6"/>
  <c r="N312" i="6"/>
  <c r="Q312" i="6"/>
  <c r="AA312" i="6"/>
  <c r="Z313" i="6"/>
  <c r="U313" i="6"/>
  <c r="AD311" i="6"/>
  <c r="AD347" i="6"/>
  <c r="AD351" i="6" s="1"/>
  <c r="X312" i="6"/>
  <c r="G58" i="6"/>
  <c r="N454" i="6"/>
  <c r="N81" i="6" s="1"/>
  <c r="Y215" i="6"/>
  <c r="Y218" i="6"/>
  <c r="AA169" i="6"/>
  <c r="AA172" i="6"/>
  <c r="AB147" i="6"/>
  <c r="AB150" i="6"/>
  <c r="Q215" i="6"/>
  <c r="Q218" i="6"/>
  <c r="AF8" i="6"/>
  <c r="AF11" i="6"/>
  <c r="P147" i="6"/>
  <c r="P150" i="6"/>
  <c r="W192" i="6"/>
  <c r="W195" i="6"/>
  <c r="AA104" i="6"/>
  <c r="Z215" i="6"/>
  <c r="Z218" i="6"/>
  <c r="Z127" i="6"/>
  <c r="AD8" i="6"/>
  <c r="AD11" i="6"/>
  <c r="AE147" i="6"/>
  <c r="AE150" i="6"/>
  <c r="AB192" i="6"/>
  <c r="AB195" i="6"/>
  <c r="U169" i="6"/>
  <c r="U172" i="6"/>
  <c r="U127" i="6"/>
  <c r="Q169" i="6"/>
  <c r="Q172" i="6"/>
  <c r="AF104" i="6"/>
  <c r="Z32" i="6"/>
  <c r="Z35" i="6"/>
  <c r="X58" i="6"/>
  <c r="AC169" i="6"/>
  <c r="AC172" i="6"/>
  <c r="R147" i="6"/>
  <c r="R150" i="6"/>
  <c r="T215" i="6"/>
  <c r="T218" i="6"/>
  <c r="AG192" i="6"/>
  <c r="AG195" i="6"/>
  <c r="AG32" i="6"/>
  <c r="AG35" i="6"/>
  <c r="Q192" i="6"/>
  <c r="Q195" i="6"/>
  <c r="X8" i="6"/>
  <c r="X11" i="6"/>
  <c r="X104" i="6"/>
  <c r="V147" i="6"/>
  <c r="V150" i="6"/>
  <c r="O215" i="6"/>
  <c r="O218" i="6"/>
  <c r="Y192" i="6"/>
  <c r="Y195" i="6"/>
  <c r="AF147" i="6"/>
  <c r="AF150" i="6"/>
  <c r="AC192" i="6"/>
  <c r="AC195" i="6"/>
  <c r="P58" i="6"/>
  <c r="W58" i="6"/>
  <c r="AA215" i="6"/>
  <c r="AA218" i="6"/>
  <c r="Z192" i="6"/>
  <c r="Z195" i="6"/>
  <c r="AD127" i="6"/>
  <c r="AD147" i="6"/>
  <c r="AD150" i="6"/>
  <c r="AE127" i="6"/>
  <c r="AB58" i="6"/>
  <c r="U147" i="6"/>
  <c r="U150" i="6"/>
  <c r="U32" i="6"/>
  <c r="U35" i="6"/>
  <c r="R127" i="6"/>
  <c r="V8" i="6"/>
  <c r="V11" i="6"/>
  <c r="P32" i="6"/>
  <c r="P35" i="6"/>
  <c r="AE8" i="6"/>
  <c r="AE11" i="6"/>
  <c r="R104" i="6"/>
  <c r="V127" i="6"/>
  <c r="AG127" i="6"/>
  <c r="Q127" i="6"/>
  <c r="X169" i="6"/>
  <c r="X172" i="6"/>
  <c r="X147" i="6"/>
  <c r="X150" i="6"/>
  <c r="S32" i="6"/>
  <c r="S35" i="6"/>
  <c r="V104" i="6"/>
  <c r="O58" i="6"/>
  <c r="O8" i="6"/>
  <c r="O11" i="6"/>
  <c r="Y147" i="6"/>
  <c r="Y150" i="6"/>
  <c r="Y58" i="6"/>
  <c r="AF192" i="6"/>
  <c r="AF195" i="6"/>
  <c r="AC58" i="6"/>
  <c r="P8" i="6"/>
  <c r="P11" i="6"/>
  <c r="P169" i="6"/>
  <c r="P172" i="6"/>
  <c r="W8" i="6"/>
  <c r="W11" i="6"/>
  <c r="AA147" i="6"/>
  <c r="AA150" i="6"/>
  <c r="Z147" i="6"/>
  <c r="Z150" i="6"/>
  <c r="AD32" i="6"/>
  <c r="AD35" i="6"/>
  <c r="AD104" i="6"/>
  <c r="AE58" i="6"/>
  <c r="AB127" i="6"/>
  <c r="U58" i="6"/>
  <c r="S8" i="6"/>
  <c r="S11" i="6"/>
  <c r="AC32" i="6"/>
  <c r="AC35" i="6"/>
  <c r="T8" i="6"/>
  <c r="T11" i="6"/>
  <c r="O169" i="6"/>
  <c r="O172" i="6"/>
  <c r="R32" i="6"/>
  <c r="R35" i="6"/>
  <c r="T104" i="6"/>
  <c r="Q32" i="6"/>
  <c r="Q35" i="6"/>
  <c r="S104" i="6"/>
  <c r="S215" i="6"/>
  <c r="S218" i="6"/>
  <c r="O32" i="6"/>
  <c r="O35" i="6"/>
  <c r="O147" i="6"/>
  <c r="O150" i="6"/>
  <c r="Y169" i="6"/>
  <c r="Y172" i="6"/>
  <c r="Y32" i="6"/>
  <c r="Y35" i="6"/>
  <c r="AF58" i="6"/>
  <c r="AC104" i="6"/>
  <c r="P192" i="6"/>
  <c r="P195" i="6"/>
  <c r="P127" i="6"/>
  <c r="W169" i="6"/>
  <c r="W172" i="6"/>
  <c r="AA127" i="6"/>
  <c r="AA32" i="6"/>
  <c r="AA35" i="6"/>
  <c r="Z104" i="6"/>
  <c r="AD192" i="6"/>
  <c r="AD195" i="6"/>
  <c r="AE169" i="6"/>
  <c r="AE172" i="6"/>
  <c r="U192" i="6"/>
  <c r="U195" i="6"/>
  <c r="X192" i="6"/>
  <c r="X195" i="6"/>
  <c r="U104" i="6"/>
  <c r="AG104" i="6"/>
  <c r="AC8" i="6"/>
  <c r="AC11" i="6"/>
  <c r="R192" i="6"/>
  <c r="R195" i="6"/>
  <c r="T32" i="6"/>
  <c r="T35" i="6"/>
  <c r="Q104" i="6"/>
  <c r="Q8" i="6"/>
  <c r="Q11" i="6"/>
  <c r="X215" i="6"/>
  <c r="X218" i="6"/>
  <c r="S58" i="6"/>
  <c r="S127" i="6"/>
  <c r="V215" i="6"/>
  <c r="V218" i="6"/>
  <c r="AF127" i="6"/>
  <c r="AC147" i="6"/>
  <c r="AC150" i="6"/>
  <c r="P215" i="6"/>
  <c r="P218" i="6"/>
  <c r="W32" i="6"/>
  <c r="W35" i="6"/>
  <c r="W127" i="6"/>
  <c r="AA192" i="6"/>
  <c r="AA195" i="6"/>
  <c r="Z58" i="6"/>
  <c r="AE215" i="6"/>
  <c r="AE218" i="6"/>
  <c r="AB169" i="6"/>
  <c r="AB172" i="6"/>
  <c r="U215" i="6"/>
  <c r="U218" i="6"/>
  <c r="T169" i="6"/>
  <c r="T172" i="6"/>
  <c r="V58" i="6"/>
  <c r="AD169" i="6"/>
  <c r="AD172" i="6"/>
  <c r="R58" i="6"/>
  <c r="S169" i="6"/>
  <c r="S172" i="6"/>
  <c r="T58" i="6"/>
  <c r="AG147" i="6"/>
  <c r="AG150" i="6"/>
  <c r="AG8" i="6"/>
  <c r="AG11" i="6"/>
  <c r="T147" i="6"/>
  <c r="T150" i="6"/>
  <c r="AG169" i="6"/>
  <c r="AG172" i="6"/>
  <c r="Q147" i="6"/>
  <c r="Q150" i="6"/>
  <c r="X127" i="6"/>
  <c r="S192" i="6"/>
  <c r="S195" i="6"/>
  <c r="V32" i="6"/>
  <c r="V35" i="6"/>
  <c r="O104" i="6"/>
  <c r="Y127" i="6"/>
  <c r="AF169" i="6"/>
  <c r="AF172" i="6"/>
  <c r="AF215" i="6"/>
  <c r="AF218" i="6"/>
  <c r="AC127" i="6"/>
  <c r="W104" i="6"/>
  <c r="AA58" i="6"/>
  <c r="Z8" i="6"/>
  <c r="Z11" i="6"/>
  <c r="AD215" i="6"/>
  <c r="AD218" i="6"/>
  <c r="AE32" i="6"/>
  <c r="AE35" i="6"/>
  <c r="AE104" i="6"/>
  <c r="AB104" i="6"/>
  <c r="U8" i="6"/>
  <c r="U11" i="6"/>
  <c r="O192" i="6"/>
  <c r="O195" i="6"/>
  <c r="W147" i="6"/>
  <c r="W150" i="6"/>
  <c r="AB32" i="6"/>
  <c r="AB35" i="6"/>
  <c r="T127" i="6"/>
  <c r="Y104" i="6"/>
  <c r="AG215" i="6"/>
  <c r="AG218" i="6"/>
  <c r="R169" i="6"/>
  <c r="R172" i="6"/>
  <c r="R8" i="6"/>
  <c r="R11" i="6"/>
  <c r="R215" i="6"/>
  <c r="R218" i="6"/>
  <c r="T192" i="6"/>
  <c r="T195" i="6"/>
  <c r="AG58" i="6"/>
  <c r="Q58" i="6"/>
  <c r="X32" i="6"/>
  <c r="X35" i="6"/>
  <c r="S147" i="6"/>
  <c r="S150" i="6"/>
  <c r="V192" i="6"/>
  <c r="V195" i="6"/>
  <c r="V169" i="6"/>
  <c r="V172" i="6"/>
  <c r="O127" i="6"/>
  <c r="Y8" i="6"/>
  <c r="Y11" i="6"/>
  <c r="AF32" i="6"/>
  <c r="AF35" i="6"/>
  <c r="AC215" i="6"/>
  <c r="AC218" i="6"/>
  <c r="P104" i="6"/>
  <c r="W215" i="6"/>
  <c r="W218" i="6"/>
  <c r="AA8" i="6"/>
  <c r="AA11" i="6"/>
  <c r="Z169" i="6"/>
  <c r="Z172" i="6"/>
  <c r="AD58" i="6"/>
  <c r="AE192" i="6"/>
  <c r="AE195" i="6"/>
  <c r="AB215" i="6"/>
  <c r="AB218" i="6"/>
  <c r="AB8" i="6"/>
  <c r="AB11" i="6"/>
  <c r="I32" i="6"/>
  <c r="I8" i="6"/>
  <c r="M32" i="6"/>
  <c r="AF433" i="6"/>
  <c r="H8" i="6"/>
  <c r="G103" i="6"/>
  <c r="G106" i="6" s="1"/>
  <c r="I147" i="6"/>
  <c r="L169" i="6"/>
  <c r="Q433" i="6"/>
  <c r="J32" i="6"/>
  <c r="M147" i="6"/>
  <c r="L147" i="6"/>
  <c r="AD433" i="6"/>
  <c r="J192" i="6"/>
  <c r="H147" i="6"/>
  <c r="I169" i="6"/>
  <c r="M8" i="6"/>
  <c r="L8" i="6"/>
  <c r="AE433" i="6"/>
  <c r="AB433" i="6"/>
  <c r="K8" i="6"/>
  <c r="N433" i="6"/>
  <c r="M169" i="6"/>
  <c r="L192" i="6"/>
  <c r="K169" i="6"/>
  <c r="K147" i="6"/>
  <c r="H192" i="6"/>
  <c r="I192" i="6"/>
  <c r="M192" i="6"/>
  <c r="X433" i="6"/>
  <c r="K32" i="6"/>
  <c r="J169" i="6"/>
  <c r="K192" i="6"/>
  <c r="M215" i="6"/>
  <c r="L32" i="6"/>
  <c r="Y433" i="6"/>
  <c r="J147" i="6"/>
  <c r="H169" i="6"/>
  <c r="L431" i="6"/>
  <c r="L432" i="6" s="1"/>
  <c r="L433" i="6" s="1"/>
  <c r="J431" i="6"/>
  <c r="J432" i="6" s="1"/>
  <c r="J433" i="6" s="1"/>
  <c r="H431" i="6"/>
  <c r="I431" i="6"/>
  <c r="I432" i="6" s="1"/>
  <c r="I433" i="6" s="1"/>
  <c r="M431" i="6"/>
  <c r="M432" i="6" s="1"/>
  <c r="M433" i="6" s="1"/>
  <c r="K431" i="6"/>
  <c r="K432" i="6" s="1"/>
  <c r="K433" i="6" s="1"/>
  <c r="O102" i="6"/>
  <c r="R102" i="6"/>
  <c r="N102" i="6"/>
  <c r="K452" i="6"/>
  <c r="K453" i="6" s="1"/>
  <c r="K454" i="6" s="1"/>
  <c r="AD102" i="6"/>
  <c r="AE102" i="6"/>
  <c r="AC102" i="6"/>
  <c r="J102" i="6"/>
  <c r="I102" i="6"/>
  <c r="P102" i="6"/>
  <c r="V102" i="6"/>
  <c r="AG102" i="6"/>
  <c r="AF102" i="6"/>
  <c r="L452" i="6"/>
  <c r="L453" i="6" s="1"/>
  <c r="L454" i="6" s="1"/>
  <c r="L35" i="6" s="1"/>
  <c r="H102" i="6"/>
  <c r="Q102" i="6"/>
  <c r="W102" i="6"/>
  <c r="K102" i="6"/>
  <c r="J452" i="6"/>
  <c r="J453" i="6" s="1"/>
  <c r="J454" i="6" s="1"/>
  <c r="J104" i="6" s="1"/>
  <c r="H452" i="6"/>
  <c r="H453" i="6" s="1"/>
  <c r="T102" i="6"/>
  <c r="AA102" i="6"/>
  <c r="U102" i="6"/>
  <c r="Y102" i="6"/>
  <c r="I452" i="6"/>
  <c r="I453" i="6" s="1"/>
  <c r="I454" i="6" s="1"/>
  <c r="I11" i="6" s="1"/>
  <c r="L102" i="6"/>
  <c r="S102" i="6"/>
  <c r="Z102" i="6"/>
  <c r="M102" i="6"/>
  <c r="M452" i="6"/>
  <c r="M453" i="6" s="1"/>
  <c r="M454" i="6" s="1"/>
  <c r="AB102" i="6"/>
  <c r="X102" i="6"/>
  <c r="Z79" i="6"/>
  <c r="K79" i="6"/>
  <c r="P79" i="6"/>
  <c r="V445" i="6"/>
  <c r="V446" i="6" s="1"/>
  <c r="V447" i="6" s="1"/>
  <c r="S445" i="6"/>
  <c r="S446" i="6" s="1"/>
  <c r="S447" i="6" s="1"/>
  <c r="S171" i="6" s="1"/>
  <c r="X445" i="6"/>
  <c r="X446" i="6" s="1"/>
  <c r="X447" i="6" s="1"/>
  <c r="AC445" i="6"/>
  <c r="AC446" i="6" s="1"/>
  <c r="AC447" i="6" s="1"/>
  <c r="U445" i="6"/>
  <c r="U446" i="6" s="1"/>
  <c r="U447" i="6" s="1"/>
  <c r="AF79" i="6"/>
  <c r="W79" i="6"/>
  <c r="AG79" i="6"/>
  <c r="AG445" i="6"/>
  <c r="AG446" i="6" s="1"/>
  <c r="AG447" i="6" s="1"/>
  <c r="AG103" i="6" s="1"/>
  <c r="L445" i="6"/>
  <c r="L446" i="6" s="1"/>
  <c r="L447" i="6" s="1"/>
  <c r="L57" i="6" s="1"/>
  <c r="P445" i="6"/>
  <c r="P446" i="6" s="1"/>
  <c r="P447" i="6" s="1"/>
  <c r="Z445" i="6"/>
  <c r="Z446" i="6" s="1"/>
  <c r="Z447" i="6" s="1"/>
  <c r="I79" i="6"/>
  <c r="AD445" i="6"/>
  <c r="AD446" i="6" s="1"/>
  <c r="AD447" i="6" s="1"/>
  <c r="AD194" i="6" s="1"/>
  <c r="R445" i="6"/>
  <c r="R446" i="6" s="1"/>
  <c r="R447" i="6" s="1"/>
  <c r="H445" i="6"/>
  <c r="M79" i="6"/>
  <c r="U79" i="6"/>
  <c r="T445" i="6"/>
  <c r="T446" i="6" s="1"/>
  <c r="T447" i="6" s="1"/>
  <c r="O445" i="6"/>
  <c r="O446" i="6" s="1"/>
  <c r="O447" i="6" s="1"/>
  <c r="O217" i="6" s="1"/>
  <c r="M445" i="6"/>
  <c r="M446" i="6" s="1"/>
  <c r="M447" i="6" s="1"/>
  <c r="AA79" i="6"/>
  <c r="W445" i="6"/>
  <c r="W446" i="6" s="1"/>
  <c r="W447" i="6" s="1"/>
  <c r="AB79" i="6"/>
  <c r="Q445" i="6"/>
  <c r="Q446" i="6" s="1"/>
  <c r="Q447" i="6" s="1"/>
  <c r="Q217" i="6" s="1"/>
  <c r="X79" i="6"/>
  <c r="S79" i="6"/>
  <c r="J79" i="6"/>
  <c r="AE79" i="6"/>
  <c r="Y445" i="6"/>
  <c r="Y446" i="6" s="1"/>
  <c r="Y447" i="6" s="1"/>
  <c r="I445" i="6"/>
  <c r="I446" i="6" s="1"/>
  <c r="I447" i="6" s="1"/>
  <c r="K445" i="6"/>
  <c r="K446" i="6" s="1"/>
  <c r="K447" i="6" s="1"/>
  <c r="V79" i="6"/>
  <c r="T79" i="6"/>
  <c r="Q79" i="6"/>
  <c r="O79" i="6"/>
  <c r="AE445" i="6"/>
  <c r="AE446" i="6" s="1"/>
  <c r="AE447" i="6" s="1"/>
  <c r="J445" i="6"/>
  <c r="J446" i="6" s="1"/>
  <c r="J447" i="6" s="1"/>
  <c r="N445" i="6"/>
  <c r="N446" i="6" s="1"/>
  <c r="N447" i="6" s="1"/>
  <c r="H79" i="6"/>
  <c r="AD79" i="6"/>
  <c r="Y79" i="6"/>
  <c r="L79" i="6"/>
  <c r="R79" i="6"/>
  <c r="N79" i="6"/>
  <c r="AC79" i="6"/>
  <c r="AF445" i="6"/>
  <c r="AF446" i="6" s="1"/>
  <c r="AF447" i="6" s="1"/>
  <c r="AB445" i="6"/>
  <c r="AB446" i="6" s="1"/>
  <c r="AB447" i="6" s="1"/>
  <c r="AA445" i="6"/>
  <c r="AA446" i="6" s="1"/>
  <c r="AA447" i="6" s="1"/>
  <c r="AA10" i="6" s="1"/>
  <c r="U69" i="6"/>
  <c r="U479" i="6" s="1"/>
  <c r="H69" i="6"/>
  <c r="I69" i="6"/>
  <c r="I479" i="6" s="1"/>
  <c r="AC69" i="6"/>
  <c r="AC479" i="6" s="1"/>
  <c r="AE69" i="6"/>
  <c r="AE479" i="6" s="1"/>
  <c r="R69" i="6"/>
  <c r="R479" i="6" s="1"/>
  <c r="S69" i="6"/>
  <c r="S479" i="6" s="1"/>
  <c r="T69" i="6"/>
  <c r="T479" i="6" s="1"/>
  <c r="O69" i="6"/>
  <c r="O479" i="6" s="1"/>
  <c r="AF69" i="6"/>
  <c r="AF479" i="6" s="1"/>
  <c r="J69" i="6"/>
  <c r="J479" i="6" s="1"/>
  <c r="AB69" i="6"/>
  <c r="AB479" i="6" s="1"/>
  <c r="N69" i="6"/>
  <c r="N479" i="6" s="1"/>
  <c r="P69" i="6"/>
  <c r="P479" i="6" s="1"/>
  <c r="K69" i="6"/>
  <c r="K479" i="6" s="1"/>
  <c r="M69" i="6"/>
  <c r="M479" i="6" s="1"/>
  <c r="AA69" i="6"/>
  <c r="AA479" i="6" s="1"/>
  <c r="X69" i="6"/>
  <c r="X479" i="6" s="1"/>
  <c r="Q69" i="6"/>
  <c r="Q479" i="6" s="1"/>
  <c r="AD69" i="6"/>
  <c r="AD479" i="6" s="1"/>
  <c r="AG69" i="6"/>
  <c r="AG479" i="6" s="1"/>
  <c r="Y69" i="6"/>
  <c r="Y479" i="6" s="1"/>
  <c r="L69" i="6"/>
  <c r="L479" i="6" s="1"/>
  <c r="Z69" i="6"/>
  <c r="Z479" i="6" s="1"/>
  <c r="V69" i="6"/>
  <c r="V479" i="6" s="1"/>
  <c r="W69" i="6"/>
  <c r="W479" i="6" s="1"/>
  <c r="Q59" i="6"/>
  <c r="R59" i="6"/>
  <c r="AE59" i="6"/>
  <c r="U59" i="6"/>
  <c r="J115" i="6"/>
  <c r="AF115" i="6"/>
  <c r="Y59" i="6"/>
  <c r="AG59" i="6"/>
  <c r="K59" i="6"/>
  <c r="K457" i="6" s="1"/>
  <c r="AC59" i="6"/>
  <c r="I59" i="6"/>
  <c r="M115" i="6"/>
  <c r="Z115" i="6"/>
  <c r="K115" i="6"/>
  <c r="S59" i="6"/>
  <c r="V59" i="6"/>
  <c r="J59" i="6"/>
  <c r="J457" i="6" s="1"/>
  <c r="S115" i="6"/>
  <c r="AB115" i="6"/>
  <c r="AA115" i="6"/>
  <c r="X59" i="6"/>
  <c r="L115" i="6"/>
  <c r="Q115" i="6"/>
  <c r="T115" i="6"/>
  <c r="L59" i="6"/>
  <c r="AB59" i="6"/>
  <c r="M59" i="6"/>
  <c r="M457" i="6" s="1"/>
  <c r="AG115" i="6"/>
  <c r="W115" i="6"/>
  <c r="H115" i="6"/>
  <c r="R115" i="6"/>
  <c r="T59" i="6"/>
  <c r="Z59" i="6"/>
  <c r="H59" i="6"/>
  <c r="AD59" i="6"/>
  <c r="AD115" i="6"/>
  <c r="AC115" i="6"/>
  <c r="N115" i="6"/>
  <c r="V115" i="6"/>
  <c r="O59" i="6"/>
  <c r="AF59" i="6"/>
  <c r="AA59" i="6"/>
  <c r="P59" i="6"/>
  <c r="U115" i="6"/>
  <c r="Y115" i="6"/>
  <c r="AE115" i="6"/>
  <c r="X115" i="6"/>
  <c r="W59" i="6"/>
  <c r="N59" i="6"/>
  <c r="P115" i="6"/>
  <c r="I115" i="6"/>
  <c r="O115" i="6"/>
  <c r="K82" i="6"/>
  <c r="R82" i="6"/>
  <c r="X82" i="6"/>
  <c r="AA82" i="6"/>
  <c r="V82" i="6"/>
  <c r="M82" i="6"/>
  <c r="O82" i="6"/>
  <c r="AG82" i="6"/>
  <c r="P82" i="6"/>
  <c r="N82" i="6"/>
  <c r="J82" i="6"/>
  <c r="I82" i="6"/>
  <c r="Z82" i="6"/>
  <c r="AC82" i="6"/>
  <c r="U82" i="6"/>
  <c r="AE82" i="6"/>
  <c r="S82" i="6"/>
  <c r="AB82" i="6"/>
  <c r="AD82" i="6"/>
  <c r="Q82" i="6"/>
  <c r="Y82" i="6"/>
  <c r="L82" i="6"/>
  <c r="W82" i="6"/>
  <c r="T82" i="6"/>
  <c r="H82" i="6"/>
  <c r="AF82" i="6"/>
  <c r="X125" i="6"/>
  <c r="O125" i="6"/>
  <c r="M33" i="6"/>
  <c r="H216" i="6"/>
  <c r="AA125" i="6"/>
  <c r="Y125" i="6"/>
  <c r="I33" i="6"/>
  <c r="L33" i="6"/>
  <c r="K33" i="6"/>
  <c r="W33" i="6"/>
  <c r="AG216" i="6"/>
  <c r="X216" i="6"/>
  <c r="O105" i="6"/>
  <c r="U105" i="6"/>
  <c r="V105" i="6"/>
  <c r="AD170" i="6"/>
  <c r="K170" i="6"/>
  <c r="S170" i="6"/>
  <c r="AD92" i="6"/>
  <c r="H92" i="6"/>
  <c r="AG92" i="6"/>
  <c r="V92" i="6"/>
  <c r="I193" i="6"/>
  <c r="X193" i="6"/>
  <c r="O193" i="6"/>
  <c r="T193" i="6"/>
  <c r="J125" i="6"/>
  <c r="T125" i="6"/>
  <c r="Z33" i="6"/>
  <c r="V216" i="6"/>
  <c r="Q125" i="6"/>
  <c r="Z125" i="6"/>
  <c r="S125" i="6"/>
  <c r="V33" i="6"/>
  <c r="T33" i="6"/>
  <c r="O33" i="6"/>
  <c r="Y216" i="6"/>
  <c r="I216" i="6"/>
  <c r="AD216" i="6"/>
  <c r="W105" i="6"/>
  <c r="R105" i="6"/>
  <c r="K105" i="6"/>
  <c r="Z170" i="6"/>
  <c r="P170" i="6"/>
  <c r="L170" i="6"/>
  <c r="M92" i="6"/>
  <c r="R92" i="6"/>
  <c r="N92" i="6"/>
  <c r="K92" i="6"/>
  <c r="H193" i="6"/>
  <c r="Z193" i="6"/>
  <c r="R193" i="6"/>
  <c r="U33" i="6"/>
  <c r="AG125" i="6"/>
  <c r="X33" i="6"/>
  <c r="M125" i="6"/>
  <c r="K125" i="6"/>
  <c r="N125" i="6"/>
  <c r="L125" i="6"/>
  <c r="Y33" i="6"/>
  <c r="AE33" i="6"/>
  <c r="AF216" i="6"/>
  <c r="AB216" i="6"/>
  <c r="N216" i="6"/>
  <c r="M105" i="6"/>
  <c r="N105" i="6"/>
  <c r="AB105" i="6"/>
  <c r="Y105" i="6"/>
  <c r="AA170" i="6"/>
  <c r="AC170" i="6"/>
  <c r="W170" i="6"/>
  <c r="AC92" i="6"/>
  <c r="AA92" i="6"/>
  <c r="L92" i="6"/>
  <c r="S193" i="6"/>
  <c r="AA193" i="6"/>
  <c r="U193" i="6"/>
  <c r="P33" i="6"/>
  <c r="AA216" i="6"/>
  <c r="AG105" i="6"/>
  <c r="AA105" i="6"/>
  <c r="Q105" i="6"/>
  <c r="AF105" i="6"/>
  <c r="AE170" i="6"/>
  <c r="H170" i="6"/>
  <c r="Y170" i="6"/>
  <c r="Q170" i="6"/>
  <c r="Z92" i="6"/>
  <c r="U92" i="6"/>
  <c r="Y92" i="6"/>
  <c r="K193" i="6"/>
  <c r="L193" i="6"/>
  <c r="AB193" i="6"/>
  <c r="J33" i="6"/>
  <c r="O216" i="6"/>
  <c r="V125" i="6"/>
  <c r="I125" i="6"/>
  <c r="W125" i="6"/>
  <c r="Q33" i="6"/>
  <c r="N33" i="6"/>
  <c r="R33" i="6"/>
  <c r="P216" i="6"/>
  <c r="U216" i="6"/>
  <c r="AC216" i="6"/>
  <c r="Z216" i="6"/>
  <c r="AE105" i="6"/>
  <c r="J105" i="6"/>
  <c r="S105" i="6"/>
  <c r="I105" i="6"/>
  <c r="AF170" i="6"/>
  <c r="J170" i="6"/>
  <c r="I170" i="6"/>
  <c r="M170" i="6"/>
  <c r="AE92" i="6"/>
  <c r="AF92" i="6"/>
  <c r="AC193" i="6"/>
  <c r="Q193" i="6"/>
  <c r="N193" i="6"/>
  <c r="AE216" i="6"/>
  <c r="AB125" i="6"/>
  <c r="AD125" i="6"/>
  <c r="AC125" i="6"/>
  <c r="AC33" i="6"/>
  <c r="AB33" i="6"/>
  <c r="S33" i="6"/>
  <c r="T216" i="6"/>
  <c r="L216" i="6"/>
  <c r="Q216" i="6"/>
  <c r="J216" i="6"/>
  <c r="AD105" i="6"/>
  <c r="H105" i="6"/>
  <c r="N170" i="6"/>
  <c r="T170" i="6"/>
  <c r="V170" i="6"/>
  <c r="I92" i="6"/>
  <c r="P92" i="6"/>
  <c r="J92" i="6"/>
  <c r="P193" i="6"/>
  <c r="AF193" i="6"/>
  <c r="AE193" i="6"/>
  <c r="U125" i="6"/>
  <c r="M216" i="6"/>
  <c r="AE125" i="6"/>
  <c r="H125" i="6"/>
  <c r="R125" i="6"/>
  <c r="AF125" i="6"/>
  <c r="AF33" i="6"/>
  <c r="AA33" i="6"/>
  <c r="AD33" i="6"/>
  <c r="AG33" i="6"/>
  <c r="W216" i="6"/>
  <c r="S216" i="6"/>
  <c r="K216" i="6"/>
  <c r="X105" i="6"/>
  <c r="Z105" i="6"/>
  <c r="T105" i="6"/>
  <c r="AB170" i="6"/>
  <c r="R170" i="6"/>
  <c r="X170" i="6"/>
  <c r="W92" i="6"/>
  <c r="T92" i="6"/>
  <c r="S92" i="6"/>
  <c r="X92" i="6"/>
  <c r="W193" i="6"/>
  <c r="Y193" i="6"/>
  <c r="J193" i="6"/>
  <c r="AG193" i="6"/>
  <c r="P125" i="6"/>
  <c r="H33" i="6"/>
  <c r="R216" i="6"/>
  <c r="P105" i="6"/>
  <c r="L105" i="6"/>
  <c r="AC105" i="6"/>
  <c r="U170" i="6"/>
  <c r="O170" i="6"/>
  <c r="AG170" i="6"/>
  <c r="Q92" i="6"/>
  <c r="O92" i="6"/>
  <c r="AB92" i="6"/>
  <c r="M193" i="6"/>
  <c r="AD193" i="6"/>
  <c r="V193" i="6"/>
  <c r="U86" i="6"/>
  <c r="Z9" i="6"/>
  <c r="AF86" i="6"/>
  <c r="I86" i="6"/>
  <c r="J86" i="6"/>
  <c r="AC9" i="6"/>
  <c r="O9" i="6"/>
  <c r="Q86" i="6"/>
  <c r="S86" i="6"/>
  <c r="L86" i="6"/>
  <c r="R86" i="6"/>
  <c r="N86" i="6"/>
  <c r="K9" i="6"/>
  <c r="R9" i="6"/>
  <c r="AF9" i="6"/>
  <c r="AD86" i="6"/>
  <c r="AG9" i="6"/>
  <c r="Z86" i="6"/>
  <c r="AE86" i="6"/>
  <c r="P86" i="6"/>
  <c r="Q9" i="6"/>
  <c r="U9" i="6"/>
  <c r="M9" i="6"/>
  <c r="W9" i="6"/>
  <c r="N9" i="6"/>
  <c r="AB9" i="6"/>
  <c r="AE9" i="6"/>
  <c r="AA86" i="6"/>
  <c r="M86" i="6"/>
  <c r="K86" i="6"/>
  <c r="T9" i="6"/>
  <c r="Y9" i="6"/>
  <c r="L9" i="6"/>
  <c r="AA9" i="6"/>
  <c r="V86" i="6"/>
  <c r="W86" i="6"/>
  <c r="H86" i="6"/>
  <c r="AB86" i="6"/>
  <c r="AC86" i="6"/>
  <c r="H9" i="6"/>
  <c r="I9" i="6"/>
  <c r="P9" i="6"/>
  <c r="V9" i="6"/>
  <c r="O86" i="6"/>
  <c r="AG86" i="6"/>
  <c r="T86" i="6"/>
  <c r="X86" i="6"/>
  <c r="AD9" i="6"/>
  <c r="S9" i="6"/>
  <c r="J9" i="6"/>
  <c r="Y86" i="6"/>
  <c r="X9" i="6"/>
  <c r="S109" i="6"/>
  <c r="L109" i="6"/>
  <c r="J109" i="6"/>
  <c r="U109" i="6"/>
  <c r="T109" i="6"/>
  <c r="Z66" i="6"/>
  <c r="Z478" i="6" s="1"/>
  <c r="M66" i="6"/>
  <c r="M478" i="6" s="1"/>
  <c r="K66" i="6"/>
  <c r="K478" i="6" s="1"/>
  <c r="P66" i="6"/>
  <c r="P478" i="6" s="1"/>
  <c r="AD219" i="6"/>
  <c r="AA219" i="6"/>
  <c r="I219" i="6"/>
  <c r="M138" i="6"/>
  <c r="V138" i="6"/>
  <c r="Z138" i="6"/>
  <c r="J138" i="6"/>
  <c r="H173" i="6"/>
  <c r="X173" i="6"/>
  <c r="AE173" i="6"/>
  <c r="AC36" i="6"/>
  <c r="V36" i="6"/>
  <c r="AG128" i="6"/>
  <c r="AB128" i="6"/>
  <c r="J128" i="6"/>
  <c r="K206" i="6"/>
  <c r="I206" i="6"/>
  <c r="AD206" i="6"/>
  <c r="J183" i="6"/>
  <c r="R183" i="6"/>
  <c r="AA183" i="6"/>
  <c r="K196" i="6"/>
  <c r="P196" i="6"/>
  <c r="W196" i="6"/>
  <c r="V196" i="6"/>
  <c r="Y46" i="6"/>
  <c r="X46" i="6"/>
  <c r="O46" i="6"/>
  <c r="P229" i="6"/>
  <c r="N229" i="6"/>
  <c r="R229" i="6"/>
  <c r="V109" i="6"/>
  <c r="H109" i="6"/>
  <c r="AC109" i="6"/>
  <c r="I109" i="6"/>
  <c r="K109" i="6"/>
  <c r="Y109" i="6"/>
  <c r="N66" i="6"/>
  <c r="N478" i="6" s="1"/>
  <c r="U66" i="6"/>
  <c r="U478" i="6" s="1"/>
  <c r="X66" i="6"/>
  <c r="X478" i="6" s="1"/>
  <c r="P219" i="6"/>
  <c r="V219" i="6"/>
  <c r="AB219" i="6"/>
  <c r="L138" i="6"/>
  <c r="I138" i="6"/>
  <c r="U138" i="6"/>
  <c r="J173" i="6"/>
  <c r="AF173" i="6"/>
  <c r="T173" i="6"/>
  <c r="H36" i="6"/>
  <c r="Z36" i="6"/>
  <c r="J36" i="6"/>
  <c r="R128" i="6"/>
  <c r="I128" i="6"/>
  <c r="K128" i="6"/>
  <c r="L206" i="6"/>
  <c r="W206" i="6"/>
  <c r="Q206" i="6"/>
  <c r="K183" i="6"/>
  <c r="N183" i="6"/>
  <c r="X196" i="6"/>
  <c r="R196" i="6"/>
  <c r="AG196" i="6"/>
  <c r="AC196" i="6"/>
  <c r="AA46" i="6"/>
  <c r="I46" i="6"/>
  <c r="V229" i="6"/>
  <c r="AA229" i="6"/>
  <c r="AD229" i="6"/>
  <c r="AE109" i="6"/>
  <c r="R109" i="6"/>
  <c r="Q66" i="6"/>
  <c r="Q478" i="6" s="1"/>
  <c r="H66" i="6"/>
  <c r="H478" i="6" s="1"/>
  <c r="L66" i="6"/>
  <c r="L478" i="6" s="1"/>
  <c r="W66" i="6"/>
  <c r="W478" i="6" s="1"/>
  <c r="N219" i="6"/>
  <c r="H219" i="6"/>
  <c r="AC219" i="6"/>
  <c r="L219" i="6"/>
  <c r="P138" i="6"/>
  <c r="Y138" i="6"/>
  <c r="W173" i="6"/>
  <c r="O173" i="6"/>
  <c r="L173" i="6"/>
  <c r="AF36" i="6"/>
  <c r="AE36" i="6"/>
  <c r="K36" i="6"/>
  <c r="S128" i="6"/>
  <c r="W128" i="6"/>
  <c r="AC128" i="6"/>
  <c r="AE128" i="6"/>
  <c r="M206" i="6"/>
  <c r="X206" i="6"/>
  <c r="AB206" i="6"/>
  <c r="V183" i="6"/>
  <c r="Z183" i="6"/>
  <c r="M183" i="6"/>
  <c r="L196" i="6"/>
  <c r="U196" i="6"/>
  <c r="AB196" i="6"/>
  <c r="Y196" i="6"/>
  <c r="R46" i="6"/>
  <c r="AG46" i="6"/>
  <c r="U46" i="6"/>
  <c r="Z229" i="6"/>
  <c r="I229" i="6"/>
  <c r="J229" i="6"/>
  <c r="J509" i="6" s="1"/>
  <c r="AG109" i="6"/>
  <c r="N109" i="6"/>
  <c r="M109" i="6"/>
  <c r="W109" i="6"/>
  <c r="Y66" i="6"/>
  <c r="Y478" i="6" s="1"/>
  <c r="O66" i="6"/>
  <c r="O478" i="6" s="1"/>
  <c r="R66" i="6"/>
  <c r="R478" i="6" s="1"/>
  <c r="O219" i="6"/>
  <c r="AE219" i="6"/>
  <c r="X219" i="6"/>
  <c r="AA138" i="6"/>
  <c r="W138" i="6"/>
  <c r="T138" i="6"/>
  <c r="AB173" i="6"/>
  <c r="AC173" i="6"/>
  <c r="AG173" i="6"/>
  <c r="M173" i="6"/>
  <c r="X36" i="6"/>
  <c r="Q36" i="6"/>
  <c r="Y36" i="6"/>
  <c r="L128" i="6"/>
  <c r="M128" i="6"/>
  <c r="AF128" i="6"/>
  <c r="H128" i="6"/>
  <c r="P206" i="6"/>
  <c r="Y206" i="6"/>
  <c r="AG206" i="6"/>
  <c r="O183" i="6"/>
  <c r="S183" i="6"/>
  <c r="I183" i="6"/>
  <c r="AE196" i="6"/>
  <c r="N196" i="6"/>
  <c r="H196" i="6"/>
  <c r="S46" i="6"/>
  <c r="M46" i="6"/>
  <c r="AE46" i="6"/>
  <c r="U229" i="6"/>
  <c r="Q229" i="6"/>
  <c r="K229" i="6"/>
  <c r="AC229" i="6"/>
  <c r="AB109" i="6"/>
  <c r="P109" i="6"/>
  <c r="AD66" i="6"/>
  <c r="AD478" i="6" s="1"/>
  <c r="AG66" i="6"/>
  <c r="AG478" i="6" s="1"/>
  <c r="I66" i="6"/>
  <c r="I478" i="6" s="1"/>
  <c r="J219" i="6"/>
  <c r="Y219" i="6"/>
  <c r="Z219" i="6"/>
  <c r="Q219" i="6"/>
  <c r="H138" i="6"/>
  <c r="Q138" i="6"/>
  <c r="AF138" i="6"/>
  <c r="V173" i="6"/>
  <c r="AD173" i="6"/>
  <c r="P173" i="6"/>
  <c r="S173" i="6"/>
  <c r="L36" i="6"/>
  <c r="P36" i="6"/>
  <c r="I36" i="6"/>
  <c r="V128" i="6"/>
  <c r="P128" i="6"/>
  <c r="T128" i="6"/>
  <c r="T206" i="6"/>
  <c r="J206" i="6"/>
  <c r="V206" i="6"/>
  <c r="U183" i="6"/>
  <c r="L183" i="6"/>
  <c r="AE183" i="6"/>
  <c r="Z196" i="6"/>
  <c r="Q196" i="6"/>
  <c r="AF196" i="6"/>
  <c r="AF46" i="6"/>
  <c r="K46" i="6"/>
  <c r="H46" i="6"/>
  <c r="W46" i="6"/>
  <c r="S229" i="6"/>
  <c r="Y229" i="6"/>
  <c r="AG229" i="6"/>
  <c r="AF229" i="6"/>
  <c r="X109" i="6"/>
  <c r="AA109" i="6"/>
  <c r="T66" i="6"/>
  <c r="T478" i="6" s="1"/>
  <c r="AF66" i="6"/>
  <c r="AF478" i="6" s="1"/>
  <c r="AC66" i="6"/>
  <c r="AC478" i="6" s="1"/>
  <c r="U219" i="6"/>
  <c r="S219" i="6"/>
  <c r="R219" i="6"/>
  <c r="S138" i="6"/>
  <c r="AB138" i="6"/>
  <c r="AC138" i="6"/>
  <c r="N173" i="6"/>
  <c r="K173" i="6"/>
  <c r="U173" i="6"/>
  <c r="R36" i="6"/>
  <c r="M36" i="6"/>
  <c r="S36" i="6"/>
  <c r="T36" i="6"/>
  <c r="N128" i="6"/>
  <c r="X128" i="6"/>
  <c r="AA128" i="6"/>
  <c r="H206" i="6"/>
  <c r="S206" i="6"/>
  <c r="R206" i="6"/>
  <c r="N206" i="6"/>
  <c r="H183" i="6"/>
  <c r="AC183" i="6"/>
  <c r="T183" i="6"/>
  <c r="P183" i="6"/>
  <c r="O196" i="6"/>
  <c r="AA196" i="6"/>
  <c r="V46" i="6"/>
  <c r="P46" i="6"/>
  <c r="Z46" i="6"/>
  <c r="AC46" i="6"/>
  <c r="M229" i="6"/>
  <c r="W229" i="6"/>
  <c r="H229" i="6"/>
  <c r="AF109" i="6"/>
  <c r="Q109" i="6"/>
  <c r="AA66" i="6"/>
  <c r="AA478" i="6" s="1"/>
  <c r="J66" i="6"/>
  <c r="J478" i="6" s="1"/>
  <c r="AF219" i="6"/>
  <c r="K219" i="6"/>
  <c r="M219" i="6"/>
  <c r="X138" i="6"/>
  <c r="AD138" i="6"/>
  <c r="AE138" i="6"/>
  <c r="O138" i="6"/>
  <c r="Z173" i="6"/>
  <c r="R173" i="6"/>
  <c r="I173" i="6"/>
  <c r="U36" i="6"/>
  <c r="AD36" i="6"/>
  <c r="AB36" i="6"/>
  <c r="AA36" i="6"/>
  <c r="Q128" i="6"/>
  <c r="U128" i="6"/>
  <c r="Z128" i="6"/>
  <c r="U206" i="6"/>
  <c r="AF206" i="6"/>
  <c r="AE206" i="6"/>
  <c r="AC206" i="6"/>
  <c r="X183" i="6"/>
  <c r="AG183" i="6"/>
  <c r="AF183" i="6"/>
  <c r="Y183" i="6"/>
  <c r="AD196" i="6"/>
  <c r="I196" i="6"/>
  <c r="S196" i="6"/>
  <c r="Q46" i="6"/>
  <c r="J46" i="6"/>
  <c r="AB46" i="6"/>
  <c r="L46" i="6"/>
  <c r="AE229" i="6"/>
  <c r="L229" i="6"/>
  <c r="T229" i="6"/>
  <c r="AD109" i="6"/>
  <c r="Z109" i="6"/>
  <c r="O109" i="6"/>
  <c r="AE66" i="6"/>
  <c r="AE478" i="6" s="1"/>
  <c r="S66" i="6"/>
  <c r="S478" i="6" s="1"/>
  <c r="V66" i="6"/>
  <c r="V478" i="6" s="1"/>
  <c r="AB66" i="6"/>
  <c r="AB478" i="6" s="1"/>
  <c r="W219" i="6"/>
  <c r="T219" i="6"/>
  <c r="AG219" i="6"/>
  <c r="K138" i="6"/>
  <c r="R138" i="6"/>
  <c r="N138" i="6"/>
  <c r="AG138" i="6"/>
  <c r="AA173" i="6"/>
  <c r="Q173" i="6"/>
  <c r="Y173" i="6"/>
  <c r="N36" i="6"/>
  <c r="AG36" i="6"/>
  <c r="W36" i="6"/>
  <c r="O36" i="6"/>
  <c r="Y128" i="6"/>
  <c r="O128" i="6"/>
  <c r="AD128" i="6"/>
  <c r="Z206" i="6"/>
  <c r="AA206" i="6"/>
  <c r="O206" i="6"/>
  <c r="W183" i="6"/>
  <c r="AD183" i="6"/>
  <c r="Q183" i="6"/>
  <c r="AB183" i="6"/>
  <c r="J196" i="6"/>
  <c r="T196" i="6"/>
  <c r="M196" i="6"/>
  <c r="T46" i="6"/>
  <c r="AD46" i="6"/>
  <c r="N46" i="6"/>
  <c r="AB229" i="6"/>
  <c r="X229" i="6"/>
  <c r="O229" i="6"/>
  <c r="N89" i="6"/>
  <c r="W89" i="6"/>
  <c r="AE112" i="6"/>
  <c r="H89" i="6"/>
  <c r="AB89" i="6"/>
  <c r="R89" i="6"/>
  <c r="AG112" i="6"/>
  <c r="I112" i="6"/>
  <c r="AA22" i="6"/>
  <c r="I22" i="6"/>
  <c r="AG22" i="6"/>
  <c r="J12" i="6"/>
  <c r="N12" i="6"/>
  <c r="K12" i="6"/>
  <c r="T89" i="6"/>
  <c r="Q89" i="6"/>
  <c r="AE89" i="6"/>
  <c r="J89" i="6"/>
  <c r="I89" i="6"/>
  <c r="AC89" i="6"/>
  <c r="Y89" i="6"/>
  <c r="H112" i="6"/>
  <c r="X112" i="6"/>
  <c r="S112" i="6"/>
  <c r="V22" i="6"/>
  <c r="P22" i="6"/>
  <c r="Q12" i="6"/>
  <c r="O12" i="6"/>
  <c r="I12" i="6"/>
  <c r="U89" i="6"/>
  <c r="AA89" i="6"/>
  <c r="M89" i="6"/>
  <c r="P89" i="6"/>
  <c r="Z89" i="6"/>
  <c r="P112" i="6"/>
  <c r="M112" i="6"/>
  <c r="U112" i="6"/>
  <c r="Z112" i="6"/>
  <c r="O22" i="6"/>
  <c r="H22" i="6"/>
  <c r="U22" i="6"/>
  <c r="W22" i="6"/>
  <c r="AA12" i="6"/>
  <c r="V12" i="6"/>
  <c r="AA112" i="6"/>
  <c r="L112" i="6"/>
  <c r="AC112" i="6"/>
  <c r="AD112" i="6"/>
  <c r="AB22" i="6"/>
  <c r="AD22" i="6"/>
  <c r="S22" i="6"/>
  <c r="Q22" i="6"/>
  <c r="AF12" i="6"/>
  <c r="U12" i="6"/>
  <c r="AC12" i="6"/>
  <c r="AB112" i="6"/>
  <c r="R112" i="6"/>
  <c r="Y112" i="6"/>
  <c r="K112" i="6"/>
  <c r="AE22" i="6"/>
  <c r="T22" i="6"/>
  <c r="K22" i="6"/>
  <c r="Z22" i="6"/>
  <c r="Y12" i="6"/>
  <c r="H12" i="6"/>
  <c r="AB12" i="6"/>
  <c r="S89" i="6"/>
  <c r="AD89" i="6"/>
  <c r="T112" i="6"/>
  <c r="AF112" i="6"/>
  <c r="M22" i="6"/>
  <c r="AF22" i="6"/>
  <c r="AC22" i="6"/>
  <c r="L12" i="6"/>
  <c r="AG12" i="6"/>
  <c r="W12" i="6"/>
  <c r="AE12" i="6"/>
  <c r="AF89" i="6"/>
  <c r="K89" i="6"/>
  <c r="N112" i="6"/>
  <c r="AG89" i="6"/>
  <c r="X89" i="6"/>
  <c r="V89" i="6"/>
  <c r="O89" i="6"/>
  <c r="J112" i="6"/>
  <c r="O112" i="6"/>
  <c r="Q112" i="6"/>
  <c r="R22" i="6"/>
  <c r="N22" i="6"/>
  <c r="X22" i="6"/>
  <c r="P12" i="6"/>
  <c r="X12" i="6"/>
  <c r="Z12" i="6"/>
  <c r="AD12" i="6"/>
  <c r="L89" i="6"/>
  <c r="V112" i="6"/>
  <c r="W112" i="6"/>
  <c r="J22" i="6"/>
  <c r="L22" i="6"/>
  <c r="Y22" i="6"/>
  <c r="R12" i="6"/>
  <c r="T12" i="6"/>
  <c r="M12" i="6"/>
  <c r="S12" i="6"/>
  <c r="N337" i="6"/>
  <c r="AC337" i="6"/>
  <c r="AD337" i="6"/>
  <c r="Q337" i="6"/>
  <c r="W337" i="6"/>
  <c r="AA337" i="6"/>
  <c r="AB337" i="6"/>
  <c r="U337" i="6"/>
  <c r="AF337" i="6"/>
  <c r="V337" i="6"/>
  <c r="AG337" i="6"/>
  <c r="P337" i="6"/>
  <c r="O337" i="6"/>
  <c r="L337" i="6"/>
  <c r="M337" i="6"/>
  <c r="Z337" i="6"/>
  <c r="T337" i="6"/>
  <c r="AE337" i="6"/>
  <c r="Y337" i="6"/>
  <c r="S337" i="6"/>
  <c r="X337" i="6"/>
  <c r="R337" i="6"/>
  <c r="L40" i="6"/>
  <c r="P40" i="6"/>
  <c r="W177" i="6"/>
  <c r="W40" i="6"/>
  <c r="I40" i="6"/>
  <c r="AC40" i="6"/>
  <c r="V40" i="6"/>
  <c r="AB177" i="6"/>
  <c r="P177" i="6"/>
  <c r="AF177" i="6"/>
  <c r="S200" i="6"/>
  <c r="X200" i="6"/>
  <c r="Q200" i="6"/>
  <c r="J148" i="6"/>
  <c r="AD148" i="6"/>
  <c r="Q132" i="6"/>
  <c r="AF132" i="6"/>
  <c r="AC132" i="6"/>
  <c r="AG223" i="6"/>
  <c r="L223" i="6"/>
  <c r="L499" i="6" s="1"/>
  <c r="AB223" i="6"/>
  <c r="Z135" i="6"/>
  <c r="AD135" i="6"/>
  <c r="AC135" i="6"/>
  <c r="H180" i="6"/>
  <c r="I180" i="6"/>
  <c r="AG180" i="6"/>
  <c r="T203" i="6"/>
  <c r="L203" i="6"/>
  <c r="X203" i="6"/>
  <c r="I203" i="6"/>
  <c r="Z161" i="6"/>
  <c r="I161" i="6"/>
  <c r="AC161" i="6"/>
  <c r="O16" i="6"/>
  <c r="AD151" i="6"/>
  <c r="AG151" i="6"/>
  <c r="AF226" i="6"/>
  <c r="AB226" i="6"/>
  <c r="U226" i="6"/>
  <c r="K43" i="6"/>
  <c r="L43" i="6"/>
  <c r="AA40" i="6"/>
  <c r="K40" i="6"/>
  <c r="V177" i="6"/>
  <c r="R40" i="6"/>
  <c r="Q40" i="6"/>
  <c r="U40" i="6"/>
  <c r="AC177" i="6"/>
  <c r="I177" i="6"/>
  <c r="Y200" i="6"/>
  <c r="T200" i="6"/>
  <c r="AE200" i="6"/>
  <c r="K200" i="6"/>
  <c r="T148" i="6"/>
  <c r="V148" i="6"/>
  <c r="O148" i="6"/>
  <c r="O132" i="6"/>
  <c r="P132" i="6"/>
  <c r="AG132" i="6"/>
  <c r="W132" i="6"/>
  <c r="N223" i="6"/>
  <c r="AA223" i="6"/>
  <c r="AE223" i="6"/>
  <c r="V223" i="6"/>
  <c r="K135" i="6"/>
  <c r="AG135" i="6"/>
  <c r="L135" i="6"/>
  <c r="U180" i="6"/>
  <c r="L180" i="6"/>
  <c r="V180" i="6"/>
  <c r="V203" i="6"/>
  <c r="M203" i="6"/>
  <c r="K203" i="6"/>
  <c r="Y203" i="6"/>
  <c r="Q161" i="6"/>
  <c r="R161" i="6"/>
  <c r="AF16" i="6"/>
  <c r="H16" i="6"/>
  <c r="AB151" i="6"/>
  <c r="AF151" i="6"/>
  <c r="W226" i="6"/>
  <c r="R226" i="6"/>
  <c r="Q226" i="6"/>
  <c r="S43" i="6"/>
  <c r="J43" i="6"/>
  <c r="Y43" i="6"/>
  <c r="H177" i="6"/>
  <c r="X40" i="6"/>
  <c r="Y40" i="6"/>
  <c r="AF40" i="6"/>
  <c r="Y177" i="6"/>
  <c r="U177" i="6"/>
  <c r="M177" i="6"/>
  <c r="AB200" i="6"/>
  <c r="N200" i="6"/>
  <c r="AA200" i="6"/>
  <c r="AB148" i="6"/>
  <c r="N148" i="6"/>
  <c r="Y148" i="6"/>
  <c r="K132" i="6"/>
  <c r="I132" i="6"/>
  <c r="AA132" i="6"/>
  <c r="L132" i="6"/>
  <c r="M223" i="6"/>
  <c r="H223" i="6"/>
  <c r="H499" i="6" s="1"/>
  <c r="T223" i="6"/>
  <c r="O223" i="6"/>
  <c r="H135" i="6"/>
  <c r="I135" i="6"/>
  <c r="Y135" i="6"/>
  <c r="K180" i="6"/>
  <c r="T180" i="6"/>
  <c r="AA203" i="6"/>
  <c r="U203" i="6"/>
  <c r="N203" i="6"/>
  <c r="P203" i="6"/>
  <c r="W161" i="6"/>
  <c r="AG161" i="6"/>
  <c r="AB161" i="6"/>
  <c r="X16" i="6"/>
  <c r="AA16" i="6"/>
  <c r="V151" i="6"/>
  <c r="I151" i="6"/>
  <c r="Z226" i="6"/>
  <c r="P226" i="6"/>
  <c r="X226" i="6"/>
  <c r="AE43" i="6"/>
  <c r="I43" i="6"/>
  <c r="AB43" i="6"/>
  <c r="N40" i="6"/>
  <c r="AB40" i="6"/>
  <c r="AE40" i="6"/>
  <c r="X177" i="6"/>
  <c r="J177" i="6"/>
  <c r="AA177" i="6"/>
  <c r="R200" i="6"/>
  <c r="P200" i="6"/>
  <c r="L200" i="6"/>
  <c r="I200" i="6"/>
  <c r="M148" i="6"/>
  <c r="U148" i="6"/>
  <c r="Q148" i="6"/>
  <c r="AE148" i="6"/>
  <c r="N132" i="6"/>
  <c r="T132" i="6"/>
  <c r="V132" i="6"/>
  <c r="P223" i="6"/>
  <c r="AD223" i="6"/>
  <c r="J223" i="6"/>
  <c r="J499" i="6" s="1"/>
  <c r="AA135" i="6"/>
  <c r="N135" i="6"/>
  <c r="W135" i="6"/>
  <c r="AE135" i="6"/>
  <c r="S180" i="6"/>
  <c r="J180" i="6"/>
  <c r="O180" i="6"/>
  <c r="AD203" i="6"/>
  <c r="H203" i="6"/>
  <c r="S161" i="6"/>
  <c r="U161" i="6"/>
  <c r="J161" i="6"/>
  <c r="AB16" i="6"/>
  <c r="K16" i="6"/>
  <c r="AA151" i="6"/>
  <c r="X151" i="6"/>
  <c r="V226" i="6"/>
  <c r="AG226" i="6"/>
  <c r="K226" i="6"/>
  <c r="T226" i="6"/>
  <c r="H43" i="6"/>
  <c r="O43" i="6"/>
  <c r="P43" i="6"/>
  <c r="AG40" i="6"/>
  <c r="Q177" i="6"/>
  <c r="AE177" i="6"/>
  <c r="O200" i="6"/>
  <c r="V200" i="6"/>
  <c r="AG200" i="6"/>
  <c r="W148" i="6"/>
  <c r="L148" i="6"/>
  <c r="S148" i="6"/>
  <c r="Z148" i="6"/>
  <c r="AB132" i="6"/>
  <c r="X132" i="6"/>
  <c r="Y132" i="6"/>
  <c r="S223" i="6"/>
  <c r="AC223" i="6"/>
  <c r="AF223" i="6"/>
  <c r="R135" i="6"/>
  <c r="P135" i="6"/>
  <c r="S135" i="6"/>
  <c r="AA180" i="6"/>
  <c r="AE180" i="6"/>
  <c r="Q180" i="6"/>
  <c r="R203" i="6"/>
  <c r="Z203" i="6"/>
  <c r="AG203" i="6"/>
  <c r="AF161" i="6"/>
  <c r="K161" i="6"/>
  <c r="Y161" i="6"/>
  <c r="Q16" i="6"/>
  <c r="U16" i="6"/>
  <c r="M151" i="6"/>
  <c r="H151" i="6"/>
  <c r="P151" i="6"/>
  <c r="J226" i="6"/>
  <c r="J504" i="6" s="1"/>
  <c r="L226" i="6"/>
  <c r="Y226" i="6"/>
  <c r="AA226" i="6"/>
  <c r="U43" i="6"/>
  <c r="X43" i="6"/>
  <c r="Q43" i="6"/>
  <c r="AG177" i="6"/>
  <c r="K177" i="6"/>
  <c r="AC200" i="6"/>
  <c r="H200" i="6"/>
  <c r="AF148" i="6"/>
  <c r="AC148" i="6"/>
  <c r="P148" i="6"/>
  <c r="H148" i="6"/>
  <c r="S132" i="6"/>
  <c r="Z132" i="6"/>
  <c r="AD132" i="6"/>
  <c r="Q223" i="6"/>
  <c r="U223" i="6"/>
  <c r="R223" i="6"/>
  <c r="J135" i="6"/>
  <c r="AF135" i="6"/>
  <c r="U135" i="6"/>
  <c r="AB135" i="6"/>
  <c r="X180" i="6"/>
  <c r="Z180" i="6"/>
  <c r="R180" i="6"/>
  <c r="AF180" i="6"/>
  <c r="W203" i="6"/>
  <c r="J203" i="6"/>
  <c r="S203" i="6"/>
  <c r="O161" i="6"/>
  <c r="M161" i="6"/>
  <c r="L161" i="6"/>
  <c r="AD161" i="6"/>
  <c r="R16" i="6"/>
  <c r="P16" i="6"/>
  <c r="N151" i="6"/>
  <c r="AC151" i="6"/>
  <c r="I226" i="6"/>
  <c r="N226" i="6"/>
  <c r="AC226" i="6"/>
  <c r="AA43" i="6"/>
  <c r="AF43" i="6"/>
  <c r="AD43" i="6"/>
  <c r="AC43" i="6"/>
  <c r="H40" i="6"/>
  <c r="L177" i="6"/>
  <c r="AD40" i="6"/>
  <c r="J40" i="6"/>
  <c r="S40" i="6"/>
  <c r="AD177" i="6"/>
  <c r="Z177" i="6"/>
  <c r="R177" i="6"/>
  <c r="S177" i="6"/>
  <c r="J200" i="6"/>
  <c r="U200" i="6"/>
  <c r="AF200" i="6"/>
  <c r="AA148" i="6"/>
  <c r="R148" i="6"/>
  <c r="X148" i="6"/>
  <c r="J132" i="6"/>
  <c r="M132" i="6"/>
  <c r="U132" i="6"/>
  <c r="W223" i="6"/>
  <c r="K223" i="6"/>
  <c r="K499" i="6" s="1"/>
  <c r="Y223" i="6"/>
  <c r="X135" i="6"/>
  <c r="O135" i="6"/>
  <c r="M135" i="6"/>
  <c r="Y180" i="6"/>
  <c r="AB180" i="6"/>
  <c r="W180" i="6"/>
  <c r="N180" i="6"/>
  <c r="AE203" i="6"/>
  <c r="O203" i="6"/>
  <c r="Q203" i="6"/>
  <c r="P161" i="6"/>
  <c r="X161" i="6"/>
  <c r="AA161" i="6"/>
  <c r="T161" i="6"/>
  <c r="I16" i="6"/>
  <c r="AC16" i="6"/>
  <c r="Y151" i="6"/>
  <c r="Q151" i="6"/>
  <c r="O226" i="6"/>
  <c r="H226" i="6"/>
  <c r="AE226" i="6"/>
  <c r="N43" i="6"/>
  <c r="Z43" i="6"/>
  <c r="W43" i="6"/>
  <c r="R43" i="6"/>
  <c r="Z40" i="6"/>
  <c r="M40" i="6"/>
  <c r="AD200" i="6"/>
  <c r="T40" i="6"/>
  <c r="O40" i="6"/>
  <c r="O177" i="6"/>
  <c r="N177" i="6"/>
  <c r="T177" i="6"/>
  <c r="Z200" i="6"/>
  <c r="M200" i="6"/>
  <c r="W200" i="6"/>
  <c r="I148" i="6"/>
  <c r="AG148" i="6"/>
  <c r="K148" i="6"/>
  <c r="R132" i="6"/>
  <c r="AE132" i="6"/>
  <c r="H132" i="6"/>
  <c r="X223" i="6"/>
  <c r="Z223" i="6"/>
  <c r="I223" i="6"/>
  <c r="I499" i="6" s="1"/>
  <c r="T135" i="6"/>
  <c r="Q135" i="6"/>
  <c r="V135" i="6"/>
  <c r="AD180" i="6"/>
  <c r="AC180" i="6"/>
  <c r="M180" i="6"/>
  <c r="P180" i="6"/>
  <c r="AF203" i="6"/>
  <c r="AB203" i="6"/>
  <c r="AC203" i="6"/>
  <c r="N161" i="6"/>
  <c r="AE161" i="6"/>
  <c r="H161" i="6"/>
  <c r="V161" i="6"/>
  <c r="AG16" i="6"/>
  <c r="U151" i="6"/>
  <c r="K151" i="6"/>
  <c r="M226" i="6"/>
  <c r="S226" i="6"/>
  <c r="AD226" i="6"/>
  <c r="M43" i="6"/>
  <c r="AG43" i="6"/>
  <c r="V43" i="6"/>
  <c r="T43" i="6"/>
  <c r="T151" i="6"/>
  <c r="Z151" i="6"/>
  <c r="Z158" i="6"/>
  <c r="M158" i="6"/>
  <c r="J16" i="6"/>
  <c r="AA155" i="6"/>
  <c r="M155" i="6"/>
  <c r="N155" i="6"/>
  <c r="O158" i="6"/>
  <c r="AG19" i="6"/>
  <c r="R151" i="6"/>
  <c r="L158" i="6"/>
  <c r="H158" i="6"/>
  <c r="AE158" i="6"/>
  <c r="Z16" i="6"/>
  <c r="T16" i="6"/>
  <c r="Y155" i="6"/>
  <c r="Q155" i="6"/>
  <c r="AF155" i="6"/>
  <c r="Z19" i="6"/>
  <c r="R19" i="6"/>
  <c r="AD158" i="6"/>
  <c r="J151" i="6"/>
  <c r="W151" i="6"/>
  <c r="I158" i="6"/>
  <c r="X158" i="6"/>
  <c r="M16" i="6"/>
  <c r="L155" i="6"/>
  <c r="AD155" i="6"/>
  <c r="AG155" i="6"/>
  <c r="V155" i="6"/>
  <c r="O151" i="6"/>
  <c r="V158" i="6"/>
  <c r="J158" i="6"/>
  <c r="Y16" i="6"/>
  <c r="K155" i="6"/>
  <c r="X155" i="6"/>
  <c r="I155" i="6"/>
  <c r="S158" i="6"/>
  <c r="K158" i="6"/>
  <c r="AC158" i="6"/>
  <c r="V16" i="6"/>
  <c r="AB155" i="6"/>
  <c r="T155" i="6"/>
  <c r="S155" i="6"/>
  <c r="AE155" i="6"/>
  <c r="AA158" i="6"/>
  <c r="T158" i="6"/>
  <c r="AF158" i="6"/>
  <c r="R158" i="6"/>
  <c r="AD16" i="6"/>
  <c r="W16" i="6"/>
  <c r="AC155" i="6"/>
  <c r="H155" i="6"/>
  <c r="W155" i="6"/>
  <c r="N158" i="6"/>
  <c r="AE151" i="6"/>
  <c r="AB158" i="6"/>
  <c r="Y158" i="6"/>
  <c r="L16" i="6"/>
  <c r="AE16" i="6"/>
  <c r="O155" i="6"/>
  <c r="J155" i="6"/>
  <c r="P155" i="6"/>
  <c r="Q158" i="6"/>
  <c r="Y19" i="6"/>
  <c r="S151" i="6"/>
  <c r="L151" i="6"/>
  <c r="AG158" i="6"/>
  <c r="U158" i="6"/>
  <c r="N16" i="6"/>
  <c r="S16" i="6"/>
  <c r="U155" i="6"/>
  <c r="R155" i="6"/>
  <c r="Z155" i="6"/>
  <c r="W158" i="6"/>
  <c r="AF19" i="6"/>
  <c r="AD19" i="6"/>
  <c r="T19" i="6"/>
  <c r="Q290" i="6"/>
  <c r="AB244" i="6"/>
  <c r="AF310" i="6"/>
  <c r="T287" i="6"/>
  <c r="O240" i="6"/>
  <c r="Q239" i="6"/>
  <c r="Z242" i="6"/>
  <c r="AD288" i="6"/>
  <c r="Z290" i="6"/>
  <c r="K290" i="6"/>
  <c r="R397" i="6"/>
  <c r="L244" i="6"/>
  <c r="X310" i="6"/>
  <c r="P287" i="6"/>
  <c r="U239" i="6"/>
  <c r="H239" i="6"/>
  <c r="R242" i="6"/>
  <c r="N288" i="6"/>
  <c r="K19" i="6"/>
  <c r="J19" i="6"/>
  <c r="AG290" i="6"/>
  <c r="U290" i="6"/>
  <c r="L290" i="6"/>
  <c r="I290" i="6"/>
  <c r="AG397" i="6"/>
  <c r="Y397" i="6"/>
  <c r="Q397" i="6"/>
  <c r="I397" i="6"/>
  <c r="AA244" i="6"/>
  <c r="S244" i="6"/>
  <c r="AF287" i="6"/>
  <c r="AB287" i="6"/>
  <c r="X287" i="6"/>
  <c r="S310" i="6"/>
  <c r="O310" i="6"/>
  <c r="S239" i="6"/>
  <c r="AA239" i="6"/>
  <c r="S240" i="6"/>
  <c r="AD240" i="6"/>
  <c r="Z240" i="6"/>
  <c r="I239" i="6"/>
  <c r="T239" i="6"/>
  <c r="K242" i="6"/>
  <c r="S242" i="6"/>
  <c r="AA242" i="6"/>
  <c r="O288" i="6"/>
  <c r="W288" i="6"/>
  <c r="AE288" i="6"/>
  <c r="H19" i="6"/>
  <c r="J397" i="6"/>
  <c r="T244" i="6"/>
  <c r="AB310" i="6"/>
  <c r="AB239" i="6"/>
  <c r="K240" i="6"/>
  <c r="J242" i="6"/>
  <c r="V288" i="6"/>
  <c r="P19" i="6"/>
  <c r="AC19" i="6"/>
  <c r="I19" i="6"/>
  <c r="J440" i="6"/>
  <c r="R290" i="6"/>
  <c r="N290" i="6"/>
  <c r="W290" i="6"/>
  <c r="AF397" i="6"/>
  <c r="X397" i="6"/>
  <c r="P397" i="6"/>
  <c r="H397" i="6"/>
  <c r="Z244" i="6"/>
  <c r="R244" i="6"/>
  <c r="K244" i="6"/>
  <c r="AE310" i="6"/>
  <c r="AA310" i="6"/>
  <c r="W310" i="6"/>
  <c r="S287" i="6"/>
  <c r="O286" i="6"/>
  <c r="O287" i="6"/>
  <c r="R239" i="6"/>
  <c r="K239" i="6"/>
  <c r="R240" i="6"/>
  <c r="N240" i="6"/>
  <c r="J240" i="6"/>
  <c r="J239" i="6"/>
  <c r="H240" i="6"/>
  <c r="L242" i="6"/>
  <c r="T242" i="6"/>
  <c r="AB242" i="6"/>
  <c r="P288" i="6"/>
  <c r="X288" i="6"/>
  <c r="AF288" i="6"/>
  <c r="I240" i="6"/>
  <c r="M242" i="6"/>
  <c r="U242" i="6"/>
  <c r="AC242" i="6"/>
  <c r="Q288" i="6"/>
  <c r="Y288" i="6"/>
  <c r="AG288" i="6"/>
  <c r="AC290" i="6"/>
  <c r="Z397" i="6"/>
  <c r="O19" i="6"/>
  <c r="AF290" i="6"/>
  <c r="AE397" i="6"/>
  <c r="AG244" i="6"/>
  <c r="J244" i="6"/>
  <c r="W287" i="6"/>
  <c r="Z239" i="6"/>
  <c r="AG240" i="6"/>
  <c r="L239" i="6"/>
  <c r="X19" i="6"/>
  <c r="W19" i="6"/>
  <c r="AA290" i="6"/>
  <c r="T290" i="6"/>
  <c r="AD290" i="6"/>
  <c r="AD397" i="6"/>
  <c r="V397" i="6"/>
  <c r="N397" i="6"/>
  <c r="AF244" i="6"/>
  <c r="X244" i="6"/>
  <c r="P244" i="6"/>
  <c r="I244" i="6"/>
  <c r="AD310" i="6"/>
  <c r="Z310" i="6"/>
  <c r="V310" i="6"/>
  <c r="R286" i="6"/>
  <c r="R287" i="6"/>
  <c r="N287" i="6"/>
  <c r="AF239" i="6"/>
  <c r="Y239" i="6"/>
  <c r="Q240" i="6"/>
  <c r="M240" i="6"/>
  <c r="X240" i="6"/>
  <c r="M239" i="6"/>
  <c r="V240" i="6"/>
  <c r="N242" i="6"/>
  <c r="V242" i="6"/>
  <c r="AD242" i="6"/>
  <c r="R288" i="6"/>
  <c r="Z288" i="6"/>
  <c r="AE19" i="6"/>
  <c r="L19" i="6"/>
  <c r="V290" i="6"/>
  <c r="O397" i="6"/>
  <c r="Q244" i="6"/>
  <c r="AA287" i="6"/>
  <c r="N310" i="6"/>
  <c r="AG239" i="6"/>
  <c r="Y240" i="6"/>
  <c r="V19" i="6"/>
  <c r="S19" i="6"/>
  <c r="AA19" i="6"/>
  <c r="L438" i="6"/>
  <c r="L439" i="6" s="1"/>
  <c r="L440" i="6" s="1"/>
  <c r="O290" i="6"/>
  <c r="H290" i="6"/>
  <c r="X290" i="6"/>
  <c r="AC397" i="6"/>
  <c r="U397" i="6"/>
  <c r="M397" i="6"/>
  <c r="AE244" i="6"/>
  <c r="W244" i="6"/>
  <c r="O244" i="6"/>
  <c r="H244" i="6"/>
  <c r="AD287" i="6"/>
  <c r="Z287" i="6"/>
  <c r="V287" i="6"/>
  <c r="Q310" i="6"/>
  <c r="AE239" i="6"/>
  <c r="X239" i="6"/>
  <c r="AF240" i="6"/>
  <c r="AB240" i="6"/>
  <c r="U240" i="6"/>
  <c r="N239" i="6"/>
  <c r="W240" i="6"/>
  <c r="O242" i="6"/>
  <c r="W242" i="6"/>
  <c r="AE242" i="6"/>
  <c r="S288" i="6"/>
  <c r="AA288" i="6"/>
  <c r="Q19" i="6"/>
  <c r="AB19" i="6"/>
  <c r="M440" i="6"/>
  <c r="M290" i="6"/>
  <c r="W397" i="6"/>
  <c r="Y244" i="6"/>
  <c r="AE287" i="6"/>
  <c r="R310" i="6"/>
  <c r="AC240" i="6"/>
  <c r="M19" i="6"/>
  <c r="N19" i="6"/>
  <c r="H440" i="6"/>
  <c r="K440" i="6"/>
  <c r="AE290" i="6"/>
  <c r="Y290" i="6"/>
  <c r="AB290" i="6"/>
  <c r="AB397" i="6"/>
  <c r="T397" i="6"/>
  <c r="L397" i="6"/>
  <c r="AD244" i="6"/>
  <c r="V244" i="6"/>
  <c r="N244" i="6"/>
  <c r="AG310" i="6"/>
  <c r="AC310" i="6"/>
  <c r="Y310" i="6"/>
  <c r="U310" i="6"/>
  <c r="Q287" i="6"/>
  <c r="AD239" i="6"/>
  <c r="W239" i="6"/>
  <c r="P240" i="6"/>
  <c r="L240" i="6"/>
  <c r="T240" i="6"/>
  <c r="O239" i="6"/>
  <c r="H242" i="6"/>
  <c r="P242" i="6"/>
  <c r="X242" i="6"/>
  <c r="AF242" i="6"/>
  <c r="T288" i="6"/>
  <c r="AB288" i="6"/>
  <c r="U19" i="6"/>
  <c r="P158" i="6"/>
  <c r="I440" i="6"/>
  <c r="S290" i="6"/>
  <c r="P290" i="6"/>
  <c r="J290" i="6"/>
  <c r="AA397" i="6"/>
  <c r="S397" i="6"/>
  <c r="K397" i="6"/>
  <c r="AC244" i="6"/>
  <c r="U244" i="6"/>
  <c r="M244" i="6"/>
  <c r="AG287" i="6"/>
  <c r="AC287" i="6"/>
  <c r="Y287" i="6"/>
  <c r="T310" i="6"/>
  <c r="P310" i="6"/>
  <c r="U287" i="6"/>
  <c r="AC239" i="6"/>
  <c r="V239" i="6"/>
  <c r="AE240" i="6"/>
  <c r="AA240" i="6"/>
  <c r="P239" i="6"/>
  <c r="I242" i="6"/>
  <c r="Q242" i="6"/>
  <c r="Y242" i="6"/>
  <c r="AG242" i="6"/>
  <c r="U288" i="6"/>
  <c r="AC288" i="6"/>
  <c r="H337" i="6"/>
  <c r="I337" i="6"/>
  <c r="J337" i="6"/>
  <c r="K337" i="6"/>
  <c r="G337" i="6"/>
  <c r="E13" i="11" a="1"/>
  <c r="E8" i="11" a="1"/>
  <c r="E8" i="11" l="1"/>
  <c r="E13" i="11"/>
  <c r="L408" i="6"/>
  <c r="L308" i="6" s="1"/>
  <c r="AG408" i="6"/>
  <c r="AG308" i="6" s="1"/>
  <c r="Q461" i="6"/>
  <c r="X462" i="6"/>
  <c r="Y462" i="6"/>
  <c r="AA462" i="6"/>
  <c r="AC464" i="6"/>
  <c r="T462" i="6"/>
  <c r="O408" i="6"/>
  <c r="AC461" i="6"/>
  <c r="V467" i="6"/>
  <c r="K461" i="6"/>
  <c r="N465" i="6"/>
  <c r="Q468" i="6"/>
  <c r="J466" i="6"/>
  <c r="J498" i="6" s="1"/>
  <c r="J500" i="6" s="1"/>
  <c r="AB465" i="6"/>
  <c r="W466" i="6"/>
  <c r="AD197" i="6"/>
  <c r="AD209" i="6" s="1"/>
  <c r="X464" i="6"/>
  <c r="R466" i="6"/>
  <c r="L465" i="6"/>
  <c r="T468" i="6"/>
  <c r="O464" i="6"/>
  <c r="J171" i="6"/>
  <c r="J103" i="6"/>
  <c r="J106" i="6" s="1"/>
  <c r="J118" i="6" s="1"/>
  <c r="AE466" i="6"/>
  <c r="H467" i="6"/>
  <c r="Z467" i="6"/>
  <c r="AD467" i="6"/>
  <c r="AC467" i="6"/>
  <c r="AF468" i="6"/>
  <c r="M465" i="6"/>
  <c r="U468" i="6"/>
  <c r="J468" i="6"/>
  <c r="J508" i="6" s="1"/>
  <c r="J510" i="6" s="1"/>
  <c r="K466" i="6"/>
  <c r="K498" i="6" s="1"/>
  <c r="K500" i="6" s="1"/>
  <c r="L103" i="6"/>
  <c r="Q467" i="6"/>
  <c r="Y466" i="6"/>
  <c r="V466" i="6"/>
  <c r="X467" i="6"/>
  <c r="AB468" i="6"/>
  <c r="AC465" i="6"/>
  <c r="L468" i="6"/>
  <c r="O468" i="6"/>
  <c r="AF462" i="6"/>
  <c r="AC462" i="6"/>
  <c r="T467" i="6"/>
  <c r="W467" i="6"/>
  <c r="P466" i="6"/>
  <c r="AG467" i="6"/>
  <c r="P467" i="6"/>
  <c r="AE467" i="6"/>
  <c r="N467" i="6"/>
  <c r="AE468" i="6"/>
  <c r="AA468" i="6"/>
  <c r="Y468" i="6"/>
  <c r="AF466" i="6"/>
  <c r="AG461" i="6"/>
  <c r="AB464" i="6"/>
  <c r="U464" i="6"/>
  <c r="S467" i="6"/>
  <c r="AB466" i="6"/>
  <c r="N466" i="6"/>
  <c r="O466" i="6"/>
  <c r="M467" i="6"/>
  <c r="Z466" i="6"/>
  <c r="W468" i="6"/>
  <c r="Q220" i="6"/>
  <c r="Q232" i="6" s="1"/>
  <c r="Q267" i="6" s="1"/>
  <c r="N468" i="6"/>
  <c r="AG466" i="6"/>
  <c r="U467" i="6"/>
  <c r="S466" i="6"/>
  <c r="AA467" i="6"/>
  <c r="L467" i="6"/>
  <c r="K467" i="6"/>
  <c r="I468" i="6"/>
  <c r="L461" i="6"/>
  <c r="R465" i="6"/>
  <c r="AF467" i="6"/>
  <c r="L466" i="6"/>
  <c r="L498" i="6" s="1"/>
  <c r="L500" i="6" s="1"/>
  <c r="Q466" i="6"/>
  <c r="R467" i="6"/>
  <c r="AG468" i="6"/>
  <c r="R408" i="6"/>
  <c r="AH161" i="6"/>
  <c r="AI161" i="6" s="1"/>
  <c r="H466" i="6"/>
  <c r="H498" i="6" s="1"/>
  <c r="H500" i="6" s="1"/>
  <c r="O467" i="6"/>
  <c r="J467" i="6"/>
  <c r="J503" i="6" s="1"/>
  <c r="J505" i="6" s="1"/>
  <c r="I467" i="6"/>
  <c r="Y467" i="6"/>
  <c r="AB467" i="6"/>
  <c r="AF465" i="6"/>
  <c r="AC466" i="6"/>
  <c r="I80" i="6"/>
  <c r="I217" i="6"/>
  <c r="I489" i="6" s="1"/>
  <c r="I103" i="6"/>
  <c r="I57" i="6"/>
  <c r="I126" i="6"/>
  <c r="I194" i="6"/>
  <c r="I10" i="6"/>
  <c r="I13" i="6" s="1"/>
  <c r="I25" i="6" s="1"/>
  <c r="I149" i="6"/>
  <c r="I34" i="6"/>
  <c r="I171" i="6"/>
  <c r="AH288" i="6"/>
  <c r="AI288" i="6" s="1"/>
  <c r="AH43" i="6"/>
  <c r="AI43" i="6" s="1"/>
  <c r="AA466" i="6"/>
  <c r="X468" i="6"/>
  <c r="P468" i="6"/>
  <c r="Y465" i="6"/>
  <c r="AG465" i="6"/>
  <c r="AB57" i="6"/>
  <c r="AB80" i="6"/>
  <c r="AB83" i="6" s="1"/>
  <c r="AB95" i="6" s="1"/>
  <c r="AB34" i="6"/>
  <c r="AB37" i="6" s="1"/>
  <c r="AB49" i="6" s="1"/>
  <c r="AB171" i="6"/>
  <c r="AB174" i="6" s="1"/>
  <c r="AB186" i="6" s="1"/>
  <c r="AB256" i="6" s="1"/>
  <c r="AB303" i="6" s="1"/>
  <c r="AB149" i="6"/>
  <c r="AB152" i="6" s="1"/>
  <c r="AB164" i="6" s="1"/>
  <c r="AB126" i="6"/>
  <c r="AB129" i="6" s="1"/>
  <c r="AB141" i="6" s="1"/>
  <c r="AB217" i="6"/>
  <c r="AB220" i="6" s="1"/>
  <c r="AB232" i="6" s="1"/>
  <c r="AB267" i="6" s="1"/>
  <c r="AB194" i="6"/>
  <c r="AB197" i="6" s="1"/>
  <c r="AB209" i="6" s="1"/>
  <c r="Y80" i="6"/>
  <c r="Y83" i="6" s="1"/>
  <c r="Y95" i="6" s="1"/>
  <c r="Y57" i="6"/>
  <c r="Y10" i="6"/>
  <c r="Y13" i="6" s="1"/>
  <c r="Y25" i="6" s="1"/>
  <c r="Y217" i="6"/>
  <c r="Y220" i="6" s="1"/>
  <c r="Y232" i="6" s="1"/>
  <c r="Y267" i="6" s="1"/>
  <c r="Y171" i="6"/>
  <c r="Y174" i="6" s="1"/>
  <c r="Y186" i="6" s="1"/>
  <c r="Y256" i="6" s="1"/>
  <c r="Y303" i="6" s="1"/>
  <c r="Y194" i="6"/>
  <c r="Y197" i="6" s="1"/>
  <c r="Y209" i="6" s="1"/>
  <c r="Y149" i="6"/>
  <c r="Y152" i="6" s="1"/>
  <c r="Y164" i="6" s="1"/>
  <c r="Y34" i="6"/>
  <c r="Y37" i="6" s="1"/>
  <c r="Y49" i="6" s="1"/>
  <c r="Z57" i="6"/>
  <c r="Z80" i="6"/>
  <c r="Z83" i="6" s="1"/>
  <c r="Z95" i="6" s="1"/>
  <c r="Z149" i="6"/>
  <c r="Z152" i="6" s="1"/>
  <c r="Z164" i="6" s="1"/>
  <c r="Z171" i="6"/>
  <c r="Z174" i="6" s="1"/>
  <c r="Z186" i="6" s="1"/>
  <c r="Z256" i="6" s="1"/>
  <c r="Z303" i="6" s="1"/>
  <c r="Z217" i="6"/>
  <c r="Z220" i="6" s="1"/>
  <c r="Z232" i="6" s="1"/>
  <c r="Z267" i="6" s="1"/>
  <c r="Z126" i="6"/>
  <c r="Z129" i="6" s="1"/>
  <c r="Z141" i="6" s="1"/>
  <c r="Z103" i="6"/>
  <c r="Z106" i="6" s="1"/>
  <c r="Z118" i="6" s="1"/>
  <c r="Z10" i="6"/>
  <c r="Z13" i="6" s="1"/>
  <c r="Z25" i="6" s="1"/>
  <c r="Z34" i="6"/>
  <c r="Z37" i="6" s="1"/>
  <c r="Z49" i="6" s="1"/>
  <c r="Z194" i="6"/>
  <c r="Z197" i="6" s="1"/>
  <c r="Z209" i="6" s="1"/>
  <c r="Y103" i="6"/>
  <c r="Y106" i="6" s="1"/>
  <c r="Y118" i="6" s="1"/>
  <c r="AB103" i="6"/>
  <c r="AB106" i="6" s="1"/>
  <c r="AB118" i="6" s="1"/>
  <c r="AD171" i="6"/>
  <c r="AD174" i="6" s="1"/>
  <c r="AD186" i="6" s="1"/>
  <c r="AD256" i="6" s="1"/>
  <c r="AD303" i="6" s="1"/>
  <c r="S461" i="6"/>
  <c r="V408" i="6"/>
  <c r="V435" i="6"/>
  <c r="V438" i="6" s="1"/>
  <c r="V439" i="6" s="1"/>
  <c r="V440" i="6" s="1"/>
  <c r="AH200" i="6"/>
  <c r="AI200" i="6" s="1"/>
  <c r="AH196" i="6"/>
  <c r="AI196" i="6" s="1"/>
  <c r="U466" i="6"/>
  <c r="S468" i="6"/>
  <c r="Q465" i="6"/>
  <c r="O465" i="6"/>
  <c r="K465" i="6"/>
  <c r="AF57" i="6"/>
  <c r="AF80" i="6"/>
  <c r="AF83" i="6" s="1"/>
  <c r="AF95" i="6" s="1"/>
  <c r="AF194" i="6"/>
  <c r="AF197" i="6" s="1"/>
  <c r="AF209" i="6" s="1"/>
  <c r="AF126" i="6"/>
  <c r="AF129" i="6" s="1"/>
  <c r="AF141" i="6" s="1"/>
  <c r="AF171" i="6"/>
  <c r="AF174" i="6" s="1"/>
  <c r="AF186" i="6" s="1"/>
  <c r="AF256" i="6" s="1"/>
  <c r="AF303" i="6" s="1"/>
  <c r="AF217" i="6"/>
  <c r="AF220" i="6" s="1"/>
  <c r="AF232" i="6" s="1"/>
  <c r="AF267" i="6" s="1"/>
  <c r="AF149" i="6"/>
  <c r="AF152" i="6" s="1"/>
  <c r="AF164" i="6" s="1"/>
  <c r="AF34" i="6"/>
  <c r="AF103" i="6"/>
  <c r="AF10" i="6"/>
  <c r="AF13" i="6" s="1"/>
  <c r="AF25" i="6" s="1"/>
  <c r="W57" i="6"/>
  <c r="W80" i="6"/>
  <c r="W83" i="6" s="1"/>
  <c r="W95" i="6" s="1"/>
  <c r="W126" i="6"/>
  <c r="W129" i="6" s="1"/>
  <c r="W141" i="6" s="1"/>
  <c r="W171" i="6"/>
  <c r="W174" i="6" s="1"/>
  <c r="W186" i="6" s="1"/>
  <c r="W256" i="6" s="1"/>
  <c r="W303" i="6" s="1"/>
  <c r="W10" i="6"/>
  <c r="W13" i="6" s="1"/>
  <c r="W25" i="6" s="1"/>
  <c r="W217" i="6"/>
  <c r="W220" i="6" s="1"/>
  <c r="W232" i="6" s="1"/>
  <c r="W267" i="6" s="1"/>
  <c r="W34" i="6"/>
  <c r="W37" i="6" s="1"/>
  <c r="W49" i="6" s="1"/>
  <c r="W103" i="6"/>
  <c r="W106" i="6" s="1"/>
  <c r="W118" i="6" s="1"/>
  <c r="W194" i="6"/>
  <c r="W197" i="6" s="1"/>
  <c r="W209" i="6" s="1"/>
  <c r="U462" i="6"/>
  <c r="P57" i="6"/>
  <c r="P80" i="6"/>
  <c r="P83" i="6" s="1"/>
  <c r="P95" i="6" s="1"/>
  <c r="P149" i="6"/>
  <c r="P152" i="6" s="1"/>
  <c r="P164" i="6" s="1"/>
  <c r="P126" i="6"/>
  <c r="P129" i="6" s="1"/>
  <c r="P141" i="6" s="1"/>
  <c r="P217" i="6"/>
  <c r="P220" i="6" s="1"/>
  <c r="P232" i="6" s="1"/>
  <c r="P267" i="6" s="1"/>
  <c r="P34" i="6"/>
  <c r="P37" i="6" s="1"/>
  <c r="P49" i="6" s="1"/>
  <c r="P171" i="6"/>
  <c r="P174" i="6" s="1"/>
  <c r="P186" i="6" s="1"/>
  <c r="P256" i="6" s="1"/>
  <c r="P303" i="6" s="1"/>
  <c r="P194" i="6"/>
  <c r="P197" i="6" s="1"/>
  <c r="P209" i="6" s="1"/>
  <c r="P10" i="6"/>
  <c r="P13" i="6" s="1"/>
  <c r="P25" i="6" s="1"/>
  <c r="V57" i="6"/>
  <c r="V80" i="6"/>
  <c r="V83" i="6" s="1"/>
  <c r="V95" i="6" s="1"/>
  <c r="V34" i="6"/>
  <c r="V37" i="6" s="1"/>
  <c r="V49" i="6" s="1"/>
  <c r="V103" i="6"/>
  <c r="V106" i="6" s="1"/>
  <c r="V118" i="6" s="1"/>
  <c r="V10" i="6"/>
  <c r="V13" i="6" s="1"/>
  <c r="V25" i="6" s="1"/>
  <c r="V149" i="6"/>
  <c r="V152" i="6" s="1"/>
  <c r="V164" i="6" s="1"/>
  <c r="V126" i="6"/>
  <c r="V129" i="6" s="1"/>
  <c r="V141" i="6" s="1"/>
  <c r="V171" i="6"/>
  <c r="V174" i="6" s="1"/>
  <c r="V186" i="6" s="1"/>
  <c r="V256" i="6" s="1"/>
  <c r="V303" i="6" s="1"/>
  <c r="V194" i="6"/>
  <c r="V197" i="6" s="1"/>
  <c r="V209" i="6" s="1"/>
  <c r="M81" i="6"/>
  <c r="M11" i="6"/>
  <c r="M104" i="6"/>
  <c r="M218" i="6"/>
  <c r="M35" i="6"/>
  <c r="M195" i="6"/>
  <c r="M58" i="6"/>
  <c r="M475" i="6" s="1"/>
  <c r="M127" i="6"/>
  <c r="M150" i="6"/>
  <c r="M80" i="6"/>
  <c r="M10" i="6"/>
  <c r="M194" i="6"/>
  <c r="M217" i="6"/>
  <c r="M103" i="6"/>
  <c r="M149" i="6"/>
  <c r="M57" i="6"/>
  <c r="M34" i="6"/>
  <c r="M126" i="6"/>
  <c r="V217" i="6"/>
  <c r="V220" i="6" s="1"/>
  <c r="V232" i="6" s="1"/>
  <c r="V267" i="6" s="1"/>
  <c r="P103" i="6"/>
  <c r="P106" i="6" s="1"/>
  <c r="P118" i="6" s="1"/>
  <c r="AH337" i="6"/>
  <c r="AI337" i="6" s="1"/>
  <c r="Z408" i="6"/>
  <c r="Z308" i="6" s="1"/>
  <c r="Z435" i="6"/>
  <c r="Z438" i="6" s="1"/>
  <c r="Z439" i="6" s="1"/>
  <c r="Z440" i="6" s="1"/>
  <c r="AA408" i="6"/>
  <c r="AA308" i="6" s="1"/>
  <c r="AA435" i="6"/>
  <c r="AA438" i="6" s="1"/>
  <c r="AA439" i="6" s="1"/>
  <c r="AA440" i="6" s="1"/>
  <c r="AH240" i="6"/>
  <c r="AI240" i="6" s="1"/>
  <c r="AH239" i="6"/>
  <c r="AI239" i="6" s="1"/>
  <c r="AH223" i="6"/>
  <c r="AI223" i="6" s="1"/>
  <c r="AC468" i="6"/>
  <c r="AH128" i="6"/>
  <c r="AI128" i="6" s="1"/>
  <c r="AH66" i="6"/>
  <c r="AI66" i="6" s="1"/>
  <c r="X466" i="6"/>
  <c r="AH33" i="6"/>
  <c r="AI33" i="6" s="1"/>
  <c r="AF37" i="6"/>
  <c r="AF49" i="6" s="1"/>
  <c r="I462" i="6"/>
  <c r="V468" i="6"/>
  <c r="AD465" i="6"/>
  <c r="Z465" i="6"/>
  <c r="O194" i="6"/>
  <c r="O197" i="6" s="1"/>
  <c r="O209" i="6" s="1"/>
  <c r="M171" i="6"/>
  <c r="AA194" i="6"/>
  <c r="AA197" i="6" s="1"/>
  <c r="AA209" i="6" s="1"/>
  <c r="M172" i="6"/>
  <c r="AH242" i="6"/>
  <c r="AI242" i="6" s="1"/>
  <c r="AE408" i="6"/>
  <c r="AE308" i="6" s="1"/>
  <c r="AE435" i="6"/>
  <c r="AE438" i="6" s="1"/>
  <c r="AE439" i="6" s="1"/>
  <c r="AE440" i="6" s="1"/>
  <c r="AD435" i="6"/>
  <c r="AD438" i="6" s="1"/>
  <c r="AD439" i="6" s="1"/>
  <c r="AD440" i="6" s="1"/>
  <c r="AD408" i="6"/>
  <c r="AD308" i="6" s="1"/>
  <c r="R435" i="6"/>
  <c r="R438" i="6" s="1"/>
  <c r="R439" i="6" s="1"/>
  <c r="R440" i="6" s="1"/>
  <c r="W435" i="6"/>
  <c r="W438" i="6" s="1"/>
  <c r="W439" i="6" s="1"/>
  <c r="W440" i="6" s="1"/>
  <c r="W408" i="6"/>
  <c r="AH155" i="6"/>
  <c r="AI155" i="6" s="1"/>
  <c r="AH226" i="6"/>
  <c r="AI226" i="6" s="1"/>
  <c r="AH89" i="6"/>
  <c r="AI89" i="6" s="1"/>
  <c r="AH183" i="6"/>
  <c r="AI183" i="6" s="1"/>
  <c r="AH478" i="6"/>
  <c r="AI478" i="6" s="1"/>
  <c r="AH36" i="6"/>
  <c r="AI36" i="6" s="1"/>
  <c r="M468" i="6"/>
  <c r="T466" i="6"/>
  <c r="P462" i="6"/>
  <c r="V462" i="6"/>
  <c r="AH82" i="6"/>
  <c r="AI82" i="6" s="1"/>
  <c r="H465" i="6"/>
  <c r="I465" i="6"/>
  <c r="I457" i="6"/>
  <c r="I476" i="6"/>
  <c r="N57" i="6"/>
  <c r="N126" i="6"/>
  <c r="N194" i="6"/>
  <c r="N149" i="6"/>
  <c r="N171" i="6"/>
  <c r="N80" i="6"/>
  <c r="N83" i="6" s="1"/>
  <c r="N95" i="6" s="1"/>
  <c r="N10" i="6"/>
  <c r="N103" i="6"/>
  <c r="N34" i="6"/>
  <c r="N217" i="6"/>
  <c r="L217" i="6"/>
  <c r="L489" i="6" s="1"/>
  <c r="L80" i="6"/>
  <c r="L34" i="6"/>
  <c r="L37" i="6" s="1"/>
  <c r="L49" i="6" s="1"/>
  <c r="L126" i="6"/>
  <c r="L194" i="6"/>
  <c r="L171" i="6"/>
  <c r="L149" i="6"/>
  <c r="L10" i="6"/>
  <c r="U80" i="6"/>
  <c r="U83" i="6" s="1"/>
  <c r="U95" i="6" s="1"/>
  <c r="U57" i="6"/>
  <c r="U10" i="6"/>
  <c r="U13" i="6" s="1"/>
  <c r="U25" i="6" s="1"/>
  <c r="U103" i="6"/>
  <c r="U106" i="6" s="1"/>
  <c r="U118" i="6" s="1"/>
  <c r="U171" i="6"/>
  <c r="U174" i="6" s="1"/>
  <c r="U186" i="6" s="1"/>
  <c r="U256" i="6" s="1"/>
  <c r="U303" i="6" s="1"/>
  <c r="U194" i="6"/>
  <c r="U197" i="6" s="1"/>
  <c r="U209" i="6" s="1"/>
  <c r="U126" i="6"/>
  <c r="U129" i="6" s="1"/>
  <c r="U141" i="6" s="1"/>
  <c r="U149" i="6"/>
  <c r="U152" i="6" s="1"/>
  <c r="U164" i="6" s="1"/>
  <c r="U217" i="6"/>
  <c r="U220" i="6" s="1"/>
  <c r="U232" i="6" s="1"/>
  <c r="U267" i="6" s="1"/>
  <c r="U34" i="6"/>
  <c r="U37" i="6" s="1"/>
  <c r="U49" i="6" s="1"/>
  <c r="L81" i="6"/>
  <c r="L218" i="6"/>
  <c r="L494" i="6" s="1"/>
  <c r="L150" i="6"/>
  <c r="L127" i="6"/>
  <c r="L11" i="6"/>
  <c r="L104" i="6"/>
  <c r="L195" i="6"/>
  <c r="L172" i="6"/>
  <c r="L58" i="6"/>
  <c r="L475" i="6" s="1"/>
  <c r="AH215" i="6"/>
  <c r="AI215" i="6" s="1"/>
  <c r="H461" i="6"/>
  <c r="AH147" i="6"/>
  <c r="AI147" i="6" s="1"/>
  <c r="AH244" i="6"/>
  <c r="AI244" i="6" s="1"/>
  <c r="AH290" i="6"/>
  <c r="AI290" i="6" s="1"/>
  <c r="O435" i="6"/>
  <c r="O438" i="6" s="1"/>
  <c r="O439" i="6" s="1"/>
  <c r="O440" i="6" s="1"/>
  <c r="AH397" i="6"/>
  <c r="AI397" i="6" s="1"/>
  <c r="P435" i="6"/>
  <c r="P438" i="6" s="1"/>
  <c r="P439" i="6" s="1"/>
  <c r="P440" i="6" s="1"/>
  <c r="P408" i="6"/>
  <c r="AH158" i="6"/>
  <c r="AI158" i="6" s="1"/>
  <c r="AH40" i="6"/>
  <c r="AI40" i="6" s="1"/>
  <c r="AH203" i="6"/>
  <c r="AI203" i="6" s="1"/>
  <c r="AH180" i="6"/>
  <c r="AI180" i="6" s="1"/>
  <c r="AH219" i="6"/>
  <c r="AI219" i="6" s="1"/>
  <c r="O220" i="6"/>
  <c r="O232" i="6" s="1"/>
  <c r="O267" i="6" s="1"/>
  <c r="T465" i="6"/>
  <c r="J465" i="6"/>
  <c r="V465" i="6"/>
  <c r="R80" i="6"/>
  <c r="R83" i="6" s="1"/>
  <c r="R95" i="6" s="1"/>
  <c r="R57" i="6"/>
  <c r="R194" i="6"/>
  <c r="R197" i="6" s="1"/>
  <c r="R209" i="6" s="1"/>
  <c r="R10" i="6"/>
  <c r="R13" i="6" s="1"/>
  <c r="R25" i="6" s="1"/>
  <c r="R149" i="6"/>
  <c r="R152" i="6" s="1"/>
  <c r="R164" i="6" s="1"/>
  <c r="R171" i="6"/>
  <c r="R174" i="6" s="1"/>
  <c r="R186" i="6" s="1"/>
  <c r="R256" i="6" s="1"/>
  <c r="R303" i="6" s="1"/>
  <c r="R217" i="6"/>
  <c r="R220" i="6" s="1"/>
  <c r="R232" i="6" s="1"/>
  <c r="R267" i="6" s="1"/>
  <c r="R103" i="6"/>
  <c r="R106" i="6" s="1"/>
  <c r="R118" i="6" s="1"/>
  <c r="R126" i="6"/>
  <c r="R129" i="6" s="1"/>
  <c r="R141" i="6" s="1"/>
  <c r="AC80" i="6"/>
  <c r="AC83" i="6" s="1"/>
  <c r="AC95" i="6" s="1"/>
  <c r="AC57" i="6"/>
  <c r="AC171" i="6"/>
  <c r="AC174" i="6" s="1"/>
  <c r="AC186" i="6" s="1"/>
  <c r="AC256" i="6" s="1"/>
  <c r="AC303" i="6" s="1"/>
  <c r="AC10" i="6"/>
  <c r="AC13" i="6" s="1"/>
  <c r="AC25" i="6" s="1"/>
  <c r="AC149" i="6"/>
  <c r="AC152" i="6" s="1"/>
  <c r="AC164" i="6" s="1"/>
  <c r="AC34" i="6"/>
  <c r="AC37" i="6" s="1"/>
  <c r="AC49" i="6" s="1"/>
  <c r="AC103" i="6"/>
  <c r="AC106" i="6" s="1"/>
  <c r="AC118" i="6" s="1"/>
  <c r="AC126" i="6"/>
  <c r="AC129" i="6" s="1"/>
  <c r="AC141" i="6" s="1"/>
  <c r="AC194" i="6"/>
  <c r="AC197" i="6" s="1"/>
  <c r="AC209" i="6" s="1"/>
  <c r="AF106" i="6"/>
  <c r="AF118" i="6" s="1"/>
  <c r="W461" i="6"/>
  <c r="Q435" i="6"/>
  <c r="Q438" i="6" s="1"/>
  <c r="Q439" i="6" s="1"/>
  <c r="Q440" i="6" s="1"/>
  <c r="Q408" i="6"/>
  <c r="U408" i="6"/>
  <c r="U435" i="6"/>
  <c r="U438" i="6" s="1"/>
  <c r="U439" i="6" s="1"/>
  <c r="U440" i="6" s="1"/>
  <c r="AH310" i="6"/>
  <c r="AI310" i="6" s="1"/>
  <c r="S435" i="6"/>
  <c r="S438" i="6" s="1"/>
  <c r="S439" i="6" s="1"/>
  <c r="S440" i="6" s="1"/>
  <c r="S408" i="6"/>
  <c r="AH19" i="6"/>
  <c r="AI19" i="6" s="1"/>
  <c r="X408" i="6"/>
  <c r="X435" i="6"/>
  <c r="X438" i="6" s="1"/>
  <c r="X439" i="6" s="1"/>
  <c r="X440" i="6" s="1"/>
  <c r="AH132" i="6"/>
  <c r="AI132" i="6" s="1"/>
  <c r="AH148" i="6"/>
  <c r="AI148" i="6" s="1"/>
  <c r="AH177" i="6"/>
  <c r="AI177" i="6" s="1"/>
  <c r="AH46" i="6"/>
  <c r="AI46" i="6" s="1"/>
  <c r="AH138" i="6"/>
  <c r="AI138" i="6" s="1"/>
  <c r="I466" i="6"/>
  <c r="I498" i="6" s="1"/>
  <c r="I500" i="6" s="1"/>
  <c r="AH125" i="6"/>
  <c r="AI125" i="6" s="1"/>
  <c r="Z468" i="6"/>
  <c r="AH92" i="6"/>
  <c r="AI92" i="6" s="1"/>
  <c r="H468" i="6"/>
  <c r="W465" i="6"/>
  <c r="S465" i="6"/>
  <c r="AA465" i="6"/>
  <c r="L457" i="6"/>
  <c r="L476" i="6"/>
  <c r="J80" i="6"/>
  <c r="J217" i="6"/>
  <c r="J489" i="6" s="1"/>
  <c r="J10" i="6"/>
  <c r="J34" i="6"/>
  <c r="J57" i="6"/>
  <c r="J149" i="6"/>
  <c r="J194" i="6"/>
  <c r="J126" i="6"/>
  <c r="K80" i="6"/>
  <c r="K217" i="6"/>
  <c r="K489" i="6" s="1"/>
  <c r="K10" i="6"/>
  <c r="K34" i="6"/>
  <c r="K57" i="6"/>
  <c r="K149" i="6"/>
  <c r="K103" i="6"/>
  <c r="K126" i="6"/>
  <c r="K194" i="6"/>
  <c r="K171" i="6"/>
  <c r="AG57" i="6"/>
  <c r="AG80" i="6"/>
  <c r="AG83" i="6" s="1"/>
  <c r="AG95" i="6" s="1"/>
  <c r="AG34" i="6"/>
  <c r="AG37" i="6" s="1"/>
  <c r="AG49" i="6" s="1"/>
  <c r="AG149" i="6"/>
  <c r="AG152" i="6" s="1"/>
  <c r="AG164" i="6" s="1"/>
  <c r="AG194" i="6"/>
  <c r="AG197" i="6" s="1"/>
  <c r="AG209" i="6" s="1"/>
  <c r="AG126" i="6"/>
  <c r="AG129" i="6" s="1"/>
  <c r="AG141" i="6" s="1"/>
  <c r="AG217" i="6"/>
  <c r="AG220" i="6" s="1"/>
  <c r="AG232" i="6" s="1"/>
  <c r="AG267" i="6" s="1"/>
  <c r="AG10" i="6"/>
  <c r="AG13" i="6" s="1"/>
  <c r="AG25" i="6" s="1"/>
  <c r="AG171" i="6"/>
  <c r="AG174" i="6" s="1"/>
  <c r="AG186" i="6" s="1"/>
  <c r="AG256" i="6" s="1"/>
  <c r="AG303" i="6" s="1"/>
  <c r="X80" i="6"/>
  <c r="X83" i="6" s="1"/>
  <c r="X95" i="6" s="1"/>
  <c r="X57" i="6"/>
  <c r="X194" i="6"/>
  <c r="X197" i="6" s="1"/>
  <c r="X209" i="6" s="1"/>
  <c r="X126" i="6"/>
  <c r="X129" i="6" s="1"/>
  <c r="X141" i="6" s="1"/>
  <c r="X171" i="6"/>
  <c r="X174" i="6" s="1"/>
  <c r="X186" i="6" s="1"/>
  <c r="X256" i="6" s="1"/>
  <c r="X303" i="6" s="1"/>
  <c r="X149" i="6"/>
  <c r="X152" i="6" s="1"/>
  <c r="X164" i="6" s="1"/>
  <c r="X103" i="6"/>
  <c r="X106" i="6" s="1"/>
  <c r="X118" i="6" s="1"/>
  <c r="X34" i="6"/>
  <c r="X37" i="6" s="1"/>
  <c r="X49" i="6" s="1"/>
  <c r="X217" i="6"/>
  <c r="X220" i="6" s="1"/>
  <c r="X232" i="6" s="1"/>
  <c r="X267" i="6" s="1"/>
  <c r="X10" i="6"/>
  <c r="X13" i="6" s="1"/>
  <c r="X25" i="6" s="1"/>
  <c r="Z462" i="6"/>
  <c r="K81" i="6"/>
  <c r="K104" i="6"/>
  <c r="K127" i="6"/>
  <c r="K11" i="6"/>
  <c r="K150" i="6"/>
  <c r="K58" i="6"/>
  <c r="K475" i="6" s="1"/>
  <c r="K172" i="6"/>
  <c r="K218" i="6"/>
  <c r="K494" i="6" s="1"/>
  <c r="K35" i="6"/>
  <c r="K195" i="6"/>
  <c r="AB10" i="6"/>
  <c r="AB13" i="6" s="1"/>
  <c r="AB25" i="6" s="1"/>
  <c r="AC217" i="6"/>
  <c r="AC220" i="6" s="1"/>
  <c r="AC232" i="6" s="1"/>
  <c r="AC267" i="6" s="1"/>
  <c r="W149" i="6"/>
  <c r="W152" i="6" s="1"/>
  <c r="W164" i="6" s="1"/>
  <c r="AB408" i="6"/>
  <c r="AB308" i="6" s="1"/>
  <c r="AB435" i="6"/>
  <c r="AB438" i="6" s="1"/>
  <c r="AB439" i="6" s="1"/>
  <c r="AB440" i="6" s="1"/>
  <c r="T435" i="6"/>
  <c r="T438" i="6" s="1"/>
  <c r="T439" i="6" s="1"/>
  <c r="T440" i="6" s="1"/>
  <c r="T408" i="6"/>
  <c r="AH151" i="6"/>
  <c r="AI151" i="6" s="1"/>
  <c r="AH16" i="6"/>
  <c r="AI16" i="6" s="1"/>
  <c r="AH12" i="6"/>
  <c r="AI12" i="6" s="1"/>
  <c r="AH112" i="6"/>
  <c r="AI112" i="6" s="1"/>
  <c r="R468" i="6"/>
  <c r="AH109" i="6"/>
  <c r="AI109" i="6" s="1"/>
  <c r="AE462" i="6"/>
  <c r="AD468" i="6"/>
  <c r="AE465" i="6"/>
  <c r="X465" i="6"/>
  <c r="O57" i="6"/>
  <c r="O80" i="6"/>
  <c r="O83" i="6" s="1"/>
  <c r="O95" i="6" s="1"/>
  <c r="O103" i="6"/>
  <c r="O106" i="6" s="1"/>
  <c r="O118" i="6" s="1"/>
  <c r="O171" i="6"/>
  <c r="O174" i="6" s="1"/>
  <c r="O186" i="6" s="1"/>
  <c r="O256" i="6" s="1"/>
  <c r="O303" i="6" s="1"/>
  <c r="O126" i="6"/>
  <c r="O129" i="6" s="1"/>
  <c r="O141" i="6" s="1"/>
  <c r="O34" i="6"/>
  <c r="O37" i="6" s="1"/>
  <c r="O49" i="6" s="1"/>
  <c r="O149" i="6"/>
  <c r="O152" i="6" s="1"/>
  <c r="O164" i="6" s="1"/>
  <c r="O10" i="6"/>
  <c r="O13" i="6" s="1"/>
  <c r="O25" i="6" s="1"/>
  <c r="AD80" i="6"/>
  <c r="AD83" i="6" s="1"/>
  <c r="AD95" i="6" s="1"/>
  <c r="AD57" i="6"/>
  <c r="AD217" i="6"/>
  <c r="AD220" i="6" s="1"/>
  <c r="AD232" i="6" s="1"/>
  <c r="AD267" i="6" s="1"/>
  <c r="AD149" i="6"/>
  <c r="AD152" i="6" s="1"/>
  <c r="AD164" i="6" s="1"/>
  <c r="AD34" i="6"/>
  <c r="AD37" i="6" s="1"/>
  <c r="AD49" i="6" s="1"/>
  <c r="AD103" i="6"/>
  <c r="AD106" i="6" s="1"/>
  <c r="AD118" i="6" s="1"/>
  <c r="AD126" i="6"/>
  <c r="AD129" i="6" s="1"/>
  <c r="AD141" i="6" s="1"/>
  <c r="AD10" i="6"/>
  <c r="AD13" i="6" s="1"/>
  <c r="AD25" i="6" s="1"/>
  <c r="I81" i="6"/>
  <c r="I150" i="6"/>
  <c r="I127" i="6"/>
  <c r="I104" i="6"/>
  <c r="I172" i="6"/>
  <c r="I35" i="6"/>
  <c r="I58" i="6"/>
  <c r="I475" i="6" s="1"/>
  <c r="I218" i="6"/>
  <c r="I494" i="6" s="1"/>
  <c r="I195" i="6"/>
  <c r="J81" i="6"/>
  <c r="J127" i="6"/>
  <c r="J58" i="6"/>
  <c r="J475" i="6" s="1"/>
  <c r="J35" i="6"/>
  <c r="J195" i="6"/>
  <c r="J172" i="6"/>
  <c r="J218" i="6"/>
  <c r="J494" i="6" s="1"/>
  <c r="J11" i="6"/>
  <c r="J150" i="6"/>
  <c r="Y126" i="6"/>
  <c r="Y129" i="6" s="1"/>
  <c r="Y141" i="6" s="1"/>
  <c r="AH169" i="6"/>
  <c r="AI169" i="6" s="1"/>
  <c r="N408" i="6"/>
  <c r="N435" i="6"/>
  <c r="N438" i="6" s="1"/>
  <c r="N439" i="6" s="1"/>
  <c r="N440" i="6" s="1"/>
  <c r="AH287" i="6"/>
  <c r="AI287" i="6" s="1"/>
  <c r="AF435" i="6"/>
  <c r="AF438" i="6" s="1"/>
  <c r="AF439" i="6" s="1"/>
  <c r="AF440" i="6" s="1"/>
  <c r="AF408" i="6"/>
  <c r="AF308" i="6" s="1"/>
  <c r="AH135" i="6"/>
  <c r="AI135" i="6" s="1"/>
  <c r="AD462" i="6"/>
  <c r="AH22" i="6"/>
  <c r="AI22" i="6" s="1"/>
  <c r="K468" i="6"/>
  <c r="AH229" i="6"/>
  <c r="AI229" i="6" s="1"/>
  <c r="AH206" i="6"/>
  <c r="AI206" i="6" s="1"/>
  <c r="AH173" i="6"/>
  <c r="AI173" i="6" s="1"/>
  <c r="M466" i="6"/>
  <c r="AD466" i="6"/>
  <c r="M462" i="6"/>
  <c r="U465" i="6"/>
  <c r="P465" i="6"/>
  <c r="AA80" i="6"/>
  <c r="AA83" i="6" s="1"/>
  <c r="AA95" i="6" s="1"/>
  <c r="AA57" i="6"/>
  <c r="AA103" i="6"/>
  <c r="AA106" i="6" s="1"/>
  <c r="AA118" i="6" s="1"/>
  <c r="AA149" i="6"/>
  <c r="AA152" i="6" s="1"/>
  <c r="AA164" i="6" s="1"/>
  <c r="AA126" i="6"/>
  <c r="AA129" i="6" s="1"/>
  <c r="AA141" i="6" s="1"/>
  <c r="AA171" i="6"/>
  <c r="AA174" i="6" s="1"/>
  <c r="AA186" i="6" s="1"/>
  <c r="AA256" i="6" s="1"/>
  <c r="AA303" i="6" s="1"/>
  <c r="AA34" i="6"/>
  <c r="AA37" i="6" s="1"/>
  <c r="AA49" i="6" s="1"/>
  <c r="AA217" i="6"/>
  <c r="AA220" i="6" s="1"/>
  <c r="AA232" i="6" s="1"/>
  <c r="AA267" i="6" s="1"/>
  <c r="AE80" i="6"/>
  <c r="AE83" i="6" s="1"/>
  <c r="AE95" i="6" s="1"/>
  <c r="AE57" i="6"/>
  <c r="AE126" i="6"/>
  <c r="AE129" i="6" s="1"/>
  <c r="AE141" i="6" s="1"/>
  <c r="AE194" i="6"/>
  <c r="AE197" i="6" s="1"/>
  <c r="AE209" i="6" s="1"/>
  <c r="AE217" i="6"/>
  <c r="AE220" i="6" s="1"/>
  <c r="AE232" i="6" s="1"/>
  <c r="AE267" i="6" s="1"/>
  <c r="AE103" i="6"/>
  <c r="AE106" i="6" s="1"/>
  <c r="AE118" i="6" s="1"/>
  <c r="AE171" i="6"/>
  <c r="AE174" i="6" s="1"/>
  <c r="AE186" i="6" s="1"/>
  <c r="AE256" i="6" s="1"/>
  <c r="AE303" i="6" s="1"/>
  <c r="AE149" i="6"/>
  <c r="AE152" i="6" s="1"/>
  <c r="AE164" i="6" s="1"/>
  <c r="AE10" i="6"/>
  <c r="AE13" i="6" s="1"/>
  <c r="AE25" i="6" s="1"/>
  <c r="AE34" i="6"/>
  <c r="AE37" i="6" s="1"/>
  <c r="AE49" i="6" s="1"/>
  <c r="Q80" i="6"/>
  <c r="Q83" i="6" s="1"/>
  <c r="Q95" i="6" s="1"/>
  <c r="Q57" i="6"/>
  <c r="Q34" i="6"/>
  <c r="Q37" i="6" s="1"/>
  <c r="Q49" i="6" s="1"/>
  <c r="Q126" i="6"/>
  <c r="Q129" i="6" s="1"/>
  <c r="Q141" i="6" s="1"/>
  <c r="Q194" i="6"/>
  <c r="Q197" i="6" s="1"/>
  <c r="Q209" i="6" s="1"/>
  <c r="Q171" i="6"/>
  <c r="Q174" i="6" s="1"/>
  <c r="Q186" i="6" s="1"/>
  <c r="Q256" i="6" s="1"/>
  <c r="Q303" i="6" s="1"/>
  <c r="Q103" i="6"/>
  <c r="Q106" i="6" s="1"/>
  <c r="Q118" i="6" s="1"/>
  <c r="Q10" i="6"/>
  <c r="Q13" i="6" s="1"/>
  <c r="Q25" i="6" s="1"/>
  <c r="Q149" i="6"/>
  <c r="Q152" i="6" s="1"/>
  <c r="Q164" i="6" s="1"/>
  <c r="T80" i="6"/>
  <c r="T83" i="6" s="1"/>
  <c r="T95" i="6" s="1"/>
  <c r="T57" i="6"/>
  <c r="T194" i="6"/>
  <c r="T197" i="6" s="1"/>
  <c r="T209" i="6" s="1"/>
  <c r="T171" i="6"/>
  <c r="T174" i="6" s="1"/>
  <c r="T186" i="6" s="1"/>
  <c r="T256" i="6" s="1"/>
  <c r="T303" i="6" s="1"/>
  <c r="T34" i="6"/>
  <c r="T37" i="6" s="1"/>
  <c r="T49" i="6" s="1"/>
  <c r="T126" i="6"/>
  <c r="T129" i="6" s="1"/>
  <c r="T141" i="6" s="1"/>
  <c r="T10" i="6"/>
  <c r="T13" i="6" s="1"/>
  <c r="T25" i="6" s="1"/>
  <c r="T149" i="6"/>
  <c r="T152" i="6" s="1"/>
  <c r="T164" i="6" s="1"/>
  <c r="T103" i="6"/>
  <c r="T106" i="6" s="1"/>
  <c r="T118" i="6" s="1"/>
  <c r="T217" i="6"/>
  <c r="T220" i="6" s="1"/>
  <c r="T232" i="6" s="1"/>
  <c r="T267" i="6" s="1"/>
  <c r="S80" i="6"/>
  <c r="S83" i="6" s="1"/>
  <c r="S95" i="6" s="1"/>
  <c r="S57" i="6"/>
  <c r="S194" i="6"/>
  <c r="S197" i="6" s="1"/>
  <c r="S209" i="6" s="1"/>
  <c r="S149" i="6"/>
  <c r="S152" i="6" s="1"/>
  <c r="S164" i="6" s="1"/>
  <c r="S10" i="6"/>
  <c r="S13" i="6" s="1"/>
  <c r="S25" i="6" s="1"/>
  <c r="S103" i="6"/>
  <c r="S106" i="6" s="1"/>
  <c r="S118" i="6" s="1"/>
  <c r="S126" i="6"/>
  <c r="S129" i="6" s="1"/>
  <c r="S141" i="6" s="1"/>
  <c r="S217" i="6"/>
  <c r="S220" i="6" s="1"/>
  <c r="S232" i="6" s="1"/>
  <c r="S267" i="6" s="1"/>
  <c r="S34" i="6"/>
  <c r="S37" i="6" s="1"/>
  <c r="S49" i="6" s="1"/>
  <c r="R34" i="6"/>
  <c r="R37" i="6" s="1"/>
  <c r="R49" i="6" s="1"/>
  <c r="L474" i="6"/>
  <c r="J309" i="6"/>
  <c r="J313" i="6"/>
  <c r="J347" i="6"/>
  <c r="J311" i="6"/>
  <c r="J312" i="6"/>
  <c r="AG106" i="6"/>
  <c r="AG118" i="6" s="1"/>
  <c r="AH431" i="6"/>
  <c r="AI431" i="6" s="1"/>
  <c r="AA13" i="6"/>
  <c r="AA25" i="6" s="1"/>
  <c r="AG435" i="6"/>
  <c r="AG438" i="6" s="1"/>
  <c r="AG439" i="6" s="1"/>
  <c r="AG440" i="6" s="1"/>
  <c r="AH115" i="6"/>
  <c r="AI115" i="6" s="1"/>
  <c r="J476" i="6"/>
  <c r="N462" i="6"/>
  <c r="AH102" i="6"/>
  <c r="AI102" i="6" s="1"/>
  <c r="H432" i="6"/>
  <c r="AH329" i="6"/>
  <c r="AI329" i="6" s="1"/>
  <c r="AH216" i="6"/>
  <c r="AI216" i="6" s="1"/>
  <c r="K309" i="6"/>
  <c r="K312" i="6"/>
  <c r="K313" i="6"/>
  <c r="K347" i="6"/>
  <c r="K311" i="6"/>
  <c r="AH79" i="6"/>
  <c r="AI79" i="6" s="1"/>
  <c r="AH445" i="6"/>
  <c r="AI445" i="6" s="1"/>
  <c r="AH452" i="6"/>
  <c r="AI452" i="6" s="1"/>
  <c r="G118" i="6"/>
  <c r="T464" i="6"/>
  <c r="AF464" i="6"/>
  <c r="P461" i="6"/>
  <c r="AH328" i="6"/>
  <c r="AI328" i="6" s="1"/>
  <c r="AH286" i="6"/>
  <c r="AI286" i="6" s="1"/>
  <c r="AH105" i="6"/>
  <c r="AI105" i="6" s="1"/>
  <c r="K476" i="6"/>
  <c r="R462" i="6"/>
  <c r="H462" i="6"/>
  <c r="O462" i="6"/>
  <c r="J462" i="6"/>
  <c r="AB462" i="6"/>
  <c r="H446" i="6"/>
  <c r="AG462" i="6"/>
  <c r="AH453" i="6"/>
  <c r="AI453" i="6" s="1"/>
  <c r="AC435" i="6"/>
  <c r="AC438" i="6" s="1"/>
  <c r="AC439" i="6" s="1"/>
  <c r="AC440" i="6" s="1"/>
  <c r="AC408" i="6"/>
  <c r="AC308" i="6" s="1"/>
  <c r="M368" i="6"/>
  <c r="AH193" i="6"/>
  <c r="AI193" i="6" s="1"/>
  <c r="S174" i="6"/>
  <c r="S186" i="6" s="1"/>
  <c r="S256" i="6" s="1"/>
  <c r="S303" i="6" s="1"/>
  <c r="H457" i="6"/>
  <c r="AH59" i="6"/>
  <c r="AI59" i="6" s="1"/>
  <c r="M309" i="6"/>
  <c r="M312" i="6"/>
  <c r="M313" i="6"/>
  <c r="M311" i="6"/>
  <c r="M347" i="6"/>
  <c r="AH69" i="6"/>
  <c r="AI69" i="6" s="1"/>
  <c r="AH192" i="6"/>
  <c r="AI192" i="6" s="1"/>
  <c r="AH9" i="6"/>
  <c r="AI9" i="6" s="1"/>
  <c r="AH86" i="6"/>
  <c r="AI86" i="6" s="1"/>
  <c r="H476" i="6"/>
  <c r="M476" i="6"/>
  <c r="H479" i="6"/>
  <c r="AH479" i="6" s="1"/>
  <c r="AI479" i="6" s="1"/>
  <c r="L462" i="6"/>
  <c r="Q462" i="6"/>
  <c r="S462" i="6"/>
  <c r="W462" i="6"/>
  <c r="K462" i="6"/>
  <c r="J461" i="6"/>
  <c r="Y435" i="6"/>
  <c r="Y438" i="6" s="1"/>
  <c r="Y439" i="6" s="1"/>
  <c r="Y440" i="6" s="1"/>
  <c r="AH170" i="6"/>
  <c r="AI170" i="6" s="1"/>
  <c r="H454" i="6"/>
  <c r="AH327" i="6"/>
  <c r="AI327" i="6" s="1"/>
  <c r="W464" i="6"/>
  <c r="O461" i="6"/>
  <c r="AD461" i="6"/>
  <c r="G475" i="6"/>
  <c r="G60" i="6"/>
  <c r="Z461" i="6"/>
  <c r="AD464" i="6"/>
  <c r="V461" i="6"/>
  <c r="Z464" i="6"/>
  <c r="N172" i="6"/>
  <c r="N35" i="6"/>
  <c r="K368" i="6"/>
  <c r="G367" i="6"/>
  <c r="I461" i="6"/>
  <c r="Q464" i="6"/>
  <c r="R464" i="6"/>
  <c r="U461" i="6"/>
  <c r="N218" i="6"/>
  <c r="N195" i="6"/>
  <c r="AH335" i="6"/>
  <c r="AI335" i="6" s="1"/>
  <c r="Y408" i="6"/>
  <c r="Y308" i="6" s="1"/>
  <c r="F57" i="8"/>
  <c r="AH8" i="6"/>
  <c r="AI8" i="6" s="1"/>
  <c r="X461" i="6"/>
  <c r="AG464" i="6"/>
  <c r="R461" i="6"/>
  <c r="N11" i="6"/>
  <c r="N150" i="6"/>
  <c r="AH325" i="6"/>
  <c r="AI325" i="6" s="1"/>
  <c r="G435" i="6"/>
  <c r="G408" i="6"/>
  <c r="G308" i="6" s="1"/>
  <c r="S464" i="6"/>
  <c r="P464" i="6"/>
  <c r="V464" i="6"/>
  <c r="AE464" i="6"/>
  <c r="AF461" i="6"/>
  <c r="AE461" i="6"/>
  <c r="AB461" i="6"/>
  <c r="N104" i="6"/>
  <c r="N127" i="6"/>
  <c r="M461" i="6"/>
  <c r="AH32" i="6"/>
  <c r="AI32" i="6" s="1"/>
  <c r="Y464" i="6"/>
  <c r="T461" i="6"/>
  <c r="AA464" i="6"/>
  <c r="AA461" i="6"/>
  <c r="Y461" i="6"/>
  <c r="N58" i="6"/>
  <c r="AH356" i="6"/>
  <c r="AI356" i="6" s="1"/>
  <c r="H8" i="11" a="1"/>
  <c r="H13" i="11" a="1"/>
  <c r="I37" i="6" l="1"/>
  <c r="I49" i="6" s="1"/>
  <c r="H13" i="11"/>
  <c r="E20" i="11"/>
  <c r="K483" i="6"/>
  <c r="L106" i="6"/>
  <c r="L118" i="6" s="1"/>
  <c r="L315" i="6" s="1"/>
  <c r="H8" i="11"/>
  <c r="X411" i="6"/>
  <c r="X308" i="6"/>
  <c r="R411" i="6"/>
  <c r="R308" i="6"/>
  <c r="T411" i="6"/>
  <c r="T308" i="6"/>
  <c r="Q411" i="6"/>
  <c r="Q308" i="6"/>
  <c r="S411" i="6"/>
  <c r="S308" i="6"/>
  <c r="N411" i="6"/>
  <c r="N308" i="6"/>
  <c r="W411" i="6"/>
  <c r="W308" i="6"/>
  <c r="V411" i="6"/>
  <c r="V308" i="6"/>
  <c r="O411" i="6"/>
  <c r="O308" i="6"/>
  <c r="U411" i="6"/>
  <c r="U308" i="6"/>
  <c r="P411" i="6"/>
  <c r="P308" i="6"/>
  <c r="L483" i="6"/>
  <c r="M13" i="6"/>
  <c r="M25" i="6" s="1"/>
  <c r="N129" i="6"/>
  <c r="N141" i="6" s="1"/>
  <c r="N254" i="6" s="1"/>
  <c r="N301" i="6" s="1"/>
  <c r="J13" i="6"/>
  <c r="J25" i="6" s="1"/>
  <c r="I197" i="6"/>
  <c r="I209" i="6" s="1"/>
  <c r="I257" i="6" s="1"/>
  <c r="I304" i="6" s="1"/>
  <c r="J197" i="6"/>
  <c r="J209" i="6" s="1"/>
  <c r="J257" i="6" s="1"/>
  <c r="J304" i="6" s="1"/>
  <c r="L197" i="6"/>
  <c r="L209" i="6" s="1"/>
  <c r="L257" i="6" s="1"/>
  <c r="L304" i="6" s="1"/>
  <c r="J174" i="6"/>
  <c r="J186" i="6" s="1"/>
  <c r="J256" i="6" s="1"/>
  <c r="J303" i="6" s="1"/>
  <c r="N220" i="6"/>
  <c r="N232" i="6" s="1"/>
  <c r="N267" i="6" s="1"/>
  <c r="I106" i="6"/>
  <c r="I118" i="6" s="1"/>
  <c r="I331" i="6" s="1"/>
  <c r="I220" i="6"/>
  <c r="I232" i="6" s="1"/>
  <c r="I267" i="6" s="1"/>
  <c r="M129" i="6"/>
  <c r="M141" i="6" s="1"/>
  <c r="M322" i="6" s="1"/>
  <c r="K13" i="6"/>
  <c r="K25" i="6" s="1"/>
  <c r="I129" i="6"/>
  <c r="I141" i="6" s="1"/>
  <c r="I254" i="6" s="1"/>
  <c r="I301" i="6" s="1"/>
  <c r="N174" i="6"/>
  <c r="N186" i="6" s="1"/>
  <c r="N256" i="6" s="1"/>
  <c r="N303" i="6" s="1"/>
  <c r="I152" i="6"/>
  <c r="I164" i="6" s="1"/>
  <c r="I255" i="6" s="1"/>
  <c r="I302" i="6" s="1"/>
  <c r="L60" i="6"/>
  <c r="L289" i="6" s="1"/>
  <c r="M174" i="6"/>
  <c r="M186" i="6" s="1"/>
  <c r="M256" i="6" s="1"/>
  <c r="M303" i="6" s="1"/>
  <c r="N197" i="6"/>
  <c r="N209" i="6" s="1"/>
  <c r="L13" i="6"/>
  <c r="L25" i="6" s="1"/>
  <c r="J37" i="6"/>
  <c r="J49" i="6" s="1"/>
  <c r="K83" i="6"/>
  <c r="K95" i="6" s="1"/>
  <c r="K358" i="6" s="1"/>
  <c r="J83" i="6"/>
  <c r="J95" i="6" s="1"/>
  <c r="J358" i="6" s="1"/>
  <c r="L83" i="6"/>
  <c r="L95" i="6" s="1"/>
  <c r="L358" i="6" s="1"/>
  <c r="M37" i="6"/>
  <c r="M49" i="6" s="1"/>
  <c r="M83" i="6"/>
  <c r="M95" i="6" s="1"/>
  <c r="M358" i="6" s="1"/>
  <c r="I174" i="6"/>
  <c r="I186" i="6" s="1"/>
  <c r="I256" i="6" s="1"/>
  <c r="I303" i="6" s="1"/>
  <c r="M152" i="6"/>
  <c r="M164" i="6" s="1"/>
  <c r="M255" i="6" s="1"/>
  <c r="M302" i="6" s="1"/>
  <c r="N152" i="6"/>
  <c r="N164" i="6" s="1"/>
  <c r="K174" i="6"/>
  <c r="K186" i="6" s="1"/>
  <c r="K256" i="6" s="1"/>
  <c r="K303" i="6" s="1"/>
  <c r="L152" i="6"/>
  <c r="L164" i="6" s="1"/>
  <c r="L255" i="6" s="1"/>
  <c r="L302" i="6" s="1"/>
  <c r="M220" i="6"/>
  <c r="M232" i="6" s="1"/>
  <c r="M267" i="6" s="1"/>
  <c r="J220" i="6"/>
  <c r="J232" i="6" s="1"/>
  <c r="J267" i="6" s="1"/>
  <c r="N37" i="6"/>
  <c r="N49" i="6" s="1"/>
  <c r="I83" i="6"/>
  <c r="I95" i="6" s="1"/>
  <c r="I358" i="6" s="1"/>
  <c r="L129" i="6"/>
  <c r="L141" i="6" s="1"/>
  <c r="L254" i="6" s="1"/>
  <c r="L301" i="6" s="1"/>
  <c r="L174" i="6"/>
  <c r="L186" i="6" s="1"/>
  <c r="L256" i="6" s="1"/>
  <c r="L303" i="6" s="1"/>
  <c r="M106" i="6"/>
  <c r="M118" i="6" s="1"/>
  <c r="M318" i="6" s="1"/>
  <c r="M197" i="6"/>
  <c r="M209" i="6" s="1"/>
  <c r="M257" i="6" s="1"/>
  <c r="M304" i="6" s="1"/>
  <c r="K106" i="6"/>
  <c r="K118" i="6" s="1"/>
  <c r="K330" i="6" s="1"/>
  <c r="K129" i="6"/>
  <c r="K141" i="6" s="1"/>
  <c r="K254" i="6" s="1"/>
  <c r="K301" i="6" s="1"/>
  <c r="J129" i="6"/>
  <c r="J141" i="6" s="1"/>
  <c r="J254" i="6" s="1"/>
  <c r="J301" i="6" s="1"/>
  <c r="AH467" i="6"/>
  <c r="AI467" i="6" s="1"/>
  <c r="K197" i="6"/>
  <c r="K209" i="6" s="1"/>
  <c r="K257" i="6" s="1"/>
  <c r="K304" i="6" s="1"/>
  <c r="N13" i="6"/>
  <c r="N25" i="6" s="1"/>
  <c r="N106" i="6"/>
  <c r="N118" i="6" s="1"/>
  <c r="N321" i="6" s="1"/>
  <c r="L480" i="6"/>
  <c r="K152" i="6"/>
  <c r="K164" i="6" s="1"/>
  <c r="K255" i="6" s="1"/>
  <c r="K302" i="6" s="1"/>
  <c r="J152" i="6"/>
  <c r="J164" i="6" s="1"/>
  <c r="J255" i="6" s="1"/>
  <c r="J302" i="6" s="1"/>
  <c r="N463" i="6"/>
  <c r="L464" i="6"/>
  <c r="L493" i="6" s="1"/>
  <c r="L495" i="6" s="1"/>
  <c r="K37" i="6"/>
  <c r="K49" i="6" s="1"/>
  <c r="S463" i="6"/>
  <c r="S469" i="6" s="1"/>
  <c r="V254" i="6"/>
  <c r="V301" i="6" s="1"/>
  <c r="V322" i="6"/>
  <c r="Y254" i="6"/>
  <c r="Y301" i="6" s="1"/>
  <c r="Y322" i="6"/>
  <c r="W314" i="6"/>
  <c r="W316" i="6"/>
  <c r="W326" i="6"/>
  <c r="W317" i="6"/>
  <c r="W315" i="6"/>
  <c r="W319" i="6"/>
  <c r="W320" i="6"/>
  <c r="W321" i="6"/>
  <c r="W330" i="6"/>
  <c r="W332" i="6"/>
  <c r="W318" i="6"/>
  <c r="W331" i="6"/>
  <c r="AF322" i="6"/>
  <c r="AF254" i="6"/>
  <c r="AF301" i="6" s="1"/>
  <c r="R322" i="6"/>
  <c r="R254" i="6"/>
  <c r="R301" i="6" s="1"/>
  <c r="AE322" i="6"/>
  <c r="AE254" i="6"/>
  <c r="AE301" i="6" s="1"/>
  <c r="AG322" i="6"/>
  <c r="AG254" i="6"/>
  <c r="AG301" i="6" s="1"/>
  <c r="Q254" i="6"/>
  <c r="Q301" i="6" s="1"/>
  <c r="Q322" i="6"/>
  <c r="AD314" i="6"/>
  <c r="AD315" i="6"/>
  <c r="AD326" i="6"/>
  <c r="AD331" i="6"/>
  <c r="AD319" i="6"/>
  <c r="AD316" i="6"/>
  <c r="AD321" i="6"/>
  <c r="AD317" i="6"/>
  <c r="AD320" i="6"/>
  <c r="AD318" i="6"/>
  <c r="AD332" i="6"/>
  <c r="AD330" i="6"/>
  <c r="U322" i="6"/>
  <c r="U254" i="6"/>
  <c r="U301" i="6" s="1"/>
  <c r="W254" i="6"/>
  <c r="W301" i="6" s="1"/>
  <c r="W322" i="6"/>
  <c r="J326" i="6"/>
  <c r="J321" i="6"/>
  <c r="J316" i="6"/>
  <c r="J332" i="6"/>
  <c r="J331" i="6"/>
  <c r="J318" i="6"/>
  <c r="J317" i="6"/>
  <c r="J314" i="6"/>
  <c r="J320" i="6"/>
  <c r="J330" i="6"/>
  <c r="J319" i="6"/>
  <c r="J315" i="6"/>
  <c r="V317" i="6"/>
  <c r="V320" i="6"/>
  <c r="V330" i="6"/>
  <c r="V331" i="6"/>
  <c r="V319" i="6"/>
  <c r="V326" i="6"/>
  <c r="V318" i="6"/>
  <c r="V314" i="6"/>
  <c r="V316" i="6"/>
  <c r="V321" i="6"/>
  <c r="V332" i="6"/>
  <c r="V315" i="6"/>
  <c r="AA254" i="6"/>
  <c r="AA301" i="6" s="1"/>
  <c r="AA322" i="6"/>
  <c r="X331" i="6"/>
  <c r="X314" i="6"/>
  <c r="X318" i="6"/>
  <c r="X330" i="6"/>
  <c r="X326" i="6"/>
  <c r="X332" i="6"/>
  <c r="X317" i="6"/>
  <c r="X319" i="6"/>
  <c r="X320" i="6"/>
  <c r="X321" i="6"/>
  <c r="X315" i="6"/>
  <c r="X316" i="6"/>
  <c r="W358" i="6"/>
  <c r="W253" i="6"/>
  <c r="AC358" i="6"/>
  <c r="AC253" i="6"/>
  <c r="AH408" i="6"/>
  <c r="AI408" i="6" s="1"/>
  <c r="N464" i="6"/>
  <c r="AF253" i="6"/>
  <c r="AF358" i="6"/>
  <c r="X322" i="6"/>
  <c r="X254" i="6"/>
  <c r="X301" i="6" s="1"/>
  <c r="H309" i="6"/>
  <c r="H313" i="6"/>
  <c r="H312" i="6"/>
  <c r="H347" i="6"/>
  <c r="H311" i="6"/>
  <c r="AH457" i="6"/>
  <c r="AI457" i="6" s="1"/>
  <c r="AH432" i="6"/>
  <c r="AI432" i="6" s="1"/>
  <c r="H433" i="6"/>
  <c r="AH433" i="6" s="1"/>
  <c r="AI433" i="6" s="1"/>
  <c r="Q317" i="6"/>
  <c r="Q321" i="6"/>
  <c r="Q316" i="6"/>
  <c r="Q319" i="6"/>
  <c r="Q315" i="6"/>
  <c r="Q314" i="6"/>
  <c r="Q320" i="6"/>
  <c r="Q331" i="6"/>
  <c r="Q326" i="6"/>
  <c r="Q332" i="6"/>
  <c r="Q330" i="6"/>
  <c r="Q318" i="6"/>
  <c r="N253" i="6"/>
  <c r="N358" i="6"/>
  <c r="AE463" i="6"/>
  <c r="AE469" i="6" s="1"/>
  <c r="AA463" i="6"/>
  <c r="AA469" i="6" s="1"/>
  <c r="J464" i="6"/>
  <c r="J493" i="6" s="1"/>
  <c r="J495" i="6" s="1"/>
  <c r="AD474" i="6"/>
  <c r="AD476" i="6"/>
  <c r="AD60" i="6"/>
  <c r="O463" i="6"/>
  <c r="O469" i="6" s="1"/>
  <c r="H483" i="6"/>
  <c r="AH461" i="6"/>
  <c r="L220" i="6"/>
  <c r="L232" i="6" s="1"/>
  <c r="L267" i="6" s="1"/>
  <c r="M60" i="6"/>
  <c r="M474" i="6"/>
  <c r="M480" i="6" s="1"/>
  <c r="V476" i="6"/>
  <c r="V474" i="6"/>
  <c r="V60" i="6"/>
  <c r="P463" i="6"/>
  <c r="P469" i="6" s="1"/>
  <c r="Z474" i="6"/>
  <c r="Z476" i="6"/>
  <c r="Z60" i="6"/>
  <c r="Y463" i="6"/>
  <c r="Y469" i="6" s="1"/>
  <c r="AB476" i="6"/>
  <c r="AB474" i="6"/>
  <c r="AB60" i="6"/>
  <c r="I60" i="6"/>
  <c r="I474" i="6"/>
  <c r="I480" i="6" s="1"/>
  <c r="AH466" i="6"/>
  <c r="AI466" i="6" s="1"/>
  <c r="G438" i="6"/>
  <c r="AH435" i="6"/>
  <c r="AI435" i="6" s="1"/>
  <c r="U253" i="6"/>
  <c r="U358" i="6"/>
  <c r="O254" i="6"/>
  <c r="O301" i="6" s="1"/>
  <c r="O322" i="6"/>
  <c r="AH462" i="6"/>
  <c r="AI462" i="6" s="1"/>
  <c r="P318" i="6"/>
  <c r="P321" i="6"/>
  <c r="P326" i="6"/>
  <c r="P332" i="6"/>
  <c r="P319" i="6"/>
  <c r="P330" i="6"/>
  <c r="P320" i="6"/>
  <c r="P331" i="6"/>
  <c r="P315" i="6"/>
  <c r="P314" i="6"/>
  <c r="P316" i="6"/>
  <c r="P317" i="6"/>
  <c r="O253" i="6"/>
  <c r="O358" i="6"/>
  <c r="O321" i="6"/>
  <c r="O314" i="6"/>
  <c r="O320" i="6"/>
  <c r="O315" i="6"/>
  <c r="O326" i="6"/>
  <c r="O332" i="6"/>
  <c r="O331" i="6"/>
  <c r="O330" i="6"/>
  <c r="O319" i="6"/>
  <c r="O318" i="6"/>
  <c r="O316" i="6"/>
  <c r="O317" i="6"/>
  <c r="I464" i="6"/>
  <c r="I493" i="6" s="1"/>
  <c r="I495" i="6" s="1"/>
  <c r="AD463" i="6"/>
  <c r="AD469" i="6" s="1"/>
  <c r="O476" i="6"/>
  <c r="O474" i="6"/>
  <c r="O60" i="6"/>
  <c r="K464" i="6"/>
  <c r="K493" i="6" s="1"/>
  <c r="K495" i="6" s="1"/>
  <c r="L309" i="6"/>
  <c r="L312" i="6"/>
  <c r="L313" i="6"/>
  <c r="L347" i="6"/>
  <c r="L311" i="6"/>
  <c r="I309" i="6"/>
  <c r="I313" i="6"/>
  <c r="I312" i="6"/>
  <c r="I347" i="6"/>
  <c r="I311" i="6"/>
  <c r="P474" i="6"/>
  <c r="P476" i="6"/>
  <c r="P60" i="6"/>
  <c r="W463" i="6"/>
  <c r="W469" i="6" s="1"/>
  <c r="S476" i="6"/>
  <c r="S474" i="6"/>
  <c r="S60" i="6"/>
  <c r="J484" i="6"/>
  <c r="X476" i="6"/>
  <c r="X474" i="6"/>
  <c r="X60" i="6"/>
  <c r="K60" i="6"/>
  <c r="K474" i="6"/>
  <c r="K480" i="6" s="1"/>
  <c r="J60" i="6"/>
  <c r="J474" i="6"/>
  <c r="J480" i="6" s="1"/>
  <c r="AF317" i="6"/>
  <c r="AF326" i="6"/>
  <c r="AF314" i="6"/>
  <c r="AF330" i="6"/>
  <c r="AF321" i="6"/>
  <c r="AF316" i="6"/>
  <c r="AF319" i="6"/>
  <c r="AF331" i="6"/>
  <c r="AF318" i="6"/>
  <c r="AF320" i="6"/>
  <c r="AF315" i="6"/>
  <c r="AF332" i="6"/>
  <c r="AC476" i="6"/>
  <c r="AC474" i="6"/>
  <c r="AC60" i="6"/>
  <c r="AH465" i="6"/>
  <c r="AI465" i="6" s="1"/>
  <c r="W474" i="6"/>
  <c r="W476" i="6"/>
  <c r="W60" i="6"/>
  <c r="I463" i="6"/>
  <c r="I488" i="6" s="1"/>
  <c r="I490" i="6" s="1"/>
  <c r="AD254" i="6"/>
  <c r="AD301" i="6" s="1"/>
  <c r="AD322" i="6"/>
  <c r="S317" i="6"/>
  <c r="S326" i="6"/>
  <c r="S331" i="6"/>
  <c r="S315" i="6"/>
  <c r="S321" i="6"/>
  <c r="S316" i="6"/>
  <c r="S318" i="6"/>
  <c r="S314" i="6"/>
  <c r="S320" i="6"/>
  <c r="S332" i="6"/>
  <c r="S319" i="6"/>
  <c r="S330" i="6"/>
  <c r="S254" i="6"/>
  <c r="S301" i="6" s="1"/>
  <c r="S322" i="6"/>
  <c r="I483" i="6"/>
  <c r="AE314" i="6"/>
  <c r="AE319" i="6"/>
  <c r="AE331" i="6"/>
  <c r="AE326" i="6"/>
  <c r="AE330" i="6"/>
  <c r="AE315" i="6"/>
  <c r="AE321" i="6"/>
  <c r="AE318" i="6"/>
  <c r="AE320" i="6"/>
  <c r="AE316" i="6"/>
  <c r="AE332" i="6"/>
  <c r="AE317" i="6"/>
  <c r="T358" i="6"/>
  <c r="T253" i="6"/>
  <c r="P253" i="6"/>
  <c r="P358" i="6"/>
  <c r="R358" i="6"/>
  <c r="R253" i="6"/>
  <c r="T474" i="6"/>
  <c r="T476" i="6"/>
  <c r="T60" i="6"/>
  <c r="X463" i="6"/>
  <c r="X469" i="6" s="1"/>
  <c r="AG463" i="6"/>
  <c r="AG469" i="6" s="1"/>
  <c r="AC463" i="6"/>
  <c r="AC469" i="6" s="1"/>
  <c r="R474" i="6"/>
  <c r="R476" i="6"/>
  <c r="R60" i="6"/>
  <c r="U474" i="6"/>
  <c r="U476" i="6"/>
  <c r="U60" i="6"/>
  <c r="L463" i="6"/>
  <c r="AF463" i="6"/>
  <c r="AF469" i="6" s="1"/>
  <c r="AA253" i="6"/>
  <c r="AA358" i="6"/>
  <c r="Y321" i="6"/>
  <c r="Y318" i="6"/>
  <c r="Y326" i="6"/>
  <c r="Y319" i="6"/>
  <c r="Y331" i="6"/>
  <c r="Y332" i="6"/>
  <c r="Y317" i="6"/>
  <c r="Y320" i="6"/>
  <c r="Y330" i="6"/>
  <c r="Y314" i="6"/>
  <c r="Y315" i="6"/>
  <c r="Y316" i="6"/>
  <c r="G368" i="6"/>
  <c r="F63" i="8"/>
  <c r="AH367" i="6"/>
  <c r="Y358" i="6"/>
  <c r="Y253" i="6"/>
  <c r="J483" i="6"/>
  <c r="AE253" i="6"/>
  <c r="AE358" i="6"/>
  <c r="T463" i="6"/>
  <c r="T469" i="6" s="1"/>
  <c r="Q474" i="6"/>
  <c r="Q476" i="6"/>
  <c r="Q60" i="6"/>
  <c r="AC322" i="6"/>
  <c r="AC254" i="6"/>
  <c r="AC301" i="6" s="1"/>
  <c r="AG476" i="6"/>
  <c r="AG474" i="6"/>
  <c r="AG60" i="6"/>
  <c r="AH468" i="6"/>
  <c r="AI468" i="6" s="1"/>
  <c r="R463" i="6"/>
  <c r="R469" i="6" s="1"/>
  <c r="U463" i="6"/>
  <c r="U469" i="6" s="1"/>
  <c r="AF476" i="6"/>
  <c r="AF474" i="6"/>
  <c r="AF60" i="6"/>
  <c r="AB322" i="6"/>
  <c r="AB254" i="6"/>
  <c r="AB301" i="6" s="1"/>
  <c r="AH446" i="6"/>
  <c r="AI446" i="6" s="1"/>
  <c r="H447" i="6"/>
  <c r="AG253" i="6"/>
  <c r="AG358" i="6"/>
  <c r="G314" i="6"/>
  <c r="G318" i="6"/>
  <c r="G331" i="6"/>
  <c r="G330" i="6"/>
  <c r="G315" i="6"/>
  <c r="G320" i="6"/>
  <c r="G319" i="6"/>
  <c r="G317" i="6"/>
  <c r="G332" i="6"/>
  <c r="G316" i="6"/>
  <c r="G321" i="6"/>
  <c r="G326" i="6"/>
  <c r="K484" i="6"/>
  <c r="AB319" i="6"/>
  <c r="AB321" i="6"/>
  <c r="AB316" i="6"/>
  <c r="AB317" i="6"/>
  <c r="AB314" i="6"/>
  <c r="AB318" i="6"/>
  <c r="AB320" i="6"/>
  <c r="AB332" i="6"/>
  <c r="AB315" i="6"/>
  <c r="AB330" i="6"/>
  <c r="AB331" i="6"/>
  <c r="AB326" i="6"/>
  <c r="R319" i="6"/>
  <c r="R316" i="6"/>
  <c r="R332" i="6"/>
  <c r="R321" i="6"/>
  <c r="R331" i="6"/>
  <c r="R326" i="6"/>
  <c r="R317" i="6"/>
  <c r="R314" i="6"/>
  <c r="R315" i="6"/>
  <c r="R320" i="6"/>
  <c r="R330" i="6"/>
  <c r="R318" i="6"/>
  <c r="V253" i="6"/>
  <c r="V358" i="6"/>
  <c r="Q463" i="6"/>
  <c r="Q469" i="6" s="1"/>
  <c r="M463" i="6"/>
  <c r="H81" i="6"/>
  <c r="AH454" i="6"/>
  <c r="AI454" i="6" s="1"/>
  <c r="H150" i="6"/>
  <c r="AH150" i="6" s="1"/>
  <c r="AI150" i="6" s="1"/>
  <c r="H195" i="6"/>
  <c r="AH195" i="6" s="1"/>
  <c r="AI195" i="6" s="1"/>
  <c r="H127" i="6"/>
  <c r="AH127" i="6" s="1"/>
  <c r="AI127" i="6" s="1"/>
  <c r="H104" i="6"/>
  <c r="AH104" i="6" s="1"/>
  <c r="AI104" i="6" s="1"/>
  <c r="H11" i="6"/>
  <c r="AH11" i="6" s="1"/>
  <c r="AI11" i="6" s="1"/>
  <c r="H58" i="6"/>
  <c r="H218" i="6"/>
  <c r="H172" i="6"/>
  <c r="AH172" i="6" s="1"/>
  <c r="AI172" i="6" s="1"/>
  <c r="H35" i="6"/>
  <c r="AH35" i="6" s="1"/>
  <c r="AI35" i="6" s="1"/>
  <c r="X253" i="6"/>
  <c r="X358" i="6"/>
  <c r="U318" i="6"/>
  <c r="U321" i="6"/>
  <c r="U332" i="6"/>
  <c r="U330" i="6"/>
  <c r="U331" i="6"/>
  <c r="U319" i="6"/>
  <c r="U320" i="6"/>
  <c r="U316" i="6"/>
  <c r="U314" i="6"/>
  <c r="U326" i="6"/>
  <c r="U317" i="6"/>
  <c r="U315" i="6"/>
  <c r="Z322" i="6"/>
  <c r="Z254" i="6"/>
  <c r="Z301" i="6" s="1"/>
  <c r="Z317" i="6"/>
  <c r="Z319" i="6"/>
  <c r="Z326" i="6"/>
  <c r="Z321" i="6"/>
  <c r="Z314" i="6"/>
  <c r="Z331" i="6"/>
  <c r="Z315" i="6"/>
  <c r="Z330" i="6"/>
  <c r="Z332" i="6"/>
  <c r="Z316" i="6"/>
  <c r="Z318" i="6"/>
  <c r="Z320" i="6"/>
  <c r="G72" i="6"/>
  <c r="G289" i="6"/>
  <c r="T315" i="6"/>
  <c r="T320" i="6"/>
  <c r="T332" i="6"/>
  <c r="T326" i="6"/>
  <c r="T318" i="6"/>
  <c r="T316" i="6"/>
  <c r="T321" i="6"/>
  <c r="T330" i="6"/>
  <c r="T314" i="6"/>
  <c r="T319" i="6"/>
  <c r="T331" i="6"/>
  <c r="T317" i="6"/>
  <c r="AC326" i="6"/>
  <c r="AC332" i="6"/>
  <c r="AC330" i="6"/>
  <c r="AC321" i="6"/>
  <c r="AC319" i="6"/>
  <c r="AC315" i="6"/>
  <c r="AC318" i="6"/>
  <c r="AC331" i="6"/>
  <c r="AC314" i="6"/>
  <c r="AC316" i="6"/>
  <c r="AC320" i="6"/>
  <c r="AC317" i="6"/>
  <c r="P322" i="6"/>
  <c r="P254" i="6"/>
  <c r="P301" i="6" s="1"/>
  <c r="S358" i="6"/>
  <c r="S253" i="6"/>
  <c r="F60" i="8"/>
  <c r="G480" i="6"/>
  <c r="Z253" i="6"/>
  <c r="Z358" i="6"/>
  <c r="T254" i="6"/>
  <c r="T301" i="6" s="1"/>
  <c r="T322" i="6"/>
  <c r="AA321" i="6"/>
  <c r="AA315" i="6"/>
  <c r="AA331" i="6"/>
  <c r="AA316" i="6"/>
  <c r="AA318" i="6"/>
  <c r="AA317" i="6"/>
  <c r="AA320" i="6"/>
  <c r="AA330" i="6"/>
  <c r="AA319" i="6"/>
  <c r="AA332" i="6"/>
  <c r="AA326" i="6"/>
  <c r="AA314" i="6"/>
  <c r="Q253" i="6"/>
  <c r="Q358" i="6"/>
  <c r="AB253" i="6"/>
  <c r="AB358" i="6"/>
  <c r="AG332" i="6"/>
  <c r="AG317" i="6"/>
  <c r="AG318" i="6"/>
  <c r="AG330" i="6"/>
  <c r="AG315" i="6"/>
  <c r="AG320" i="6"/>
  <c r="AG326" i="6"/>
  <c r="AG321" i="6"/>
  <c r="AG316" i="6"/>
  <c r="AG314" i="6"/>
  <c r="AG319" i="6"/>
  <c r="AG331" i="6"/>
  <c r="AD253" i="6"/>
  <c r="AD358" i="6"/>
  <c r="AE474" i="6"/>
  <c r="AE476" i="6"/>
  <c r="AE60" i="6"/>
  <c r="AA476" i="6"/>
  <c r="AA474" i="6"/>
  <c r="AA60" i="6"/>
  <c r="K463" i="6"/>
  <c r="K488" i="6" s="1"/>
  <c r="K490" i="6" s="1"/>
  <c r="J463" i="6"/>
  <c r="J488" i="6" s="1"/>
  <c r="J490" i="6" s="1"/>
  <c r="K220" i="6"/>
  <c r="K232" i="6" s="1"/>
  <c r="K267" i="6" s="1"/>
  <c r="N474" i="6"/>
  <c r="N476" i="6"/>
  <c r="N60" i="6"/>
  <c r="M464" i="6"/>
  <c r="V463" i="6"/>
  <c r="V469" i="6" s="1"/>
  <c r="Z463" i="6"/>
  <c r="Z469" i="6" s="1"/>
  <c r="Y474" i="6"/>
  <c r="Y476" i="6"/>
  <c r="Y60" i="6"/>
  <c r="AB463" i="6"/>
  <c r="AB469" i="6" s="1"/>
  <c r="G11" i="11" a="1"/>
  <c r="G12" i="11" a="1"/>
  <c r="G14" i="11" a="1"/>
  <c r="G13" i="11" a="1"/>
  <c r="P70" i="17" a="1"/>
  <c r="F20" i="17" a="1"/>
  <c r="F14" i="17" a="1"/>
  <c r="G10" i="11" a="1"/>
  <c r="L320" i="6" l="1"/>
  <c r="L318" i="6"/>
  <c r="L317" i="6"/>
  <c r="L332" i="6"/>
  <c r="L331" i="6"/>
  <c r="L314" i="6"/>
  <c r="L330" i="6"/>
  <c r="L326" i="6"/>
  <c r="L321" i="6"/>
  <c r="L319" i="6"/>
  <c r="L316" i="6"/>
  <c r="K485" i="6"/>
  <c r="G14" i="11"/>
  <c r="I14" i="11" s="1"/>
  <c r="G13" i="11"/>
  <c r="I13" i="11" s="1"/>
  <c r="G11" i="11"/>
  <c r="I11" i="11" s="1"/>
  <c r="G10" i="11"/>
  <c r="I10" i="11" s="1"/>
  <c r="G12" i="11"/>
  <c r="I12" i="11" s="1"/>
  <c r="F14" i="17"/>
  <c r="F20" i="17"/>
  <c r="I8" i="11"/>
  <c r="H20" i="11"/>
  <c r="AH308" i="6"/>
  <c r="AI308" i="6" s="1"/>
  <c r="N322" i="6"/>
  <c r="I315" i="6"/>
  <c r="I321" i="6"/>
  <c r="K321" i="6"/>
  <c r="M253" i="6"/>
  <c r="M300" i="6" s="1"/>
  <c r="I332" i="6"/>
  <c r="I318" i="6"/>
  <c r="I319" i="6"/>
  <c r="I317" i="6"/>
  <c r="I314" i="6"/>
  <c r="I326" i="6"/>
  <c r="I330" i="6"/>
  <c r="I316" i="6"/>
  <c r="I320" i="6"/>
  <c r="N469" i="6"/>
  <c r="M469" i="6"/>
  <c r="L322" i="6"/>
  <c r="M254" i="6"/>
  <c r="M301" i="6" s="1"/>
  <c r="J253" i="6"/>
  <c r="J300" i="6" s="1"/>
  <c r="I322" i="6"/>
  <c r="L72" i="6"/>
  <c r="K332" i="6"/>
  <c r="L253" i="6"/>
  <c r="L300" i="6" s="1"/>
  <c r="I253" i="6"/>
  <c r="I300" i="6" s="1"/>
  <c r="M330" i="6"/>
  <c r="M317" i="6"/>
  <c r="N316" i="6"/>
  <c r="M326" i="6"/>
  <c r="M320" i="6"/>
  <c r="N332" i="6"/>
  <c r="N320" i="6"/>
  <c r="M314" i="6"/>
  <c r="M319" i="6"/>
  <c r="N330" i="6"/>
  <c r="N331" i="6"/>
  <c r="M316" i="6"/>
  <c r="M331" i="6"/>
  <c r="N317" i="6"/>
  <c r="N318" i="6"/>
  <c r="K253" i="6"/>
  <c r="K259" i="6" s="1"/>
  <c r="M315" i="6"/>
  <c r="N315" i="6"/>
  <c r="M332" i="6"/>
  <c r="N319" i="6"/>
  <c r="M321" i="6"/>
  <c r="N314" i="6"/>
  <c r="N326" i="6"/>
  <c r="P480" i="6"/>
  <c r="K322" i="6"/>
  <c r="X480" i="6"/>
  <c r="J485" i="6"/>
  <c r="Q480" i="6"/>
  <c r="I469" i="6"/>
  <c r="Z480" i="6"/>
  <c r="K316" i="6"/>
  <c r="K318" i="6"/>
  <c r="K314" i="6"/>
  <c r="K331" i="6"/>
  <c r="K319" i="6"/>
  <c r="K320" i="6"/>
  <c r="K317" i="6"/>
  <c r="K326" i="6"/>
  <c r="K315" i="6"/>
  <c r="R480" i="6"/>
  <c r="J322" i="6"/>
  <c r="AH476" i="6"/>
  <c r="AI476" i="6" s="1"/>
  <c r="O480" i="6"/>
  <c r="AA480" i="6"/>
  <c r="AD480" i="6"/>
  <c r="P70" i="17"/>
  <c r="Z259" i="6"/>
  <c r="Z300" i="6"/>
  <c r="H475" i="6"/>
  <c r="AH475" i="6" s="1"/>
  <c r="AI475" i="6" s="1"/>
  <c r="AH58" i="6"/>
  <c r="AI58" i="6" s="1"/>
  <c r="U72" i="6"/>
  <c r="U289" i="6"/>
  <c r="O289" i="6"/>
  <c r="O72" i="6"/>
  <c r="AD289" i="6"/>
  <c r="AD72" i="6"/>
  <c r="AH313" i="6"/>
  <c r="AI313" i="6" s="1"/>
  <c r="N289" i="6"/>
  <c r="N72" i="6"/>
  <c r="AE289" i="6"/>
  <c r="AE72" i="6"/>
  <c r="AG289" i="6"/>
  <c r="AG72" i="6"/>
  <c r="T289" i="6"/>
  <c r="T72" i="6"/>
  <c r="P300" i="6"/>
  <c r="P259" i="6"/>
  <c r="W480" i="6"/>
  <c r="P289" i="6"/>
  <c r="P72" i="6"/>
  <c r="O300" i="6"/>
  <c r="O259" i="6"/>
  <c r="AH438" i="6"/>
  <c r="AI438" i="6" s="1"/>
  <c r="G439" i="6"/>
  <c r="AH309" i="6"/>
  <c r="AI309" i="6" s="1"/>
  <c r="N480" i="6"/>
  <c r="AG480" i="6"/>
  <c r="U480" i="6"/>
  <c r="Z72" i="6"/>
  <c r="Z289" i="6"/>
  <c r="M289" i="6"/>
  <c r="M72" i="6"/>
  <c r="Y289" i="6"/>
  <c r="Y72" i="6"/>
  <c r="AE480" i="6"/>
  <c r="V300" i="6"/>
  <c r="V259" i="6"/>
  <c r="AF289" i="6"/>
  <c r="AF72" i="6"/>
  <c r="R72" i="6"/>
  <c r="R289" i="6"/>
  <c r="T480" i="6"/>
  <c r="L484" i="6"/>
  <c r="L485" i="6" s="1"/>
  <c r="AC300" i="6"/>
  <c r="AC259" i="6"/>
  <c r="Y480" i="6"/>
  <c r="AB300" i="6"/>
  <c r="AB259" i="6"/>
  <c r="G264" i="6"/>
  <c r="G246" i="6"/>
  <c r="G273" i="6"/>
  <c r="G324" i="6"/>
  <c r="G268" i="6"/>
  <c r="G265" i="6"/>
  <c r="G348" i="6"/>
  <c r="G385" i="6"/>
  <c r="G333" i="6"/>
  <c r="G266" i="6"/>
  <c r="G349" i="6"/>
  <c r="G350" i="6"/>
  <c r="X300" i="6"/>
  <c r="X259" i="6"/>
  <c r="AF480" i="6"/>
  <c r="AE300" i="6"/>
  <c r="AE259" i="6"/>
  <c r="AA300" i="6"/>
  <c r="AA259" i="6"/>
  <c r="AC289" i="6"/>
  <c r="AC72" i="6"/>
  <c r="J289" i="6"/>
  <c r="J72" i="6"/>
  <c r="S72" i="6"/>
  <c r="S289" i="6"/>
  <c r="AI461" i="6"/>
  <c r="J469" i="6"/>
  <c r="F56" i="8"/>
  <c r="T300" i="6"/>
  <c r="T259" i="6"/>
  <c r="AC480" i="6"/>
  <c r="S480" i="6"/>
  <c r="I484" i="6"/>
  <c r="I485" i="6" s="1"/>
  <c r="I289" i="6"/>
  <c r="I72" i="6"/>
  <c r="AH311" i="6"/>
  <c r="AI311" i="6" s="1"/>
  <c r="W300" i="6"/>
  <c r="W259" i="6"/>
  <c r="AA289" i="6"/>
  <c r="AA72" i="6"/>
  <c r="Q300" i="6"/>
  <c r="Q259" i="6"/>
  <c r="S300" i="6"/>
  <c r="S259" i="6"/>
  <c r="AG300" i="6"/>
  <c r="AG259" i="6"/>
  <c r="Q289" i="6"/>
  <c r="Q72" i="6"/>
  <c r="R300" i="6"/>
  <c r="R259" i="6"/>
  <c r="K289" i="6"/>
  <c r="K72" i="6"/>
  <c r="U300" i="6"/>
  <c r="U259" i="6"/>
  <c r="AB289" i="6"/>
  <c r="AB72" i="6"/>
  <c r="V289" i="6"/>
  <c r="V72" i="6"/>
  <c r="H484" i="6"/>
  <c r="H485" i="6" s="1"/>
  <c r="AH347" i="6"/>
  <c r="AI347" i="6" s="1"/>
  <c r="AD259" i="6"/>
  <c r="AD300" i="6"/>
  <c r="AH218" i="6"/>
  <c r="AI218" i="6" s="1"/>
  <c r="H494" i="6"/>
  <c r="H464" i="6"/>
  <c r="AH81" i="6"/>
  <c r="AI81" i="6" s="1"/>
  <c r="H80" i="6"/>
  <c r="H217" i="6"/>
  <c r="AH447" i="6"/>
  <c r="AI447" i="6" s="1"/>
  <c r="H194" i="6"/>
  <c r="H57" i="6"/>
  <c r="H10" i="6"/>
  <c r="H149" i="6"/>
  <c r="H103" i="6"/>
  <c r="H34" i="6"/>
  <c r="H171" i="6"/>
  <c r="H126" i="6"/>
  <c r="Y300" i="6"/>
  <c r="Y259" i="6"/>
  <c r="L488" i="6"/>
  <c r="L490" i="6" s="1"/>
  <c r="L469" i="6"/>
  <c r="W289" i="6"/>
  <c r="W72" i="6"/>
  <c r="X289" i="6"/>
  <c r="X72" i="6"/>
  <c r="AB480" i="6"/>
  <c r="V480" i="6"/>
  <c r="N300" i="6"/>
  <c r="N259" i="6"/>
  <c r="AH312" i="6"/>
  <c r="AI312" i="6" s="1"/>
  <c r="AF300" i="6"/>
  <c r="AF259" i="6"/>
  <c r="K469" i="6"/>
  <c r="P76" i="17" a="1"/>
  <c r="P73" i="17" a="1"/>
  <c r="P74" i="17" a="1"/>
  <c r="F18" i="17" a="1"/>
  <c r="P72" i="17" a="1"/>
  <c r="F21" i="17" a="1"/>
  <c r="P77" i="17" a="1"/>
  <c r="F16" i="17" a="1"/>
  <c r="F17" i="17" a="1"/>
  <c r="L273" i="6" l="1"/>
  <c r="E15" i="8" s="1"/>
  <c r="F17" i="17"/>
  <c r="F18" i="17"/>
  <c r="F16" i="17"/>
  <c r="F21" i="17"/>
  <c r="AH439" i="6"/>
  <c r="AI439" i="6" s="1"/>
  <c r="G440" i="6"/>
  <c r="AH440" i="6" s="1"/>
  <c r="AI440" i="6" s="1"/>
  <c r="L268" i="6"/>
  <c r="L348" i="6"/>
  <c r="L264" i="6"/>
  <c r="L349" i="6"/>
  <c r="L246" i="6"/>
  <c r="L250" i="6" s="1"/>
  <c r="L283" i="6" s="1"/>
  <c r="I259" i="6"/>
  <c r="K300" i="6"/>
  <c r="J259" i="6"/>
  <c r="L385" i="6"/>
  <c r="L324" i="6"/>
  <c r="L266" i="6"/>
  <c r="L350" i="6"/>
  <c r="L265" i="6"/>
  <c r="L333" i="6"/>
  <c r="M259" i="6"/>
  <c r="L259" i="6"/>
  <c r="P76" i="17"/>
  <c r="G339" i="6"/>
  <c r="G341" i="6" s="1"/>
  <c r="P74" i="17"/>
  <c r="P73" i="17"/>
  <c r="P72" i="17"/>
  <c r="P77" i="17"/>
  <c r="AH10" i="6"/>
  <c r="AI10" i="6" s="1"/>
  <c r="H13" i="6"/>
  <c r="H60" i="6"/>
  <c r="AH57" i="6"/>
  <c r="AI57" i="6" s="1"/>
  <c r="H474" i="6"/>
  <c r="T384" i="6"/>
  <c r="X384" i="6"/>
  <c r="Y273" i="6"/>
  <c r="Y349" i="6"/>
  <c r="Y348" i="6"/>
  <c r="Y350" i="6"/>
  <c r="Y266" i="6"/>
  <c r="Y333" i="6"/>
  <c r="Y264" i="6"/>
  <c r="Y324" i="6"/>
  <c r="Y268" i="6"/>
  <c r="Y246" i="6"/>
  <c r="Y250" i="6" s="1"/>
  <c r="Y385" i="6"/>
  <c r="Y265" i="6"/>
  <c r="Y275" i="6" s="1"/>
  <c r="Z264" i="6"/>
  <c r="Z349" i="6"/>
  <c r="Z268" i="6"/>
  <c r="Z385" i="6"/>
  <c r="Z266" i="6"/>
  <c r="Z273" i="6"/>
  <c r="Z350" i="6"/>
  <c r="Z333" i="6"/>
  <c r="Z246" i="6"/>
  <c r="Z250" i="6" s="1"/>
  <c r="Z324" i="6"/>
  <c r="Z265" i="6"/>
  <c r="Z275" i="6" s="1"/>
  <c r="Z348" i="6"/>
  <c r="O273" i="6"/>
  <c r="O333" i="6"/>
  <c r="O350" i="6"/>
  <c r="O348" i="6"/>
  <c r="O385" i="6"/>
  <c r="O246" i="6"/>
  <c r="O250" i="6" s="1"/>
  <c r="O324" i="6"/>
  <c r="O265" i="6"/>
  <c r="O275" i="6" s="1"/>
  <c r="O268" i="6"/>
  <c r="O264" i="6"/>
  <c r="O349" i="6"/>
  <c r="O266" i="6"/>
  <c r="K264" i="6"/>
  <c r="K273" i="6"/>
  <c r="K349" i="6"/>
  <c r="K266" i="6"/>
  <c r="K348" i="6"/>
  <c r="K385" i="6"/>
  <c r="K333" i="6"/>
  <c r="K268" i="6"/>
  <c r="K246" i="6"/>
  <c r="K250" i="6" s="1"/>
  <c r="K350" i="6"/>
  <c r="K324" i="6"/>
  <c r="K265" i="6"/>
  <c r="AA333" i="6"/>
  <c r="AA246" i="6"/>
  <c r="AA250" i="6" s="1"/>
  <c r="AA324" i="6"/>
  <c r="AA348" i="6"/>
  <c r="AA349" i="6"/>
  <c r="AA265" i="6"/>
  <c r="AA275" i="6" s="1"/>
  <c r="AA268" i="6"/>
  <c r="AA266" i="6"/>
  <c r="AA264" i="6"/>
  <c r="AA350" i="6"/>
  <c r="AA385" i="6"/>
  <c r="AA273" i="6"/>
  <c r="O384" i="6"/>
  <c r="X273" i="6"/>
  <c r="X268" i="6"/>
  <c r="X264" i="6"/>
  <c r="X348" i="6"/>
  <c r="X324" i="6"/>
  <c r="X333" i="6"/>
  <c r="X265" i="6"/>
  <c r="X275" i="6" s="1"/>
  <c r="X246" i="6"/>
  <c r="X250" i="6" s="1"/>
  <c r="X266" i="6"/>
  <c r="X385" i="6"/>
  <c r="X349" i="6"/>
  <c r="X350" i="6"/>
  <c r="Y384" i="6"/>
  <c r="AH194" i="6"/>
  <c r="AI194" i="6" s="1"/>
  <c r="H197" i="6"/>
  <c r="H493" i="6"/>
  <c r="H495" i="6" s="1"/>
  <c r="AH464" i="6"/>
  <c r="AI464" i="6" s="1"/>
  <c r="AB268" i="6"/>
  <c r="AB265" i="6"/>
  <c r="AB275" i="6" s="1"/>
  <c r="AB348" i="6"/>
  <c r="AB385" i="6"/>
  <c r="AB349" i="6"/>
  <c r="AB246" i="6"/>
  <c r="AB250" i="6" s="1"/>
  <c r="AB266" i="6"/>
  <c r="AB324" i="6"/>
  <c r="AB350" i="6"/>
  <c r="AB333" i="6"/>
  <c r="AB264" i="6"/>
  <c r="AB273" i="6"/>
  <c r="R273" i="6"/>
  <c r="R266" i="6"/>
  <c r="R333" i="6"/>
  <c r="R350" i="6"/>
  <c r="R268" i="6"/>
  <c r="R385" i="6"/>
  <c r="R264" i="6"/>
  <c r="R324" i="6"/>
  <c r="R348" i="6"/>
  <c r="R265" i="6"/>
  <c r="R275" i="6" s="1"/>
  <c r="R349" i="6"/>
  <c r="R246" i="6"/>
  <c r="R250" i="6" s="1"/>
  <c r="N384" i="6"/>
  <c r="V273" i="6"/>
  <c r="V350" i="6"/>
  <c r="V348" i="6"/>
  <c r="V266" i="6"/>
  <c r="V333" i="6"/>
  <c r="V268" i="6"/>
  <c r="V265" i="6"/>
  <c r="V275" i="6" s="1"/>
  <c r="V246" i="6"/>
  <c r="V250" i="6" s="1"/>
  <c r="V349" i="6"/>
  <c r="V324" i="6"/>
  <c r="V385" i="6"/>
  <c r="V264" i="6"/>
  <c r="P273" i="6"/>
  <c r="P385" i="6"/>
  <c r="P266" i="6"/>
  <c r="P348" i="6"/>
  <c r="P333" i="6"/>
  <c r="P265" i="6"/>
  <c r="P275" i="6" s="1"/>
  <c r="P350" i="6"/>
  <c r="P349" i="6"/>
  <c r="P268" i="6"/>
  <c r="P246" i="6"/>
  <c r="P250" i="6" s="1"/>
  <c r="P264" i="6"/>
  <c r="P324" i="6"/>
  <c r="N273" i="6"/>
  <c r="N265" i="6"/>
  <c r="N275" i="6" s="1"/>
  <c r="N266" i="6"/>
  <c r="N268" i="6"/>
  <c r="N349" i="6"/>
  <c r="N350" i="6"/>
  <c r="N333" i="6"/>
  <c r="N385" i="6"/>
  <c r="N246" i="6"/>
  <c r="N250" i="6" s="1"/>
  <c r="N324" i="6"/>
  <c r="N264" i="6"/>
  <c r="N348" i="6"/>
  <c r="AH126" i="6"/>
  <c r="AI126" i="6" s="1"/>
  <c r="H129" i="6"/>
  <c r="W384" i="6"/>
  <c r="S273" i="6"/>
  <c r="S264" i="6"/>
  <c r="S348" i="6"/>
  <c r="S333" i="6"/>
  <c r="S350" i="6"/>
  <c r="S246" i="6"/>
  <c r="S250" i="6" s="1"/>
  <c r="S265" i="6"/>
  <c r="S275" i="6" s="1"/>
  <c r="S266" i="6"/>
  <c r="S324" i="6"/>
  <c r="S268" i="6"/>
  <c r="S349" i="6"/>
  <c r="S385" i="6"/>
  <c r="AA384" i="6"/>
  <c r="AC384" i="6"/>
  <c r="AF273" i="6"/>
  <c r="AF264" i="6"/>
  <c r="AF268" i="6"/>
  <c r="AF348" i="6"/>
  <c r="AF246" i="6"/>
  <c r="AF250" i="6" s="1"/>
  <c r="AF324" i="6"/>
  <c r="AF385" i="6"/>
  <c r="AF350" i="6"/>
  <c r="AF265" i="6"/>
  <c r="AF275" i="6" s="1"/>
  <c r="AF349" i="6"/>
  <c r="AF266" i="6"/>
  <c r="AF333" i="6"/>
  <c r="AH149" i="6"/>
  <c r="AI149" i="6" s="1"/>
  <c r="H152" i="6"/>
  <c r="AH171" i="6"/>
  <c r="AI171" i="6" s="1"/>
  <c r="H174" i="6"/>
  <c r="H489" i="6"/>
  <c r="AH217" i="6"/>
  <c r="AI217" i="6" s="1"/>
  <c r="H220" i="6"/>
  <c r="R384" i="6"/>
  <c r="S384" i="6"/>
  <c r="J264" i="6"/>
  <c r="J273" i="6"/>
  <c r="J265" i="6"/>
  <c r="J324" i="6"/>
  <c r="J350" i="6"/>
  <c r="J333" i="6"/>
  <c r="J385" i="6"/>
  <c r="J348" i="6"/>
  <c r="J266" i="6"/>
  <c r="J246" i="6"/>
  <c r="J250" i="6" s="1"/>
  <c r="J349" i="6"/>
  <c r="J268" i="6"/>
  <c r="G355" i="6"/>
  <c r="E10" i="8"/>
  <c r="P384" i="6"/>
  <c r="AH34" i="6"/>
  <c r="AI34" i="6" s="1"/>
  <c r="H37" i="6"/>
  <c r="H463" i="6"/>
  <c r="AH80" i="6"/>
  <c r="AI80" i="6" s="1"/>
  <c r="H83" i="6"/>
  <c r="U384" i="6"/>
  <c r="Q273" i="6"/>
  <c r="Q266" i="6"/>
  <c r="Q265" i="6"/>
  <c r="Q275" i="6" s="1"/>
  <c r="Q264" i="6"/>
  <c r="Q268" i="6"/>
  <c r="Q350" i="6"/>
  <c r="Q385" i="6"/>
  <c r="Q333" i="6"/>
  <c r="Q246" i="6"/>
  <c r="Q250" i="6" s="1"/>
  <c r="Q348" i="6"/>
  <c r="Q349" i="6"/>
  <c r="Q324" i="6"/>
  <c r="AE384" i="6"/>
  <c r="G250" i="6"/>
  <c r="T273" i="6"/>
  <c r="T385" i="6"/>
  <c r="T333" i="6"/>
  <c r="T264" i="6"/>
  <c r="T266" i="6"/>
  <c r="T349" i="6"/>
  <c r="T348" i="6"/>
  <c r="T268" i="6"/>
  <c r="T350" i="6"/>
  <c r="T265" i="6"/>
  <c r="T275" i="6" s="1"/>
  <c r="T246" i="6"/>
  <c r="T250" i="6" s="1"/>
  <c r="T324" i="6"/>
  <c r="Z384" i="6"/>
  <c r="V384" i="6"/>
  <c r="AD273" i="6"/>
  <c r="AD348" i="6"/>
  <c r="AD264" i="6"/>
  <c r="AD349" i="6"/>
  <c r="AD385" i="6"/>
  <c r="AD324" i="6"/>
  <c r="AD268" i="6"/>
  <c r="AD333" i="6"/>
  <c r="AD246" i="6"/>
  <c r="AD250" i="6" s="1"/>
  <c r="AD266" i="6"/>
  <c r="AD350" i="6"/>
  <c r="AD265" i="6"/>
  <c r="AD275" i="6" s="1"/>
  <c r="AG384" i="6"/>
  <c r="AB384" i="6"/>
  <c r="AG273" i="6"/>
  <c r="AG348" i="6"/>
  <c r="AG385" i="6"/>
  <c r="AG268" i="6"/>
  <c r="AG246" i="6"/>
  <c r="AG250" i="6" s="1"/>
  <c r="AG324" i="6"/>
  <c r="AG350" i="6"/>
  <c r="AG266" i="6"/>
  <c r="AG349" i="6"/>
  <c r="AG264" i="6"/>
  <c r="AG265" i="6"/>
  <c r="AG275" i="6" s="1"/>
  <c r="AG333" i="6"/>
  <c r="AF384" i="6"/>
  <c r="W349" i="6"/>
  <c r="W268" i="6"/>
  <c r="W265" i="6"/>
  <c r="W275" i="6" s="1"/>
  <c r="W266" i="6"/>
  <c r="W333" i="6"/>
  <c r="W264" i="6"/>
  <c r="W350" i="6"/>
  <c r="W385" i="6"/>
  <c r="W273" i="6"/>
  <c r="W348" i="6"/>
  <c r="W324" i="6"/>
  <c r="W246" i="6"/>
  <c r="W250" i="6" s="1"/>
  <c r="AH103" i="6"/>
  <c r="AI103" i="6" s="1"/>
  <c r="H106" i="6"/>
  <c r="AD384" i="6"/>
  <c r="Q384" i="6"/>
  <c r="I264" i="6"/>
  <c r="I273" i="6"/>
  <c r="I350" i="6"/>
  <c r="I265" i="6"/>
  <c r="I266" i="6"/>
  <c r="I349" i="6"/>
  <c r="I268" i="6"/>
  <c r="I246" i="6"/>
  <c r="I250" i="6" s="1"/>
  <c r="I333" i="6"/>
  <c r="I348" i="6"/>
  <c r="I324" i="6"/>
  <c r="I385" i="6"/>
  <c r="AC350" i="6"/>
  <c r="AC349" i="6"/>
  <c r="AC246" i="6"/>
  <c r="AC250" i="6" s="1"/>
  <c r="AC266" i="6"/>
  <c r="AC333" i="6"/>
  <c r="AC385" i="6"/>
  <c r="AC324" i="6"/>
  <c r="AC268" i="6"/>
  <c r="AC264" i="6"/>
  <c r="AC348" i="6"/>
  <c r="AC265" i="6"/>
  <c r="AC275" i="6" s="1"/>
  <c r="AC273" i="6"/>
  <c r="G269" i="6"/>
  <c r="M264" i="6"/>
  <c r="M273" i="6"/>
  <c r="M349" i="6"/>
  <c r="M268" i="6"/>
  <c r="M385" i="6"/>
  <c r="M348" i="6"/>
  <c r="M266" i="6"/>
  <c r="M324" i="6"/>
  <c r="M246" i="6"/>
  <c r="M250" i="6" s="1"/>
  <c r="M333" i="6"/>
  <c r="M350" i="6"/>
  <c r="M265" i="6"/>
  <c r="AE268" i="6"/>
  <c r="AE333" i="6"/>
  <c r="AE266" i="6"/>
  <c r="AE350" i="6"/>
  <c r="AE348" i="6"/>
  <c r="AE324" i="6"/>
  <c r="AE265" i="6"/>
  <c r="AE275" i="6" s="1"/>
  <c r="AE349" i="6"/>
  <c r="AE385" i="6"/>
  <c r="AE246" i="6"/>
  <c r="AE250" i="6" s="1"/>
  <c r="AE264" i="6"/>
  <c r="AE273" i="6"/>
  <c r="U264" i="6"/>
  <c r="U273" i="6"/>
  <c r="U348" i="6"/>
  <c r="U266" i="6"/>
  <c r="U246" i="6"/>
  <c r="U250" i="6" s="1"/>
  <c r="U324" i="6"/>
  <c r="U350" i="6"/>
  <c r="U265" i="6"/>
  <c r="U275" i="6" s="1"/>
  <c r="U385" i="6"/>
  <c r="U349" i="6"/>
  <c r="U268" i="6"/>
  <c r="U333" i="6"/>
  <c r="H14" i="17" a="1"/>
  <c r="D13" i="11" a="1"/>
  <c r="L355" i="6" l="1"/>
  <c r="L359" i="6" s="1"/>
  <c r="D13" i="11"/>
  <c r="F13" i="11" s="1"/>
  <c r="J13" i="11" s="1"/>
  <c r="L293" i="6"/>
  <c r="L261" i="6"/>
  <c r="L269" i="6"/>
  <c r="L346" i="6" s="1"/>
  <c r="L339" i="6"/>
  <c r="L341" i="6" s="1"/>
  <c r="AB339" i="6"/>
  <c r="AB341" i="6" s="1"/>
  <c r="M339" i="6"/>
  <c r="M341" i="6" s="1"/>
  <c r="J339" i="6"/>
  <c r="J341" i="6" s="1"/>
  <c r="R339" i="6"/>
  <c r="R341" i="6" s="1"/>
  <c r="Y339" i="6"/>
  <c r="Y341" i="6" s="1"/>
  <c r="M269" i="6"/>
  <c r="M346" i="6" s="1"/>
  <c r="Z339" i="6"/>
  <c r="Z341" i="6" s="1"/>
  <c r="I339" i="6"/>
  <c r="I341" i="6" s="1"/>
  <c r="AG339" i="6"/>
  <c r="AG341" i="6" s="1"/>
  <c r="T339" i="6"/>
  <c r="T341" i="6" s="1"/>
  <c r="AD339" i="6"/>
  <c r="AD341" i="6" s="1"/>
  <c r="Q339" i="6"/>
  <c r="Q341" i="6" s="1"/>
  <c r="AE339" i="6"/>
  <c r="AE341" i="6" s="1"/>
  <c r="AF339" i="6"/>
  <c r="AF341" i="6" s="1"/>
  <c r="H14" i="17"/>
  <c r="M283" i="6"/>
  <c r="M261" i="6"/>
  <c r="H118" i="6"/>
  <c r="AH106" i="6"/>
  <c r="AI106" i="6" s="1"/>
  <c r="S355" i="6"/>
  <c r="S359" i="6" s="1"/>
  <c r="S389" i="6"/>
  <c r="AA283" i="6"/>
  <c r="AA293" i="6" s="1"/>
  <c r="AA261" i="6"/>
  <c r="AA271" i="6" s="1"/>
  <c r="O339" i="6"/>
  <c r="O341" i="6" s="1"/>
  <c r="Z355" i="6"/>
  <c r="Z359" i="6" s="1"/>
  <c r="Z389" i="6"/>
  <c r="Y283" i="6"/>
  <c r="Y293" i="6" s="1"/>
  <c r="Y261" i="6"/>
  <c r="Y271" i="6" s="1"/>
  <c r="H480" i="6"/>
  <c r="AH474" i="6"/>
  <c r="AH152" i="6"/>
  <c r="AI152" i="6" s="1"/>
  <c r="H164" i="6"/>
  <c r="G346" i="6"/>
  <c r="I355" i="6"/>
  <c r="E12" i="8"/>
  <c r="W339" i="6"/>
  <c r="W341" i="6" s="1"/>
  <c r="H232" i="6"/>
  <c r="AH220" i="6"/>
  <c r="AI220" i="6" s="1"/>
  <c r="AA339" i="6"/>
  <c r="AA341" i="6" s="1"/>
  <c r="O355" i="6"/>
  <c r="O359" i="6" s="1"/>
  <c r="O389" i="6"/>
  <c r="Y355" i="6"/>
  <c r="Y389" i="6"/>
  <c r="G261" i="6"/>
  <c r="G283" i="6"/>
  <c r="AE283" i="6"/>
  <c r="AE293" i="6" s="1"/>
  <c r="AE261" i="6"/>
  <c r="AE271" i="6" s="1"/>
  <c r="AC339" i="6"/>
  <c r="AC341" i="6" s="1"/>
  <c r="I269" i="6"/>
  <c r="I346" i="6" s="1"/>
  <c r="W283" i="6"/>
  <c r="W293" i="6" s="1"/>
  <c r="W261" i="6"/>
  <c r="W271" i="6" s="1"/>
  <c r="H95" i="6"/>
  <c r="AH83" i="6"/>
  <c r="AI83" i="6" s="1"/>
  <c r="J283" i="6"/>
  <c r="J261" i="6"/>
  <c r="J355" i="6"/>
  <c r="E13" i="8"/>
  <c r="AF283" i="6"/>
  <c r="AF293" i="6" s="1"/>
  <c r="AF261" i="6"/>
  <c r="AF271" i="6" s="1"/>
  <c r="N283" i="6"/>
  <c r="N293" i="6" s="1"/>
  <c r="N261" i="6"/>
  <c r="N271" i="6" s="1"/>
  <c r="N355" i="6"/>
  <c r="N359" i="6" s="1"/>
  <c r="N389" i="6"/>
  <c r="P339" i="6"/>
  <c r="P341" i="6" s="1"/>
  <c r="V355" i="6"/>
  <c r="V359" i="6" s="1"/>
  <c r="V389" i="6"/>
  <c r="R389" i="6"/>
  <c r="R355" i="6"/>
  <c r="R359" i="6" s="1"/>
  <c r="H289" i="6"/>
  <c r="H72" i="6"/>
  <c r="AH60" i="6"/>
  <c r="AI60" i="6" s="1"/>
  <c r="R283" i="6"/>
  <c r="R293" i="6" s="1"/>
  <c r="R261" i="6"/>
  <c r="R271" i="6" s="1"/>
  <c r="AE355" i="6"/>
  <c r="AE359" i="6" s="1"/>
  <c r="AE389" i="6"/>
  <c r="AC389" i="6"/>
  <c r="AC355" i="6"/>
  <c r="AC359" i="6" s="1"/>
  <c r="I283" i="6"/>
  <c r="I261" i="6"/>
  <c r="AG389" i="6"/>
  <c r="AG355" i="6"/>
  <c r="AG359" i="6" s="1"/>
  <c r="AD283" i="6"/>
  <c r="AD293" i="6" s="1"/>
  <c r="AD261" i="6"/>
  <c r="AD271" i="6" s="1"/>
  <c r="AD355" i="6"/>
  <c r="AD359" i="6" s="1"/>
  <c r="AD389" i="6"/>
  <c r="T283" i="6"/>
  <c r="T293" i="6" s="1"/>
  <c r="T261" i="6"/>
  <c r="T271" i="6" s="1"/>
  <c r="J269" i="6"/>
  <c r="J346" i="6" s="1"/>
  <c r="S283" i="6"/>
  <c r="S293" i="6" s="1"/>
  <c r="S261" i="6"/>
  <c r="S271" i="6" s="1"/>
  <c r="V283" i="6"/>
  <c r="V293" i="6" s="1"/>
  <c r="V261" i="6"/>
  <c r="V271" i="6" s="1"/>
  <c r="X355" i="6"/>
  <c r="X359" i="6" s="1"/>
  <c r="X389" i="6"/>
  <c r="K339" i="6"/>
  <c r="K341" i="6" s="1"/>
  <c r="AH13" i="6"/>
  <c r="AI13" i="6" s="1"/>
  <c r="H25" i="6"/>
  <c r="AH25" i="6" s="1"/>
  <c r="AI25" i="6" s="1"/>
  <c r="AG283" i="6"/>
  <c r="AG293" i="6" s="1"/>
  <c r="AG261" i="6"/>
  <c r="AG271" i="6" s="1"/>
  <c r="AC283" i="6"/>
  <c r="AC293" i="6" s="1"/>
  <c r="AC261" i="6"/>
  <c r="AC271" i="6" s="1"/>
  <c r="H488" i="6"/>
  <c r="H490" i="6" s="1"/>
  <c r="AH463" i="6"/>
  <c r="H469" i="6"/>
  <c r="AH174" i="6"/>
  <c r="AI174" i="6" s="1"/>
  <c r="H186" i="6"/>
  <c r="N339" i="6"/>
  <c r="N341" i="6" s="1"/>
  <c r="AB283" i="6"/>
  <c r="AB293" i="6" s="1"/>
  <c r="AB261" i="6"/>
  <c r="AB271" i="6" s="1"/>
  <c r="AH197" i="6"/>
  <c r="AI197" i="6" s="1"/>
  <c r="H209" i="6"/>
  <c r="X283" i="6"/>
  <c r="X293" i="6" s="1"/>
  <c r="X261" i="6"/>
  <c r="X271" i="6" s="1"/>
  <c r="K355" i="6"/>
  <c r="E14" i="8"/>
  <c r="O283" i="6"/>
  <c r="O293" i="6" s="1"/>
  <c r="O261" i="6"/>
  <c r="O271" i="6" s="1"/>
  <c r="Q283" i="6"/>
  <c r="Q293" i="6" s="1"/>
  <c r="Q261" i="6"/>
  <c r="Q271" i="6" s="1"/>
  <c r="U283" i="6"/>
  <c r="U293" i="6" s="1"/>
  <c r="U261" i="6"/>
  <c r="U271" i="6" s="1"/>
  <c r="W389" i="6"/>
  <c r="W355" i="6"/>
  <c r="W359" i="6" s="1"/>
  <c r="T355" i="6"/>
  <c r="T359" i="6" s="1"/>
  <c r="T389" i="6"/>
  <c r="H49" i="6"/>
  <c r="AH49" i="6" s="1"/>
  <c r="AI49" i="6" s="1"/>
  <c r="AH37" i="6"/>
  <c r="AI37" i="6" s="1"/>
  <c r="S339" i="6"/>
  <c r="S341" i="6" s="1"/>
  <c r="H141" i="6"/>
  <c r="AH129" i="6"/>
  <c r="AI129" i="6" s="1"/>
  <c r="P283" i="6"/>
  <c r="P293" i="6" s="1"/>
  <c r="P261" i="6"/>
  <c r="P271" i="6" s="1"/>
  <c r="K283" i="6"/>
  <c r="K261" i="6"/>
  <c r="K269" i="6"/>
  <c r="K346" i="6" s="1"/>
  <c r="Z283" i="6"/>
  <c r="Z293" i="6" s="1"/>
  <c r="Z261" i="6"/>
  <c r="Z271" i="6" s="1"/>
  <c r="G384" i="6"/>
  <c r="Q355" i="6"/>
  <c r="Q359" i="6" s="1"/>
  <c r="Q389" i="6"/>
  <c r="U339" i="6"/>
  <c r="U341" i="6" s="1"/>
  <c r="U355" i="6"/>
  <c r="U359" i="6" s="1"/>
  <c r="U389" i="6"/>
  <c r="M355" i="6"/>
  <c r="E16" i="8"/>
  <c r="G359" i="6"/>
  <c r="AF389" i="6"/>
  <c r="AF355" i="6"/>
  <c r="AF359" i="6" s="1"/>
  <c r="P389" i="6"/>
  <c r="P355" i="6"/>
  <c r="P359" i="6" s="1"/>
  <c r="V339" i="6"/>
  <c r="V341" i="6" s="1"/>
  <c r="AB389" i="6"/>
  <c r="AB355" i="6"/>
  <c r="AB359" i="6" s="1"/>
  <c r="X339" i="6"/>
  <c r="X341" i="6" s="1"/>
  <c r="AA355" i="6"/>
  <c r="AA359" i="6" s="1"/>
  <c r="AA389" i="6"/>
  <c r="D11" i="11" a="1"/>
  <c r="D12" i="11" a="1"/>
  <c r="H20" i="17" a="1"/>
  <c r="G76" i="17" a="1"/>
  <c r="G20" i="17" a="1"/>
  <c r="J20" i="17" a="1"/>
  <c r="D8" i="11" a="1"/>
  <c r="H18" i="17" a="1"/>
  <c r="F15" i="17" a="1"/>
  <c r="P71" i="17" a="1"/>
  <c r="G92" i="17" a="1"/>
  <c r="D14" i="11" a="1"/>
  <c r="H17" i="17" a="1"/>
  <c r="H16" i="17" a="1"/>
  <c r="J14" i="17" a="1"/>
  <c r="D10" i="11" a="1"/>
  <c r="H21" i="17" a="1"/>
  <c r="L374" i="6" l="1"/>
  <c r="L379" i="6" s="1"/>
  <c r="L389" i="6"/>
  <c r="J384" i="6"/>
  <c r="M384" i="6"/>
  <c r="I384" i="6"/>
  <c r="L384" i="6"/>
  <c r="G20" i="17"/>
  <c r="D14" i="11"/>
  <c r="F14" i="11" s="1"/>
  <c r="J14" i="11" s="1"/>
  <c r="D10" i="11"/>
  <c r="F10" i="11" s="1"/>
  <c r="J10" i="11" s="1"/>
  <c r="D11" i="11"/>
  <c r="F11" i="11" s="1"/>
  <c r="J11" i="11" s="1"/>
  <c r="D8" i="11"/>
  <c r="G92" i="17"/>
  <c r="G76" i="17"/>
  <c r="D12" i="11"/>
  <c r="F12" i="11" s="1"/>
  <c r="J12" i="11" s="1"/>
  <c r="M293" i="6"/>
  <c r="I293" i="6"/>
  <c r="J293" i="6"/>
  <c r="G293" i="6"/>
  <c r="K293" i="6"/>
  <c r="F15" i="17"/>
  <c r="E30" i="8"/>
  <c r="E45" i="8" s="1"/>
  <c r="J20" i="17"/>
  <c r="L343" i="6"/>
  <c r="L364" i="6" s="1"/>
  <c r="L365" i="6" s="1"/>
  <c r="E61" i="8" s="1"/>
  <c r="L271" i="6"/>
  <c r="I351" i="6"/>
  <c r="L351" i="6"/>
  <c r="I359" i="6"/>
  <c r="L275" i="6"/>
  <c r="D15" i="8"/>
  <c r="F15" i="8" s="1"/>
  <c r="K359" i="6"/>
  <c r="J359" i="6"/>
  <c r="M351" i="6"/>
  <c r="M359" i="6"/>
  <c r="K351" i="6"/>
  <c r="J351" i="6"/>
  <c r="H20" i="17"/>
  <c r="H21" i="17"/>
  <c r="H17" i="17"/>
  <c r="H16" i="17"/>
  <c r="J14" i="17"/>
  <c r="H18" i="17"/>
  <c r="P71" i="17"/>
  <c r="P75" i="17" s="1"/>
  <c r="P79" i="17" s="1"/>
  <c r="O343" i="6"/>
  <c r="O374" i="6"/>
  <c r="O379" i="6" s="1"/>
  <c r="O387" i="6" s="1"/>
  <c r="O391" i="6" s="1"/>
  <c r="AI474" i="6"/>
  <c r="AH480" i="6"/>
  <c r="AI480" i="6" s="1"/>
  <c r="H254" i="6"/>
  <c r="H322" i="6"/>
  <c r="AH322" i="6" s="1"/>
  <c r="AI322" i="6" s="1"/>
  <c r="AH141" i="6"/>
  <c r="AI141" i="6" s="1"/>
  <c r="Y359" i="6"/>
  <c r="AB363" i="6"/>
  <c r="E25" i="8"/>
  <c r="G389" i="6"/>
  <c r="Z343" i="6"/>
  <c r="Z374" i="6"/>
  <c r="Z379" i="6" s="1"/>
  <c r="Z387" i="6" s="1"/>
  <c r="Z391" i="6" s="1"/>
  <c r="AH186" i="6"/>
  <c r="AI186" i="6" s="1"/>
  <c r="H256" i="6"/>
  <c r="AG343" i="6"/>
  <c r="AG374" i="6"/>
  <c r="AG379" i="6" s="1"/>
  <c r="AG387" i="6" s="1"/>
  <c r="AG391" i="6" s="1"/>
  <c r="V343" i="6"/>
  <c r="V374" i="6"/>
  <c r="V379" i="6" s="1"/>
  <c r="V387" i="6" s="1"/>
  <c r="V391" i="6" s="1"/>
  <c r="AE343" i="6"/>
  <c r="AE374" i="6"/>
  <c r="AE379" i="6" s="1"/>
  <c r="AE387" i="6" s="1"/>
  <c r="AE391" i="6" s="1"/>
  <c r="AH289" i="6"/>
  <c r="AI289" i="6" s="1"/>
  <c r="AD343" i="6"/>
  <c r="AD374" i="6"/>
  <c r="AD379" i="6" s="1"/>
  <c r="AD387" i="6" s="1"/>
  <c r="AD391" i="6" s="1"/>
  <c r="Y343" i="6"/>
  <c r="Y374" i="6"/>
  <c r="Y379" i="6" s="1"/>
  <c r="Y387" i="6" s="1"/>
  <c r="Y391" i="6" s="1"/>
  <c r="P343" i="6"/>
  <c r="P374" i="6"/>
  <c r="P379" i="6" s="1"/>
  <c r="P387" i="6" s="1"/>
  <c r="P391" i="6" s="1"/>
  <c r="N343" i="6"/>
  <c r="N374" i="6"/>
  <c r="N379" i="6" s="1"/>
  <c r="N387" i="6" s="1"/>
  <c r="N391" i="6" s="1"/>
  <c r="K271" i="6"/>
  <c r="K275" i="6"/>
  <c r="D14" i="8"/>
  <c r="F14" i="8" s="1"/>
  <c r="U343" i="6"/>
  <c r="U374" i="6"/>
  <c r="U379" i="6" s="1"/>
  <c r="U387" i="6" s="1"/>
  <c r="U391" i="6" s="1"/>
  <c r="X343" i="6"/>
  <c r="X374" i="6"/>
  <c r="X379" i="6" s="1"/>
  <c r="X387" i="6" s="1"/>
  <c r="X391" i="6" s="1"/>
  <c r="S343" i="6"/>
  <c r="S374" i="6"/>
  <c r="S379" i="6" s="1"/>
  <c r="S387" i="6" s="1"/>
  <c r="S391" i="6" s="1"/>
  <c r="H358" i="6"/>
  <c r="H253" i="6"/>
  <c r="AH95" i="6"/>
  <c r="AI95" i="6" s="1"/>
  <c r="D10" i="8"/>
  <c r="G271" i="6"/>
  <c r="G275" i="6"/>
  <c r="G351" i="6"/>
  <c r="AB343" i="6"/>
  <c r="AB374" i="6"/>
  <c r="AB379" i="6" s="1"/>
  <c r="AB387" i="6" s="1"/>
  <c r="AB391" i="6" s="1"/>
  <c r="AH209" i="6"/>
  <c r="AI209" i="6" s="1"/>
  <c r="H257" i="6"/>
  <c r="AI463" i="6"/>
  <c r="AH469" i="6"/>
  <c r="AI469" i="6" s="1"/>
  <c r="R343" i="6"/>
  <c r="R374" i="6"/>
  <c r="R379" i="6" s="1"/>
  <c r="R387" i="6" s="1"/>
  <c r="R391" i="6" s="1"/>
  <c r="H318" i="6"/>
  <c r="AH318" i="6" s="1"/>
  <c r="AI318" i="6" s="1"/>
  <c r="H332" i="6"/>
  <c r="AH332" i="6" s="1"/>
  <c r="AI332" i="6" s="1"/>
  <c r="H331" i="6"/>
  <c r="AH331" i="6" s="1"/>
  <c r="AI331" i="6" s="1"/>
  <c r="H314" i="6"/>
  <c r="H326" i="6"/>
  <c r="AH326" i="6" s="1"/>
  <c r="AI326" i="6" s="1"/>
  <c r="H321" i="6"/>
  <c r="AH321" i="6" s="1"/>
  <c r="AI321" i="6" s="1"/>
  <c r="H316" i="6"/>
  <c r="AH316" i="6" s="1"/>
  <c r="AI316" i="6" s="1"/>
  <c r="H315" i="6"/>
  <c r="AH315" i="6" s="1"/>
  <c r="AI315" i="6" s="1"/>
  <c r="H330" i="6"/>
  <c r="AH330" i="6" s="1"/>
  <c r="AI330" i="6" s="1"/>
  <c r="H320" i="6"/>
  <c r="AH320" i="6" s="1"/>
  <c r="AI320" i="6" s="1"/>
  <c r="H317" i="6"/>
  <c r="AH317" i="6" s="1"/>
  <c r="AI317" i="6" s="1"/>
  <c r="H319" i="6"/>
  <c r="AH319" i="6" s="1"/>
  <c r="AI319" i="6" s="1"/>
  <c r="AH118" i="6"/>
  <c r="AI118" i="6" s="1"/>
  <c r="T343" i="6"/>
  <c r="T374" i="6"/>
  <c r="T379" i="6" s="1"/>
  <c r="T387" i="6" s="1"/>
  <c r="T391" i="6" s="1"/>
  <c r="AC343" i="6"/>
  <c r="AC374" i="6"/>
  <c r="AC379" i="6" s="1"/>
  <c r="AC387" i="6" s="1"/>
  <c r="AC391" i="6" s="1"/>
  <c r="AA343" i="6"/>
  <c r="AA374" i="6"/>
  <c r="AA379" i="6" s="1"/>
  <c r="AA387" i="6" s="1"/>
  <c r="AA391" i="6" s="1"/>
  <c r="J275" i="6"/>
  <c r="D13" i="8"/>
  <c r="F13" i="8" s="1"/>
  <c r="J271" i="6"/>
  <c r="Q343" i="6"/>
  <c r="Q374" i="6"/>
  <c r="Q379" i="6" s="1"/>
  <c r="Q387" i="6" s="1"/>
  <c r="Q391" i="6" s="1"/>
  <c r="K384" i="6"/>
  <c r="I271" i="6"/>
  <c r="D12" i="8"/>
  <c r="F12" i="8" s="1"/>
  <c r="I275" i="6"/>
  <c r="AF343" i="6"/>
  <c r="AF374" i="6"/>
  <c r="AF379" i="6" s="1"/>
  <c r="AF387" i="6" s="1"/>
  <c r="AF391" i="6" s="1"/>
  <c r="W343" i="6"/>
  <c r="W374" i="6"/>
  <c r="W379" i="6" s="1"/>
  <c r="W387" i="6" s="1"/>
  <c r="W391" i="6" s="1"/>
  <c r="L362" i="6"/>
  <c r="AH164" i="6"/>
  <c r="AI164" i="6" s="1"/>
  <c r="H255" i="6"/>
  <c r="M275" i="6"/>
  <c r="M271" i="6"/>
  <c r="D16" i="8"/>
  <c r="F16" i="8" s="1"/>
  <c r="H264" i="6"/>
  <c r="H273" i="6"/>
  <c r="H266" i="6"/>
  <c r="AH266" i="6" s="1"/>
  <c r="AI266" i="6" s="1"/>
  <c r="H385" i="6"/>
  <c r="AH385" i="6" s="1"/>
  <c r="AI385" i="6" s="1"/>
  <c r="H265" i="6"/>
  <c r="AH265" i="6" s="1"/>
  <c r="AI265" i="6" s="1"/>
  <c r="H268" i="6"/>
  <c r="AH268" i="6" s="1"/>
  <c r="AI268" i="6" s="1"/>
  <c r="H246" i="6"/>
  <c r="H348" i="6"/>
  <c r="AH348" i="6" s="1"/>
  <c r="AI348" i="6" s="1"/>
  <c r="H333" i="6"/>
  <c r="AH333" i="6" s="1"/>
  <c r="AI333" i="6" s="1"/>
  <c r="H324" i="6"/>
  <c r="AH324" i="6" s="1"/>
  <c r="AI324" i="6" s="1"/>
  <c r="H349" i="6"/>
  <c r="AH349" i="6" s="1"/>
  <c r="AI349" i="6" s="1"/>
  <c r="H350" i="6"/>
  <c r="AH350" i="6" s="1"/>
  <c r="AI350" i="6" s="1"/>
  <c r="AH72" i="6"/>
  <c r="AI72" i="6" s="1"/>
  <c r="H267" i="6"/>
  <c r="AH267" i="6" s="1"/>
  <c r="AI267" i="6" s="1"/>
  <c r="AH232" i="6"/>
  <c r="AI232" i="6" s="1"/>
  <c r="J21" i="17" a="1"/>
  <c r="G93" i="17" a="1"/>
  <c r="G14" i="17" a="1"/>
  <c r="G16" i="17" a="1"/>
  <c r="J16" i="17" a="1"/>
  <c r="G18" i="17" a="1"/>
  <c r="G21" i="17" a="1"/>
  <c r="G17" i="17" a="1"/>
  <c r="G77" i="17" a="1"/>
  <c r="J17" i="17" a="1"/>
  <c r="J18" i="17" a="1"/>
  <c r="I20" i="17" l="1"/>
  <c r="K20" i="17" s="1"/>
  <c r="L387" i="6"/>
  <c r="D45" i="8" s="1"/>
  <c r="F45" i="8" s="1"/>
  <c r="I374" i="6"/>
  <c r="I379" i="6" s="1"/>
  <c r="I387" i="6" s="1"/>
  <c r="D42" i="8" s="1"/>
  <c r="I389" i="6"/>
  <c r="K374" i="6"/>
  <c r="K379" i="6" s="1"/>
  <c r="K387" i="6" s="1"/>
  <c r="J389" i="6"/>
  <c r="K389" i="6"/>
  <c r="J343" i="6"/>
  <c r="D28" i="8" s="1"/>
  <c r="K343" i="6"/>
  <c r="K353" i="6" s="1"/>
  <c r="J374" i="6"/>
  <c r="J379" i="6" s="1"/>
  <c r="J387" i="6" s="1"/>
  <c r="G18" i="17"/>
  <c r="I18" i="17" s="1"/>
  <c r="G17" i="17"/>
  <c r="I17" i="17" s="1"/>
  <c r="G16" i="17"/>
  <c r="I16" i="17" s="1"/>
  <c r="G21" i="17"/>
  <c r="I21" i="17" s="1"/>
  <c r="I343" i="6"/>
  <c r="D27" i="8" s="1"/>
  <c r="M374" i="6"/>
  <c r="M379" i="6" s="1"/>
  <c r="M387" i="6" s="1"/>
  <c r="D46" i="8" s="1"/>
  <c r="D30" i="8"/>
  <c r="F30" i="8" s="1"/>
  <c r="G77" i="17"/>
  <c r="G93" i="17"/>
  <c r="K76" i="17"/>
  <c r="L76" i="17" s="1"/>
  <c r="H76" i="17"/>
  <c r="H92" i="17"/>
  <c r="M343" i="6"/>
  <c r="M362" i="6" s="1"/>
  <c r="F8" i="11"/>
  <c r="F19" i="17"/>
  <c r="D61" i="8"/>
  <c r="E28" i="8"/>
  <c r="E43" i="8" s="1"/>
  <c r="E29" i="8"/>
  <c r="E44" i="8" s="1"/>
  <c r="L353" i="6"/>
  <c r="J16" i="17"/>
  <c r="J21" i="17"/>
  <c r="J17" i="17"/>
  <c r="J18" i="17"/>
  <c r="E27" i="8"/>
  <c r="E42" i="8" s="1"/>
  <c r="M389" i="6"/>
  <c r="E31" i="8"/>
  <c r="E46" i="8" s="1"/>
  <c r="G14" i="17"/>
  <c r="AH314" i="6"/>
  <c r="AI314" i="6" s="1"/>
  <c r="H339" i="6"/>
  <c r="AH339" i="6" s="1"/>
  <c r="AI339" i="6" s="1"/>
  <c r="AH257" i="6"/>
  <c r="AI257" i="6" s="1"/>
  <c r="H304" i="6"/>
  <c r="AB362" i="6"/>
  <c r="AB353" i="6"/>
  <c r="F10" i="8"/>
  <c r="N353" i="6"/>
  <c r="N362" i="6"/>
  <c r="AH256" i="6"/>
  <c r="AI256" i="6" s="1"/>
  <c r="H303" i="6"/>
  <c r="AH303" i="6" s="1"/>
  <c r="AI303" i="6" s="1"/>
  <c r="AH255" i="6"/>
  <c r="AI255" i="6" s="1"/>
  <c r="H302" i="6"/>
  <c r="AH302" i="6" s="1"/>
  <c r="AI302" i="6" s="1"/>
  <c r="W353" i="6"/>
  <c r="W362" i="6"/>
  <c r="Q353" i="6"/>
  <c r="Q362" i="6"/>
  <c r="X353" i="6"/>
  <c r="X362" i="6"/>
  <c r="AE362" i="6"/>
  <c r="AE353" i="6"/>
  <c r="E40" i="8"/>
  <c r="H355" i="6"/>
  <c r="E11" i="8"/>
  <c r="E18" i="8" s="1"/>
  <c r="AH273" i="6"/>
  <c r="AI273" i="6" s="1"/>
  <c r="AF353" i="6"/>
  <c r="AF362" i="6"/>
  <c r="AC362" i="6"/>
  <c r="AC353" i="6"/>
  <c r="AH358" i="6"/>
  <c r="AI358" i="6" s="1"/>
  <c r="U353" i="6"/>
  <c r="U362" i="6"/>
  <c r="O362" i="6"/>
  <c r="O353" i="6"/>
  <c r="H300" i="6"/>
  <c r="H259" i="6"/>
  <c r="AH259" i="6" s="1"/>
  <c r="AI259" i="6" s="1"/>
  <c r="AH253" i="6"/>
  <c r="AI253" i="6" s="1"/>
  <c r="H269" i="6"/>
  <c r="AH264" i="6"/>
  <c r="AI264" i="6" s="1"/>
  <c r="P353" i="6"/>
  <c r="P362" i="6"/>
  <c r="G343" i="6"/>
  <c r="G374" i="6"/>
  <c r="R362" i="6"/>
  <c r="R353" i="6"/>
  <c r="V353" i="6"/>
  <c r="V362" i="6"/>
  <c r="H250" i="6"/>
  <c r="AH246" i="6"/>
  <c r="AI246" i="6" s="1"/>
  <c r="AA353" i="6"/>
  <c r="AA362" i="6"/>
  <c r="T362" i="6"/>
  <c r="T353" i="6"/>
  <c r="AD353" i="6"/>
  <c r="AD362" i="6"/>
  <c r="Z353" i="6"/>
  <c r="Z362" i="6"/>
  <c r="S362" i="6"/>
  <c r="S353" i="6"/>
  <c r="Y362" i="6"/>
  <c r="Y353" i="6"/>
  <c r="AG353" i="6"/>
  <c r="AG362" i="6"/>
  <c r="H301" i="6"/>
  <c r="AH301" i="6" s="1"/>
  <c r="AI301" i="6" s="1"/>
  <c r="AH254" i="6"/>
  <c r="AI254" i="6" s="1"/>
  <c r="G9" i="11" a="1"/>
  <c r="I353" i="6" l="1"/>
  <c r="J362" i="6"/>
  <c r="I364" i="6"/>
  <c r="I365" i="6" s="1"/>
  <c r="E58" i="8" s="1"/>
  <c r="J353" i="6"/>
  <c r="I391" i="6"/>
  <c r="L391" i="6"/>
  <c r="J364" i="6"/>
  <c r="J365" i="6" s="1"/>
  <c r="E59" i="8" s="1"/>
  <c r="D29" i="8"/>
  <c r="F29" i="8" s="1"/>
  <c r="K364" i="6"/>
  <c r="D60" i="8" s="1"/>
  <c r="J391" i="6"/>
  <c r="D43" i="8"/>
  <c r="F43" i="8" s="1"/>
  <c r="K362" i="6"/>
  <c r="I362" i="6"/>
  <c r="M364" i="6"/>
  <c r="M365" i="6" s="1"/>
  <c r="E62" i="8" s="1"/>
  <c r="M353" i="6"/>
  <c r="D31" i="8"/>
  <c r="F31" i="8" s="1"/>
  <c r="M391" i="6"/>
  <c r="G9" i="11"/>
  <c r="J8" i="11"/>
  <c r="H93" i="17"/>
  <c r="AH304" i="6"/>
  <c r="AI304" i="6" s="1"/>
  <c r="K77" i="17"/>
  <c r="L77" i="17" s="1"/>
  <c r="H77" i="17"/>
  <c r="F23" i="17"/>
  <c r="F28" i="8"/>
  <c r="S76" i="17"/>
  <c r="F42" i="8"/>
  <c r="K17" i="17"/>
  <c r="K16" i="17"/>
  <c r="K21" i="17"/>
  <c r="F27" i="8"/>
  <c r="K18" i="17"/>
  <c r="F46" i="8"/>
  <c r="H359" i="6"/>
  <c r="AH355" i="6"/>
  <c r="AI355" i="6" s="1"/>
  <c r="H283" i="6"/>
  <c r="H261" i="6"/>
  <c r="AH250" i="6"/>
  <c r="AI250" i="6" s="1"/>
  <c r="H346" i="6"/>
  <c r="AH269" i="6"/>
  <c r="AI269" i="6" s="1"/>
  <c r="G379" i="6"/>
  <c r="G362" i="6"/>
  <c r="G353" i="6"/>
  <c r="D25" i="8"/>
  <c r="G364" i="6"/>
  <c r="H341" i="6"/>
  <c r="AH300" i="6"/>
  <c r="AI300" i="6" s="1"/>
  <c r="K391" i="6"/>
  <c r="D44" i="8"/>
  <c r="F44" i="8" s="1"/>
  <c r="I14" i="17"/>
  <c r="H15" i="17" a="1"/>
  <c r="J15" i="17" a="1"/>
  <c r="D9" i="11" a="1"/>
  <c r="K365" i="6" l="1"/>
  <c r="E60" i="8" s="1"/>
  <c r="D58" i="8"/>
  <c r="D59" i="8"/>
  <c r="D62" i="8"/>
  <c r="D9" i="11"/>
  <c r="H293" i="6"/>
  <c r="G20" i="11"/>
  <c r="I9" i="11"/>
  <c r="I20" i="11" s="1"/>
  <c r="S77" i="17"/>
  <c r="S74" i="17"/>
  <c r="S73" i="17"/>
  <c r="S72" i="17"/>
  <c r="H15" i="17"/>
  <c r="H19" i="17" s="1"/>
  <c r="H23" i="17" s="1"/>
  <c r="J15" i="17"/>
  <c r="J19" i="17" s="1"/>
  <c r="J23" i="17" s="1"/>
  <c r="H351" i="6"/>
  <c r="AH351" i="6" s="1"/>
  <c r="AI351" i="6" s="1"/>
  <c r="AH346" i="6"/>
  <c r="AI346" i="6" s="1"/>
  <c r="F25" i="8"/>
  <c r="H384" i="6"/>
  <c r="AH384" i="6" s="1"/>
  <c r="AI384" i="6" s="1"/>
  <c r="AH341" i="6"/>
  <c r="AI341" i="6" s="1"/>
  <c r="H389" i="6"/>
  <c r="AH389" i="6" s="1"/>
  <c r="AI389" i="6" s="1"/>
  <c r="E26" i="8"/>
  <c r="AH359" i="6"/>
  <c r="AI359" i="6" s="1"/>
  <c r="G365" i="6"/>
  <c r="E56" i="8" s="1"/>
  <c r="D56" i="8"/>
  <c r="G387" i="6"/>
  <c r="D11" i="8"/>
  <c r="H275" i="6"/>
  <c r="H271" i="6"/>
  <c r="AH271" i="6" s="1"/>
  <c r="AI271" i="6" s="1"/>
  <c r="AH261" i="6"/>
  <c r="AI261" i="6" s="1"/>
  <c r="K14" i="17"/>
  <c r="AH283" i="6"/>
  <c r="AI283" i="6" s="1"/>
  <c r="G15" i="17" a="1"/>
  <c r="S70" i="17" l="1"/>
  <c r="F9" i="11"/>
  <c r="D20" i="11"/>
  <c r="G15" i="17"/>
  <c r="F11" i="8"/>
  <c r="D18" i="8"/>
  <c r="F18" i="8" s="1"/>
  <c r="H343" i="6"/>
  <c r="H374" i="6"/>
  <c r="AH293" i="6"/>
  <c r="D40" i="8"/>
  <c r="G391" i="6"/>
  <c r="E41" i="8"/>
  <c r="E48" i="8" s="1"/>
  <c r="E33" i="8"/>
  <c r="J9" i="11" l="1"/>
  <c r="J20" i="11" s="1"/>
  <c r="F20" i="11"/>
  <c r="AH343" i="6"/>
  <c r="AI343" i="6" s="1"/>
  <c r="AI293" i="6"/>
  <c r="F40" i="8"/>
  <c r="H379" i="6"/>
  <c r="AH374" i="6"/>
  <c r="AI374" i="6" s="1"/>
  <c r="D26" i="8"/>
  <c r="H353" i="6"/>
  <c r="AH353" i="6" s="1"/>
  <c r="AI353" i="6" s="1"/>
  <c r="H362" i="6"/>
  <c r="H364" i="6"/>
  <c r="I15" i="17"/>
  <c r="G19" i="17"/>
  <c r="G23" i="17" s="1"/>
  <c r="F26" i="8" l="1"/>
  <c r="D33" i="8"/>
  <c r="F33" i="8" s="1"/>
  <c r="H387" i="6"/>
  <c r="AH379" i="6"/>
  <c r="AI379" i="6" s="1"/>
  <c r="H365" i="6"/>
  <c r="E57" i="8" s="1"/>
  <c r="D57" i="8"/>
  <c r="F364" i="6"/>
  <c r="F368" i="6" s="1"/>
  <c r="AH364" i="6"/>
  <c r="K15" i="17"/>
  <c r="I19" i="17"/>
  <c r="S71" i="17" l="1"/>
  <c r="S79" i="17" s="1"/>
  <c r="D63" i="8"/>
  <c r="F365" i="6"/>
  <c r="E63" i="8" s="1"/>
  <c r="AI364" i="6"/>
  <c r="K19" i="17"/>
  <c r="I23" i="17"/>
  <c r="K23" i="17" s="1"/>
  <c r="H391" i="6"/>
  <c r="D41" i="8"/>
  <c r="AH387" i="6"/>
  <c r="AI387" i="6" s="1"/>
  <c r="F41" i="8" l="1"/>
  <c r="D48" i="8"/>
  <c r="F48" i="8" s="1"/>
  <c r="Q64" i="17"/>
  <c r="L23" i="17"/>
  <c r="L20" i="17"/>
  <c r="M20" i="17"/>
  <c r="M21" i="17"/>
  <c r="M16" i="17"/>
  <c r="L18" i="17"/>
  <c r="L17" i="17"/>
  <c r="M18" i="17"/>
  <c r="M17" i="17"/>
  <c r="L21" i="17"/>
  <c r="L16" i="17"/>
  <c r="L14" i="17"/>
  <c r="M14" i="17"/>
  <c r="L15" i="17"/>
  <c r="M15" i="17"/>
  <c r="M23" i="17" l="1"/>
  <c r="Q74" i="17"/>
  <c r="Q72" i="17"/>
  <c r="Q71" i="17"/>
  <c r="Q70" i="17"/>
  <c r="Q73" i="17"/>
  <c r="Q76" i="17"/>
  <c r="Q77" i="17"/>
  <c r="F73" i="17" l="1"/>
  <c r="G35" i="17" s="1"/>
  <c r="H35" i="17" s="1"/>
  <c r="F71" i="17"/>
  <c r="G33" i="17" s="1"/>
  <c r="H33" i="17" s="1"/>
  <c r="F72" i="17"/>
  <c r="G34" i="17" s="1"/>
  <c r="H34" i="17" s="1"/>
  <c r="F74" i="17"/>
  <c r="G36" i="17" s="1"/>
  <c r="H36" i="17" s="1"/>
  <c r="I92" i="17"/>
  <c r="J92" i="17" s="1"/>
  <c r="F76" i="17"/>
  <c r="G38" i="17" s="1"/>
  <c r="H38" i="17" s="1"/>
  <c r="I93" i="17"/>
  <c r="J93" i="17" s="1"/>
  <c r="F77" i="17"/>
  <c r="G39" i="17" s="1"/>
  <c r="H39" i="17" s="1"/>
  <c r="Q79" i="17"/>
  <c r="R82" i="17" s="1"/>
  <c r="F70" i="17"/>
  <c r="G32" i="17" s="1"/>
  <c r="H32" i="17" s="1"/>
  <c r="F87" i="17" l="1"/>
  <c r="F88" i="17"/>
  <c r="F89" i="17"/>
  <c r="F90" i="17"/>
  <c r="F93" i="17"/>
  <c r="F92" i="17"/>
  <c r="F86" i="17"/>
  <c r="F75" i="17"/>
  <c r="G37" i="17" s="1"/>
  <c r="H37" i="17" s="1"/>
  <c r="F91" i="17" l="1"/>
  <c r="F79" i="17"/>
  <c r="G41" i="17" s="1"/>
  <c r="H41" i="17" s="1"/>
  <c r="F95" i="17" l="1"/>
  <c r="G65" i="17"/>
  <c r="G72" i="17" l="1"/>
  <c r="G71" i="17"/>
  <c r="G73" i="17"/>
  <c r="G70" i="17"/>
  <c r="G74" i="17"/>
  <c r="J71" i="17" l="1"/>
  <c r="J72" i="17"/>
  <c r="H74" i="17"/>
  <c r="H73" i="17"/>
  <c r="H71" i="17"/>
  <c r="H72" i="17"/>
  <c r="G75" i="17"/>
  <c r="H70" i="17"/>
  <c r="H75" i="17" l="1"/>
  <c r="G79" i="17"/>
  <c r="H79" i="17" l="1"/>
  <c r="I65" i="17" s="1"/>
  <c r="I73" i="17" l="1"/>
  <c r="J73" i="17" s="1"/>
  <c r="I74" i="17"/>
  <c r="J74" i="17" s="1"/>
  <c r="I70" i="17"/>
  <c r="I72" i="17"/>
  <c r="I71" i="17"/>
  <c r="J70" i="17" l="1"/>
  <c r="I75" i="17"/>
  <c r="K73" i="17" s="1"/>
  <c r="L73" i="17" s="1"/>
  <c r="K74" i="17"/>
  <c r="K71" i="17" l="1"/>
  <c r="G87" i="17" s="1"/>
  <c r="G89" i="17"/>
  <c r="H89" i="17" s="1"/>
  <c r="K72" i="17"/>
  <c r="G88" i="17" s="1"/>
  <c r="K70" i="17"/>
  <c r="G90" i="17"/>
  <c r="L74" i="17"/>
  <c r="L71" i="17" l="1"/>
  <c r="I89" i="17"/>
  <c r="J89" i="17" s="1"/>
  <c r="J75" i="17"/>
  <c r="L72" i="17"/>
  <c r="I90" i="17"/>
  <c r="J90" i="17" s="1"/>
  <c r="H90" i="17"/>
  <c r="H87" i="17"/>
  <c r="I87" i="17"/>
  <c r="J87" i="17" s="1"/>
  <c r="H88" i="17"/>
  <c r="I88" i="17"/>
  <c r="J88" i="17" s="1"/>
  <c r="G86" i="17"/>
  <c r="K75" i="17"/>
  <c r="L70" i="17"/>
  <c r="K79" i="17" l="1"/>
  <c r="L79" i="17" s="1"/>
  <c r="L75" i="17"/>
  <c r="G91" i="17"/>
  <c r="H86" i="17"/>
  <c r="I86" i="17"/>
  <c r="G95" i="17" l="1"/>
  <c r="I91" i="17"/>
  <c r="I95" i="17" s="1"/>
  <c r="J95" i="17" s="1"/>
  <c r="J86" i="17"/>
  <c r="H95" i="17" l="1"/>
  <c r="L88" i="17"/>
  <c r="M88" i="17" s="1"/>
  <c r="K90" i="17"/>
  <c r="L92" i="17"/>
  <c r="M92" i="17" s="1"/>
  <c r="K89" i="17"/>
  <c r="K87" i="17"/>
  <c r="L90" i="17"/>
  <c r="M90" i="17" s="1"/>
  <c r="K95" i="17"/>
  <c r="K93" i="17"/>
  <c r="K92" i="17"/>
  <c r="L89" i="17"/>
  <c r="M89" i="17" s="1"/>
  <c r="K88" i="17"/>
  <c r="L93" i="17"/>
  <c r="M93" i="17" s="1"/>
  <c r="L87" i="17"/>
  <c r="M87" i="17" s="1"/>
  <c r="L86" i="17"/>
  <c r="K86" i="17"/>
  <c r="L95" i="17" l="1"/>
  <c r="M86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Brian Barber</author>
  </authors>
  <commentList>
    <comment ref="F65" authorId="0" shapeId="0" xr:uid="{5367EB62-EAF4-45F9-8C75-362C6B7A1E2B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From cell F388, tab 'Allocation by Rate' from Company's model.</t>
        </r>
      </text>
    </comment>
    <comment ref="I65" authorId="0" shapeId="0" xr:uid="{B98F4056-F28C-4A65-8C69-D848ACA8C23D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Calculated on overall system % increase. Rounded consistent with EKPC filing.</t>
        </r>
      </text>
    </comment>
    <comment ref="Q65" authorId="0" shapeId="0" xr:uid="{C3405B9D-8133-4974-A8DA-F430495C1A5B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Company filing Exhibit 16 Schedule 1.30</t>
        </r>
      </text>
    </comment>
    <comment ref="F68" authorId="0" shapeId="0" xr:uid="{7495290A-87A5-4230-B8C1-8E07B58516D8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Includes allocation of incremental PSC assessment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<sst xmlns="http://schemas.openxmlformats.org/spreadsheetml/2006/main" count="2136" uniqueCount="1073">
  <si>
    <t>Functional</t>
  </si>
  <si>
    <t>Total</t>
  </si>
  <si>
    <t>Production Demand</t>
  </si>
  <si>
    <t>Production Energy</t>
  </si>
  <si>
    <t>Steam</t>
  </si>
  <si>
    <t>Transmission</t>
  </si>
  <si>
    <t>Distribution</t>
  </si>
  <si>
    <t>Description</t>
  </si>
  <si>
    <t>Name</t>
  </si>
  <si>
    <t>Vector</t>
  </si>
  <si>
    <t>System</t>
  </si>
  <si>
    <t>Excess Demand</t>
  </si>
  <si>
    <t>Average Demand</t>
  </si>
  <si>
    <t>On Peak</t>
  </si>
  <si>
    <t>Off Peak</t>
  </si>
  <si>
    <t>Direct</t>
  </si>
  <si>
    <t>Demand</t>
  </si>
  <si>
    <t>Substations</t>
  </si>
  <si>
    <t>Meters</t>
  </si>
  <si>
    <t>Not Used</t>
  </si>
  <si>
    <t>Total Check</t>
  </si>
  <si>
    <t>Status</t>
  </si>
  <si>
    <t>Plant in Service</t>
  </si>
  <si>
    <t>Intangible Plant</t>
  </si>
  <si>
    <t>INTPLT</t>
  </si>
  <si>
    <t>PT&amp;D</t>
  </si>
  <si>
    <t>Production Plant</t>
  </si>
  <si>
    <t>PPROD</t>
  </si>
  <si>
    <t>F001</t>
  </si>
  <si>
    <t>Transmission Plant</t>
  </si>
  <si>
    <t>PTRAN</t>
  </si>
  <si>
    <t>F002</t>
  </si>
  <si>
    <t>Distribution Plant</t>
  </si>
  <si>
    <t>PDIST</t>
  </si>
  <si>
    <t>F003</t>
  </si>
  <si>
    <t xml:space="preserve">  Total Production, Transmission, &amp; Distribution Plant</t>
  </si>
  <si>
    <t>General Plant</t>
  </si>
  <si>
    <t>PGP</t>
  </si>
  <si>
    <t>ELEC. PLANT HELD FOR FUTURE USE</t>
  </si>
  <si>
    <t>P105</t>
  </si>
  <si>
    <t>COMPLETED CONSTR. NOT CLASSIFIED</t>
  </si>
  <si>
    <t>P106</t>
  </si>
  <si>
    <t>EQUIPMENT PURCHASES</t>
  </si>
  <si>
    <t>P1061</t>
  </si>
  <si>
    <t>ELEC. PLANT ACQUISITION ADJUSTMENT</t>
  </si>
  <si>
    <t>P114</t>
  </si>
  <si>
    <t xml:space="preserve">  Total Plant in Service</t>
  </si>
  <si>
    <t>TPIS</t>
  </si>
  <si>
    <t>Construction Work in Progress (CWIP)</t>
  </si>
  <si>
    <t xml:space="preserve">  CWIP Production</t>
  </si>
  <si>
    <t>CWIP1</t>
  </si>
  <si>
    <t xml:space="preserve">  CWIP Transmission</t>
  </si>
  <si>
    <t>CWIP2</t>
  </si>
  <si>
    <t xml:space="preserve">  CWIP Distribution Plant</t>
  </si>
  <si>
    <t>CWIP3</t>
  </si>
  <si>
    <t xml:space="preserve">  CWIP General &amp; Intangible Plant</t>
  </si>
  <si>
    <t>CWIP4</t>
  </si>
  <si>
    <t xml:space="preserve">  Total Construction Work in Progress</t>
  </si>
  <si>
    <t>TCWIP</t>
  </si>
  <si>
    <t xml:space="preserve">  Total Utility Plant</t>
  </si>
  <si>
    <t>Rate Base</t>
  </si>
  <si>
    <t xml:space="preserve">    Total Utility Plant</t>
  </si>
  <si>
    <t>TUP</t>
  </si>
  <si>
    <t>Less: Acummulated Provision for Depreciation</t>
  </si>
  <si>
    <t xml:space="preserve">  Production</t>
  </si>
  <si>
    <t>ADEPREPA</t>
  </si>
  <si>
    <t xml:space="preserve">  Transmission</t>
  </si>
  <si>
    <t>ADEPRTP</t>
  </si>
  <si>
    <t xml:space="preserve">  Distribution</t>
  </si>
  <si>
    <t>ADEPRD11</t>
  </si>
  <si>
    <t xml:space="preserve">  General &amp; Common Plant</t>
  </si>
  <si>
    <t>ADEPRD12</t>
  </si>
  <si>
    <t xml:space="preserve">  Intangible, Misc, and Other Plant</t>
  </si>
  <si>
    <t>ADEPRGP</t>
  </si>
  <si>
    <t xml:space="preserve">  Retirement Work In Progress</t>
  </si>
  <si>
    <t>ADEPRRT</t>
  </si>
  <si>
    <t xml:space="preserve">   Total Accumulated Depreciation</t>
  </si>
  <si>
    <t>TADEPR</t>
  </si>
  <si>
    <t>Net Utility Plant</t>
  </si>
  <si>
    <t>NTPLANT</t>
  </si>
  <si>
    <t>Working Capital</t>
  </si>
  <si>
    <t>Cash Working Capital - Operation and Maintenance Expenses</t>
  </si>
  <si>
    <t>CWC</t>
  </si>
  <si>
    <t>OMLPP</t>
  </si>
  <si>
    <t>Materials and Supplies</t>
  </si>
  <si>
    <t>M&amp;S</t>
  </si>
  <si>
    <t>Prepayments</t>
  </si>
  <si>
    <t>PREPAY</t>
  </si>
  <si>
    <t>Fuel Stock</t>
  </si>
  <si>
    <t>FUEL</t>
  </si>
  <si>
    <t xml:space="preserve">  Total Working Capital</t>
  </si>
  <si>
    <t>TWC</t>
  </si>
  <si>
    <t>Deferred Debits</t>
  </si>
  <si>
    <t>Service Pension Cost</t>
  </si>
  <si>
    <t>PENSCOST</t>
  </si>
  <si>
    <t>TLB</t>
  </si>
  <si>
    <t xml:space="preserve">Other Deferred Debits </t>
  </si>
  <si>
    <t>DDEBPP</t>
  </si>
  <si>
    <t>OMSUB2</t>
  </si>
  <si>
    <t xml:space="preserve">  Total Deferred Debits</t>
  </si>
  <si>
    <t>Less: Customer Advances</t>
  </si>
  <si>
    <t>CSTDEP</t>
  </si>
  <si>
    <t xml:space="preserve">Less: Accumulated Deferred Income Taxes </t>
  </si>
  <si>
    <t xml:space="preserve">  Accumulated Deferred Income Taxes</t>
  </si>
  <si>
    <t>DIT</t>
  </si>
  <si>
    <t xml:space="preserve">  FAS 109 Deferred Income Taxes</t>
  </si>
  <si>
    <t xml:space="preserve">  Asset Retirement Obligation-Net Assets</t>
  </si>
  <si>
    <t xml:space="preserve">  Asset Retirement Obligation-Regulatory Liabilities</t>
  </si>
  <si>
    <t>Total Accumulated Deferred Income Tax</t>
  </si>
  <si>
    <t>Less: Investment Tax Credits</t>
  </si>
  <si>
    <t xml:space="preserve">  Total Production Plant</t>
  </si>
  <si>
    <t xml:space="preserve">  Total Transmission Plant</t>
  </si>
  <si>
    <t xml:space="preserve">  Total Distribution Plant</t>
  </si>
  <si>
    <t xml:space="preserve">  Total General Plant</t>
  </si>
  <si>
    <t>Total Investment Tax Credit</t>
  </si>
  <si>
    <t>Net Rate Base</t>
  </si>
  <si>
    <t>RB</t>
  </si>
  <si>
    <t>Operation and Maintenance Expenses</t>
  </si>
  <si>
    <t>Steam Power Generation Operation Expenses</t>
  </si>
  <si>
    <t>OPERATION SUPERVISION &amp; ENGINEERING</t>
  </si>
  <si>
    <t>OM500</t>
  </si>
  <si>
    <t>OM501</t>
  </si>
  <si>
    <t>Energy</t>
  </si>
  <si>
    <t>STEAM EXPENSES</t>
  </si>
  <si>
    <t>OM502</t>
  </si>
  <si>
    <t>ELECTRIC EXPENSES</t>
  </si>
  <si>
    <t>OM505</t>
  </si>
  <si>
    <t>MISC. STEAM POWER EXPENSES</t>
  </si>
  <si>
    <t>OM506</t>
  </si>
  <si>
    <t>RENTS</t>
  </si>
  <si>
    <t>OM507</t>
  </si>
  <si>
    <t>ALLOWANCES</t>
  </si>
  <si>
    <t>OM509</t>
  </si>
  <si>
    <t>Total Steam Power Operation Expenses</t>
  </si>
  <si>
    <t>Steam Power Generation Maintenance Expenses</t>
  </si>
  <si>
    <t>MAINTENANCE SUPERVISION &amp; ENGINEERING</t>
  </si>
  <si>
    <t>OM510</t>
  </si>
  <si>
    <t>MAINTENANCE OF STRUCTURES</t>
  </si>
  <si>
    <t>OM511</t>
  </si>
  <si>
    <t>MAINTENANCE OF BOILER PLANT</t>
  </si>
  <si>
    <t>OM512</t>
  </si>
  <si>
    <t>MAINTENANCE OF ELECTRIC PLANT</t>
  </si>
  <si>
    <t>OM513</t>
  </si>
  <si>
    <t>MAINTENANCE OF MISC STEAM PLANT</t>
  </si>
  <si>
    <t>OM514</t>
  </si>
  <si>
    <t>Total Steam Power Generation Maintenance Expense</t>
  </si>
  <si>
    <t>Total Steam Power Generation Expense</t>
  </si>
  <si>
    <t>Operation and Maintenance Expenses (Continued)</t>
  </si>
  <si>
    <t>Other Power Generation Operation Expense</t>
  </si>
  <si>
    <t>OM546</t>
  </si>
  <si>
    <t>OM547</t>
  </si>
  <si>
    <t>TOUEnergy</t>
  </si>
  <si>
    <t>GENERATION EXPENSE</t>
  </si>
  <si>
    <t>OM548</t>
  </si>
  <si>
    <t xml:space="preserve">MISC OTHER POWER GENERATION </t>
  </si>
  <si>
    <t>OM549</t>
  </si>
  <si>
    <t>OM550</t>
  </si>
  <si>
    <t>Total Other Power Generation Expenses</t>
  </si>
  <si>
    <t>Other Power Generation Maintenance Expense</t>
  </si>
  <si>
    <t>OM551</t>
  </si>
  <si>
    <t>OM552</t>
  </si>
  <si>
    <t>MAINTENANCE OF GENERATING &amp; ELEC PLANT</t>
  </si>
  <si>
    <t>OM553</t>
  </si>
  <si>
    <t>MAINTENANCE OF MISC OTHER POWER GEN PLT</t>
  </si>
  <si>
    <t>OM554</t>
  </si>
  <si>
    <t>Total Other Power Generation Maintenance Expense</t>
  </si>
  <si>
    <t>Total Other Power Generation Expense</t>
  </si>
  <si>
    <t>Total Station Expense</t>
  </si>
  <si>
    <t>Other Power Supply Expenses</t>
  </si>
  <si>
    <t>PURCHASED POWER</t>
  </si>
  <si>
    <t>OM555</t>
  </si>
  <si>
    <t>OMPP</t>
  </si>
  <si>
    <t>PURCHASED POWER OPTIONS</t>
  </si>
  <si>
    <t>OMO555</t>
  </si>
  <si>
    <t>BROKERAGE FEES</t>
  </si>
  <si>
    <t>OMB555</t>
  </si>
  <si>
    <t>MISO TRANSMISSION EXPENSES</t>
  </si>
  <si>
    <t>OMM555</t>
  </si>
  <si>
    <t>SYSTEM CONTROL AND LOAD DISPATCH</t>
  </si>
  <si>
    <t>OM556</t>
  </si>
  <si>
    <t>OTHER EXPENSES</t>
  </si>
  <si>
    <t>OM557</t>
  </si>
  <si>
    <t>RENEWABLE ENERGY CREDIT EXPENSES</t>
  </si>
  <si>
    <t>OM559</t>
  </si>
  <si>
    <t>Total Other Power Supply Expenses</t>
  </si>
  <si>
    <t>TPP</t>
  </si>
  <si>
    <t>Total Electric Power Generation Expenses</t>
  </si>
  <si>
    <t>Transmission Expenses</t>
  </si>
  <si>
    <t>OPERATION SUPERVISION AND ENG</t>
  </si>
  <si>
    <t>OM560</t>
  </si>
  <si>
    <t>LBTRAN</t>
  </si>
  <si>
    <t>LOAD DISPATCHING</t>
  </si>
  <si>
    <t>OM561</t>
  </si>
  <si>
    <t>STATION EXPENSES</t>
  </si>
  <si>
    <t>OM562</t>
  </si>
  <si>
    <t>OVERHEAD LINE EXPENSES</t>
  </si>
  <si>
    <t>OM563</t>
  </si>
  <si>
    <t>TRANSMISSION OF ELECTRICITY BY OTHERS</t>
  </si>
  <si>
    <t>OM565</t>
  </si>
  <si>
    <t>MISC. TRANSMISSION EXPENSES</t>
  </si>
  <si>
    <t>OM566</t>
  </si>
  <si>
    <t>OM567</t>
  </si>
  <si>
    <t>MAINTENACE SUPERVISION AND ENG</t>
  </si>
  <si>
    <t>OM568</t>
  </si>
  <si>
    <t>STRUCTURES</t>
  </si>
  <si>
    <t>OM569</t>
  </si>
  <si>
    <t>MAINT OF STATION EQUIPMENT</t>
  </si>
  <si>
    <t>OM570</t>
  </si>
  <si>
    <t>MAINT OF OVERHEAD LINES</t>
  </si>
  <si>
    <t>OM571</t>
  </si>
  <si>
    <t>UNDERGROUND LINES</t>
  </si>
  <si>
    <t>OM572</t>
  </si>
  <si>
    <t>MISC PLANT</t>
  </si>
  <si>
    <t>OM573</t>
  </si>
  <si>
    <t>MARKET ADMIN MONITOR/COMPLIANCE</t>
  </si>
  <si>
    <t>OM575</t>
  </si>
  <si>
    <t>Total Transmission Expenses</t>
  </si>
  <si>
    <t>Distribution Operation Expense</t>
  </si>
  <si>
    <t>OPERATION SUPERVISION AND ENGI</t>
  </si>
  <si>
    <t>OM580</t>
  </si>
  <si>
    <t>LBDO</t>
  </si>
  <si>
    <t>OM581</t>
  </si>
  <si>
    <t>F027</t>
  </si>
  <si>
    <t>OM582</t>
  </si>
  <si>
    <t>OM583</t>
  </si>
  <si>
    <t>UNDERGROUND LINE EXPENSES</t>
  </si>
  <si>
    <t>OM584</t>
  </si>
  <si>
    <t>STREET LIGHTING EXPENSE</t>
  </si>
  <si>
    <t>OM585</t>
  </si>
  <si>
    <t>METER EXPENSES</t>
  </si>
  <si>
    <t>OM586</t>
  </si>
  <si>
    <t>METER EXPENSES - LOAD MANAGEMENT</t>
  </si>
  <si>
    <t>OM586x</t>
  </si>
  <si>
    <t>CUSTOMER INSTALLATIONS EXPENSE</t>
  </si>
  <si>
    <t>OM587</t>
  </si>
  <si>
    <t>MISCELLANEOUS DISTRIBUTION EXP</t>
  </si>
  <si>
    <t>OM588</t>
  </si>
  <si>
    <t>MISC DISTR EXP -- MAPPIN</t>
  </si>
  <si>
    <t>OM588x</t>
  </si>
  <si>
    <t>OM589</t>
  </si>
  <si>
    <t>Total Distribution Operation Expense</t>
  </si>
  <si>
    <t>OMDO</t>
  </si>
  <si>
    <t>Distribution Maintenance Expense</t>
  </si>
  <si>
    <t>MAINTENANCE SUPERVISION AND EN</t>
  </si>
  <si>
    <t>OM590</t>
  </si>
  <si>
    <t>LBDM</t>
  </si>
  <si>
    <t>OM591</t>
  </si>
  <si>
    <t>MAINTENANCE OF STATION EQUIPME</t>
  </si>
  <si>
    <t>OM592</t>
  </si>
  <si>
    <t>MAINTENANCE OF OVERHEAD LINES</t>
  </si>
  <si>
    <t>OM593</t>
  </si>
  <si>
    <t>MAINTENANCE OF UNDERGROUND LIN</t>
  </si>
  <si>
    <t>OM594</t>
  </si>
  <si>
    <t>MAINTENANCE OF LINE TRANSFORME</t>
  </si>
  <si>
    <t>OM595</t>
  </si>
  <si>
    <t>MAINTENANCE OF ST LIGHTS &amp; SIG SYSTEMS</t>
  </si>
  <si>
    <t>OM596</t>
  </si>
  <si>
    <t>MAINTENANCE OF METERS</t>
  </si>
  <si>
    <t>OM597</t>
  </si>
  <si>
    <t>MISCELLANEOUS DISTRIBUTION EXPENSES</t>
  </si>
  <si>
    <t>OM598</t>
  </si>
  <si>
    <t>Total Distribution Maintenance Expense</t>
  </si>
  <si>
    <t>OMDM</t>
  </si>
  <si>
    <t>Total Distribution Operation and Maintenance Expenses</t>
  </si>
  <si>
    <t>Transmission and Distribution Expenses</t>
  </si>
  <si>
    <t>Production, Transmission and Distribution Expenses</t>
  </si>
  <si>
    <t>OMSUB</t>
  </si>
  <si>
    <t>Customer Accounts Expense</t>
  </si>
  <si>
    <t>SUPERVISION/CUSTOMER ACCTS</t>
  </si>
  <si>
    <t>OM901</t>
  </si>
  <si>
    <t>F025</t>
  </si>
  <si>
    <t>METER READING EXPENSES</t>
  </si>
  <si>
    <t>OM902</t>
  </si>
  <si>
    <t>RECORDS AND COLLECTION</t>
  </si>
  <si>
    <t>OM903</t>
  </si>
  <si>
    <t>UNCOLLECTIBLE ACCOUNTS</t>
  </si>
  <si>
    <t>OM904</t>
  </si>
  <si>
    <t>MISC CUST ACCOUNTS</t>
  </si>
  <si>
    <t>Total Customer Accounts Expense</t>
  </si>
  <si>
    <t>OMCA</t>
  </si>
  <si>
    <t>Customer Service Expense</t>
  </si>
  <si>
    <t>SUPERVISION</t>
  </si>
  <si>
    <t>OM907</t>
  </si>
  <si>
    <t>CUSTOMER ASSISTANCE EXPENSES</t>
  </si>
  <si>
    <t>OM908</t>
  </si>
  <si>
    <t>CUSTOMER ASSISTANCE EXP-INCENTIVES</t>
  </si>
  <si>
    <t>OM908x</t>
  </si>
  <si>
    <t>INFORMATIONAL AND INSTRUCTIONA</t>
  </si>
  <si>
    <t>OM909</t>
  </si>
  <si>
    <t>INFORM AND INSTRUC -LOAD MGMT</t>
  </si>
  <si>
    <t>OM909x</t>
  </si>
  <si>
    <t>MISCELLANEOUS CUSTOMER SERVICE</t>
  </si>
  <si>
    <t>OM910</t>
  </si>
  <si>
    <t>DEMONSTRATION AND SELLING EXP</t>
  </si>
  <si>
    <t>OM911</t>
  </si>
  <si>
    <t>OM912</t>
  </si>
  <si>
    <t>ADVERTISING EXPENSES</t>
  </si>
  <si>
    <t>OM913</t>
  </si>
  <si>
    <t>MDSE-JOBBING-CONTRACT</t>
  </si>
  <si>
    <t>OM915</t>
  </si>
  <si>
    <t>MISC SALES EXPENSE</t>
  </si>
  <si>
    <t>OM916</t>
  </si>
  <si>
    <t>Total Customer Service Expense</t>
  </si>
  <si>
    <t>OMCS</t>
  </si>
  <si>
    <t>Sub-Total Prod, Trans, Dist, Cust Acct and Cust Service</t>
  </si>
  <si>
    <t>Administrative and General Expense</t>
  </si>
  <si>
    <t>ADMIN. &amp; GEN. SALARIES-</t>
  </si>
  <si>
    <t>OM920</t>
  </si>
  <si>
    <t>LBSUB9</t>
  </si>
  <si>
    <t>OFFICE SUPPLIES AND EXPENSES</t>
  </si>
  <si>
    <t>OM921</t>
  </si>
  <si>
    <t>ADMINISTRATIVE EXPENSES TRANSFERRED</t>
  </si>
  <si>
    <t>OM922</t>
  </si>
  <si>
    <t>OUTSIDE SERVICES EMPLOYED</t>
  </si>
  <si>
    <t>OM923</t>
  </si>
  <si>
    <t>PROPERTY INSURANCE</t>
  </si>
  <si>
    <t>OM924</t>
  </si>
  <si>
    <t>INJURIES AND DAMAGES - INSURAN</t>
  </si>
  <si>
    <t>OM925</t>
  </si>
  <si>
    <t>EMPLOYEE BENEFITS</t>
  </si>
  <si>
    <t>OM926</t>
  </si>
  <si>
    <t>FRANCHISE REQUIREMENTS</t>
  </si>
  <si>
    <t>OM927</t>
  </si>
  <si>
    <t>REGULATORY COMMISSION FEES</t>
  </si>
  <si>
    <t>OM928</t>
  </si>
  <si>
    <t>DUPLICATE CHARGES-CR</t>
  </si>
  <si>
    <t>OM929</t>
  </si>
  <si>
    <t>MISCELLANEOUS GENERAL EXPENSES</t>
  </si>
  <si>
    <t>OM930</t>
  </si>
  <si>
    <t>RENTS AND LEASES</t>
  </si>
  <si>
    <t>OM931</t>
  </si>
  <si>
    <t>MAINTENANCE OF GENERAL PLANT</t>
  </si>
  <si>
    <t>OM935</t>
  </si>
  <si>
    <t>Total Administrative and General Expense</t>
  </si>
  <si>
    <t>OMAG</t>
  </si>
  <si>
    <t>Total Operation and Maintenance Expenses</t>
  </si>
  <si>
    <t>TOM</t>
  </si>
  <si>
    <t>Operation and Maintenance Expenses Less Purchase Power &amp; Fuel</t>
  </si>
  <si>
    <t>Labor Expenses</t>
  </si>
  <si>
    <t>LB500</t>
  </si>
  <si>
    <t>LB501</t>
  </si>
  <si>
    <t>LB502</t>
  </si>
  <si>
    <t>LB505</t>
  </si>
  <si>
    <t>LB506</t>
  </si>
  <si>
    <t>LB507</t>
  </si>
  <si>
    <t>LB509</t>
  </si>
  <si>
    <t>LBSUB1</t>
  </si>
  <si>
    <t>LB510</t>
  </si>
  <si>
    <t>LB511</t>
  </si>
  <si>
    <t>LB512</t>
  </si>
  <si>
    <t>LB513</t>
  </si>
  <si>
    <t>LB514</t>
  </si>
  <si>
    <t>LBSUB2</t>
  </si>
  <si>
    <t>Labor Expenses (Continued)</t>
  </si>
  <si>
    <t>LB546</t>
  </si>
  <si>
    <t>LB547</t>
  </si>
  <si>
    <t>LB548</t>
  </si>
  <si>
    <t>LB549</t>
  </si>
  <si>
    <t>LB550</t>
  </si>
  <si>
    <t>LBSUB7</t>
  </si>
  <si>
    <t>LB551</t>
  </si>
  <si>
    <t>LB552</t>
  </si>
  <si>
    <t>LB553</t>
  </si>
  <si>
    <t>LB554</t>
  </si>
  <si>
    <t>LBSUB8</t>
  </si>
  <si>
    <t>Total Production Expense</t>
  </si>
  <si>
    <t>LPREX</t>
  </si>
  <si>
    <t>Purchased Power</t>
  </si>
  <si>
    <t>LB555</t>
  </si>
  <si>
    <t>LBO555</t>
  </si>
  <si>
    <t>LBB555</t>
  </si>
  <si>
    <t>LBM555</t>
  </si>
  <si>
    <t>LB556</t>
  </si>
  <si>
    <t>LB557</t>
  </si>
  <si>
    <t>DUPLICATE CHARGES</t>
  </si>
  <si>
    <t>LB558</t>
  </si>
  <si>
    <t>Total Purchased Power Labor</t>
  </si>
  <si>
    <t>LBPP</t>
  </si>
  <si>
    <t>Transmission Labor Expenses</t>
  </si>
  <si>
    <t>LB560</t>
  </si>
  <si>
    <t>LB561</t>
  </si>
  <si>
    <t>LB562</t>
  </si>
  <si>
    <t>LB563</t>
  </si>
  <si>
    <t>LB565</t>
  </si>
  <si>
    <t>LB566</t>
  </si>
  <si>
    <t>LB567</t>
  </si>
  <si>
    <t>LB568</t>
  </si>
  <si>
    <t>MAINTENACE OF STRUCTURES</t>
  </si>
  <si>
    <t>LB569</t>
  </si>
  <si>
    <t>LB570</t>
  </si>
  <si>
    <t>LB571</t>
  </si>
  <si>
    <t>MAINT OF MISC. TRANSMISSION PLANT</t>
  </si>
  <si>
    <t>LB573</t>
  </si>
  <si>
    <t>Total Transmission Labor Expenses</t>
  </si>
  <si>
    <t>Distribution Operation Labor Expense</t>
  </si>
  <si>
    <t>LB580</t>
  </si>
  <si>
    <t>F023</t>
  </si>
  <si>
    <t>LB581</t>
  </si>
  <si>
    <t>LB582</t>
  </si>
  <si>
    <t>LB583</t>
  </si>
  <si>
    <t>LB584</t>
  </si>
  <si>
    <t>LB585</t>
  </si>
  <si>
    <t>LB586</t>
  </si>
  <si>
    <t>LB586x</t>
  </si>
  <si>
    <t>LB587</t>
  </si>
  <si>
    <t>LB588</t>
  </si>
  <si>
    <t>LB589</t>
  </si>
  <si>
    <t>Total Distribution Operation Labor Expense</t>
  </si>
  <si>
    <t>Distribution Maintenance Labor Expense</t>
  </si>
  <si>
    <t>LB590</t>
  </si>
  <si>
    <t>F024</t>
  </si>
  <si>
    <t>LB591</t>
  </si>
  <si>
    <t>LB592</t>
  </si>
  <si>
    <t>LB593</t>
  </si>
  <si>
    <t>LB594</t>
  </si>
  <si>
    <t>LB595</t>
  </si>
  <si>
    <t>LB596</t>
  </si>
  <si>
    <t>LB597</t>
  </si>
  <si>
    <t>MAINTENANCE OF MISC DISTR PLANT</t>
  </si>
  <si>
    <t>LB598</t>
  </si>
  <si>
    <t>Total Distribution Maintenance Labor Expense</t>
  </si>
  <si>
    <t>Total Distribution Operation and Maintenance Labor Expenses</t>
  </si>
  <si>
    <t>Transmission and Distribution Labor Expenses</t>
  </si>
  <si>
    <t>Production, Transmission and Distribution Labor Expenses</t>
  </si>
  <si>
    <t>LBSUB</t>
  </si>
  <si>
    <t>LB901</t>
  </si>
  <si>
    <t>LB902</t>
  </si>
  <si>
    <t>LB903</t>
  </si>
  <si>
    <t>LB904</t>
  </si>
  <si>
    <t>Total Customer Accounts Labor Expense</t>
  </si>
  <si>
    <t>LBCA</t>
  </si>
  <si>
    <t>LB907</t>
  </si>
  <si>
    <t>LB908</t>
  </si>
  <si>
    <t>CUSTOMER ASSISTANCE EXP-LOAD MGMT</t>
  </si>
  <si>
    <t>LB908x</t>
  </si>
  <si>
    <t>LB909</t>
  </si>
  <si>
    <t>LB909x</t>
  </si>
  <si>
    <t>LB910</t>
  </si>
  <si>
    <t>LB911</t>
  </si>
  <si>
    <t>LB912</t>
  </si>
  <si>
    <t>WATER HEATER - HEAT PUMP PROGRAM</t>
  </si>
  <si>
    <t>LB913</t>
  </si>
  <si>
    <t>LB915</t>
  </si>
  <si>
    <t>LB916</t>
  </si>
  <si>
    <t>Total Customer Service Labor Expense</t>
  </si>
  <si>
    <t>LBCS</t>
  </si>
  <si>
    <t>Sub-Total Labor Exp</t>
  </si>
  <si>
    <t>LB920</t>
  </si>
  <si>
    <t>LB921</t>
  </si>
  <si>
    <t>ADMIN. EXPENSES TRANSFERRED - CREDIT</t>
  </si>
  <si>
    <t>LB922</t>
  </si>
  <si>
    <t>LB923</t>
  </si>
  <si>
    <t>LB924</t>
  </si>
  <si>
    <t>LB925</t>
  </si>
  <si>
    <t>LB926</t>
  </si>
  <si>
    <t>LB928</t>
  </si>
  <si>
    <t>LB929</t>
  </si>
  <si>
    <t>LB930</t>
  </si>
  <si>
    <t>LB931</t>
  </si>
  <si>
    <t>LB935</t>
  </si>
  <si>
    <t>LBAG</t>
  </si>
  <si>
    <t>Operation and Maintenance Expenses Less Purchase Power</t>
  </si>
  <si>
    <t>LBLPP</t>
  </si>
  <si>
    <t>Other Expenses</t>
  </si>
  <si>
    <t>Depreciation Expenses</t>
  </si>
  <si>
    <t xml:space="preserve">  Production - Steam</t>
  </si>
  <si>
    <t>DEPRDP2</t>
  </si>
  <si>
    <t xml:space="preserve">  Production - Other</t>
  </si>
  <si>
    <t>DEPRDP3</t>
  </si>
  <si>
    <t>DEPRDP4</t>
  </si>
  <si>
    <t>DEPRDP5</t>
  </si>
  <si>
    <t>DEPRDP6</t>
  </si>
  <si>
    <t xml:space="preserve">  Regulatory Credits - Gen Maintenance</t>
  </si>
  <si>
    <t>DEPRDP7</t>
  </si>
  <si>
    <t xml:space="preserve">  Asset Retirement Obligations</t>
  </si>
  <si>
    <t>DEPRDP8</t>
  </si>
  <si>
    <t xml:space="preserve">  Other Plant</t>
  </si>
  <si>
    <t>DEPROTH</t>
  </si>
  <si>
    <t>Total Depreciation Expense</t>
  </si>
  <si>
    <t>TDEPR</t>
  </si>
  <si>
    <t>Accretion Expense</t>
  </si>
  <si>
    <t>Production</t>
  </si>
  <si>
    <t>ACRTNP</t>
  </si>
  <si>
    <t>F004</t>
  </si>
  <si>
    <t>ACRTNT</t>
  </si>
  <si>
    <t>ACRTND</t>
  </si>
  <si>
    <t>Total Accretion Expense</t>
  </si>
  <si>
    <t>TACRTN</t>
  </si>
  <si>
    <t>Other Taxes</t>
  </si>
  <si>
    <t>PTAX</t>
  </si>
  <si>
    <t>Asset Retirement Obligations</t>
  </si>
  <si>
    <t>OTAX</t>
  </si>
  <si>
    <t>OT</t>
  </si>
  <si>
    <t>Interest</t>
  </si>
  <si>
    <t>INTLTD</t>
  </si>
  <si>
    <t>Other Deductions</t>
  </si>
  <si>
    <t>DEDUCT</t>
  </si>
  <si>
    <t>Total Other Expenses</t>
  </si>
  <si>
    <t>TOE</t>
  </si>
  <si>
    <t>Total Cost of Service (O&amp;M + Other Expenses)</t>
  </si>
  <si>
    <t>Functional Vectors</t>
  </si>
  <si>
    <t>On/Off Peak Energy</t>
  </si>
  <si>
    <t>Energy plus Steam</t>
  </si>
  <si>
    <t>PROFIX</t>
  </si>
  <si>
    <t>Distribution Operation Labor</t>
  </si>
  <si>
    <t>Distribution Maintenance Labor</t>
  </si>
  <si>
    <t>F026</t>
  </si>
  <si>
    <t>Metering Expense</t>
  </si>
  <si>
    <t>Purchased Power Expenses</t>
  </si>
  <si>
    <t>Internally Generated Functional Vectors</t>
  </si>
  <si>
    <t>Total Prod, Trans, and Dist Plant</t>
  </si>
  <si>
    <t>Total Transmission Plant</t>
  </si>
  <si>
    <t>Total Plant in Service</t>
  </si>
  <si>
    <t>Total Operation and Maintenance Expenses (Labor)</t>
  </si>
  <si>
    <t>Total Steam Power Operation Expenses (Labor)</t>
  </si>
  <si>
    <t>Total Steam Power Generation Maintenance Expense (Labor)</t>
  </si>
  <si>
    <t>Total Other Power Generation Expenses (Labor)</t>
  </si>
  <si>
    <t>LBSUB5</t>
  </si>
  <si>
    <t>Total General Plant</t>
  </si>
  <si>
    <t>Total Production Plant</t>
  </si>
  <si>
    <t>Total Intangible Plant</t>
  </si>
  <si>
    <t>Large</t>
  </si>
  <si>
    <t>Special Contract</t>
  </si>
  <si>
    <t>Ref</t>
  </si>
  <si>
    <t>Rate E</t>
  </si>
  <si>
    <t>Rate B</t>
  </si>
  <si>
    <t>Rate C</t>
  </si>
  <si>
    <t>Rate G</t>
  </si>
  <si>
    <t>Pumping  Stations</t>
  </si>
  <si>
    <t>Steam Service</t>
  </si>
  <si>
    <t>Power Production Plant</t>
  </si>
  <si>
    <t xml:space="preserve">  Production Excess Demand</t>
  </si>
  <si>
    <t>PLPDMD</t>
  </si>
  <si>
    <t>EXCDMD</t>
  </si>
  <si>
    <t xml:space="preserve">  Production - Average Demand</t>
  </si>
  <si>
    <t>PLPAVGD</t>
  </si>
  <si>
    <t>AVGDMD</t>
  </si>
  <si>
    <t xml:space="preserve">  Production - On-Peak Energy</t>
  </si>
  <si>
    <t>PLPOFFENG</t>
  </si>
  <si>
    <t>ONENG</t>
  </si>
  <si>
    <t xml:space="preserve">  Production - Off-Peak Energy</t>
  </si>
  <si>
    <t>PLPONENG</t>
  </si>
  <si>
    <t>OFFENG</t>
  </si>
  <si>
    <t xml:space="preserve">  Production - Steam Direct</t>
  </si>
  <si>
    <t>PLPSTM</t>
  </si>
  <si>
    <t>STMD</t>
  </si>
  <si>
    <t>Total Power Production Plant</t>
  </si>
  <si>
    <t>PLPT</t>
  </si>
  <si>
    <t>PLTRN</t>
  </si>
  <si>
    <t>12CP</t>
  </si>
  <si>
    <t>Distribution Substation</t>
  </si>
  <si>
    <t>PLDST</t>
  </si>
  <si>
    <t>SUBA</t>
  </si>
  <si>
    <t>Distribution Meters</t>
  </si>
  <si>
    <t>PLDMC</t>
  </si>
  <si>
    <t>Cust05</t>
  </si>
  <si>
    <t>PLT</t>
  </si>
  <si>
    <t>NTDMD</t>
  </si>
  <si>
    <t>NTAVGD</t>
  </si>
  <si>
    <t>NTOFFENG</t>
  </si>
  <si>
    <t>NTONENG</t>
  </si>
  <si>
    <t>NTSTM</t>
  </si>
  <si>
    <t>NTPT</t>
  </si>
  <si>
    <t>NTTRN</t>
  </si>
  <si>
    <t>NTDST</t>
  </si>
  <si>
    <t>NTDMC</t>
  </si>
  <si>
    <t>NTPLT</t>
  </si>
  <si>
    <t>Net Cost Rate Base</t>
  </si>
  <si>
    <t>RBPDMD</t>
  </si>
  <si>
    <t>RBPAVGD</t>
  </si>
  <si>
    <t>RBPONENG</t>
  </si>
  <si>
    <t>RBPOFFENG</t>
  </si>
  <si>
    <t>RBPSTM</t>
  </si>
  <si>
    <t>RBPT</t>
  </si>
  <si>
    <t>RBTRN</t>
  </si>
  <si>
    <t>RBDST</t>
  </si>
  <si>
    <t>RBDMC</t>
  </si>
  <si>
    <t>RBPLT</t>
  </si>
  <si>
    <t>OMPDMD</t>
  </si>
  <si>
    <t>OMAVGD</t>
  </si>
  <si>
    <t>OMONENG</t>
  </si>
  <si>
    <t>OMOFFENG</t>
  </si>
  <si>
    <t>OMSTM</t>
  </si>
  <si>
    <t>OMPT</t>
  </si>
  <si>
    <t>OMTRN</t>
  </si>
  <si>
    <t>OMDST</t>
  </si>
  <si>
    <t>OMDMC</t>
  </si>
  <si>
    <t>OMPLT</t>
  </si>
  <si>
    <t>LBPDMD</t>
  </si>
  <si>
    <t>LBAVGD</t>
  </si>
  <si>
    <t>LBONENG</t>
  </si>
  <si>
    <t>LBOFFENG</t>
  </si>
  <si>
    <t>LBSTM</t>
  </si>
  <si>
    <t>LBPT</t>
  </si>
  <si>
    <t>LBTRN</t>
  </si>
  <si>
    <t>LBDST</t>
  </si>
  <si>
    <t>LBDMC</t>
  </si>
  <si>
    <t>LBPLT</t>
  </si>
  <si>
    <t>DPPDMD</t>
  </si>
  <si>
    <t>DPPAVGD</t>
  </si>
  <si>
    <t>DPPONENG</t>
  </si>
  <si>
    <t>DPPOFFENG</t>
  </si>
  <si>
    <t>DPPSTM</t>
  </si>
  <si>
    <t>DPPT</t>
  </si>
  <si>
    <t>DPTRN</t>
  </si>
  <si>
    <t>DPDST</t>
  </si>
  <si>
    <t>DPDMC</t>
  </si>
  <si>
    <t>DPPLT</t>
  </si>
  <si>
    <t>Accretion Expenses</t>
  </si>
  <si>
    <t>AEPDMD</t>
  </si>
  <si>
    <t>AEPAVGD</t>
  </si>
  <si>
    <t>AEPONENG</t>
  </si>
  <si>
    <t>AEPOFFENG</t>
  </si>
  <si>
    <t>AEPSTM</t>
  </si>
  <si>
    <t>AEPT</t>
  </si>
  <si>
    <t>AETRN</t>
  </si>
  <si>
    <t>AEDST</t>
  </si>
  <si>
    <t>AEDMC</t>
  </si>
  <si>
    <t>AEPLT</t>
  </si>
  <si>
    <t>Property and Other Taxes</t>
  </si>
  <si>
    <t>PRPDMD</t>
  </si>
  <si>
    <t>PRPAVGD</t>
  </si>
  <si>
    <t>PRPONENG</t>
  </si>
  <si>
    <t>PRPOFFENG</t>
  </si>
  <si>
    <t>PRPSTM</t>
  </si>
  <si>
    <t>PRPT</t>
  </si>
  <si>
    <t>PRTRN</t>
  </si>
  <si>
    <t>PRDST</t>
  </si>
  <si>
    <t>PRDMC</t>
  </si>
  <si>
    <t>PRPLT</t>
  </si>
  <si>
    <t>ODPDMD</t>
  </si>
  <si>
    <t>ODPAVGD</t>
  </si>
  <si>
    <t>ODPONENG</t>
  </si>
  <si>
    <t>ODPOFFENG</t>
  </si>
  <si>
    <t>ODPSTM</t>
  </si>
  <si>
    <t>ODPT</t>
  </si>
  <si>
    <t>ODTRN</t>
  </si>
  <si>
    <t>ODDST</t>
  </si>
  <si>
    <t>ODDMC</t>
  </si>
  <si>
    <t>ODPLT</t>
  </si>
  <si>
    <t>Interest Expenses</t>
  </si>
  <si>
    <t>INPDMD</t>
  </si>
  <si>
    <t>INPAVGD</t>
  </si>
  <si>
    <t>INPONENG</t>
  </si>
  <si>
    <t>INPOFFENG</t>
  </si>
  <si>
    <t>INPSTM</t>
  </si>
  <si>
    <t>INPT</t>
  </si>
  <si>
    <t>INTRN</t>
  </si>
  <si>
    <t>INDST</t>
  </si>
  <si>
    <t>INDMC</t>
  </si>
  <si>
    <t>INPLT</t>
  </si>
  <si>
    <t>Cost of Service Summary -- Unadjusted</t>
  </si>
  <si>
    <t>Operating Revenues</t>
  </si>
  <si>
    <t xml:space="preserve">  Sales to Members</t>
  </si>
  <si>
    <t>REVUC</t>
  </si>
  <si>
    <t>R01</t>
  </si>
  <si>
    <t xml:space="preserve">  Sales for Resale </t>
  </si>
  <si>
    <t xml:space="preserve">  FAC Over/Under Recovery (Non-Steam)</t>
  </si>
  <si>
    <t>FACAS</t>
  </si>
  <si>
    <t xml:space="preserve">  FAC Over/Under Recovery (Steam)</t>
  </si>
  <si>
    <t xml:space="preserve">  ES Over/Under Recovery (Non-Steam)</t>
  </si>
  <si>
    <t>ESAS</t>
  </si>
  <si>
    <t xml:space="preserve">  ES Over/Under Recovery (Steam)</t>
  </si>
  <si>
    <t xml:space="preserve">  Off System Sales Revenue</t>
  </si>
  <si>
    <t xml:space="preserve">  Wheeling Revenue</t>
  </si>
  <si>
    <t>LSDPR</t>
  </si>
  <si>
    <t xml:space="preserve">  Other Operating Revenue</t>
  </si>
  <si>
    <t>OTHREV</t>
  </si>
  <si>
    <t xml:space="preserve">  Rate E Generation Credit</t>
  </si>
  <si>
    <t xml:space="preserve">  DLC Credit given to Members</t>
  </si>
  <si>
    <t>Total Operating Revenues</t>
  </si>
  <si>
    <t>TOR</t>
  </si>
  <si>
    <t>Operating Expenses</t>
  </si>
  <si>
    <t xml:space="preserve">   Operation and Maintenance Expenses</t>
  </si>
  <si>
    <t xml:space="preserve">   Depreciation and Amortization Expenses</t>
  </si>
  <si>
    <t xml:space="preserve">   Accretion Expenses</t>
  </si>
  <si>
    <t xml:space="preserve">   Property  and Other Taxes</t>
  </si>
  <si>
    <t xml:space="preserve">   Other Deductions</t>
  </si>
  <si>
    <t>Total Operating Expenses</t>
  </si>
  <si>
    <t>Utility Operating Margin</t>
  </si>
  <si>
    <t>Non-Operating Items</t>
  </si>
  <si>
    <t xml:space="preserve">  Interest Income</t>
  </si>
  <si>
    <t xml:space="preserve">  Other Non-Operating Income</t>
  </si>
  <si>
    <t xml:space="preserve">  Other Credits</t>
  </si>
  <si>
    <t xml:space="preserve">  Interest on Long Term Debt</t>
  </si>
  <si>
    <t xml:space="preserve">  Other Interest Expense</t>
  </si>
  <si>
    <t>Total Non-Operating Items</t>
  </si>
  <si>
    <t>Net Utility Operating Margin</t>
  </si>
  <si>
    <t>Return on Rate Base -- Utility Operating Margin Divided by Rate Base</t>
  </si>
  <si>
    <t>Cost of Service Summary -- Pro-Forma</t>
  </si>
  <si>
    <t>Total Operating Revenue</t>
  </si>
  <si>
    <t>Pro-Forma Adjustments:</t>
  </si>
  <si>
    <t>To Remove Base Fuel Revenue</t>
  </si>
  <si>
    <t>BSFL</t>
  </si>
  <si>
    <t>To Remove FAC Revenue</t>
  </si>
  <si>
    <t>FACA</t>
  </si>
  <si>
    <t>To Remove Environmental Surcharge Revenue</t>
  </si>
  <si>
    <t>ES</t>
  </si>
  <si>
    <t>To Adjust Off-System Sales Environmental Sur. Rev.</t>
  </si>
  <si>
    <t>To Remove Winter Storm Elliot Capacity Payments</t>
  </si>
  <si>
    <t>Total Pro-Forma Operating Revenue</t>
  </si>
  <si>
    <t>Adjustments to Operating Expenses:</t>
  </si>
  <si>
    <t>To Remove Fuel Expense Recoverable Through FAC</t>
  </si>
  <si>
    <t>To Remove Purchased Power Expense Recoverable Through FAC</t>
  </si>
  <si>
    <t>FACEX</t>
  </si>
  <si>
    <t>To Remove O&amp;M Expenses Recoverable Through Env. Surcharge</t>
  </si>
  <si>
    <t>A&amp;E Steam</t>
  </si>
  <si>
    <t>To Remove Emissions Allowance Expense Recoverable Through ESR</t>
  </si>
  <si>
    <t>To Remove Property Tax &amp; Insurance Recoverable Through ESR</t>
  </si>
  <si>
    <t>To Remove Depreciation Expense Recoverable Through ESR</t>
  </si>
  <si>
    <t>To Remove Accretion Expense Recoverable Through ESR</t>
  </si>
  <si>
    <t>To Remove Employee Benefits Expense</t>
  </si>
  <si>
    <t>To Remove Misc Employee Benefits Expense</t>
  </si>
  <si>
    <t>To Remove Promotional Advertising Expense</t>
  </si>
  <si>
    <t>To Remove Certain Director's Expenses</t>
  </si>
  <si>
    <t>To Remove Donations</t>
  </si>
  <si>
    <t>To Remove Lobbying Expenses</t>
  </si>
  <si>
    <t>To Remove Touchstone Energy Dues</t>
  </si>
  <si>
    <t>To Remove Other Misc. Expenses</t>
  </si>
  <si>
    <t>To Normalize Depreciation Expenses</t>
  </si>
  <si>
    <t>To Normalize RTEP Expenses</t>
  </si>
  <si>
    <t>To Normalize Rate Case Expenses</t>
  </si>
  <si>
    <t>To Remove Forced Outage Costs</t>
  </si>
  <si>
    <t>A&amp;E NonSteam</t>
  </si>
  <si>
    <t>To Normalize Business Insurance Costs</t>
  </si>
  <si>
    <t>To Remove Excess Generation Maintenance Expense</t>
  </si>
  <si>
    <t>To Amortize Generator Maintenance Tracker Balance</t>
  </si>
  <si>
    <t>To Adjust Gen Maint Exp for Excess Threshold Change</t>
  </si>
  <si>
    <t>To Normalize Wages/Salaries Expense</t>
  </si>
  <si>
    <t>To Normalize Payroll Tax Expense</t>
  </si>
  <si>
    <t>To Normalize Medical Insurance Expense</t>
  </si>
  <si>
    <t>`</t>
  </si>
  <si>
    <t>To Normalize PSC Assessment</t>
  </si>
  <si>
    <t>To Reflect Avoided Costs of Interruptible Service</t>
  </si>
  <si>
    <t>Reallocation of Avoided Cost Savings</t>
  </si>
  <si>
    <t>Total Expense Adjustments</t>
  </si>
  <si>
    <t>Utility Operating Margins -- Pro-Forma</t>
  </si>
  <si>
    <t xml:space="preserve">  Sum of Non-Operating Items</t>
  </si>
  <si>
    <t>Adjustment To Remove Interest Exp. Recoverable Through ESR</t>
  </si>
  <si>
    <t>Adjustment To Normalize Interest Expense</t>
  </si>
  <si>
    <t>Adjustment To Normalize Interest Income</t>
  </si>
  <si>
    <t>Adjustment To Remove Outage Insurance Payments</t>
  </si>
  <si>
    <t>Remove Environmental Surcharge - Production</t>
  </si>
  <si>
    <t>Remove Environmental Surcharge - Transmission</t>
  </si>
  <si>
    <t>Remove Environmental Surcharge - CWC</t>
  </si>
  <si>
    <t>Net Cost Rate Base -- Excluding Environmental</t>
  </si>
  <si>
    <t>Increase/Decrease to Achieve Total System RoR at 4.64% (Equalized Rates of Return)</t>
  </si>
  <si>
    <t>Allocated Increase Calculation</t>
  </si>
  <si>
    <t>Cost of Service Summary -- Pro-Forma (Proposed Increase)</t>
  </si>
  <si>
    <t>To Reflect Proposed Increase</t>
  </si>
  <si>
    <t>Additional PSC Assessment on Increase</t>
  </si>
  <si>
    <t>Utility Operating Margins -- Pro-Formed for Increase</t>
  </si>
  <si>
    <t>Rate of Return</t>
  </si>
  <si>
    <t>Allocation Factors</t>
  </si>
  <si>
    <t>Energy Allocation Factors</t>
  </si>
  <si>
    <t>Energy Usage by Class</t>
  </si>
  <si>
    <t>E01</t>
  </si>
  <si>
    <t>Customer Allocation Factors</t>
  </si>
  <si>
    <t>Rev</t>
  </si>
  <si>
    <t>On-Peak Energy</t>
  </si>
  <si>
    <t>ONPEAK</t>
  </si>
  <si>
    <t>Off-Peak Energy</t>
  </si>
  <si>
    <t>OFFPEAK</t>
  </si>
  <si>
    <t>FAC Revenue Allocator</t>
  </si>
  <si>
    <t>FAC Revenue Allocator without Steam</t>
  </si>
  <si>
    <t>Base Fuel Revenue Allocator</t>
  </si>
  <si>
    <t>Fuel Expense Applicable to FAC Allocator</t>
  </si>
  <si>
    <t>ES Revenues</t>
  </si>
  <si>
    <t>ES Revenues without Steam</t>
  </si>
  <si>
    <t>Customer Allocators</t>
  </si>
  <si>
    <t>Customers (Metering Points)</t>
  </si>
  <si>
    <t>Demand Allocators</t>
  </si>
  <si>
    <t>Steam - Direct Assignment</t>
  </si>
  <si>
    <t>Substation Allocator</t>
  </si>
  <si>
    <t>NCP Max Class Demand</t>
  </si>
  <si>
    <t>Production Excess Demand Allocator</t>
  </si>
  <si>
    <t>Transmission 12 CP Demands</t>
  </si>
  <si>
    <t>Production Energy Allocation</t>
  </si>
  <si>
    <t>Production Energy Residual Allocator</t>
  </si>
  <si>
    <t>PENGA</t>
  </si>
  <si>
    <t>Production Energy Costs</t>
  </si>
  <si>
    <t>Member Specific Assignment</t>
  </si>
  <si>
    <t>Production Energy Residual</t>
  </si>
  <si>
    <t>Production Energy Total</t>
  </si>
  <si>
    <t>PENGT</t>
  </si>
  <si>
    <t>Production Energy Total Allocator</t>
  </si>
  <si>
    <t>PENG</t>
  </si>
  <si>
    <t>FAC Expense Residual Allocator</t>
  </si>
  <si>
    <t>FACALL</t>
  </si>
  <si>
    <t>FAC Expense Cost</t>
  </si>
  <si>
    <t>FAC Expense Residual</t>
  </si>
  <si>
    <t>FAC Expense Total</t>
  </si>
  <si>
    <t>FACT</t>
  </si>
  <si>
    <t>FAC Expense Allocator</t>
  </si>
  <si>
    <t>FACAL</t>
  </si>
  <si>
    <t>Production On-Energy Residual Allocator</t>
  </si>
  <si>
    <t>ONPENGY</t>
  </si>
  <si>
    <t>Production On-Energy Costs</t>
  </si>
  <si>
    <t>Production On-Energy Residual</t>
  </si>
  <si>
    <t>Production On-Energy Total</t>
  </si>
  <si>
    <t>ONENGT</t>
  </si>
  <si>
    <t>Production On-Energy Total Allocator</t>
  </si>
  <si>
    <t>Production Off-Energy Residual Allocator</t>
  </si>
  <si>
    <t>OFFPENGY</t>
  </si>
  <si>
    <t>Production Off-Energy Costs</t>
  </si>
  <si>
    <t>Production Off-Energy Residual</t>
  </si>
  <si>
    <t>Production Off-Energy Total</t>
  </si>
  <si>
    <t>OFFENGT</t>
  </si>
  <si>
    <t>Production Off-Energy Total Allocator</t>
  </si>
  <si>
    <t>Total Average &amp; Excess Production Demand Allocator (w/out Steam)</t>
  </si>
  <si>
    <t>Total Average &amp; Excess Production Demand Allocator (w/ Steam)</t>
  </si>
  <si>
    <t xml:space="preserve">  Production - Excess Demand</t>
  </si>
  <si>
    <t xml:space="preserve">  Transmission Demand</t>
  </si>
  <si>
    <t xml:space="preserve">  Distribution Substation</t>
  </si>
  <si>
    <t xml:space="preserve">  Distribution Meters</t>
  </si>
  <si>
    <t>Production Demand (Per Kwh or Kw)</t>
  </si>
  <si>
    <t>Production Demand Margin (Per Kwh or Kw)</t>
  </si>
  <si>
    <t>Total Production Excess Demand (Per Kwh or Kw)</t>
  </si>
  <si>
    <t>Production Energy On Peak</t>
  </si>
  <si>
    <t>Production Energy - On Peak (Per Kwh or Kw)</t>
  </si>
  <si>
    <t>Production Energy - On Peak Margin (Per Kwh or Kw)</t>
  </si>
  <si>
    <t>Total Production On Peak Energy (Per Kwh or Kw)</t>
  </si>
  <si>
    <t>Production Energy Off Peak</t>
  </si>
  <si>
    <t>Production Energy - Off Peak (Per Kwh or Kw)</t>
  </si>
  <si>
    <t>Production Energy - Off-Peak Margin (Per Kwh or Kw)</t>
  </si>
  <si>
    <t>Total Production Off Peak Energy (Per Kwh or Kw)</t>
  </si>
  <si>
    <t>Transmission Demand</t>
  </si>
  <si>
    <t>Tranmission Margin</t>
  </si>
  <si>
    <t>Total Transmission Demand (Per kWh or kW)</t>
  </si>
  <si>
    <t>Distribution Substation (Per Metering Point)</t>
  </si>
  <si>
    <t>Distribution Substation Margin (Per Metering Point)</t>
  </si>
  <si>
    <t>Total Distribution Substation (Per Metering Point)</t>
  </si>
  <si>
    <t>Distribution Meters (Per Metering Point)</t>
  </si>
  <si>
    <t>Distribution Meters Margin (Per Metering Point)</t>
  </si>
  <si>
    <t>Total Distribution Meters (Per Metering Point)</t>
  </si>
  <si>
    <t>East Kentucky Power Cooperative</t>
  </si>
  <si>
    <t>Summary of Cost of Service Study</t>
  </si>
  <si>
    <t>For the 12 Months Ended December 31, 2023</t>
  </si>
  <si>
    <t>Interest and</t>
  </si>
  <si>
    <t>Net Cost</t>
  </si>
  <si>
    <t>Rate Schedule</t>
  </si>
  <si>
    <t>Interest Coverage</t>
  </si>
  <si>
    <t>Unadjusted Results</t>
  </si>
  <si>
    <t>Schedule E</t>
  </si>
  <si>
    <t>Schedule B</t>
  </si>
  <si>
    <t>Schedule C</t>
  </si>
  <si>
    <t>Schedule G</t>
  </si>
  <si>
    <t>Large Special Contract</t>
  </si>
  <si>
    <t>Special Contract - Pumping Stations</t>
  </si>
  <si>
    <t>Proforma Results</t>
  </si>
  <si>
    <t>Proforma Results with Increase</t>
  </si>
  <si>
    <t>Revenue Required to Equalize RoR (4.64%)</t>
  </si>
  <si>
    <t>Increase/Decrease $</t>
  </si>
  <si>
    <t>Increase/Decrease %</t>
  </si>
  <si>
    <t>Proposed Increase %</t>
  </si>
  <si>
    <t>Substation Types</t>
  </si>
  <si>
    <t>Rate Code</t>
  </si>
  <si>
    <t>Charge per Station</t>
  </si>
  <si>
    <t>Quantity</t>
  </si>
  <si>
    <t>Gross Plant</t>
  </si>
  <si>
    <t>Accumulated Depreciation</t>
  </si>
  <si>
    <t>Net Plant Investment</t>
  </si>
  <si>
    <t>Average Gross Plant Per Station</t>
  </si>
  <si>
    <t>Average Net Plant Per Station</t>
  </si>
  <si>
    <t>1 - 2.999 MVA</t>
  </si>
  <si>
    <t>A</t>
  </si>
  <si>
    <t>3 - 7.499 MVA</t>
  </si>
  <si>
    <t>B</t>
  </si>
  <si>
    <t>7.5 - 14.999 MVA</t>
  </si>
  <si>
    <t>C</t>
  </si>
  <si>
    <t>&gt;15 MVA</t>
  </si>
  <si>
    <t>D</t>
  </si>
  <si>
    <t>Total FAC Revenue Removal</t>
  </si>
  <si>
    <t>Total FAC Expense Removal</t>
  </si>
  <si>
    <t>Net FAC Removal Impact</t>
  </si>
  <si>
    <t>Total System</t>
  </si>
  <si>
    <t xml:space="preserve"> Rate E</t>
  </si>
  <si>
    <t xml:space="preserve"> Rate B</t>
  </si>
  <si>
    <t xml:space="preserve"> Rate C</t>
  </si>
  <si>
    <t xml:space="preserve"> Rate G</t>
  </si>
  <si>
    <t>Special Contract Pumping Stations</t>
  </si>
  <si>
    <t xml:space="preserve"> Steam Service</t>
  </si>
  <si>
    <t>Rate of</t>
  </si>
  <si>
    <t>Return</t>
  </si>
  <si>
    <t>Proposed</t>
  </si>
  <si>
    <t>Reallocation of EDR Credits</t>
  </si>
  <si>
    <t>To reflect System EDR Credits</t>
  </si>
  <si>
    <t>Allocator:</t>
  </si>
  <si>
    <t>As Filed</t>
  </si>
  <si>
    <t>Adjustments</t>
  </si>
  <si>
    <t>Adjusted</t>
  </si>
  <si>
    <t>NCP Class Load Factor</t>
  </si>
  <si>
    <t>Max. CP</t>
  </si>
  <si>
    <t>kWh</t>
  </si>
  <si>
    <t>Load Factor</t>
  </si>
  <si>
    <t>System Load Factor</t>
  </si>
  <si>
    <t>Case No. 2025-00208</t>
  </si>
  <si>
    <t>Weather Normalization Analysis</t>
  </si>
  <si>
    <t>Energy Normalization - from 2025 IRP Table 3-7</t>
  </si>
  <si>
    <t>EKPC</t>
  </si>
  <si>
    <t>Recorded</t>
  </si>
  <si>
    <t>Adjustment</t>
  </si>
  <si>
    <t>Weather</t>
  </si>
  <si>
    <t>Normalized</t>
  </si>
  <si>
    <t>Monthly CP Demand Normalization</t>
  </si>
  <si>
    <t>Actual (1)</t>
  </si>
  <si>
    <t>(1) From IRP workpapers, matches 2023 Form 12 Section D and Annual Report to KPSC</t>
  </si>
  <si>
    <t>Normalized (2)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</si>
  <si>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</si>
  <si>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</si>
  <si>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</si>
  <si>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</si>
  <si>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</si>
  <si>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</si>
  <si>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</si>
  <si>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</si>
  <si>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</si>
  <si>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</si>
  <si>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</si>
  <si>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</si>
  <si>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(2) Response to AG-NUCOR Request 77</t>
  </si>
  <si>
    <t>Max</t>
  </si>
  <si>
    <t>I.</t>
  </si>
  <si>
    <t>II.</t>
  </si>
  <si>
    <t>III.</t>
  </si>
  <si>
    <t>Assumption - 100% of adjustment applies to Schedule E</t>
  </si>
  <si>
    <t>From Response to AG-NUCOR Request 82a</t>
  </si>
  <si>
    <t>Monthly CP</t>
  </si>
  <si>
    <t>IV.</t>
  </si>
  <si>
    <t>Revenue</t>
  </si>
  <si>
    <t>Avg Dem</t>
  </si>
  <si>
    <t>Excess Dem</t>
  </si>
  <si>
    <t>Pro Forma</t>
  </si>
  <si>
    <t>Sales to</t>
  </si>
  <si>
    <t>Operating</t>
  </si>
  <si>
    <t>ROR</t>
  </si>
  <si>
    <t>Members</t>
  </si>
  <si>
    <t>Expenses</t>
  </si>
  <si>
    <t>Margins</t>
  </si>
  <si>
    <t>Index</t>
  </si>
  <si>
    <t>Subsidy</t>
  </si>
  <si>
    <t>G</t>
  </si>
  <si>
    <t>H</t>
  </si>
  <si>
    <t>I</t>
  </si>
  <si>
    <t>J</t>
  </si>
  <si>
    <t>K</t>
  </si>
  <si>
    <t xml:space="preserve">   Subtotal</t>
  </si>
  <si>
    <t>L</t>
  </si>
  <si>
    <t>M</t>
  </si>
  <si>
    <t>Equal ROR</t>
  </si>
  <si>
    <t>Adj for</t>
  </si>
  <si>
    <t>Increase</t>
  </si>
  <si>
    <t>% Increase</t>
  </si>
  <si>
    <t>Rate</t>
  </si>
  <si>
    <t>Change</t>
  </si>
  <si>
    <t>Additional</t>
  </si>
  <si>
    <t>PSC</t>
  </si>
  <si>
    <t>Assessment</t>
  </si>
  <si>
    <t>Environmental</t>
  </si>
  <si>
    <t>Plant incl</t>
  </si>
  <si>
    <t>(2)</t>
  </si>
  <si>
    <t>*Includes PSC Assessment allocation.</t>
  </si>
  <si>
    <t>EKPC Pumping/Steam Increases</t>
  </si>
  <si>
    <t>Equal ROR Increase*</t>
  </si>
  <si>
    <t xml:space="preserve"> </t>
  </si>
  <si>
    <t>Adjusted Equal ROR % Increase</t>
  </si>
  <si>
    <t>Eliminate Reductions Plus Cap 1.5x</t>
  </si>
  <si>
    <t>Allocate Adjustments</t>
  </si>
  <si>
    <t>Proposed Increase</t>
  </si>
  <si>
    <t>Percent Increase</t>
  </si>
  <si>
    <t>Sys LF</t>
  </si>
  <si>
    <t>Adj. to E/B/C/G Billing Demand - Sum of CP Adj</t>
  </si>
  <si>
    <t>RATE CLASS NON-COINCIDENT PEAKS (1)</t>
  </si>
  <si>
    <t>RATIO - NCP TO CONTRIBUTION TO CP</t>
  </si>
  <si>
    <t>SHARE OF CONTR. TO MONTHLY CP</t>
  </si>
  <si>
    <t>RATE CLASS SHARE OF CP WEATHER ADJUSTMENT</t>
  </si>
  <si>
    <t>ADJUSTED NON-COINCIDENT PEAKS</t>
  </si>
  <si>
    <t>% Chg</t>
  </si>
  <si>
    <t>Billing Demand</t>
  </si>
  <si>
    <t>Demand Revenue</t>
  </si>
  <si>
    <t>Average Rate</t>
  </si>
  <si>
    <t>Billing Energy</t>
  </si>
  <si>
    <t>Energy Revenue</t>
  </si>
  <si>
    <t>Average Rate less FAC</t>
  </si>
  <si>
    <t>Rate Schedule - Revenue Weather Normalization</t>
  </si>
  <si>
    <t>Rate Schedules - Adjustment to NCP and Billing Demand</t>
  </si>
  <si>
    <t>EKPC Filing, Exhibit 17 Attachment JWW-4</t>
  </si>
  <si>
    <t>Share of CP Demand Adj</t>
  </si>
  <si>
    <t>Share of Energy Adj</t>
  </si>
  <si>
    <t>Total Revenue</t>
  </si>
  <si>
    <t>DEMAND SPREAD BASED ON MONTHLY CP ADJUSTMENTS</t>
  </si>
  <si>
    <t>To Adjust Sales to Members for Weather Normalization</t>
  </si>
  <si>
    <t>To 'Allocation by Rate' Row 291</t>
  </si>
  <si>
    <t>Share of CP Adjustment times NCP/CP ratio added to Actual Rate Class NCP</t>
  </si>
  <si>
    <t>Note: Rate E billing kW is based on system CP less CP demands for all other rate classes include Special Contract.</t>
  </si>
  <si>
    <t>To 'A&amp;E Adjustments' Row 14</t>
  </si>
  <si>
    <t>To 'A&amp;E Adjustments' Row 8</t>
  </si>
  <si>
    <t>LSC Interruptible Credit</t>
  </si>
  <si>
    <t>'Allocation by Rate' cell K336 (was K333) - Change pricing of 10 Min Interruptible from $5.60 to (7.15 - 0.93)</t>
  </si>
  <si>
    <t>'Allocation by Rate' cell H336 (was H333) - Correct interruptible load to 354,251.6 (response to Nucor 1-111 with typo correction)</t>
  </si>
  <si>
    <t>'Allocation by Rate' cell F336 (was F333) - Change formula to just be the sum of the rate class interruptible credits (columns G:M)</t>
  </si>
  <si>
    <t>Add EDR Adjustment</t>
  </si>
  <si>
    <t>Allocation by Rate' add 2 rows at 334:335 (before original row 333) to credit EDR back to rate schedules</t>
  </si>
  <si>
    <t>then allocate to all rates using allocator "A&amp;E nonsteam"</t>
  </si>
  <si>
    <t>Leave FAC In</t>
  </si>
  <si>
    <t>Allocation by Rate' rows 286:287 - Multiply Totals in Column F by 0 to leave FAC revenue in</t>
  </si>
  <si>
    <t>Allocation by Rate' rows 307:308 - Multiply Totals in Column F by 0 to leave FAC expense in</t>
  </si>
  <si>
    <t>Allocation by Rate' row 408 - Multiply Total in Column F by 0 (otherwise get divide by 0 errors)</t>
  </si>
  <si>
    <t>LSC</t>
  </si>
  <si>
    <t>Pumping</t>
  </si>
  <si>
    <t>RATE CLASS CONTRIBUTION TO MONTHLY CP (AG-Nucor 1-82a)</t>
  </si>
  <si>
    <t>Total Adj</t>
  </si>
  <si>
    <t>Adj Total</t>
  </si>
  <si>
    <t>Allocation by Rate' row 424 - replace values with contributions to 12CP</t>
  </si>
  <si>
    <t>Active</t>
  </si>
  <si>
    <t>(1=Yes, 0=No)</t>
  </si>
  <si>
    <t>Transmission 12CP</t>
  </si>
  <si>
    <t>Weather Normalization</t>
  </si>
  <si>
    <t>Rate G NCP</t>
  </si>
  <si>
    <t>Transmission 12 CP Demands (Original from JWW-2)</t>
  </si>
  <si>
    <t>See comments on tabs 'Weather Normalization' and 'A&amp;E Adjustments'</t>
  </si>
  <si>
    <t>Company values from JWW-2 are in row 425</t>
  </si>
  <si>
    <t>TEST YEAR BILLING DATA (3)</t>
  </si>
  <si>
    <t>Average Rate less FAC (4)</t>
  </si>
  <si>
    <t>Rate G Calculated coincident with LSC (as filed by Company)</t>
  </si>
  <si>
    <t>November - Month of combined Rate G+LSC NCP</t>
  </si>
  <si>
    <t>LSC +</t>
  </si>
  <si>
    <t>Rate G(2)</t>
  </si>
  <si>
    <t>Calculations using Company approach are on 'Weather Normalization' tab</t>
  </si>
  <si>
    <t>If W/N is not active then it reverts to Company value</t>
  </si>
  <si>
    <t>Switch for choosing value is on 'A&amp;E Adjustments' tab cell J14</t>
  </si>
  <si>
    <t>To 'Allocation by Rate' Row 420</t>
  </si>
  <si>
    <t>To 'Allocation by Rate' Row 421</t>
  </si>
  <si>
    <t>Company correction to Rate B Interruptible Load</t>
  </si>
  <si>
    <t>Table 9</t>
  </si>
  <si>
    <t>Weather Normalized Adjusted NCP Demands</t>
  </si>
  <si>
    <t>E</t>
  </si>
  <si>
    <t>LG Sp Contract</t>
  </si>
  <si>
    <t>NCP Demand</t>
  </si>
  <si>
    <t>WN NCP</t>
  </si>
  <si>
    <t>As-Filed*</t>
  </si>
  <si>
    <t>* Rate G adjusted for error.</t>
  </si>
  <si>
    <t>Difference between actual 2023 Mar peak and WN Jan peak</t>
  </si>
  <si>
    <t>Table 8</t>
  </si>
  <si>
    <t>Weather Normalization of Test Year Revenues</t>
  </si>
  <si>
    <t>EKPC assessment is</t>
  </si>
  <si>
    <t xml:space="preserve">Difference of </t>
  </si>
  <si>
    <t>Date</t>
  </si>
  <si>
    <t>Customer Assumption</t>
  </si>
  <si>
    <t>Min Normal</t>
  </si>
  <si>
    <t>Max Normal</t>
  </si>
  <si>
    <t>System Peak</t>
  </si>
  <si>
    <t>Conforming Peak</t>
  </si>
  <si>
    <t>Min</t>
  </si>
  <si>
    <t>Modeled Normal</t>
  </si>
  <si>
    <t>Modeled Actual</t>
  </si>
  <si>
    <t>Weather
Adjustment</t>
  </si>
  <si>
    <t>Weekend
Adjustment</t>
  </si>
  <si>
    <t>Adjusted Peak</t>
  </si>
  <si>
    <t>Adjusted Peak with Special Contract</t>
  </si>
  <si>
    <t>CORRECTED AND REVISED CLASS COST OF SERVICE STUDY</t>
  </si>
  <si>
    <t>12 MONTHS ENEDING DECEMBER 2023</t>
  </si>
  <si>
    <t>Revised Feb 2023 WN Peak - Per Response to AG/Nucor 2-14</t>
  </si>
  <si>
    <t>Table 7</t>
  </si>
  <si>
    <t>Weather Normalized 2023 System Peaks (per Response to AG/Nucor 2-14</t>
  </si>
  <si>
    <t>Actual 2023 Peak</t>
  </si>
  <si>
    <t>Weather Normalized 2023 Peak</t>
  </si>
  <si>
    <t>Difference</t>
  </si>
  <si>
    <t>Increase at Equal ROR</t>
  </si>
  <si>
    <t>Response to AG 2a</t>
  </si>
  <si>
    <t>Based on Corrected CCOSS</t>
  </si>
  <si>
    <t>Based on Original CCOSS*</t>
  </si>
  <si>
    <t>* Developed in "EKPC CCOSS_Nucor Response to AG Q2a-1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</si>
</sst>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00"/>
    <numFmt numFmtId="167" formatCode="_(* #,##0.00000_);_(* \(#,##0.00000\);_(* &quot;-&quot;??_);_(@_)"/>
    <numFmt numFmtId="168" formatCode="_(* #,##0.000000_);_(* \(#,##0.000000\);_(* &quot;-&quot;??_);_(@_)"/>
    <numFmt numFmtId="169" formatCode="_(* #,##0.0000000_);_(* \(#,##0.0000000\);_(* &quot;-&quot;??_);_(@_)"/>
    <numFmt numFmtId="170" formatCode="_(* #,##0.0000_);_(* \(#,##0.0000\);_(* &quot;-&quot;??_);_(@_)"/>
    <numFmt numFmtId="171" formatCode="0.0%"/>
    <numFmt numFmtId="172" formatCode="0.0000"/>
    <numFmt numFmtId="173" formatCode="_(&quot;$&quot;* #,##0.00000_);_(&quot;$&quot;* \(#,##0.00000\);_(&quot;$&quot;* &quot;-&quot;??_);_(@_)"/>
    <numFmt numFmtId="174" formatCode="0.0"/>
    <numFmt numFmtId="175" formatCode="0.0000%"/>
    <numFmt numFmtId="176" formatCode="_(* #,##0.0_);_(* \(#,##0.0\);_(* &quot;-&quot;??_);_(@_)"/>
    <numFmt numFmtId="177" formatCode="_(* #,##0.000_);_(* \(#,##0.000\);_(* &quot;-&quot;??_);_(@_)"/>
    <numFmt numFmtId="178" formatCode="_(&quot;$&quot;* #,##0.000000_);_(&quot;$&quot;* \(#,##0.000000\);_(&quot;$&quot;* &quot;-&quot;??_);_(@_)"/>
    <numFmt numFmtId="179" formatCode="#,##0.000000_);[Red]\(#,##0.000000\)"/>
    <numFmt numFmtId="180" formatCode="0.0000000%"/>
  </numFmts>
  <fonts count="34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u/>
      <sz val="11"/>
      <name val="Arial"/>
      <family val="2"/>
    </font>
    <font>
      <u val="singleAccounting"/>
      <sz val="11"/>
      <name val="Arial"/>
      <family val="2"/>
    </font>
    <font>
      <b/>
      <sz val="10"/>
      <name val="Arial"/>
      <family val="2"/>
    </font>
    <font>
      <sz val="10"/>
      <name val="MS Sans Serif"/>
    </font>
    <font>
      <sz val="8"/>
      <name val="Arial"/>
      <family val="2"/>
    </font>
    <font>
      <sz val="10"/>
      <name val="Times New Roman"/>
      <family val="1"/>
    </font>
    <font>
      <sz val="10"/>
      <name val="Courier"/>
      <family val="3"/>
    </font>
    <font>
      <b/>
      <u/>
      <sz val="10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</font>
    <font>
      <sz val="10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u val="singleAccounting"/>
      <sz val="11"/>
      <name val="Calibri"/>
      <family val="2"/>
    </font>
    <font>
      <u/>
      <sz val="11"/>
      <name val="Calibri"/>
      <family val="2"/>
      <scheme val="minor"/>
    </font>
    <font>
      <b/>
      <sz val="12"/>
      <name val="Arial"/>
      <family val="2"/>
    </font>
    <font>
      <u val="singleAccounting"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7" tint="0.59999389629810485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4" fontId="8" fillId="0" borderId="0" applyFont="0" applyFill="0" applyBorder="0" applyAlignment="0" applyProtection="0"/>
    <xf numFmtId="0" fontId="1" fillId="0" borderId="0"/>
    <xf numFmtId="0" fontId="27" fillId="8" borderId="43" applyNumberFormat="0" applyAlignment="0" applyProtection="0"/>
    <xf numFmtId="0" fontId="28" fillId="9" borderId="44" applyNumberFormat="0" applyAlignment="0" applyProtection="0"/>
    <xf numFmtId="0" fontId="29" fillId="9" borderId="43" applyNumberFormat="0" applyAlignment="0" applyProtection="0"/>
    <xf numFmtId="0" fontId="26" fillId="10" borderId="45" applyNumberFormat="0" applyFont="0" applyAlignment="0" applyProtection="0"/>
  </cellStyleXfs>
  <cellXfs count="324">
    <xf numFmtId="0" fontId="0" fillId="0" borderId="0" xfId="0"/>
    <xf numFmtId="0" fontId="2" fillId="0" borderId="0" xfId="0" applyFont="1" applyAlignment="1">
      <alignment horizontal="centerContinuous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righ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4" fillId="0" borderId="0" xfId="0" applyFont="1"/>
    <xf numFmtId="2" fontId="2" fillId="0" borderId="0" xfId="0" applyNumberFormat="1" applyFont="1"/>
    <xf numFmtId="164" fontId="2" fillId="0" borderId="0" xfId="2" applyNumberFormat="1" applyFont="1"/>
    <xf numFmtId="165" fontId="2" fillId="0" borderId="0" xfId="1" applyNumberFormat="1" applyFont="1"/>
    <xf numFmtId="164" fontId="2" fillId="0" borderId="0" xfId="0" applyNumberFormat="1" applyFont="1"/>
    <xf numFmtId="0" fontId="2" fillId="0" borderId="0" xfId="0" quotePrefix="1" applyFont="1"/>
    <xf numFmtId="165" fontId="2" fillId="0" borderId="0" xfId="0" applyNumberFormat="1" applyFont="1"/>
    <xf numFmtId="0" fontId="3" fillId="0" borderId="0" xfId="0" quotePrefix="1" applyFont="1"/>
    <xf numFmtId="43" fontId="2" fillId="0" borderId="0" xfId="1" applyFont="1"/>
    <xf numFmtId="166" fontId="2" fillId="0" borderId="0" xfId="0" applyNumberFormat="1" applyFont="1"/>
    <xf numFmtId="166" fontId="2" fillId="0" borderId="0" xfId="1" applyNumberFormat="1" applyFont="1"/>
    <xf numFmtId="167" fontId="2" fillId="0" borderId="0" xfId="1" applyNumberFormat="1" applyFont="1"/>
    <xf numFmtId="168" fontId="2" fillId="0" borderId="0" xfId="1" applyNumberFormat="1" applyFont="1"/>
    <xf numFmtId="169" fontId="2" fillId="0" borderId="0" xfId="1" applyNumberFormat="1" applyFont="1"/>
    <xf numFmtId="171" fontId="2" fillId="0" borderId="0" xfId="4" applyNumberFormat="1" applyFont="1" applyBorder="1"/>
    <xf numFmtId="43" fontId="2" fillId="0" borderId="0" xfId="0" applyNumberFormat="1" applyFont="1"/>
    <xf numFmtId="172" fontId="2" fillId="0" borderId="0" xfId="0" applyNumberFormat="1" applyFont="1"/>
    <xf numFmtId="0" fontId="3" fillId="0" borderId="2" xfId="0" applyFont="1" applyBorder="1"/>
    <xf numFmtId="0" fontId="3" fillId="0" borderId="3" xfId="0" applyFont="1" applyBorder="1"/>
    <xf numFmtId="10" fontId="3" fillId="0" borderId="4" xfId="4" applyNumberFormat="1" applyFont="1" applyBorder="1"/>
    <xf numFmtId="173" fontId="2" fillId="0" borderId="0" xfId="0" applyNumberFormat="1" applyFont="1"/>
    <xf numFmtId="169" fontId="2" fillId="0" borderId="0" xfId="0" applyNumberFormat="1" applyFont="1"/>
    <xf numFmtId="10" fontId="2" fillId="0" borderId="0" xfId="4" applyNumberFormat="1" applyFont="1"/>
    <xf numFmtId="168" fontId="2" fillId="0" borderId="0" xfId="0" applyNumberFormat="1" applyFont="1"/>
    <xf numFmtId="44" fontId="2" fillId="0" borderId="0" xfId="2" applyFont="1"/>
    <xf numFmtId="168" fontId="6" fillId="0" borderId="0" xfId="0" applyNumberFormat="1" applyFont="1"/>
    <xf numFmtId="43" fontId="6" fillId="0" borderId="0" xfId="1" applyFont="1"/>
    <xf numFmtId="165" fontId="2" fillId="0" borderId="0" xfId="1" applyNumberFormat="1" applyFont="1" applyFill="1"/>
    <xf numFmtId="164" fontId="2" fillId="0" borderId="0" xfId="2" applyNumberFormat="1" applyFont="1" applyFill="1"/>
    <xf numFmtId="167" fontId="2" fillId="0" borderId="0" xfId="1" applyNumberFormat="1" applyFont="1" applyFill="1"/>
    <xf numFmtId="0" fontId="2" fillId="0" borderId="3" xfId="0" applyFont="1" applyBorder="1"/>
    <xf numFmtId="0" fontId="7" fillId="0" borderId="0" xfId="0" applyFont="1"/>
    <xf numFmtId="0" fontId="7" fillId="0" borderId="0" xfId="0" applyFont="1" applyAlignment="1">
      <alignment horizontal="right"/>
    </xf>
    <xf numFmtId="164" fontId="0" fillId="0" borderId="0" xfId="2" applyNumberFormat="1" applyFont="1"/>
    <xf numFmtId="164" fontId="0" fillId="0" borderId="0" xfId="0" applyNumberFormat="1"/>
    <xf numFmtId="10" fontId="0" fillId="0" borderId="0" xfId="4" applyNumberFormat="1" applyFont="1"/>
    <xf numFmtId="165" fontId="0" fillId="0" borderId="0" xfId="1" applyNumberFormat="1" applyFont="1"/>
    <xf numFmtId="0" fontId="7" fillId="0" borderId="1" xfId="0" applyFont="1" applyBorder="1"/>
    <xf numFmtId="0" fontId="7" fillId="0" borderId="1" xfId="0" applyFont="1" applyBorder="1" applyAlignment="1">
      <alignment horizontal="right"/>
    </xf>
    <xf numFmtId="10" fontId="0" fillId="0" borderId="0" xfId="0" applyNumberFormat="1"/>
    <xf numFmtId="10" fontId="2" fillId="0" borderId="0" xfId="4" applyNumberFormat="1" applyFont="1" applyBorder="1"/>
    <xf numFmtId="0" fontId="2" fillId="0" borderId="0" xfId="0" applyFont="1" applyAlignment="1">
      <alignment horizontal="left" vertical="top"/>
    </xf>
    <xf numFmtId="170" fontId="2" fillId="0" borderId="0" xfId="1" applyNumberFormat="1" applyFont="1" applyFill="1"/>
    <xf numFmtId="168" fontId="2" fillId="0" borderId="0" xfId="1" applyNumberFormat="1" applyFont="1" applyFill="1"/>
    <xf numFmtId="43" fontId="2" fillId="0" borderId="0" xfId="1" applyFont="1" applyFill="1"/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left" vertical="top"/>
    </xf>
    <xf numFmtId="43" fontId="2" fillId="0" borderId="0" xfId="1" applyFont="1" applyBorder="1"/>
    <xf numFmtId="37" fontId="10" fillId="0" borderId="0" xfId="3" applyNumberFormat="1" applyFont="1" applyAlignment="1">
      <alignment horizontal="left"/>
    </xf>
    <xf numFmtId="0" fontId="10" fillId="0" borderId="0" xfId="3" applyFont="1" applyAlignment="1">
      <alignment horizontal="left"/>
    </xf>
    <xf numFmtId="0" fontId="2" fillId="0" borderId="0" xfId="1" applyNumberFormat="1" applyFont="1" applyFill="1"/>
    <xf numFmtId="168" fontId="2" fillId="0" borderId="0" xfId="0" applyNumberFormat="1" applyFont="1" applyAlignment="1">
      <alignment horizontal="center"/>
    </xf>
    <xf numFmtId="164" fontId="2" fillId="2" borderId="0" xfId="0" applyNumberFormat="1" applyFont="1" applyFill="1"/>
    <xf numFmtId="166" fontId="2" fillId="0" borderId="0" xfId="1" applyNumberFormat="1" applyFont="1" applyFill="1"/>
    <xf numFmtId="174" fontId="2" fillId="0" borderId="0" xfId="0" applyNumberFormat="1" applyFont="1"/>
    <xf numFmtId="9" fontId="2" fillId="0" borderId="0" xfId="4" applyFont="1"/>
    <xf numFmtId="0" fontId="0" fillId="0" borderId="0" xfId="0" applyAlignment="1">
      <alignment horizontal="center"/>
    </xf>
    <xf numFmtId="0" fontId="1" fillId="0" borderId="0" xfId="0" applyFont="1"/>
    <xf numFmtId="165" fontId="6" fillId="0" borderId="0" xfId="0" applyNumberFormat="1" applyFont="1"/>
    <xf numFmtId="43" fontId="6" fillId="0" borderId="0" xfId="1" applyFont="1" applyBorder="1"/>
    <xf numFmtId="44" fontId="6" fillId="0" borderId="0" xfId="2" applyFont="1"/>
    <xf numFmtId="10" fontId="0" fillId="0" borderId="0" xfId="4" applyNumberFormat="1" applyFont="1" applyFill="1"/>
    <xf numFmtId="37" fontId="10" fillId="0" borderId="0" xfId="0" applyNumberFormat="1" applyFont="1"/>
    <xf numFmtId="0" fontId="1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4" fontId="0" fillId="0" borderId="0" xfId="2" applyNumberFormat="1" applyFont="1" applyBorder="1" applyAlignment="1">
      <alignment horizontal="center" vertical="center"/>
    </xf>
    <xf numFmtId="10" fontId="3" fillId="0" borderId="3" xfId="0" applyNumberFormat="1" applyFont="1" applyBorder="1"/>
    <xf numFmtId="165" fontId="13" fillId="0" borderId="0" xfId="1" applyNumberFormat="1" applyFont="1"/>
    <xf numFmtId="165" fontId="14" fillId="0" borderId="0" xfId="1" applyNumberFormat="1" applyFont="1" applyAlignment="1">
      <alignment horizontal="center" wrapText="1"/>
    </xf>
    <xf numFmtId="0" fontId="14" fillId="0" borderId="0" xfId="1" applyNumberFormat="1" applyFont="1" applyAlignment="1">
      <alignment horizontal="center" wrapText="1"/>
    </xf>
    <xf numFmtId="0" fontId="13" fillId="0" borderId="0" xfId="1" applyNumberFormat="1" applyFont="1" applyAlignment="1">
      <alignment horizontal="center"/>
    </xf>
    <xf numFmtId="165" fontId="13" fillId="3" borderId="0" xfId="1" applyNumberFormat="1" applyFont="1" applyFill="1"/>
    <xf numFmtId="165" fontId="14" fillId="3" borderId="0" xfId="1" applyNumberFormat="1" applyFont="1" applyFill="1" applyAlignment="1">
      <alignment horizontal="center" wrapText="1"/>
    </xf>
    <xf numFmtId="164" fontId="2" fillId="4" borderId="0" xfId="2" applyNumberFormat="1" applyFont="1" applyFill="1"/>
    <xf numFmtId="165" fontId="2" fillId="4" borderId="0" xfId="1" applyNumberFormat="1" applyFont="1" applyFill="1"/>
    <xf numFmtId="165" fontId="14" fillId="3" borderId="0" xfId="1" applyNumberFormat="1" applyFont="1" applyFill="1" applyAlignment="1">
      <alignment horizontal="center"/>
    </xf>
    <xf numFmtId="165" fontId="13" fillId="3" borderId="0" xfId="1" applyNumberFormat="1" applyFont="1" applyFill="1" applyAlignment="1">
      <alignment horizontal="right"/>
    </xf>
    <xf numFmtId="165" fontId="16" fillId="0" borderId="0" xfId="1" applyNumberFormat="1" applyFont="1"/>
    <xf numFmtId="10" fontId="16" fillId="0" borderId="0" xfId="4" applyNumberFormat="1" applyFont="1"/>
    <xf numFmtId="171" fontId="2" fillId="0" borderId="0" xfId="4" applyNumberFormat="1" applyFont="1"/>
    <xf numFmtId="10" fontId="2" fillId="0" borderId="0" xfId="0" applyNumberFormat="1" applyFont="1"/>
    <xf numFmtId="165" fontId="2" fillId="5" borderId="0" xfId="1" applyNumberFormat="1" applyFont="1" applyFill="1"/>
    <xf numFmtId="175" fontId="0" fillId="0" borderId="0" xfId="4" applyNumberFormat="1" applyFont="1"/>
    <xf numFmtId="0" fontId="0" fillId="0" borderId="0" xfId="0" applyAlignment="1">
      <alignment horizontal="right"/>
    </xf>
    <xf numFmtId="0" fontId="2" fillId="5" borderId="0" xfId="0" applyFont="1" applyFill="1"/>
    <xf numFmtId="176" fontId="16" fillId="0" borderId="0" xfId="1" applyNumberFormat="1" applyFont="1"/>
    <xf numFmtId="165" fontId="15" fillId="0" borderId="0" xfId="1" applyNumberFormat="1" applyFont="1" applyAlignment="1">
      <alignment horizontal="center"/>
    </xf>
    <xf numFmtId="165" fontId="16" fillId="0" borderId="0" xfId="1" quotePrefix="1" applyNumberFormat="1" applyFont="1"/>
    <xf numFmtId="176" fontId="17" fillId="0" borderId="0" xfId="1" applyNumberFormat="1" applyFont="1"/>
    <xf numFmtId="165" fontId="15" fillId="0" borderId="0" xfId="1" applyNumberFormat="1" applyFont="1" applyAlignment="1">
      <alignment horizontal="right"/>
    </xf>
    <xf numFmtId="165" fontId="15" fillId="0" borderId="0" xfId="1" applyNumberFormat="1" applyFont="1"/>
    <xf numFmtId="176" fontId="18" fillId="0" borderId="0" xfId="1" applyNumberFormat="1" applyFont="1" applyFill="1" applyBorder="1"/>
    <xf numFmtId="176" fontId="18" fillId="0" borderId="0" xfId="0" applyNumberFormat="1" applyFont="1"/>
    <xf numFmtId="177" fontId="16" fillId="0" borderId="0" xfId="1" applyNumberFormat="1" applyFont="1"/>
    <xf numFmtId="164" fontId="2" fillId="5" borderId="0" xfId="2" applyNumberFormat="1" applyFont="1" applyFill="1"/>
    <xf numFmtId="165" fontId="16" fillId="0" borderId="0" xfId="1" applyNumberFormat="1" applyFont="1" applyBorder="1"/>
    <xf numFmtId="10" fontId="16" fillId="0" borderId="0" xfId="4" applyNumberFormat="1" applyFont="1" applyBorder="1"/>
    <xf numFmtId="0" fontId="1" fillId="0" borderId="0" xfId="6"/>
    <xf numFmtId="0" fontId="7" fillId="0" borderId="0" xfId="6" applyFont="1"/>
    <xf numFmtId="0" fontId="7" fillId="0" borderId="0" xfId="6" applyFont="1" applyAlignment="1">
      <alignment horizontal="right"/>
    </xf>
    <xf numFmtId="0" fontId="7" fillId="0" borderId="1" xfId="6" applyFont="1" applyBorder="1" applyAlignment="1">
      <alignment horizontal="right"/>
    </xf>
    <xf numFmtId="177" fontId="1" fillId="0" borderId="0" xfId="6" applyNumberFormat="1"/>
    <xf numFmtId="164" fontId="1" fillId="0" borderId="0" xfId="6" applyNumberFormat="1"/>
    <xf numFmtId="10" fontId="1" fillId="0" borderId="0" xfId="6" applyNumberFormat="1"/>
    <xf numFmtId="0" fontId="7" fillId="0" borderId="1" xfId="6" quotePrefix="1" applyFont="1" applyBorder="1" applyAlignment="1">
      <alignment horizontal="right"/>
    </xf>
    <xf numFmtId="0" fontId="7" fillId="0" borderId="0" xfId="6" quotePrefix="1" applyFont="1" applyAlignment="1">
      <alignment horizontal="right"/>
    </xf>
    <xf numFmtId="10" fontId="0" fillId="0" borderId="0" xfId="2" applyNumberFormat="1" applyFont="1"/>
    <xf numFmtId="171" fontId="1" fillId="0" borderId="0" xfId="6" applyNumberFormat="1"/>
    <xf numFmtId="165" fontId="0" fillId="0" borderId="0" xfId="2" applyNumberFormat="1" applyFont="1"/>
    <xf numFmtId="165" fontId="0" fillId="0" borderId="0" xfId="4" applyNumberFormat="1" applyFont="1" applyFill="1"/>
    <xf numFmtId="165" fontId="1" fillId="0" borderId="0" xfId="6" applyNumberFormat="1"/>
    <xf numFmtId="0" fontId="7" fillId="0" borderId="0" xfId="6" applyFont="1" applyAlignment="1">
      <alignment horizontal="center"/>
    </xf>
    <xf numFmtId="179" fontId="1" fillId="0" borderId="0" xfId="6" applyNumberFormat="1"/>
    <xf numFmtId="165" fontId="1" fillId="0" borderId="0" xfId="1" applyNumberFormat="1"/>
    <xf numFmtId="165" fontId="15" fillId="0" borderId="31" xfId="1" applyNumberFormat="1" applyFont="1" applyBorder="1"/>
    <xf numFmtId="165" fontId="15" fillId="0" borderId="32" xfId="1" applyNumberFormat="1" applyFont="1" applyBorder="1" applyAlignment="1">
      <alignment horizontal="right"/>
    </xf>
    <xf numFmtId="0" fontId="15" fillId="0" borderId="0" xfId="1" quotePrefix="1" applyNumberFormat="1" applyFont="1" applyAlignment="1">
      <alignment horizontal="left"/>
    </xf>
    <xf numFmtId="178" fontId="16" fillId="5" borderId="0" xfId="1" applyNumberFormat="1" applyFont="1" applyFill="1"/>
    <xf numFmtId="0" fontId="21" fillId="5" borderId="0" xfId="3" applyFont="1" applyFill="1" applyAlignment="1">
      <alignment horizontal="left"/>
    </xf>
    <xf numFmtId="0" fontId="1" fillId="5" borderId="0" xfId="6" applyFill="1"/>
    <xf numFmtId="165" fontId="0" fillId="5" borderId="0" xfId="1" applyNumberFormat="1" applyFont="1" applyFill="1"/>
    <xf numFmtId="10" fontId="0" fillId="5" borderId="0" xfId="4" applyNumberFormat="1" applyFont="1" applyFill="1"/>
    <xf numFmtId="177" fontId="1" fillId="5" borderId="0" xfId="6" applyNumberFormat="1" applyFill="1"/>
    <xf numFmtId="164" fontId="1" fillId="5" borderId="0" xfId="6" applyNumberFormat="1" applyFill="1"/>
    <xf numFmtId="0" fontId="7" fillId="0" borderId="1" xfId="6" applyFont="1" applyBorder="1" applyAlignment="1">
      <alignment horizontal="center" wrapText="1"/>
    </xf>
    <xf numFmtId="0" fontId="7" fillId="0" borderId="1" xfId="6" quotePrefix="1" applyFont="1" applyBorder="1" applyAlignment="1">
      <alignment horizontal="center" wrapText="1"/>
    </xf>
    <xf numFmtId="165" fontId="1" fillId="5" borderId="0" xfId="6" applyNumberFormat="1" applyFill="1"/>
    <xf numFmtId="10" fontId="0" fillId="5" borderId="0" xfId="2" applyNumberFormat="1" applyFont="1" applyFill="1"/>
    <xf numFmtId="10" fontId="0" fillId="0" borderId="0" xfId="4" applyNumberFormat="1" applyFont="1" applyFill="1" applyBorder="1" applyAlignment="1">
      <alignment horizontal="center"/>
    </xf>
    <xf numFmtId="10" fontId="1" fillId="0" borderId="0" xfId="4" applyNumberFormat="1" applyFont="1" applyFill="1" applyBorder="1" applyAlignment="1">
      <alignment horizontal="center"/>
    </xf>
    <xf numFmtId="176" fontId="0" fillId="0" borderId="0" xfId="1" applyNumberFormat="1" applyFont="1"/>
    <xf numFmtId="176" fontId="1" fillId="0" borderId="0" xfId="1" applyNumberFormat="1"/>
    <xf numFmtId="165" fontId="15" fillId="0" borderId="0" xfId="1" applyNumberFormat="1" applyFont="1" applyBorder="1"/>
    <xf numFmtId="165" fontId="15" fillId="0" borderId="0" xfId="1" applyNumberFormat="1" applyFont="1" applyBorder="1" applyAlignment="1">
      <alignment horizontal="right"/>
    </xf>
    <xf numFmtId="176" fontId="15" fillId="0" borderId="0" xfId="1" applyNumberFormat="1" applyFont="1" applyBorder="1"/>
    <xf numFmtId="176" fontId="15" fillId="0" borderId="40" xfId="1" applyNumberFormat="1" applyFont="1" applyBorder="1"/>
    <xf numFmtId="165" fontId="15" fillId="0" borderId="33" xfId="1" applyNumberFormat="1" applyFont="1" applyBorder="1" applyAlignment="1">
      <alignment horizontal="right"/>
    </xf>
    <xf numFmtId="0" fontId="22" fillId="0" borderId="0" xfId="0" applyFont="1" applyAlignment="1">
      <alignment horizontal="center"/>
    </xf>
    <xf numFmtId="171" fontId="16" fillId="0" borderId="0" xfId="4" applyNumberFormat="1" applyFont="1"/>
    <xf numFmtId="171" fontId="18" fillId="0" borderId="0" xfId="4" applyNumberFormat="1" applyFont="1"/>
    <xf numFmtId="165" fontId="15" fillId="0" borderId="0" xfId="1" applyNumberFormat="1" applyFont="1" applyAlignment="1">
      <alignment horizontal="center" wrapText="1"/>
    </xf>
    <xf numFmtId="170" fontId="16" fillId="0" borderId="0" xfId="1" applyNumberFormat="1" applyFont="1"/>
    <xf numFmtId="168" fontId="16" fillId="0" borderId="0" xfId="1" applyNumberFormat="1" applyFont="1"/>
    <xf numFmtId="165" fontId="15" fillId="6" borderId="0" xfId="1" applyNumberFormat="1" applyFont="1" applyFill="1"/>
    <xf numFmtId="165" fontId="16" fillId="6" borderId="0" xfId="1" applyNumberFormat="1" applyFont="1" applyFill="1"/>
    <xf numFmtId="164" fontId="2" fillId="5" borderId="0" xfId="0" applyNumberFormat="1" applyFont="1" applyFill="1"/>
    <xf numFmtId="165" fontId="16" fillId="5" borderId="0" xfId="1" applyNumberFormat="1" applyFont="1" applyFill="1"/>
    <xf numFmtId="10" fontId="2" fillId="0" borderId="0" xfId="4" applyNumberFormat="1" applyFont="1" applyFill="1"/>
    <xf numFmtId="165" fontId="15" fillId="0" borderId="0" xfId="1" applyNumberFormat="1" applyFont="1" applyAlignment="1"/>
    <xf numFmtId="0" fontId="2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24" fillId="0" borderId="0" xfId="0" applyFont="1"/>
    <xf numFmtId="0" fontId="17" fillId="0" borderId="0" xfId="0" quotePrefix="1" applyFont="1"/>
    <xf numFmtId="0" fontId="17" fillId="0" borderId="4" xfId="0" applyFont="1" applyBorder="1" applyAlignment="1">
      <alignment horizontal="center"/>
    </xf>
    <xf numFmtId="165" fontId="2" fillId="7" borderId="0" xfId="1" applyNumberFormat="1" applyFont="1" applyFill="1"/>
    <xf numFmtId="170" fontId="2" fillId="7" borderId="0" xfId="1" applyNumberFormat="1" applyFont="1" applyFill="1"/>
    <xf numFmtId="0" fontId="2" fillId="7" borderId="0" xfId="0" applyFont="1" applyFill="1"/>
    <xf numFmtId="165" fontId="16" fillId="0" borderId="0" xfId="1" quotePrefix="1" applyNumberFormat="1" applyFont="1" applyAlignment="1">
      <alignment horizontal="right"/>
    </xf>
    <xf numFmtId="176" fontId="16" fillId="4" borderId="0" xfId="1" applyNumberFormat="1" applyFont="1" applyFill="1"/>
    <xf numFmtId="0" fontId="2" fillId="5" borderId="5" xfId="0" applyFont="1" applyFill="1" applyBorder="1"/>
    <xf numFmtId="0" fontId="2" fillId="5" borderId="42" xfId="0" applyFont="1" applyFill="1" applyBorder="1"/>
    <xf numFmtId="0" fontId="2" fillId="0" borderId="42" xfId="0" applyFont="1" applyBorder="1"/>
    <xf numFmtId="165" fontId="2" fillId="0" borderId="42" xfId="0" applyNumberFormat="1" applyFont="1" applyBorder="1"/>
    <xf numFmtId="165" fontId="2" fillId="0" borderId="28" xfId="0" applyNumberFormat="1" applyFont="1" applyBorder="1"/>
    <xf numFmtId="0" fontId="2" fillId="5" borderId="12" xfId="0" applyFont="1" applyFill="1" applyBorder="1"/>
    <xf numFmtId="0" fontId="2" fillId="5" borderId="1" xfId="0" applyFont="1" applyFill="1" applyBorder="1"/>
    <xf numFmtId="0" fontId="2" fillId="0" borderId="1" xfId="0" applyFont="1" applyBorder="1"/>
    <xf numFmtId="165" fontId="2" fillId="0" borderId="1" xfId="0" applyNumberFormat="1" applyFont="1" applyBorder="1"/>
    <xf numFmtId="165" fontId="2" fillId="0" borderId="29" xfId="0" applyNumberFormat="1" applyFont="1" applyBorder="1"/>
    <xf numFmtId="180" fontId="1" fillId="0" borderId="0" xfId="6" applyNumberFormat="1"/>
    <xf numFmtId="180" fontId="1" fillId="0" borderId="0" xfId="4" applyNumberFormat="1"/>
    <xf numFmtId="164" fontId="2" fillId="0" borderId="0" xfId="1" applyNumberFormat="1" applyFont="1"/>
    <xf numFmtId="164" fontId="2" fillId="0" borderId="0" xfId="4" applyNumberFormat="1" applyFont="1"/>
    <xf numFmtId="165" fontId="15" fillId="0" borderId="34" xfId="1" applyNumberFormat="1" applyFont="1" applyBorder="1" applyAlignment="1">
      <alignment horizontal="centerContinuous"/>
    </xf>
    <xf numFmtId="165" fontId="16" fillId="0" borderId="35" xfId="1" applyNumberFormat="1" applyFont="1" applyBorder="1" applyAlignment="1">
      <alignment horizontal="centerContinuous"/>
    </xf>
    <xf numFmtId="165" fontId="16" fillId="0" borderId="36" xfId="1" applyNumberFormat="1" applyFont="1" applyBorder="1" applyAlignment="1">
      <alignment horizontal="centerContinuous"/>
    </xf>
    <xf numFmtId="165" fontId="15" fillId="0" borderId="37" xfId="1" applyNumberFormat="1" applyFont="1" applyBorder="1" applyAlignment="1">
      <alignment horizontal="centerContinuous"/>
    </xf>
    <xf numFmtId="165" fontId="16" fillId="0" borderId="0" xfId="1" applyNumberFormat="1" applyFont="1" applyBorder="1" applyAlignment="1">
      <alignment horizontal="centerContinuous"/>
    </xf>
    <xf numFmtId="165" fontId="16" fillId="0" borderId="38" xfId="1" applyNumberFormat="1" applyFont="1" applyBorder="1" applyAlignment="1">
      <alignment horizontal="centerContinuous"/>
    </xf>
    <xf numFmtId="165" fontId="16" fillId="0" borderId="37" xfId="1" applyNumberFormat="1" applyFont="1" applyBorder="1"/>
    <xf numFmtId="165" fontId="16" fillId="0" borderId="38" xfId="1" applyNumberFormat="1" applyFont="1" applyBorder="1"/>
    <xf numFmtId="165" fontId="15" fillId="0" borderId="37" xfId="1" applyNumberFormat="1" applyFont="1" applyBorder="1" applyAlignment="1">
      <alignment horizontal="center"/>
    </xf>
    <xf numFmtId="165" fontId="15" fillId="0" borderId="0" xfId="1" applyNumberFormat="1" applyFont="1" applyBorder="1" applyAlignment="1">
      <alignment horizontal="center"/>
    </xf>
    <xf numFmtId="165" fontId="15" fillId="0" borderId="38" xfId="1" applyNumberFormat="1" applyFont="1" applyBorder="1" applyAlignment="1">
      <alignment horizontal="center"/>
    </xf>
    <xf numFmtId="165" fontId="16" fillId="0" borderId="0" xfId="1" applyNumberFormat="1" applyFont="1" applyBorder="1" applyAlignment="1">
      <alignment horizontal="center"/>
    </xf>
    <xf numFmtId="165" fontId="16" fillId="0" borderId="38" xfId="1" applyNumberFormat="1" applyFont="1" applyBorder="1" applyAlignment="1">
      <alignment horizontal="center"/>
    </xf>
    <xf numFmtId="165" fontId="16" fillId="0" borderId="37" xfId="1" applyNumberFormat="1" applyFont="1" applyBorder="1" applyAlignment="1">
      <alignment horizontal="center"/>
    </xf>
    <xf numFmtId="165" fontId="25" fillId="0" borderId="39" xfId="1" applyNumberFormat="1" applyFont="1" applyBorder="1"/>
    <xf numFmtId="165" fontId="16" fillId="0" borderId="30" xfId="1" applyNumberFormat="1" applyFont="1" applyBorder="1"/>
    <xf numFmtId="165" fontId="16" fillId="0" borderId="41" xfId="1" applyNumberFormat="1" applyFont="1" applyBorder="1"/>
    <xf numFmtId="165" fontId="16" fillId="0" borderId="0" xfId="1" applyNumberFormat="1" applyFont="1" applyBorder="1" applyAlignment="1"/>
    <xf numFmtId="165" fontId="16" fillId="0" borderId="38" xfId="1" applyNumberFormat="1" applyFont="1" applyBorder="1" applyAlignment="1"/>
    <xf numFmtId="165" fontId="6" fillId="5" borderId="0" xfId="1" applyNumberFormat="1" applyFont="1" applyFill="1"/>
    <xf numFmtId="165" fontId="2" fillId="5" borderId="0" xfId="0" applyNumberFormat="1" applyFont="1" applyFill="1"/>
    <xf numFmtId="0" fontId="15" fillId="5" borderId="0" xfId="1" quotePrefix="1" applyNumberFormat="1" applyFont="1" applyFill="1" applyAlignment="1">
      <alignment horizontal="left"/>
    </xf>
    <xf numFmtId="176" fontId="17" fillId="4" borderId="0" xfId="1" applyNumberFormat="1" applyFont="1" applyFill="1"/>
    <xf numFmtId="178" fontId="16" fillId="0" borderId="36" xfId="1" applyNumberFormat="1" applyFont="1" applyFill="1" applyBorder="1" applyAlignment="1">
      <alignment horizontal="centerContinuous"/>
    </xf>
    <xf numFmtId="165" fontId="15" fillId="0" borderId="0" xfId="1" applyNumberFormat="1" applyFont="1" applyBorder="1" applyAlignment="1">
      <alignment horizontal="center" wrapText="1"/>
    </xf>
    <xf numFmtId="165" fontId="15" fillId="0" borderId="38" xfId="1" applyNumberFormat="1" applyFont="1" applyBorder="1" applyAlignment="1">
      <alignment horizontal="center" wrapText="1"/>
    </xf>
    <xf numFmtId="176" fontId="16" fillId="0" borderId="0" xfId="1" applyNumberFormat="1" applyFont="1" applyBorder="1"/>
    <xf numFmtId="170" fontId="16" fillId="0" borderId="0" xfId="1" applyNumberFormat="1" applyFont="1" applyBorder="1"/>
    <xf numFmtId="168" fontId="16" fillId="0" borderId="0" xfId="1" applyNumberFormat="1" applyFont="1" applyBorder="1"/>
    <xf numFmtId="165" fontId="15" fillId="0" borderId="39" xfId="1" applyNumberFormat="1" applyFont="1" applyBorder="1"/>
    <xf numFmtId="176" fontId="16" fillId="0" borderId="30" xfId="1" applyNumberFormat="1" applyFont="1" applyBorder="1"/>
    <xf numFmtId="168" fontId="16" fillId="0" borderId="30" xfId="1" applyNumberFormat="1" applyFont="1" applyBorder="1"/>
    <xf numFmtId="164" fontId="1" fillId="5" borderId="0" xfId="2" applyNumberFormat="1" applyFill="1" applyAlignment="1">
      <alignment horizontal="left"/>
    </xf>
    <xf numFmtId="14" fontId="17" fillId="0" borderId="0" xfId="7" applyNumberFormat="1" applyFont="1" applyFill="1" applyBorder="1"/>
    <xf numFmtId="3" fontId="17" fillId="0" borderId="0" xfId="7" applyNumberFormat="1" applyFont="1" applyFill="1" applyBorder="1"/>
    <xf numFmtId="0" fontId="17" fillId="0" borderId="0" xfId="9" applyFont="1" applyFill="1" applyBorder="1"/>
    <xf numFmtId="0" fontId="17" fillId="0" borderId="0" xfId="7" applyFont="1" applyFill="1" applyBorder="1"/>
    <xf numFmtId="1" fontId="17" fillId="0" borderId="0" xfId="8" applyNumberFormat="1" applyFont="1" applyFill="1" applyBorder="1"/>
    <xf numFmtId="1" fontId="17" fillId="0" borderId="0" xfId="10" applyNumberFormat="1" applyFont="1" applyFill="1" applyBorder="1"/>
    <xf numFmtId="3" fontId="17" fillId="0" borderId="0" xfId="8" applyNumberFormat="1" applyFont="1" applyFill="1" applyBorder="1"/>
    <xf numFmtId="165" fontId="15" fillId="11" borderId="0" xfId="1" applyNumberFormat="1" applyFont="1" applyFill="1" applyAlignment="1">
      <alignment horizontal="left"/>
    </xf>
    <xf numFmtId="165" fontId="15" fillId="11" borderId="0" xfId="1" applyNumberFormat="1" applyFont="1" applyFill="1" applyAlignment="1">
      <alignment horizontal="center"/>
    </xf>
    <xf numFmtId="176" fontId="17" fillId="11" borderId="0" xfId="1" applyNumberFormat="1" applyFont="1" applyFill="1"/>
    <xf numFmtId="176" fontId="30" fillId="0" borderId="0" xfId="1" applyNumberFormat="1" applyFont="1"/>
    <xf numFmtId="3" fontId="31" fillId="0" borderId="0" xfId="8" applyNumberFormat="1" applyFont="1" applyFill="1" applyBorder="1"/>
    <xf numFmtId="3" fontId="0" fillId="0" borderId="0" xfId="0" applyNumberFormat="1"/>
    <xf numFmtId="165" fontId="30" fillId="0" borderId="0" xfId="1" applyNumberFormat="1" applyFont="1"/>
    <xf numFmtId="0" fontId="17" fillId="11" borderId="0" xfId="1" applyNumberFormat="1" applyFont="1" applyFill="1"/>
    <xf numFmtId="0" fontId="32" fillId="0" borderId="0" xfId="0" applyFont="1"/>
    <xf numFmtId="0" fontId="32" fillId="0" borderId="0" xfId="0" applyFont="1" applyAlignment="1">
      <alignment horizontal="left"/>
    </xf>
    <xf numFmtId="0" fontId="7" fillId="0" borderId="34" xfId="0" applyFont="1" applyBorder="1" applyAlignment="1">
      <alignment horizontal="centerContinuous"/>
    </xf>
    <xf numFmtId="0" fontId="0" fillId="0" borderId="35" xfId="0" applyBorder="1" applyAlignment="1">
      <alignment horizontal="centerContinuous"/>
    </xf>
    <xf numFmtId="0" fontId="0" fillId="0" borderId="36" xfId="0" applyBorder="1" applyAlignment="1">
      <alignment horizontal="centerContinuous"/>
    </xf>
    <xf numFmtId="43" fontId="15" fillId="0" borderId="37" xfId="1" applyFont="1" applyFill="1" applyBorder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38" xfId="0" applyBorder="1" applyAlignment="1">
      <alignment horizontal="centerContinuous"/>
    </xf>
    <xf numFmtId="43" fontId="15" fillId="0" borderId="37" xfId="1" applyFont="1" applyFill="1" applyBorder="1" applyAlignment="1">
      <alignment horizontal="left"/>
    </xf>
    <xf numFmtId="0" fontId="7" fillId="0" borderId="0" xfId="0" applyFont="1" applyAlignment="1">
      <alignment horizontal="center" wrapText="1"/>
    </xf>
    <xf numFmtId="0" fontId="7" fillId="0" borderId="38" xfId="0" applyFont="1" applyBorder="1"/>
    <xf numFmtId="0" fontId="0" fillId="0" borderId="38" xfId="0" applyBorder="1"/>
    <xf numFmtId="165" fontId="0" fillId="0" borderId="0" xfId="1" applyNumberFormat="1" applyFont="1" applyBorder="1" applyAlignment="1">
      <alignment horizontal="center"/>
    </xf>
    <xf numFmtId="165" fontId="0" fillId="0" borderId="38" xfId="1" applyNumberFormat="1" applyFont="1" applyBorder="1" applyAlignment="1">
      <alignment horizontal="center"/>
    </xf>
    <xf numFmtId="165" fontId="15" fillId="0" borderId="39" xfId="1" applyNumberFormat="1" applyFont="1" applyBorder="1" applyAlignment="1">
      <alignment horizontal="center"/>
    </xf>
    <xf numFmtId="165" fontId="7" fillId="0" borderId="30" xfId="1" applyNumberFormat="1" applyFont="1" applyBorder="1" applyAlignment="1">
      <alignment horizontal="center"/>
    </xf>
    <xf numFmtId="165" fontId="7" fillId="0" borderId="41" xfId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30" xfId="0" applyFont="1" applyBorder="1" applyAlignment="1">
      <alignment horizontal="center"/>
    </xf>
    <xf numFmtId="165" fontId="15" fillId="0" borderId="30" xfId="1" applyNumberFormat="1" applyFont="1" applyBorder="1" applyAlignment="1">
      <alignment horizontal="center"/>
    </xf>
    <xf numFmtId="165" fontId="15" fillId="0" borderId="0" xfId="1" applyNumberFormat="1" applyFont="1" applyAlignment="1">
      <alignment horizontal="center"/>
    </xf>
    <xf numFmtId="165" fontId="16" fillId="5" borderId="0" xfId="1" applyNumberFormat="1" applyFont="1" applyFill="1" applyAlignment="1">
      <alignment vertical="top" wrapText="1"/>
    </xf>
    <xf numFmtId="0" fontId="1" fillId="0" borderId="10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right" vertical="center"/>
    </xf>
    <xf numFmtId="0" fontId="7" fillId="0" borderId="19" xfId="0" applyFont="1" applyBorder="1" applyAlignment="1">
      <alignment horizontal="right" vertical="center"/>
    </xf>
    <xf numFmtId="0" fontId="1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4" fontId="1" fillId="0" borderId="19" xfId="2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64" fontId="0" fillId="0" borderId="21" xfId="2" applyNumberFormat="1" applyFont="1" applyBorder="1" applyAlignment="1">
      <alignment horizontal="center" vertical="center"/>
    </xf>
    <xf numFmtId="164" fontId="0" fillId="0" borderId="0" xfId="2" applyNumberFormat="1" applyFont="1" applyBorder="1" applyAlignment="1">
      <alignment horizontal="center" vertical="center"/>
    </xf>
    <xf numFmtId="164" fontId="0" fillId="0" borderId="22" xfId="2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right" vertical="center"/>
    </xf>
    <xf numFmtId="0" fontId="12" fillId="0" borderId="12" xfId="0" applyFont="1" applyBorder="1" applyAlignment="1">
      <alignment horizontal="right" vertical="center"/>
    </xf>
    <xf numFmtId="0" fontId="1" fillId="0" borderId="6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64" fontId="0" fillId="0" borderId="5" xfId="2" applyNumberFormat="1" applyFont="1" applyBorder="1" applyAlignment="1">
      <alignment horizontal="center" vertical="center"/>
    </xf>
    <xf numFmtId="164" fontId="0" fillId="0" borderId="23" xfId="2" applyNumberFormat="1" applyFont="1" applyBorder="1" applyAlignment="1">
      <alignment horizontal="center" vertical="center"/>
    </xf>
    <xf numFmtId="164" fontId="0" fillId="0" borderId="11" xfId="2" applyNumberFormat="1" applyFont="1" applyBorder="1" applyAlignment="1">
      <alignment horizontal="center" vertical="center"/>
    </xf>
    <xf numFmtId="164" fontId="0" fillId="0" borderId="19" xfId="2" applyNumberFormat="1" applyFont="1" applyBorder="1" applyAlignment="1">
      <alignment horizontal="center" vertical="center"/>
    </xf>
    <xf numFmtId="164" fontId="0" fillId="0" borderId="26" xfId="2" applyNumberFormat="1" applyFont="1" applyBorder="1" applyAlignment="1">
      <alignment horizontal="center" vertical="center"/>
    </xf>
    <xf numFmtId="164" fontId="0" fillId="0" borderId="12" xfId="2" applyNumberFormat="1" applyFont="1" applyBorder="1" applyAlignment="1">
      <alignment horizontal="center" vertical="center"/>
    </xf>
    <xf numFmtId="164" fontId="0" fillId="0" borderId="18" xfId="2" applyNumberFormat="1" applyFont="1" applyBorder="1" applyAlignment="1">
      <alignment horizontal="center" vertical="center"/>
    </xf>
    <xf numFmtId="0" fontId="7" fillId="0" borderId="18" xfId="0" applyFont="1" applyBorder="1" applyAlignment="1">
      <alignment horizontal="right" vertical="center"/>
    </xf>
    <xf numFmtId="0" fontId="0" fillId="0" borderId="18" xfId="0" applyBorder="1" applyAlignment="1">
      <alignment horizontal="center" vertical="center"/>
    </xf>
    <xf numFmtId="164" fontId="1" fillId="0" borderId="18" xfId="2" applyNumberFormat="1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4" fontId="0" fillId="0" borderId="25" xfId="2" applyNumberFormat="1" applyFont="1" applyBorder="1" applyAlignment="1">
      <alignment horizontal="center" vertical="center"/>
    </xf>
    <xf numFmtId="164" fontId="0" fillId="0" borderId="1" xfId="2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0" fillId="0" borderId="27" xfId="2" applyNumberFormat="1" applyFont="1" applyBorder="1" applyAlignment="1">
      <alignment horizontal="center" vertical="center"/>
    </xf>
    <xf numFmtId="164" fontId="0" fillId="0" borderId="28" xfId="2" applyNumberFormat="1" applyFont="1" applyBorder="1" applyAlignment="1">
      <alignment horizontal="center" vertical="center"/>
    </xf>
    <xf numFmtId="164" fontId="0" fillId="0" borderId="29" xfId="2" applyNumberFormat="1" applyFont="1" applyBorder="1" applyAlignment="1">
      <alignment horizontal="center" vertical="center"/>
    </xf>
    <xf numFmtId="0" fontId="21" fillId="0" borderId="0" xfId="3" applyFont="1" applyFill="1" applyAlignment="1">
      <alignment horizontal="left"/>
    </xf>
    <xf numFmtId="0" fontId="1" fillId="0" borderId="0" xfId="6" applyFill="1"/>
    <xf numFmtId="164" fontId="1" fillId="0" borderId="0" xfId="6" applyNumberFormat="1" applyFill="1"/>
    <xf numFmtId="164" fontId="7" fillId="0" borderId="30" xfId="6" applyNumberFormat="1" applyFont="1" applyFill="1" applyBorder="1" applyAlignment="1">
      <alignment horizontal="centerContinuous"/>
    </xf>
    <xf numFmtId="164" fontId="1" fillId="0" borderId="30" xfId="6" applyNumberFormat="1" applyFill="1" applyBorder="1" applyAlignment="1">
      <alignment horizontal="centerContinuous"/>
    </xf>
    <xf numFmtId="0" fontId="7" fillId="0" borderId="0" xfId="6" applyFont="1" applyFill="1" applyAlignment="1">
      <alignment horizontal="right"/>
    </xf>
    <xf numFmtId="164" fontId="7" fillId="0" borderId="0" xfId="6" applyNumberFormat="1" applyFont="1" applyFill="1" applyAlignment="1">
      <alignment horizontal="center"/>
    </xf>
    <xf numFmtId="0" fontId="7" fillId="0" borderId="1" xfId="6" applyFont="1" applyFill="1" applyBorder="1" applyAlignment="1">
      <alignment horizontal="right"/>
    </xf>
    <xf numFmtId="37" fontId="10" fillId="0" borderId="0" xfId="3" applyNumberFormat="1" applyFont="1" applyFill="1" applyAlignment="1">
      <alignment horizontal="left"/>
    </xf>
    <xf numFmtId="164" fontId="1" fillId="0" borderId="0" xfId="6" applyNumberFormat="1" applyFill="1" applyAlignment="1">
      <alignment horizontal="center"/>
    </xf>
    <xf numFmtId="0" fontId="10" fillId="0" borderId="0" xfId="3" applyFont="1" applyFill="1" applyAlignment="1">
      <alignment horizontal="left"/>
    </xf>
    <xf numFmtId="164" fontId="33" fillId="0" borderId="0" xfId="6" applyNumberFormat="1" applyFont="1" applyFill="1" applyAlignment="1">
      <alignment horizontal="center"/>
    </xf>
    <xf numFmtId="164" fontId="33" fillId="0" borderId="0" xfId="6" applyNumberFormat="1" applyFont="1" applyFill="1"/>
    <xf numFmtId="0" fontId="7" fillId="0" borderId="1" xfId="6" applyFont="1" applyFill="1" applyBorder="1" applyAlignment="1">
      <alignment horizontal="left"/>
    </xf>
  </cellXfs>
  <cellStyles count="11">
    <cellStyle name="Calculation" xfId="9" builtinId="22"/>
    <cellStyle name="Comma" xfId="1" builtinId="3"/>
    <cellStyle name="Currency" xfId="2" builtinId="4"/>
    <cellStyle name="Input" xfId="7" builtinId="20"/>
    <cellStyle name="Normal" xfId="0" builtinId="0"/>
    <cellStyle name="Normal 2" xfId="6" xr:uid="{AAD68352-3E28-447F-BF45-33F074521E48}"/>
    <cellStyle name="Normal_Summary of Proposed Increase" xfId="3" xr:uid="{E25B0FEB-6E54-4008-B165-0FBA110797F4}"/>
    <cellStyle name="Note" xfId="10" builtinId="10"/>
    <cellStyle name="Output" xfId="8" builtinId="21"/>
    <cellStyle name="Percent" xfId="4" builtinId="5"/>
    <cellStyle name="PSDec" xfId="5" xr:uid="{318A7AB3-5BEC-4461-9CE9-F4202A54446D}"/>
  </cellStyles>
  <dxfs count="4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15</xdr:row>
      <xdr:rowOff>165100</xdr:rowOff>
    </xdr:from>
    <xdr:to>
      <xdr:col>5</xdr:col>
      <xdr:colOff>692150</xdr:colOff>
      <xdr:row>15</xdr:row>
      <xdr:rowOff>165100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4A36732-E7A3-AB02-7F47-5D45A73EE830}"/>
            </a:ext>
          </a:extLst>
        </xdr:cNvPr>
        <xdr:cNvCxnSpPr/>
      </xdr:nvCxnSpPr>
      <xdr:spPr bwMode="auto">
        <a:xfrm>
          <a:off x="4673600" y="2844800"/>
          <a:ext cx="16446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139700</xdr:colOff>
      <xdr:row>16</xdr:row>
      <xdr:rowOff>76200</xdr:rowOff>
    </xdr:from>
    <xdr:to>
      <xdr:col>5</xdr:col>
      <xdr:colOff>692150</xdr:colOff>
      <xdr:row>16</xdr:row>
      <xdr:rowOff>82550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AE7DBCAD-E207-D4E5-BC59-B408E234D07B}"/>
            </a:ext>
          </a:extLst>
        </xdr:cNvPr>
        <xdr:cNvCxnSpPr/>
      </xdr:nvCxnSpPr>
      <xdr:spPr bwMode="auto">
        <a:xfrm flipV="1">
          <a:off x="4679950" y="3009900"/>
          <a:ext cx="1638300" cy="63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596900</xdr:colOff>
      <xdr:row>26</xdr:row>
      <xdr:rowOff>6350</xdr:rowOff>
    </xdr:from>
    <xdr:to>
      <xdr:col>5</xdr:col>
      <xdr:colOff>603250</xdr:colOff>
      <xdr:row>27</xdr:row>
      <xdr:rowOff>139700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267FF2A-EEFD-F906-1C39-E0BA0D1B7188}"/>
            </a:ext>
          </a:extLst>
        </xdr:cNvPr>
        <xdr:cNvCxnSpPr/>
      </xdr:nvCxnSpPr>
      <xdr:spPr bwMode="auto">
        <a:xfrm flipV="1">
          <a:off x="3816350" y="4933950"/>
          <a:ext cx="6350" cy="317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 editAs="oneCell">
    <xdr:from>
      <xdr:col>3</xdr:col>
      <xdr:colOff>31750</xdr:colOff>
      <xdr:row>124</xdr:row>
      <xdr:rowOff>19051</xdr:rowOff>
    </xdr:from>
    <xdr:to>
      <xdr:col>7</xdr:col>
      <xdr:colOff>727755</xdr:colOff>
      <xdr:row>127</xdr:row>
      <xdr:rowOff>152401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3E87C6C-FAA9-D4ED-C039-C814C9F4F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9050" y="25939751"/>
          <a:ext cx="4610780" cy="685800"/>
        </a:xfrm>
        <a:prstGeom prst="rect">
          <a:avLst/>
        </a:prstGeom>
      </xdr:spPr>
    </xdr:pic>
    <xdr:clientData/>
  </xdr:twoCellAnchor>
  <xdr:twoCellAnchor>
    <xdr:from>
      <xdr:col>9</xdr:col>
      <xdr:colOff>390525</xdr:colOff>
      <xdr:row>81</xdr:row>
      <xdr:rowOff>142875</xdr:rowOff>
    </xdr:from>
    <xdr:to>
      <xdr:col>9</xdr:col>
      <xdr:colOff>476250</xdr:colOff>
      <xdr:row>83</xdr:row>
      <xdr:rowOff>161925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561EB4CD-0786-A850-E166-8B32A2571AF3}"/>
            </a:ext>
          </a:extLst>
        </xdr:cNvPr>
        <xdr:cNvCxnSpPr/>
      </xdr:nvCxnSpPr>
      <xdr:spPr bwMode="auto">
        <a:xfrm flipV="1">
          <a:off x="7048500" y="15497175"/>
          <a:ext cx="85725" cy="4000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266700</xdr:colOff>
      <xdr:row>83</xdr:row>
      <xdr:rowOff>95250</xdr:rowOff>
    </xdr:from>
    <xdr:to>
      <xdr:col>8</xdr:col>
      <xdr:colOff>9525</xdr:colOff>
      <xdr:row>84</xdr:row>
      <xdr:rowOff>95250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C59DF137-8559-A77B-1AD2-399E291C8161}"/>
            </a:ext>
          </a:extLst>
        </xdr:cNvPr>
        <xdr:cNvCxnSpPr/>
      </xdr:nvCxnSpPr>
      <xdr:spPr bwMode="auto">
        <a:xfrm flipH="1" flipV="1">
          <a:off x="4238625" y="15830550"/>
          <a:ext cx="158115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10</xdr:col>
      <xdr:colOff>104775</xdr:colOff>
      <xdr:row>115</xdr:row>
      <xdr:rowOff>19050</xdr:rowOff>
    </xdr:from>
    <xdr:to>
      <xdr:col>10</xdr:col>
      <xdr:colOff>190500</xdr:colOff>
      <xdr:row>119</xdr:row>
      <xdr:rowOff>171450</xdr:rowOff>
    </xdr:to>
    <xdr:sp macro="" textlink="">
      <xdr:nvSpPr>
        <xdr:cNvPr id="10" name="Right Bracket 9">
          <a:extLst>
            <a:ext uri="{FF2B5EF4-FFF2-40B4-BE49-F238E27FC236}">
              <a16:creationId xmlns:a16="http://schemas.microsoft.com/office/drawing/2014/main" id="{D722CD21-7398-BC37-E400-CD501A64F5D7}"/>
            </a:ext>
          </a:extLst>
        </xdr:cNvPr>
        <xdr:cNvSpPr/>
      </xdr:nvSpPr>
      <xdr:spPr bwMode="auto">
        <a:xfrm>
          <a:off x="7600950" y="24517350"/>
          <a:ext cx="85725" cy="914400"/>
        </a:xfrm>
        <a:prstGeom prst="rightBracke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190500</xdr:colOff>
      <xdr:row>117</xdr:row>
      <xdr:rowOff>95250</xdr:rowOff>
    </xdr:from>
    <xdr:to>
      <xdr:col>10</xdr:col>
      <xdr:colOff>828675</xdr:colOff>
      <xdr:row>117</xdr:row>
      <xdr:rowOff>95250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CC1C14B7-CECE-2BC0-D17E-68D555C0FC7F}"/>
            </a:ext>
          </a:extLst>
        </xdr:cNvPr>
        <xdr:cNvCxnSpPr>
          <a:endCxn id="10" idx="2"/>
        </xdr:cNvCxnSpPr>
      </xdr:nvCxnSpPr>
      <xdr:spPr bwMode="auto">
        <a:xfrm flipH="1">
          <a:off x="7686675" y="24974550"/>
          <a:ext cx="6381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 editAs="oneCell">
    <xdr:from>
      <xdr:col>12</xdr:col>
      <xdr:colOff>0</xdr:colOff>
      <xdr:row>58</xdr:row>
      <xdr:rowOff>1</xdr:rowOff>
    </xdr:from>
    <xdr:to>
      <xdr:col>19</xdr:col>
      <xdr:colOff>771937</xdr:colOff>
      <xdr:row>60</xdr:row>
      <xdr:rowOff>171451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8EF3D892-DD9D-E8C4-1D4A-C6D26D7C8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10972801"/>
          <a:ext cx="5204237" cy="552450"/>
        </a:xfrm>
        <a:prstGeom prst="rect">
          <a:avLst/>
        </a:prstGeom>
      </xdr:spPr>
    </xdr:pic>
    <xdr:clientData/>
  </xdr:twoCellAnchor>
  <xdr:twoCellAnchor>
    <xdr:from>
      <xdr:col>7</xdr:col>
      <xdr:colOff>47625</xdr:colOff>
      <xdr:row>97</xdr:row>
      <xdr:rowOff>85725</xdr:rowOff>
    </xdr:from>
    <xdr:to>
      <xdr:col>7</xdr:col>
      <xdr:colOff>828675</xdr:colOff>
      <xdr:row>97</xdr:row>
      <xdr:rowOff>85725</xdr:rowOff>
    </xdr:to>
    <xdr:cxnSp macro="">
      <xdr:nvCxnSpPr>
        <xdr:cNvPr id="20" name="Straight Arrow Connector 19">
          <a:extLst>
            <a:ext uri="{FF2B5EF4-FFF2-40B4-BE49-F238E27FC236}">
              <a16:creationId xmlns:a16="http://schemas.microsoft.com/office/drawing/2014/main" id="{BD87F556-F292-BB89-88FC-FE907981108C}"/>
            </a:ext>
          </a:extLst>
        </xdr:cNvPr>
        <xdr:cNvCxnSpPr/>
      </xdr:nvCxnSpPr>
      <xdr:spPr bwMode="auto">
        <a:xfrm flipH="1">
          <a:off x="4972050" y="18297525"/>
          <a:ext cx="7810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939800</xdr:colOff>
      <xdr:row>115</xdr:row>
      <xdr:rowOff>3175</xdr:rowOff>
    </xdr:from>
    <xdr:to>
      <xdr:col>6</xdr:col>
      <xdr:colOff>987425</xdr:colOff>
      <xdr:row>118</xdr:row>
      <xdr:rowOff>174625</xdr:rowOff>
    </xdr:to>
    <xdr:sp macro="" textlink="">
      <xdr:nvSpPr>
        <xdr:cNvPr id="22" name="Right Bracket 21">
          <a:extLst>
            <a:ext uri="{FF2B5EF4-FFF2-40B4-BE49-F238E27FC236}">
              <a16:creationId xmlns:a16="http://schemas.microsoft.com/office/drawing/2014/main" id="{5E6E2425-ECCB-4253-844D-28574731D68A}"/>
            </a:ext>
          </a:extLst>
        </xdr:cNvPr>
        <xdr:cNvSpPr/>
      </xdr:nvSpPr>
      <xdr:spPr bwMode="auto">
        <a:xfrm>
          <a:off x="5099050" y="21688425"/>
          <a:ext cx="47625" cy="723900"/>
        </a:xfrm>
        <a:prstGeom prst="rightBracke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19050</xdr:colOff>
      <xdr:row>117</xdr:row>
      <xdr:rowOff>171450</xdr:rowOff>
    </xdr:from>
    <xdr:to>
      <xdr:col>8</xdr:col>
      <xdr:colOff>0</xdr:colOff>
      <xdr:row>121</xdr:row>
      <xdr:rowOff>85725</xdr:rowOff>
    </xdr:to>
    <xdr:cxnSp macro="">
      <xdr:nvCxnSpPr>
        <xdr:cNvPr id="24" name="Straight Arrow Connector 23">
          <a:extLst>
            <a:ext uri="{FF2B5EF4-FFF2-40B4-BE49-F238E27FC236}">
              <a16:creationId xmlns:a16="http://schemas.microsoft.com/office/drawing/2014/main" id="{3E55BF0C-AD90-2FC6-2A79-DDF5E5159E88}"/>
            </a:ext>
          </a:extLst>
        </xdr:cNvPr>
        <xdr:cNvCxnSpPr/>
      </xdr:nvCxnSpPr>
      <xdr:spPr bwMode="auto">
        <a:xfrm flipH="1" flipV="1">
          <a:off x="4943475" y="22955250"/>
          <a:ext cx="866775" cy="6762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7</xdr:col>
      <xdr:colOff>895350</xdr:colOff>
      <xdr:row>81</xdr:row>
      <xdr:rowOff>114300</xdr:rowOff>
    </xdr:from>
    <xdr:to>
      <xdr:col>10</xdr:col>
      <xdr:colOff>819150</xdr:colOff>
      <xdr:row>82</xdr:row>
      <xdr:rowOff>127000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8512E15-70F6-3F82-74DB-1B2168173506}"/>
            </a:ext>
          </a:extLst>
        </xdr:cNvPr>
        <xdr:cNvCxnSpPr/>
      </xdr:nvCxnSpPr>
      <xdr:spPr bwMode="auto">
        <a:xfrm flipH="1" flipV="1">
          <a:off x="6051550" y="15170150"/>
          <a:ext cx="2755900" cy="1968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38100</xdr:colOff>
      <xdr:row>14</xdr:row>
      <xdr:rowOff>69850</xdr:rowOff>
    </xdr:from>
    <xdr:to>
      <xdr:col>7</xdr:col>
      <xdr:colOff>101600</xdr:colOff>
      <xdr:row>29</xdr:row>
      <xdr:rowOff>38100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51DA1B3C-65D6-6009-115C-81BBA727EAB6}"/>
            </a:ext>
          </a:extLst>
        </xdr:cNvPr>
        <xdr:cNvCxnSpPr/>
      </xdr:nvCxnSpPr>
      <xdr:spPr bwMode="auto">
        <a:xfrm flipH="1" flipV="1">
          <a:off x="2228850" y="2787650"/>
          <a:ext cx="3028950" cy="273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5</xdr:col>
      <xdr:colOff>6350</xdr:colOff>
      <xdr:row>12</xdr:row>
      <xdr:rowOff>101600</xdr:rowOff>
    </xdr:from>
    <xdr:to>
      <xdr:col>7</xdr:col>
      <xdr:colOff>120650</xdr:colOff>
      <xdr:row>29</xdr:row>
      <xdr:rowOff>19050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21DCE72E-F1D1-3A1A-FD2E-6FC6CD04CDBE}"/>
            </a:ext>
          </a:extLst>
        </xdr:cNvPr>
        <xdr:cNvCxnSpPr/>
      </xdr:nvCxnSpPr>
      <xdr:spPr bwMode="auto">
        <a:xfrm flipH="1" flipV="1">
          <a:off x="3206750" y="2552700"/>
          <a:ext cx="2070100" cy="30861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5</xdr:col>
      <xdr:colOff>952500</xdr:colOff>
      <xdr:row>24</xdr:row>
      <xdr:rowOff>120650</xdr:rowOff>
    </xdr:from>
    <xdr:to>
      <xdr:col>7</xdr:col>
      <xdr:colOff>63500</xdr:colOff>
      <xdr:row>29</xdr:row>
      <xdr:rowOff>95250</xdr:rowOff>
    </xdr:to>
    <xdr:cxnSp macro="">
      <xdr:nvCxnSpPr>
        <xdr:cNvPr id="21" name="Straight Arrow Connector 20">
          <a:extLst>
            <a:ext uri="{FF2B5EF4-FFF2-40B4-BE49-F238E27FC236}">
              <a16:creationId xmlns:a16="http://schemas.microsoft.com/office/drawing/2014/main" id="{46FEBE47-116C-D98A-FC06-D05346D3345D}"/>
            </a:ext>
          </a:extLst>
        </xdr:cNvPr>
        <xdr:cNvCxnSpPr/>
      </xdr:nvCxnSpPr>
      <xdr:spPr bwMode="auto">
        <a:xfrm flipH="1" flipV="1">
          <a:off x="4152900" y="4679950"/>
          <a:ext cx="1066800" cy="8953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984250</xdr:colOff>
      <xdr:row>10</xdr:row>
      <xdr:rowOff>19050</xdr:rowOff>
    </xdr:from>
    <xdr:to>
      <xdr:col>7</xdr:col>
      <xdr:colOff>12700</xdr:colOff>
      <xdr:row>13</xdr:row>
      <xdr:rowOff>76200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A1B16535-6EB9-1B23-D6AD-D525E3CA107E}"/>
            </a:ext>
          </a:extLst>
        </xdr:cNvPr>
        <xdr:cNvCxnSpPr/>
      </xdr:nvCxnSpPr>
      <xdr:spPr bwMode="auto">
        <a:xfrm flipH="1">
          <a:off x="3175000" y="1930400"/>
          <a:ext cx="1993900" cy="7810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baro\Documents\Kennedy%20and%20Associates%20Projects\2025%20East%20KY%20Coop\Baron%20Testimony\Workpapers\As-Sent\AG_-_Nucor_DR2_Request_14_-_2023_Weather_Normalization_of_Peaks.xlsx" TargetMode="External"/><Relationship Id="rId1" Type="http://schemas.openxmlformats.org/officeDocument/2006/relationships/externalLinkPath" Target="file:///G:\Active%20Files\2025%20East%20KY%20Coop\Baron%20Testimony\Workpapers\As-Sent\AG_-_Nucor_DR2_Request_14_-_2023_Weather_Normalization_of_Peak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efficients"/>
      <sheetName val="Normal DBT"/>
      <sheetName val="2023"/>
    </sheetNames>
    <sheetDataSet>
      <sheetData sheetId="0">
        <row r="2">
          <cell r="I2">
            <v>1</v>
          </cell>
          <cell r="J2">
            <v>2E-3</v>
          </cell>
          <cell r="K2">
            <v>1812.107</v>
          </cell>
          <cell r="L2">
            <v>-40.570999999999998</v>
          </cell>
          <cell r="M2">
            <v>-0.16200000000000001</v>
          </cell>
          <cell r="N2">
            <v>5.0000000000000001E-3</v>
          </cell>
          <cell r="O2">
            <v>3.6219999999999999</v>
          </cell>
          <cell r="P2">
            <v>3.3000000000000002E-2</v>
          </cell>
          <cell r="Q2">
            <v>-1E-3</v>
          </cell>
          <cell r="R2">
            <v>-102.795</v>
          </cell>
        </row>
        <row r="3">
          <cell r="I3">
            <v>2</v>
          </cell>
          <cell r="J3">
            <v>2E-3</v>
          </cell>
          <cell r="K3">
            <v>2052.056</v>
          </cell>
          <cell r="L3">
            <v>-28.561</v>
          </cell>
          <cell r="M3">
            <v>-0.27900000000000003</v>
          </cell>
          <cell r="N3">
            <v>5.0000000000000001E-3</v>
          </cell>
          <cell r="O3">
            <v>-17.765999999999998</v>
          </cell>
          <cell r="P3">
            <v>0.27400000000000002</v>
          </cell>
          <cell r="Q3">
            <v>-2E-3</v>
          </cell>
          <cell r="R3">
            <v>-102.795</v>
          </cell>
        </row>
        <row r="4">
          <cell r="I4">
            <v>3</v>
          </cell>
          <cell r="J4">
            <v>2E-3</v>
          </cell>
          <cell r="K4">
            <v>2087.317</v>
          </cell>
          <cell r="L4">
            <v>-31.765000000000001</v>
          </cell>
          <cell r="M4">
            <v>-0.26200000000000001</v>
          </cell>
          <cell r="N4">
            <v>6.0000000000000001E-3</v>
          </cell>
          <cell r="O4">
            <v>-18.716000000000001</v>
          </cell>
          <cell r="P4">
            <v>0.28499999999999998</v>
          </cell>
          <cell r="Q4">
            <v>-2E-3</v>
          </cell>
          <cell r="R4">
            <v>-102.795</v>
          </cell>
        </row>
        <row r="5">
          <cell r="I5">
            <v>4</v>
          </cell>
          <cell r="J5">
            <v>2E-3</v>
          </cell>
          <cell r="K5">
            <v>2201.5569999999998</v>
          </cell>
          <cell r="L5">
            <v>-11.481999999999999</v>
          </cell>
          <cell r="M5">
            <v>-0.83599999999999997</v>
          </cell>
          <cell r="N5">
            <v>1.2E-2</v>
          </cell>
          <cell r="O5">
            <v>-22.856000000000002</v>
          </cell>
          <cell r="P5">
            <v>6.7000000000000004E-2</v>
          </cell>
          <cell r="Q5">
            <v>1E-3</v>
          </cell>
          <cell r="R5">
            <v>-102.795</v>
          </cell>
        </row>
        <row r="6">
          <cell r="I6">
            <v>5</v>
          </cell>
          <cell r="J6">
            <v>2E-3</v>
          </cell>
          <cell r="K6">
            <v>802.27300000000002</v>
          </cell>
          <cell r="L6">
            <v>17.187999999999999</v>
          </cell>
          <cell r="M6">
            <v>-0.68</v>
          </cell>
          <cell r="N6">
            <v>7.0000000000000001E-3</v>
          </cell>
          <cell r="O6">
            <v>2.472</v>
          </cell>
          <cell r="P6">
            <v>-0.64300000000000002</v>
          </cell>
          <cell r="Q6">
            <v>7.0000000000000001E-3</v>
          </cell>
          <cell r="R6">
            <v>-102.795</v>
          </cell>
        </row>
        <row r="7">
          <cell r="I7">
            <v>6</v>
          </cell>
          <cell r="J7">
            <v>2E-3</v>
          </cell>
          <cell r="K7">
            <v>-1386.63</v>
          </cell>
          <cell r="L7">
            <v>23.109000000000002</v>
          </cell>
          <cell r="M7">
            <v>-0.25</v>
          </cell>
          <cell r="N7">
            <v>1E-3</v>
          </cell>
          <cell r="O7">
            <v>4.2140000000000004</v>
          </cell>
          <cell r="P7">
            <v>-1E-3</v>
          </cell>
          <cell r="Q7">
            <v>1E-3</v>
          </cell>
          <cell r="R7">
            <v>-102.795</v>
          </cell>
        </row>
        <row r="8">
          <cell r="I8">
            <v>7</v>
          </cell>
          <cell r="J8">
            <v>2E-3</v>
          </cell>
          <cell r="K8">
            <v>-2159.864</v>
          </cell>
          <cell r="L8">
            <v>-5.4950000000000001</v>
          </cell>
          <cell r="M8">
            <v>0.16700000000000001</v>
          </cell>
          <cell r="N8">
            <v>-1E-3</v>
          </cell>
          <cell r="O8">
            <v>9.24</v>
          </cell>
          <cell r="P8">
            <v>0.54400000000000004</v>
          </cell>
          <cell r="Q8">
            <v>-3.0000000000000001E-3</v>
          </cell>
          <cell r="R8">
            <v>-102.795</v>
          </cell>
        </row>
        <row r="9">
          <cell r="I9">
            <v>8</v>
          </cell>
          <cell r="J9">
            <v>2E-3</v>
          </cell>
          <cell r="K9">
            <v>-2613.0790000000002</v>
          </cell>
          <cell r="L9">
            <v>26.803999999999998</v>
          </cell>
          <cell r="M9">
            <v>-0.34899999999999998</v>
          </cell>
          <cell r="N9">
            <v>2E-3</v>
          </cell>
          <cell r="O9">
            <v>10.848000000000001</v>
          </cell>
          <cell r="P9">
            <v>0.36599999999999999</v>
          </cell>
          <cell r="Q9">
            <v>-2E-3</v>
          </cell>
          <cell r="R9">
            <v>-102.795</v>
          </cell>
        </row>
        <row r="10">
          <cell r="I10">
            <v>9</v>
          </cell>
          <cell r="J10">
            <v>2E-3</v>
          </cell>
          <cell r="K10">
            <v>-794.85199999999998</v>
          </cell>
          <cell r="L10">
            <v>12.816000000000001</v>
          </cell>
          <cell r="M10">
            <v>-0.113</v>
          </cell>
          <cell r="N10">
            <v>1E-3</v>
          </cell>
          <cell r="O10">
            <v>5.5730000000000004</v>
          </cell>
          <cell r="P10">
            <v>-0.16700000000000001</v>
          </cell>
          <cell r="Q10">
            <v>2E-3</v>
          </cell>
          <cell r="R10">
            <v>-102.795</v>
          </cell>
        </row>
        <row r="11">
          <cell r="I11">
            <v>10</v>
          </cell>
          <cell r="J11">
            <v>2E-3</v>
          </cell>
          <cell r="K11">
            <v>1730.2239999999999</v>
          </cell>
          <cell r="L11">
            <v>5.2249999999999996</v>
          </cell>
          <cell r="M11">
            <v>-0.84799999999999998</v>
          </cell>
          <cell r="N11">
            <v>0.01</v>
          </cell>
          <cell r="O11">
            <v>-18.349</v>
          </cell>
          <cell r="P11">
            <v>-0.189</v>
          </cell>
          <cell r="Q11">
            <v>3.0000000000000001E-3</v>
          </cell>
          <cell r="R11">
            <v>-102.795</v>
          </cell>
        </row>
        <row r="12">
          <cell r="I12">
            <v>11</v>
          </cell>
          <cell r="J12">
            <v>2E-3</v>
          </cell>
          <cell r="K12">
            <v>2297.2559999999999</v>
          </cell>
          <cell r="L12">
            <v>-34.567999999999998</v>
          </cell>
          <cell r="M12">
            <v>-0.17599999999999999</v>
          </cell>
          <cell r="N12">
            <v>5.0000000000000001E-3</v>
          </cell>
          <cell r="O12">
            <v>-19.695</v>
          </cell>
          <cell r="P12">
            <v>0.122</v>
          </cell>
          <cell r="Q12">
            <v>0</v>
          </cell>
          <cell r="R12">
            <v>-102.795</v>
          </cell>
        </row>
        <row r="13">
          <cell r="I13">
            <v>12</v>
          </cell>
          <cell r="J13">
            <v>2E-3</v>
          </cell>
          <cell r="K13">
            <v>1975.201</v>
          </cell>
          <cell r="L13">
            <v>-24.803999999999998</v>
          </cell>
          <cell r="M13">
            <v>-0.41</v>
          </cell>
          <cell r="N13">
            <v>7.0000000000000001E-3</v>
          </cell>
          <cell r="O13">
            <v>-16.285</v>
          </cell>
          <cell r="P13">
            <v>0.30399999999999999</v>
          </cell>
          <cell r="Q13">
            <v>-2E-3</v>
          </cell>
          <cell r="R13">
            <v>-102.795</v>
          </cell>
        </row>
        <row r="87">
          <cell r="B87">
            <v>-102.795</v>
          </cell>
        </row>
        <row r="88">
          <cell r="B88">
            <v>250.84200000000001</v>
          </cell>
        </row>
      </sheetData>
      <sheetData sheetId="1">
        <row r="2">
          <cell r="A2">
            <v>1</v>
          </cell>
          <cell r="B2">
            <v>21</v>
          </cell>
          <cell r="C2">
            <v>-2</v>
          </cell>
        </row>
        <row r="3">
          <cell r="A3">
            <v>2</v>
          </cell>
          <cell r="B3">
            <v>24</v>
          </cell>
          <cell r="C3">
            <v>4</v>
          </cell>
        </row>
        <row r="4">
          <cell r="A4">
            <v>3</v>
          </cell>
          <cell r="B4">
            <v>35</v>
          </cell>
          <cell r="C4">
            <v>16</v>
          </cell>
        </row>
        <row r="5">
          <cell r="A5">
            <v>4</v>
          </cell>
          <cell r="B5">
            <v>47</v>
          </cell>
          <cell r="C5">
            <v>27</v>
          </cell>
        </row>
        <row r="6">
          <cell r="A6">
            <v>5</v>
          </cell>
          <cell r="B6">
            <v>88</v>
          </cell>
          <cell r="C6">
            <v>65</v>
          </cell>
        </row>
        <row r="7">
          <cell r="A7">
            <v>6</v>
          </cell>
          <cell r="B7">
            <v>93</v>
          </cell>
          <cell r="C7">
            <v>70</v>
          </cell>
        </row>
        <row r="8">
          <cell r="A8">
            <v>7</v>
          </cell>
          <cell r="B8">
            <v>97</v>
          </cell>
          <cell r="C8">
            <v>71</v>
          </cell>
        </row>
        <row r="9">
          <cell r="A9">
            <v>8</v>
          </cell>
          <cell r="B9">
            <v>95</v>
          </cell>
          <cell r="C9">
            <v>70</v>
          </cell>
        </row>
        <row r="10">
          <cell r="A10">
            <v>9</v>
          </cell>
          <cell r="B10">
            <v>92</v>
          </cell>
          <cell r="C10">
            <v>68</v>
          </cell>
        </row>
        <row r="11">
          <cell r="A11">
            <v>10</v>
          </cell>
          <cell r="B11">
            <v>57</v>
          </cell>
          <cell r="C11">
            <v>30</v>
          </cell>
        </row>
        <row r="12">
          <cell r="A12">
            <v>11</v>
          </cell>
          <cell r="B12">
            <v>39</v>
          </cell>
          <cell r="C12">
            <v>20</v>
          </cell>
        </row>
        <row r="13">
          <cell r="A13">
            <v>12</v>
          </cell>
          <cell r="B13">
            <v>27</v>
          </cell>
          <cell r="C13">
            <v>7</v>
          </cell>
        </row>
      </sheetData>
      <sheetData sheetId="2">
        <row r="2">
          <cell r="A2">
            <v>44950</v>
          </cell>
          <cell r="B2">
            <v>549942</v>
          </cell>
          <cell r="C2">
            <v>-2</v>
          </cell>
          <cell r="D2">
            <v>21</v>
          </cell>
          <cell r="H2">
            <v>27</v>
          </cell>
          <cell r="I2">
            <v>48</v>
          </cell>
        </row>
        <row r="3">
          <cell r="A3">
            <v>44961</v>
          </cell>
          <cell r="B3">
            <v>549942</v>
          </cell>
          <cell r="C3">
            <v>4</v>
          </cell>
          <cell r="D3">
            <v>24</v>
          </cell>
          <cell r="H3">
            <v>17</v>
          </cell>
          <cell r="I3">
            <v>51</v>
          </cell>
        </row>
        <row r="4">
          <cell r="A4">
            <v>45005</v>
          </cell>
          <cell r="B4">
            <v>549942</v>
          </cell>
          <cell r="C4">
            <v>16</v>
          </cell>
          <cell r="D4">
            <v>35</v>
          </cell>
          <cell r="H4">
            <v>21</v>
          </cell>
          <cell r="I4">
            <v>51</v>
          </cell>
        </row>
        <row r="5">
          <cell r="A5">
            <v>45041</v>
          </cell>
          <cell r="B5">
            <v>549942</v>
          </cell>
          <cell r="C5">
            <v>27</v>
          </cell>
          <cell r="D5">
            <v>47</v>
          </cell>
          <cell r="H5">
            <v>37</v>
          </cell>
          <cell r="I5">
            <v>66</v>
          </cell>
        </row>
        <row r="6">
          <cell r="A6">
            <v>45077</v>
          </cell>
          <cell r="B6">
            <v>549942</v>
          </cell>
          <cell r="C6">
            <v>65</v>
          </cell>
          <cell r="D6">
            <v>88</v>
          </cell>
          <cell r="H6">
            <v>66</v>
          </cell>
          <cell r="I6">
            <v>87</v>
          </cell>
        </row>
        <row r="7">
          <cell r="A7">
            <v>45107</v>
          </cell>
          <cell r="B7">
            <v>549942</v>
          </cell>
          <cell r="C7">
            <v>70</v>
          </cell>
          <cell r="D7">
            <v>93</v>
          </cell>
          <cell r="H7">
            <v>69</v>
          </cell>
          <cell r="I7">
            <v>85</v>
          </cell>
        </row>
        <row r="8">
          <cell r="A8">
            <v>45134</v>
          </cell>
          <cell r="B8">
            <v>549942</v>
          </cell>
          <cell r="C8">
            <v>71</v>
          </cell>
          <cell r="D8">
            <v>97</v>
          </cell>
          <cell r="H8">
            <v>78</v>
          </cell>
          <cell r="I8">
            <v>92</v>
          </cell>
        </row>
        <row r="9">
          <cell r="A9">
            <v>45163</v>
          </cell>
          <cell r="B9">
            <v>549942</v>
          </cell>
          <cell r="C9">
            <v>70</v>
          </cell>
          <cell r="D9">
            <v>95</v>
          </cell>
          <cell r="H9">
            <v>71</v>
          </cell>
          <cell r="I9">
            <v>98</v>
          </cell>
        </row>
        <row r="10">
          <cell r="A10">
            <v>45173</v>
          </cell>
          <cell r="B10">
            <v>549942</v>
          </cell>
          <cell r="C10">
            <v>68</v>
          </cell>
          <cell r="D10">
            <v>92</v>
          </cell>
          <cell r="H10">
            <v>65</v>
          </cell>
          <cell r="I10">
            <v>93</v>
          </cell>
        </row>
        <row r="11">
          <cell r="A11">
            <v>45230</v>
          </cell>
          <cell r="B11">
            <v>549942</v>
          </cell>
          <cell r="C11">
            <v>30</v>
          </cell>
          <cell r="D11">
            <v>57</v>
          </cell>
          <cell r="H11">
            <v>31</v>
          </cell>
          <cell r="I11">
            <v>49</v>
          </cell>
        </row>
        <row r="12">
          <cell r="A12">
            <v>45259</v>
          </cell>
          <cell r="B12">
            <v>549942</v>
          </cell>
          <cell r="C12">
            <v>20</v>
          </cell>
          <cell r="D12">
            <v>39</v>
          </cell>
          <cell r="H12">
            <v>16</v>
          </cell>
          <cell r="I12">
            <v>51</v>
          </cell>
        </row>
        <row r="13">
          <cell r="A13">
            <v>45279</v>
          </cell>
          <cell r="B13">
            <v>549942</v>
          </cell>
          <cell r="C13">
            <v>7</v>
          </cell>
          <cell r="D13">
            <v>27</v>
          </cell>
          <cell r="H13">
            <v>22</v>
          </cell>
          <cell r="I13">
            <v>37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2EF4A-C55B-4D8D-9BFC-13D6A337404E}">
  <dimension ref="A1:AL482"/>
  <sheetViews>
    <sheetView view="pageBreakPreview" zoomScaleNormal="75" zoomScaleSheetLayoutView="100" workbookViewId="0">
      <pane xSplit="6" ySplit="3" topLeftCell="H426" activePane="bottomRight" state="frozen"/>
      <selection pane="topRight" activeCell="G1" sqref="G1"/>
      <selection pane="bottomLeft" activeCell="A4" sqref="A4"/>
      <selection pane="bottomRight" activeCell="H451" sqref="H451"/>
    </sheetView>
  </sheetViews>
  <sheetFormatPr defaultColWidth="9.1796875" defaultRowHeight="14" x14ac:dyDescent="0.3"/>
  <cols>
    <col min="1" max="1" width="7.54296875" style="2" customWidth="1"/>
    <col min="2" max="2" width="54.81640625" style="2" customWidth="1"/>
    <col min="3" max="3" width="14.453125" style="2" bestFit="1" customWidth="1"/>
    <col min="4" max="4" width="12" style="2" customWidth="1"/>
    <col min="5" max="5" width="2.7265625" style="2" customWidth="1"/>
    <col min="6" max="6" width="17.54296875" style="2" customWidth="1"/>
    <col min="7" max="7" width="2.1796875" style="2" customWidth="1"/>
    <col min="8" max="8" width="20.453125" style="2" bestFit="1" customWidth="1"/>
    <col min="9" max="9" width="20.1796875" style="2" bestFit="1" customWidth="1"/>
    <col min="10" max="11" width="17.81640625" style="2" customWidth="1"/>
    <col min="12" max="12" width="21.453125" style="2" customWidth="1"/>
    <col min="13" max="13" width="22.54296875" style="2" customWidth="1"/>
    <col min="14" max="14" width="2.7265625" style="2" customWidth="1"/>
    <col min="15" max="15" width="19" style="2" bestFit="1" customWidth="1"/>
    <col min="16" max="16" width="18.7265625" style="2" customWidth="1"/>
    <col min="17" max="17" width="18.7265625" style="2" hidden="1" customWidth="1"/>
    <col min="18" max="18" width="2.7265625" style="2" hidden="1" customWidth="1"/>
    <col min="19" max="20" width="17.54296875" style="2" hidden="1" customWidth="1"/>
    <col min="21" max="21" width="16.26953125" style="2" hidden="1" customWidth="1"/>
    <col min="22" max="22" width="14.453125" style="2" hidden="1" customWidth="1"/>
    <col min="23" max="23" width="16.26953125" style="2" hidden="1" customWidth="1"/>
    <col min="24" max="24" width="16.7265625" style="2" hidden="1" customWidth="1"/>
    <col min="25" max="25" width="16.7265625" style="1" hidden="1" customWidth="1"/>
    <col min="26" max="27" width="16.81640625" style="2" hidden="1" customWidth="1"/>
    <col min="28" max="30" width="17.54296875" style="2" hidden="1" customWidth="1"/>
    <col min="31" max="31" width="1.81640625" style="2" hidden="1" customWidth="1"/>
    <col min="32" max="32" width="17.81640625" style="2" hidden="1" customWidth="1"/>
    <col min="33" max="33" width="1.81640625" style="2" hidden="1" customWidth="1"/>
    <col min="34" max="34" width="15" style="2" hidden="1" customWidth="1"/>
    <col min="35" max="35" width="1.81640625" style="2" hidden="1" customWidth="1"/>
    <col min="36" max="36" width="18.453125" style="2" hidden="1" customWidth="1"/>
    <col min="37" max="37" width="18.453125" style="2" customWidth="1"/>
    <col min="38" max="38" width="14.7265625" style="2" customWidth="1"/>
    <col min="39" max="16384" width="9.1796875" style="2"/>
  </cols>
  <sheetData>
    <row r="1" spans="1:38" ht="14.25" customHeight="1" x14ac:dyDescent="0.3">
      <c r="A1" s="1"/>
      <c r="B1" s="1"/>
      <c r="C1" s="1"/>
      <c r="D1" s="1"/>
      <c r="E1" s="1"/>
      <c r="F1" s="1"/>
      <c r="G1" s="1"/>
      <c r="H1" s="1"/>
      <c r="I1" s="1"/>
      <c r="J1" s="15"/>
      <c r="K1" s="15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38" ht="15" customHeight="1" x14ac:dyDescent="0.3">
      <c r="A2" s="3"/>
      <c r="B2" s="3"/>
      <c r="C2" s="4"/>
      <c r="D2" s="5" t="s">
        <v>0</v>
      </c>
      <c r="E2" s="4"/>
      <c r="F2" s="4" t="s">
        <v>1</v>
      </c>
      <c r="G2" s="4"/>
      <c r="H2" s="260" t="s">
        <v>2</v>
      </c>
      <c r="I2" s="260"/>
      <c r="J2" s="261" t="s">
        <v>3</v>
      </c>
      <c r="K2" s="261"/>
      <c r="L2" s="7" t="s">
        <v>4</v>
      </c>
      <c r="M2" s="4" t="s">
        <v>5</v>
      </c>
      <c r="N2" s="6"/>
      <c r="O2" s="4" t="s">
        <v>6</v>
      </c>
      <c r="P2" s="4" t="s">
        <v>6</v>
      </c>
      <c r="R2" s="3"/>
      <c r="S2" s="7"/>
      <c r="T2" s="7"/>
      <c r="U2" s="3"/>
      <c r="V2" s="3"/>
      <c r="X2" s="61"/>
      <c r="Y2" s="62"/>
      <c r="Z2" s="61"/>
      <c r="AA2" s="62"/>
      <c r="AB2" s="7"/>
      <c r="AC2" s="7"/>
      <c r="AD2" s="7"/>
      <c r="AE2" s="4"/>
      <c r="AF2" s="7"/>
      <c r="AG2" s="7"/>
      <c r="AH2" s="7"/>
      <c r="AI2" s="7"/>
      <c r="AJ2" s="7"/>
      <c r="AK2" s="3"/>
      <c r="AL2" s="3"/>
    </row>
    <row r="3" spans="1:38" ht="14.5" thickBot="1" x14ac:dyDescent="0.35">
      <c r="A3" s="8" t="s">
        <v>7</v>
      </c>
      <c r="B3" s="8"/>
      <c r="C3" s="9" t="s">
        <v>8</v>
      </c>
      <c r="D3" s="9" t="s">
        <v>9</v>
      </c>
      <c r="E3" s="10"/>
      <c r="F3" s="10" t="s">
        <v>10</v>
      </c>
      <c r="G3" s="11"/>
      <c r="H3" s="10" t="s">
        <v>11</v>
      </c>
      <c r="I3" s="10" t="s">
        <v>12</v>
      </c>
      <c r="J3" s="10" t="s">
        <v>13</v>
      </c>
      <c r="K3" s="10" t="s">
        <v>14</v>
      </c>
      <c r="L3" s="10" t="s">
        <v>15</v>
      </c>
      <c r="M3" s="10" t="s">
        <v>16</v>
      </c>
      <c r="N3" s="10"/>
      <c r="O3" s="10" t="s">
        <v>17</v>
      </c>
      <c r="P3" s="10" t="s">
        <v>18</v>
      </c>
      <c r="Q3" s="10" t="s">
        <v>19</v>
      </c>
      <c r="R3" s="10"/>
      <c r="S3" s="10" t="s">
        <v>19</v>
      </c>
      <c r="T3" s="10" t="s">
        <v>19</v>
      </c>
      <c r="U3" s="10" t="s">
        <v>19</v>
      </c>
      <c r="V3" s="10" t="s">
        <v>19</v>
      </c>
      <c r="W3" s="10" t="s">
        <v>19</v>
      </c>
      <c r="X3" s="10" t="s">
        <v>19</v>
      </c>
      <c r="Y3" s="10" t="s">
        <v>19</v>
      </c>
      <c r="Z3" s="10" t="s">
        <v>19</v>
      </c>
      <c r="AA3" s="10" t="s">
        <v>19</v>
      </c>
      <c r="AB3" s="10" t="s">
        <v>19</v>
      </c>
      <c r="AC3" s="10" t="s">
        <v>19</v>
      </c>
      <c r="AD3" s="10" t="s">
        <v>19</v>
      </c>
      <c r="AE3" s="10"/>
      <c r="AF3" s="10" t="s">
        <v>19</v>
      </c>
      <c r="AG3" s="10"/>
      <c r="AH3" s="10" t="s">
        <v>19</v>
      </c>
      <c r="AI3" s="10"/>
      <c r="AJ3" s="10" t="s">
        <v>19</v>
      </c>
      <c r="AK3" s="10" t="s">
        <v>20</v>
      </c>
      <c r="AL3" s="12" t="s">
        <v>21</v>
      </c>
    </row>
    <row r="4" spans="1:38" x14ac:dyDescent="0.3"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4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L4" s="15"/>
    </row>
    <row r="5" spans="1:38" x14ac:dyDescent="0.3">
      <c r="A5" s="16" t="s">
        <v>22</v>
      </c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4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L5" s="15"/>
    </row>
    <row r="6" spans="1:38" x14ac:dyDescent="0.3">
      <c r="AL6" s="15"/>
    </row>
    <row r="7" spans="1:38" x14ac:dyDescent="0.3">
      <c r="A7" s="17"/>
      <c r="B7" s="2" t="s">
        <v>23</v>
      </c>
      <c r="C7" s="2" t="s">
        <v>24</v>
      </c>
      <c r="D7" s="2" t="s">
        <v>25</v>
      </c>
      <c r="F7" s="44">
        <v>17104344</v>
      </c>
      <c r="H7" s="19">
        <f>IF(VLOOKUP($D7,$C$5:$AJ$470,6,)=0,0,((VLOOKUP($D7,$C$5:$AJ$470,6,)/VLOOKUP($D7,$C$5:$AJ$470,4,))*$F7))</f>
        <v>5838107.7615487259</v>
      </c>
      <c r="I7" s="19">
        <f>IF(VLOOKUP($D7,$C$5:$AJ$470,7,)=0,0,((VLOOKUP($D7,$C$5:$AJ$470,7,)/VLOOKUP($D7,$C$5:$AJ$470,4,))*$F7))</f>
        <v>7202668.5089401416</v>
      </c>
      <c r="J7" s="19">
        <f>IF(VLOOKUP($D7,$C$5:$AJ$470,8,)=0,0,((VLOOKUP($D7,$C$5:$AJ$470,8,)/VLOOKUP($D7,$C$5:$AJ$470,4,))*$F7))</f>
        <v>0</v>
      </c>
      <c r="K7" s="19">
        <f>IF(VLOOKUP($D7,$C$5:$AJ$470,9,)=0,0,((VLOOKUP($D7,$C$5:$AJ$470,9,)/VLOOKUP($D7,$C$5:$AJ$470,4,))*$F7))</f>
        <v>0</v>
      </c>
      <c r="L7" s="19">
        <f>IF(VLOOKUP($D7,$C$5:$AJ$470,10,)=0,0,((VLOOKUP($D7,$C$5:$AJ$470,10,)/VLOOKUP($D7,$C$5:$AJ$470,4,))*$F7))</f>
        <v>83245.162654209722</v>
      </c>
      <c r="M7" s="19">
        <f>IF(VLOOKUP($D7,$C$5:$AJ$470,11,)=0,0,((VLOOKUP($D7,$C$5:$AJ$470,11,)/VLOOKUP($D7,$C$5:$AJ$470,4,))*$F7))</f>
        <v>2770494.1127642295</v>
      </c>
      <c r="N7" s="19"/>
      <c r="O7" s="19">
        <f>IF(VLOOKUP($D7,$C$5:$AJ$470,13,)=0,0,((VLOOKUP($D7,$C$5:$AJ$470,13,)/VLOOKUP($D7,$C$5:$AJ$470,4,))*$F7))</f>
        <v>1193845.6220677076</v>
      </c>
      <c r="P7" s="19">
        <f>IF(VLOOKUP($D7,$C$5:$AJ$470,14,)=0,0,((VLOOKUP($D7,$C$5:$AJ$470,14,)/VLOOKUP($D7,$C$5:$AJ$470,4,))*$F7))</f>
        <v>15982.832024986345</v>
      </c>
      <c r="Q7" s="19">
        <f>IF(VLOOKUP($D7,$C$5:$AJ$470,15,)=0,0,((VLOOKUP($D7,$C$5:$AJ$470,15,)/VLOOKUP($D7,$C$5:$AJ$470,4,))*$F7))</f>
        <v>0</v>
      </c>
      <c r="R7" s="19"/>
      <c r="S7" s="19">
        <f>IF(VLOOKUP($D7,$C$5:$AJ$470,17,)=0,0,((VLOOKUP($D7,$C$5:$AJ$470,17,)/VLOOKUP($D7,$C$5:$AJ$470,4,))*$F7))</f>
        <v>0</v>
      </c>
      <c r="T7" s="19">
        <f>IF(VLOOKUP($D7,$C$5:$AJ$470,18,)=0,0,((VLOOKUP($D7,$C$5:$AJ$470,18,)/VLOOKUP($D7,$C$5:$AJ$470,4,))*$F7))</f>
        <v>0</v>
      </c>
      <c r="U7" s="19">
        <f>IF(VLOOKUP($D7,$C$5:$AJ$470,19,)=0,0,((VLOOKUP($D7,$C$5:$AJ$470,19,)/VLOOKUP($D7,$C$5:$AJ$470,4,))*$F7))</f>
        <v>0</v>
      </c>
      <c r="V7" s="19">
        <f>IF(VLOOKUP($D7,$C$5:$AJ$470,20,)=0,0,((VLOOKUP($D7,$C$5:$AJ$470,20,)/VLOOKUP($D7,$C$5:$AJ$470,4,))*$F7))</f>
        <v>0</v>
      </c>
      <c r="W7" s="19">
        <f>IF(VLOOKUP($D7,$C$5:$AJ$470,21,)=0,0,((VLOOKUP($D7,$C$5:$AJ$470,21,)/VLOOKUP($D7,$C$5:$AJ$470,4,))*$F7))</f>
        <v>0</v>
      </c>
      <c r="X7" s="19">
        <f>IF(VLOOKUP($D7,$C$5:$AJ$470,22,)=0,0,((VLOOKUP($D7,$C$5:$AJ$470,22,)/VLOOKUP($D7,$C$5:$AJ$470,4,))*$F7))</f>
        <v>0</v>
      </c>
      <c r="Y7" s="19">
        <f>IF(VLOOKUP($D7,$C$5:$AJ$470,23,)=0,0,((VLOOKUP($D7,$C$5:$AJ$470,23,)/VLOOKUP($D7,$C$5:$AJ$470,4,))*$F7))</f>
        <v>0</v>
      </c>
      <c r="Z7" s="19">
        <f>IF(VLOOKUP($D7,$C$5:$AJ$470,24,)=0,0,((VLOOKUP($D7,$C$5:$AJ$470,24,)/VLOOKUP($D7,$C$5:$AJ$470,4,))*$F7))</f>
        <v>0</v>
      </c>
      <c r="AA7" s="19">
        <f>IF(VLOOKUP($D7,$C$5:$AJ$470,25,)=0,0,((VLOOKUP($D7,$C$5:$AJ$470,25,)/VLOOKUP($D7,$C$5:$AJ$470,4,))*$F7))</f>
        <v>0</v>
      </c>
      <c r="AB7" s="19">
        <f>IF(VLOOKUP($D7,$C$5:$AJ$470,26,)=0,0,((VLOOKUP($D7,$C$5:$AJ$470,26,)/VLOOKUP($D7,$C$5:$AJ$470,4,))*$F7))</f>
        <v>0</v>
      </c>
      <c r="AC7" s="19">
        <f>IF(VLOOKUP($D7,$C$5:$AJ$470,27,)=0,0,((VLOOKUP($D7,$C$5:$AJ$470,27,)/VLOOKUP($D7,$C$5:$AJ$470,4,))*$F7))</f>
        <v>0</v>
      </c>
      <c r="AD7" s="19">
        <f>IF(VLOOKUP($D7,$C$5:$AJ$470,28,)=0,0,((VLOOKUP($D7,$C$5:$AJ$470,28,)/VLOOKUP($D7,$C$5:$AJ$470,4,))*$F7))</f>
        <v>0</v>
      </c>
      <c r="AE7" s="19"/>
      <c r="AF7" s="19">
        <f>IF(VLOOKUP($D7,$C$5:$AJ$470,30,)=0,0,((VLOOKUP($D7,$C$5:$AJ$470,30,)/VLOOKUP($D7,$C$5:$AJ$470,4,))*$F7))</f>
        <v>0</v>
      </c>
      <c r="AG7" s="19"/>
      <c r="AH7" s="19">
        <f>IF(VLOOKUP($D7,$C$5:$AJ$470,32,)=0,0,((VLOOKUP($D7,$C$5:$AJ$470,32,)/VLOOKUP($D7,$C$5:$AJ$470,4,))*$F7))</f>
        <v>0</v>
      </c>
      <c r="AI7" s="19"/>
      <c r="AJ7" s="19">
        <f>IF(VLOOKUP($D7,$C$5:$AJ$470,34,)=0,0,((VLOOKUP($D7,$C$5:$AJ$470,34,)/VLOOKUP($D7,$C$5:$AJ$470,4,))*$F7))</f>
        <v>0</v>
      </c>
      <c r="AK7" s="19">
        <f>SUM(H7:AJ7)</f>
        <v>17104344.000000004</v>
      </c>
      <c r="AL7" s="15" t="str">
        <f>IF(ABS(AK7-F7)&lt;1,"ok","err")</f>
        <v>ok</v>
      </c>
    </row>
    <row r="8" spans="1:38" x14ac:dyDescent="0.3">
      <c r="A8" s="17"/>
      <c r="B8" s="2" t="s">
        <v>26</v>
      </c>
      <c r="C8" s="2" t="s">
        <v>27</v>
      </c>
      <c r="D8" s="2" t="s">
        <v>28</v>
      </c>
      <c r="F8" s="43">
        <v>3501081434</v>
      </c>
      <c r="H8" s="19">
        <f>IF(VLOOKUP($D8,$C$5:$AJ$470,6,)=0,0,((VLOOKUP($D8,$C$5:$AJ$470,6,)/VLOOKUP($D8,$C$5:$AJ$470,4,))*$F8))</f>
        <v>1558215468.6926489</v>
      </c>
      <c r="I8" s="19">
        <f>IF(VLOOKUP($D8,$C$5:$AJ$470,7,)=0,0,((VLOOKUP($D8,$C$5:$AJ$470,7,)/VLOOKUP($D8,$C$5:$AJ$470,4,))*$F8))</f>
        <v>1922422460.3073514</v>
      </c>
      <c r="J8" s="19">
        <f>IF(VLOOKUP($D8,$C$5:$AJ$470,8,)=0,0,((VLOOKUP($D8,$C$5:$AJ$470,8,)/VLOOKUP($D8,$C$5:$AJ$470,4,))*$F8))</f>
        <v>0</v>
      </c>
      <c r="K8" s="19">
        <f>IF(VLOOKUP($D8,$C$5:$AJ$470,9,)=0,0,((VLOOKUP($D8,$C$5:$AJ$470,9,)/VLOOKUP($D8,$C$5:$AJ$470,4,))*$F8))</f>
        <v>0</v>
      </c>
      <c r="L8" s="19">
        <f>IF(VLOOKUP($D8,$C$5:$AJ$470,10,)=0,0,((VLOOKUP($D8,$C$5:$AJ$470,10,)/VLOOKUP($D8,$C$5:$AJ$470,4,))*$F8))</f>
        <v>20443505</v>
      </c>
      <c r="M8" s="19">
        <f>IF(VLOOKUP($D8,$C$5:$AJ$470,11,)=0,0,((VLOOKUP($D8,$C$5:$AJ$470,11,)/VLOOKUP($D8,$C$5:$AJ$470,4,))*$F8))</f>
        <v>0</v>
      </c>
      <c r="N8" s="19"/>
      <c r="O8" s="19">
        <f>IF(VLOOKUP($D8,$C$5:$AJ$470,13,)=0,0,((VLOOKUP($D8,$C$5:$AJ$470,13,)/VLOOKUP($D8,$C$5:$AJ$470,4,))*$F8))</f>
        <v>0</v>
      </c>
      <c r="P8" s="19">
        <f>IF(VLOOKUP($D8,$C$5:$AJ$470,14,)=0,0,((VLOOKUP($D8,$C$5:$AJ$470,14,)/VLOOKUP($D8,$C$5:$AJ$470,4,))*$F8))</f>
        <v>0</v>
      </c>
      <c r="Q8" s="19">
        <f>IF(VLOOKUP($D8,$C$5:$AJ$470,15,)=0,0,((VLOOKUP($D8,$C$5:$AJ$470,15,)/VLOOKUP($D8,$C$5:$AJ$470,4,))*$F8))</f>
        <v>0</v>
      </c>
      <c r="R8" s="19"/>
      <c r="S8" s="19">
        <f>IF(VLOOKUP($D8,$C$5:$AJ$470,17,)=0,0,((VLOOKUP($D8,$C$5:$AJ$470,17,)/VLOOKUP($D8,$C$5:$AJ$470,4,))*$F8))</f>
        <v>0</v>
      </c>
      <c r="T8" s="19">
        <f>IF(VLOOKUP($D8,$C$5:$AJ$470,18,)=0,0,((VLOOKUP($D8,$C$5:$AJ$470,18,)/VLOOKUP($D8,$C$5:$AJ$470,4,))*$F8))</f>
        <v>0</v>
      </c>
      <c r="U8" s="19">
        <f>IF(VLOOKUP($D8,$C$5:$AJ$470,19,)=0,0,((VLOOKUP($D8,$C$5:$AJ$470,19,)/VLOOKUP($D8,$C$5:$AJ$470,4,))*$F8))</f>
        <v>0</v>
      </c>
      <c r="V8" s="19">
        <f>IF(VLOOKUP($D8,$C$5:$AJ$470,20,)=0,0,((VLOOKUP($D8,$C$5:$AJ$470,20,)/VLOOKUP($D8,$C$5:$AJ$470,4,))*$F8))</f>
        <v>0</v>
      </c>
      <c r="W8" s="19">
        <f>IF(VLOOKUP($D8,$C$5:$AJ$470,21,)=0,0,((VLOOKUP($D8,$C$5:$AJ$470,21,)/VLOOKUP($D8,$C$5:$AJ$470,4,))*$F8))</f>
        <v>0</v>
      </c>
      <c r="X8" s="19">
        <f>IF(VLOOKUP($D8,$C$5:$AJ$470,22,)=0,0,((VLOOKUP($D8,$C$5:$AJ$470,22,)/VLOOKUP($D8,$C$5:$AJ$470,4,))*$F8))</f>
        <v>0</v>
      </c>
      <c r="Y8" s="19">
        <f>IF(VLOOKUP($D8,$C$5:$AJ$470,23,)=0,0,((VLOOKUP($D8,$C$5:$AJ$470,23,)/VLOOKUP($D8,$C$5:$AJ$470,4,))*$F8))</f>
        <v>0</v>
      </c>
      <c r="Z8" s="19">
        <f>IF(VLOOKUP($D8,$C$5:$AJ$470,24,)=0,0,((VLOOKUP($D8,$C$5:$AJ$470,24,)/VLOOKUP($D8,$C$5:$AJ$470,4,))*$F8))</f>
        <v>0</v>
      </c>
      <c r="AA8" s="19">
        <f>IF(VLOOKUP($D8,$C$5:$AJ$470,25,)=0,0,((VLOOKUP($D8,$C$5:$AJ$470,25,)/VLOOKUP($D8,$C$5:$AJ$470,4,))*$F8))</f>
        <v>0</v>
      </c>
      <c r="AB8" s="19">
        <f>IF(VLOOKUP($D8,$C$5:$AJ$470,26,)=0,0,((VLOOKUP($D8,$C$5:$AJ$470,26,)/VLOOKUP($D8,$C$5:$AJ$470,4,))*$F8))</f>
        <v>0</v>
      </c>
      <c r="AC8" s="19">
        <f>IF(VLOOKUP($D8,$C$5:$AJ$470,27,)=0,0,((VLOOKUP($D8,$C$5:$AJ$470,27,)/VLOOKUP($D8,$C$5:$AJ$470,4,))*$F8))</f>
        <v>0</v>
      </c>
      <c r="AD8" s="19">
        <f>IF(VLOOKUP($D8,$C$5:$AJ$470,28,)=0,0,((VLOOKUP($D8,$C$5:$AJ$470,28,)/VLOOKUP($D8,$C$5:$AJ$470,4,))*$F8))</f>
        <v>0</v>
      </c>
      <c r="AE8" s="19"/>
      <c r="AF8" s="19">
        <f>IF(VLOOKUP($D8,$C$5:$AJ$470,30,)=0,0,((VLOOKUP($D8,$C$5:$AJ$470,30,)/VLOOKUP($D8,$C$5:$AJ$470,4,))*$F8))</f>
        <v>0</v>
      </c>
      <c r="AG8" s="19"/>
      <c r="AH8" s="19">
        <f>IF(VLOOKUP($D8,$C$5:$AJ$470,32,)=0,0,((VLOOKUP($D8,$C$5:$AJ$470,32,)/VLOOKUP($D8,$C$5:$AJ$470,4,))*$F8))</f>
        <v>0</v>
      </c>
      <c r="AI8" s="19"/>
      <c r="AJ8" s="19">
        <f>IF(VLOOKUP($D8,$C$5:$AJ$470,34,)=0,0,((VLOOKUP($D8,$C$5:$AJ$470,34,)/VLOOKUP($D8,$C$5:$AJ$470,4,))*$F8))</f>
        <v>0</v>
      </c>
      <c r="AK8" s="19">
        <f>SUM(H8:AJ8)</f>
        <v>3501081434</v>
      </c>
      <c r="AL8" s="15" t="str">
        <f>IF(ABS(AK8-F8)&lt;1,"ok","err")</f>
        <v>ok</v>
      </c>
    </row>
    <row r="9" spans="1:38" x14ac:dyDescent="0.3">
      <c r="A9" s="17"/>
      <c r="B9" s="57" t="s">
        <v>29</v>
      </c>
      <c r="C9" s="2" t="s">
        <v>30</v>
      </c>
      <c r="D9" s="2" t="s">
        <v>31</v>
      </c>
      <c r="F9" s="43">
        <v>741231487</v>
      </c>
      <c r="H9" s="19">
        <f>IF(VLOOKUP($D9,$C$5:$AJ$470,6,)=0,0,((VLOOKUP($D9,$C$5:$AJ$470,6,)/VLOOKUP($D9,$C$5:$AJ$470,4,))*$F9))</f>
        <v>0</v>
      </c>
      <c r="I9" s="19">
        <f>IF(VLOOKUP($D9,$C$5:$AJ$470,7,)=0,0,((VLOOKUP($D9,$C$5:$AJ$470,7,)/VLOOKUP($D9,$C$5:$AJ$470,4,))*$F9))</f>
        <v>0</v>
      </c>
      <c r="J9" s="19">
        <f>IF(VLOOKUP($D9,$C$5:$AJ$470,8,)=0,0,((VLOOKUP($D9,$C$5:$AJ$470,8,)/VLOOKUP($D9,$C$5:$AJ$470,4,))*$F9))</f>
        <v>0</v>
      </c>
      <c r="K9" s="19">
        <f>IF(VLOOKUP($D9,$C$5:$AJ$470,9,)=0,0,((VLOOKUP($D9,$C$5:$AJ$470,9,)/VLOOKUP($D9,$C$5:$AJ$470,4,))*$F9))</f>
        <v>0</v>
      </c>
      <c r="L9" s="19">
        <f>IF(VLOOKUP($D9,$C$5:$AJ$470,10,)=0,0,((VLOOKUP($D9,$C$5:$AJ$470,10,)/VLOOKUP($D9,$C$5:$AJ$470,4,))*$F9))</f>
        <v>1774978.3579048</v>
      </c>
      <c r="M9" s="19">
        <f>IF(VLOOKUP($D9,$C$5:$AJ$470,11,)=0,0,((VLOOKUP($D9,$C$5:$AJ$470,11,)/VLOOKUP($D9,$C$5:$AJ$470,4,))*$F9))</f>
        <v>739456508.64209521</v>
      </c>
      <c r="N9" s="19"/>
      <c r="O9" s="19">
        <f>IF(VLOOKUP($D9,$C$5:$AJ$470,13,)=0,0,((VLOOKUP($D9,$C$5:$AJ$470,13,)/VLOOKUP($D9,$C$5:$AJ$470,4,))*$F9))</f>
        <v>0</v>
      </c>
      <c r="P9" s="19">
        <f>IF(VLOOKUP($D9,$C$5:$AJ$470,14,)=0,0,((VLOOKUP($D9,$C$5:$AJ$470,14,)/VLOOKUP($D9,$C$5:$AJ$470,4,))*$F9))</f>
        <v>0</v>
      </c>
      <c r="Q9" s="19">
        <f>IF(VLOOKUP($D9,$C$5:$AJ$470,15,)=0,0,((VLOOKUP($D9,$C$5:$AJ$470,15,)/VLOOKUP($D9,$C$5:$AJ$470,4,))*$F9))</f>
        <v>0</v>
      </c>
      <c r="R9" s="19"/>
      <c r="S9" s="19">
        <f>IF(VLOOKUP($D9,$C$5:$AJ$470,17,)=0,0,((VLOOKUP($D9,$C$5:$AJ$470,17,)/VLOOKUP($D9,$C$5:$AJ$470,4,))*$F9))</f>
        <v>0</v>
      </c>
      <c r="T9" s="19">
        <f>IF(VLOOKUP($D9,$C$5:$AJ$470,18,)=0,0,((VLOOKUP($D9,$C$5:$AJ$470,18,)/VLOOKUP($D9,$C$5:$AJ$470,4,))*$F9))</f>
        <v>0</v>
      </c>
      <c r="U9" s="19">
        <f>IF(VLOOKUP($D9,$C$5:$AJ$470,19,)=0,0,((VLOOKUP($D9,$C$5:$AJ$470,19,)/VLOOKUP($D9,$C$5:$AJ$470,4,))*$F9))</f>
        <v>0</v>
      </c>
      <c r="V9" s="19">
        <f>IF(VLOOKUP($D9,$C$5:$AJ$470,20,)=0,0,((VLOOKUP($D9,$C$5:$AJ$470,20,)/VLOOKUP($D9,$C$5:$AJ$470,4,))*$F9))</f>
        <v>0</v>
      </c>
      <c r="W9" s="19">
        <f>IF(VLOOKUP($D9,$C$5:$AJ$470,21,)=0,0,((VLOOKUP($D9,$C$5:$AJ$470,21,)/VLOOKUP($D9,$C$5:$AJ$470,4,))*$F9))</f>
        <v>0</v>
      </c>
      <c r="X9" s="19">
        <f>IF(VLOOKUP($D9,$C$5:$AJ$470,22,)=0,0,((VLOOKUP($D9,$C$5:$AJ$470,22,)/VLOOKUP($D9,$C$5:$AJ$470,4,))*$F9))</f>
        <v>0</v>
      </c>
      <c r="Y9" s="19">
        <f>IF(VLOOKUP($D9,$C$5:$AJ$470,23,)=0,0,((VLOOKUP($D9,$C$5:$AJ$470,23,)/VLOOKUP($D9,$C$5:$AJ$470,4,))*$F9))</f>
        <v>0</v>
      </c>
      <c r="Z9" s="19">
        <f>IF(VLOOKUP($D9,$C$5:$AJ$470,24,)=0,0,((VLOOKUP($D9,$C$5:$AJ$470,24,)/VLOOKUP($D9,$C$5:$AJ$470,4,))*$F9))</f>
        <v>0</v>
      </c>
      <c r="AA9" s="19">
        <f>IF(VLOOKUP($D9,$C$5:$AJ$470,25,)=0,0,((VLOOKUP($D9,$C$5:$AJ$470,25,)/VLOOKUP($D9,$C$5:$AJ$470,4,))*$F9))</f>
        <v>0</v>
      </c>
      <c r="AB9" s="19">
        <f>IF(VLOOKUP($D9,$C$5:$AJ$470,26,)=0,0,((VLOOKUP($D9,$C$5:$AJ$470,26,)/VLOOKUP($D9,$C$5:$AJ$470,4,))*$F9))</f>
        <v>0</v>
      </c>
      <c r="AC9" s="19">
        <f>IF(VLOOKUP($D9,$C$5:$AJ$470,27,)=0,0,((VLOOKUP($D9,$C$5:$AJ$470,27,)/VLOOKUP($D9,$C$5:$AJ$470,4,))*$F9))</f>
        <v>0</v>
      </c>
      <c r="AD9" s="19">
        <f>IF(VLOOKUP($D9,$C$5:$AJ$470,28,)=0,0,((VLOOKUP($D9,$C$5:$AJ$470,28,)/VLOOKUP($D9,$C$5:$AJ$470,4,))*$F9))</f>
        <v>0</v>
      </c>
      <c r="AE9" s="19"/>
      <c r="AF9" s="19">
        <f>IF(VLOOKUP($D9,$C$5:$AJ$470,30,)=0,0,((VLOOKUP($D9,$C$5:$AJ$470,30,)/VLOOKUP($D9,$C$5:$AJ$470,4,))*$F9))</f>
        <v>0</v>
      </c>
      <c r="AG9" s="19"/>
      <c r="AH9" s="19">
        <f>IF(VLOOKUP($D9,$C$5:$AJ$470,32,)=0,0,((VLOOKUP($D9,$C$5:$AJ$470,32,)/VLOOKUP($D9,$C$5:$AJ$470,4,))*$F9))</f>
        <v>0</v>
      </c>
      <c r="AI9" s="19"/>
      <c r="AJ9" s="19">
        <f>IF(VLOOKUP($D9,$C$5:$AJ$470,34,)=0,0,((VLOOKUP($D9,$C$5:$AJ$470,34,)/VLOOKUP($D9,$C$5:$AJ$470,4,))*$F9))</f>
        <v>0</v>
      </c>
      <c r="AK9" s="19">
        <f>SUM(H9:AJ9)</f>
        <v>741231487</v>
      </c>
      <c r="AL9" s="15" t="str">
        <f>IF(ABS(AK9-F9)&lt;1,"ok","err")</f>
        <v>ok</v>
      </c>
    </row>
    <row r="10" spans="1:38" x14ac:dyDescent="0.3">
      <c r="A10" s="17"/>
      <c r="B10" s="57" t="s">
        <v>32</v>
      </c>
      <c r="C10" s="2" t="s">
        <v>33</v>
      </c>
      <c r="D10" s="2" t="s">
        <v>34</v>
      </c>
      <c r="F10" s="43">
        <v>322908293</v>
      </c>
      <c r="H10" s="19">
        <f>IF(VLOOKUP($D10,$C$5:$AJ$470,6,)=0,0,((VLOOKUP($D10,$C$5:$AJ$470,6,)/VLOOKUP($D10,$C$5:$AJ$470,4,))*$F10))</f>
        <v>0</v>
      </c>
      <c r="I10" s="19">
        <f>IF(VLOOKUP($D10,$C$5:$AJ$470,7,)=0,0,((VLOOKUP($D10,$C$5:$AJ$470,7,)/VLOOKUP($D10,$C$5:$AJ$470,4,))*$F10))</f>
        <v>0</v>
      </c>
      <c r="J10" s="19">
        <f>IF(VLOOKUP($D10,$C$5:$AJ$470,8,)=0,0,((VLOOKUP($D10,$C$5:$AJ$470,8,)/VLOOKUP($D10,$C$5:$AJ$470,4,))*$F10))</f>
        <v>0</v>
      </c>
      <c r="K10" s="19">
        <f>IF(VLOOKUP($D10,$C$5:$AJ$470,9,)=0,0,((VLOOKUP($D10,$C$5:$AJ$470,9,)/VLOOKUP($D10,$C$5:$AJ$470,4,))*$F10))</f>
        <v>0</v>
      </c>
      <c r="L10" s="19">
        <f>IF(VLOOKUP($D10,$C$5:$AJ$470,10,)=0,0,((VLOOKUP($D10,$C$5:$AJ$470,10,)/VLOOKUP($D10,$C$5:$AJ$470,4,))*$F10))</f>
        <v>0</v>
      </c>
      <c r="M10" s="19">
        <f>IF(VLOOKUP($D10,$C$5:$AJ$470,11,)=0,0,((VLOOKUP($D10,$C$5:$AJ$470,11,)/VLOOKUP($D10,$C$5:$AJ$470,4,))*$F10))</f>
        <v>0</v>
      </c>
      <c r="N10" s="19"/>
      <c r="O10" s="19">
        <f>IF(VLOOKUP($D10,$C$5:$AJ$470,13,)=0,0,((VLOOKUP($D10,$C$5:$AJ$470,13,)/VLOOKUP($D10,$C$5:$AJ$470,4,))*$F10))</f>
        <v>318642408.04000002</v>
      </c>
      <c r="P10" s="19">
        <f>IF(VLOOKUP($D10,$C$5:$AJ$470,14,)=0,0,((VLOOKUP($D10,$C$5:$AJ$470,14,)/VLOOKUP($D10,$C$5:$AJ$470,4,))*$F10))</f>
        <v>4265884.96</v>
      </c>
      <c r="Q10" s="19">
        <f>IF(VLOOKUP($D10,$C$5:$AJ$470,15,)=0,0,((VLOOKUP($D10,$C$5:$AJ$470,15,)/VLOOKUP($D10,$C$5:$AJ$470,4,))*$F10))</f>
        <v>0</v>
      </c>
      <c r="R10" s="19"/>
      <c r="S10" s="19">
        <f>IF(VLOOKUP($D10,$C$5:$AJ$470,17,)=0,0,((VLOOKUP($D10,$C$5:$AJ$470,17,)/VLOOKUP($D10,$C$5:$AJ$470,4,))*$F10))</f>
        <v>0</v>
      </c>
      <c r="T10" s="19">
        <f>IF(VLOOKUP($D10,$C$5:$AJ$470,18,)=0,0,((VLOOKUP($D10,$C$5:$AJ$470,18,)/VLOOKUP($D10,$C$5:$AJ$470,4,))*$F10))</f>
        <v>0</v>
      </c>
      <c r="U10" s="19">
        <f>IF(VLOOKUP($D10,$C$5:$AJ$470,19,)=0,0,((VLOOKUP($D10,$C$5:$AJ$470,19,)/VLOOKUP($D10,$C$5:$AJ$470,4,))*$F10))</f>
        <v>0</v>
      </c>
      <c r="V10" s="19">
        <f>IF(VLOOKUP($D10,$C$5:$AJ$470,20,)=0,0,((VLOOKUP($D10,$C$5:$AJ$470,20,)/VLOOKUP($D10,$C$5:$AJ$470,4,))*$F10))</f>
        <v>0</v>
      </c>
      <c r="W10" s="19">
        <f>IF(VLOOKUP($D10,$C$5:$AJ$470,21,)=0,0,((VLOOKUP($D10,$C$5:$AJ$470,21,)/VLOOKUP($D10,$C$5:$AJ$470,4,))*$F10))</f>
        <v>0</v>
      </c>
      <c r="X10" s="19">
        <f>IF(VLOOKUP($D10,$C$5:$AJ$470,22,)=0,0,((VLOOKUP($D10,$C$5:$AJ$470,22,)/VLOOKUP($D10,$C$5:$AJ$470,4,))*$F10))</f>
        <v>0</v>
      </c>
      <c r="Y10" s="19">
        <f>IF(VLOOKUP($D10,$C$5:$AJ$470,23,)=0,0,((VLOOKUP($D10,$C$5:$AJ$470,23,)/VLOOKUP($D10,$C$5:$AJ$470,4,))*$F10))</f>
        <v>0</v>
      </c>
      <c r="Z10" s="19">
        <f>IF(VLOOKUP($D10,$C$5:$AJ$470,24,)=0,0,((VLOOKUP($D10,$C$5:$AJ$470,24,)/VLOOKUP($D10,$C$5:$AJ$470,4,))*$F10))</f>
        <v>0</v>
      </c>
      <c r="AA10" s="19">
        <f>IF(VLOOKUP($D10,$C$5:$AJ$470,25,)=0,0,((VLOOKUP($D10,$C$5:$AJ$470,25,)/VLOOKUP($D10,$C$5:$AJ$470,4,))*$F10))</f>
        <v>0</v>
      </c>
      <c r="AB10" s="19">
        <f>IF(VLOOKUP($D10,$C$5:$AJ$470,26,)=0,0,((VLOOKUP($D10,$C$5:$AJ$470,26,)/VLOOKUP($D10,$C$5:$AJ$470,4,))*$F10))</f>
        <v>0</v>
      </c>
      <c r="AC10" s="19">
        <f>IF(VLOOKUP($D10,$C$5:$AJ$470,27,)=0,0,((VLOOKUP($D10,$C$5:$AJ$470,27,)/VLOOKUP($D10,$C$5:$AJ$470,4,))*$F10))</f>
        <v>0</v>
      </c>
      <c r="AD10" s="19">
        <f>IF(VLOOKUP($D10,$C$5:$AJ$470,28,)=0,0,((VLOOKUP($D10,$C$5:$AJ$470,28,)/VLOOKUP($D10,$C$5:$AJ$470,4,))*$F10))</f>
        <v>0</v>
      </c>
      <c r="AE10" s="19"/>
      <c r="AF10" s="19">
        <f>IF(VLOOKUP($D10,$C$5:$AJ$470,30,)=0,0,((VLOOKUP($D10,$C$5:$AJ$470,30,)/VLOOKUP($D10,$C$5:$AJ$470,4,))*$F10))</f>
        <v>0</v>
      </c>
      <c r="AG10" s="19"/>
      <c r="AH10" s="19">
        <f>IF(VLOOKUP($D10,$C$5:$AJ$470,32,)=0,0,((VLOOKUP($D10,$C$5:$AJ$470,32,)/VLOOKUP($D10,$C$5:$AJ$470,4,))*$F10))</f>
        <v>0</v>
      </c>
      <c r="AI10" s="19"/>
      <c r="AJ10" s="19">
        <f>IF(VLOOKUP($D10,$C$5:$AJ$470,34,)=0,0,((VLOOKUP($D10,$C$5:$AJ$470,34,)/VLOOKUP($D10,$C$5:$AJ$470,4,))*$F10))</f>
        <v>0</v>
      </c>
      <c r="AK10" s="19">
        <f>SUM(H10:AJ10)</f>
        <v>322908293</v>
      </c>
      <c r="AL10" s="15" t="str">
        <f>IF(ABS(AK10-F10)&lt;1,"ok","err")</f>
        <v>ok</v>
      </c>
    </row>
    <row r="11" spans="1:38" x14ac:dyDescent="0.3">
      <c r="A11" s="17"/>
      <c r="B11" s="57"/>
      <c r="F11" s="43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5"/>
    </row>
    <row r="12" spans="1:38" x14ac:dyDescent="0.3">
      <c r="A12" s="64" t="s">
        <v>35</v>
      </c>
      <c r="C12" s="2" t="s">
        <v>25</v>
      </c>
      <c r="F12" s="43">
        <f>F8+F9+F10</f>
        <v>4565221214</v>
      </c>
      <c r="G12" s="19"/>
      <c r="H12" s="19">
        <f t="shared" ref="H12:M12" si="0">H8+H9+H10</f>
        <v>1558215468.6926489</v>
      </c>
      <c r="I12" s="19">
        <f t="shared" si="0"/>
        <v>1922422460.3073514</v>
      </c>
      <c r="J12" s="19">
        <f t="shared" si="0"/>
        <v>0</v>
      </c>
      <c r="K12" s="19">
        <f t="shared" si="0"/>
        <v>0</v>
      </c>
      <c r="L12" s="19">
        <f t="shared" si="0"/>
        <v>22218483.357904799</v>
      </c>
      <c r="M12" s="19">
        <f t="shared" si="0"/>
        <v>739456508.64209521</v>
      </c>
      <c r="N12" s="19"/>
      <c r="O12" s="19">
        <f>O8+O9+O10</f>
        <v>318642408.04000002</v>
      </c>
      <c r="P12" s="19">
        <f>P8+P9+P10</f>
        <v>4265884.96</v>
      </c>
      <c r="Q12" s="19">
        <f>Q8+Q9+Q10</f>
        <v>0</v>
      </c>
      <c r="R12" s="19"/>
      <c r="S12" s="19">
        <f t="shared" ref="S12:AD12" si="1">S8+S9+S10</f>
        <v>0</v>
      </c>
      <c r="T12" s="19">
        <f t="shared" si="1"/>
        <v>0</v>
      </c>
      <c r="U12" s="19">
        <f t="shared" si="1"/>
        <v>0</v>
      </c>
      <c r="V12" s="19">
        <f t="shared" si="1"/>
        <v>0</v>
      </c>
      <c r="W12" s="19">
        <f t="shared" si="1"/>
        <v>0</v>
      </c>
      <c r="X12" s="19">
        <f t="shared" si="1"/>
        <v>0</v>
      </c>
      <c r="Y12" s="19">
        <f t="shared" si="1"/>
        <v>0</v>
      </c>
      <c r="Z12" s="19">
        <f t="shared" si="1"/>
        <v>0</v>
      </c>
      <c r="AA12" s="19">
        <f t="shared" si="1"/>
        <v>0</v>
      </c>
      <c r="AB12" s="19">
        <f t="shared" si="1"/>
        <v>0</v>
      </c>
      <c r="AC12" s="19">
        <f t="shared" si="1"/>
        <v>0</v>
      </c>
      <c r="AD12" s="19">
        <f t="shared" si="1"/>
        <v>0</v>
      </c>
      <c r="AE12" s="19"/>
      <c r="AF12" s="19">
        <f>AF8+AF9+AF10</f>
        <v>0</v>
      </c>
      <c r="AG12" s="19"/>
      <c r="AH12" s="19">
        <f>AH8+AH9+AH10</f>
        <v>0</v>
      </c>
      <c r="AI12" s="19"/>
      <c r="AJ12" s="19">
        <f>AJ8+AJ9+AJ10</f>
        <v>0</v>
      </c>
      <c r="AK12" s="19">
        <f>SUM(H12:AJ12)</f>
        <v>4565221214</v>
      </c>
      <c r="AL12" s="15" t="str">
        <f>IF(ABS(AK12-F12)&lt;1,"ok","err")</f>
        <v>ok</v>
      </c>
    </row>
    <row r="13" spans="1:38" x14ac:dyDescent="0.3">
      <c r="AL13" s="15"/>
    </row>
    <row r="14" spans="1:38" x14ac:dyDescent="0.3">
      <c r="B14" s="2" t="s">
        <v>36</v>
      </c>
      <c r="C14" s="2" t="s">
        <v>37</v>
      </c>
      <c r="D14" s="2" t="s">
        <v>25</v>
      </c>
      <c r="F14" s="20">
        <v>128492428</v>
      </c>
      <c r="G14" s="20"/>
      <c r="H14" s="19">
        <f>IF(VLOOKUP($D14,$C$5:$AJ$470,6,)=0,0,((VLOOKUP($D14,$C$5:$AJ$470,6,)/VLOOKUP($D14,$C$5:$AJ$470,4,))*$F14))</f>
        <v>43857434.182044096</v>
      </c>
      <c r="I14" s="19">
        <f>IF(VLOOKUP($D14,$C$5:$AJ$470,7,)=0,0,((VLOOKUP($D14,$C$5:$AJ$470,7,)/VLOOKUP($D14,$C$5:$AJ$470,4,))*$F14))</f>
        <v>54108381.168717049</v>
      </c>
      <c r="J14" s="19">
        <f>IF(VLOOKUP($D14,$C$5:$AJ$470,8,)=0,0,((VLOOKUP($D14,$C$5:$AJ$470,8,)/VLOOKUP($D14,$C$5:$AJ$470,4,))*$F14))</f>
        <v>0</v>
      </c>
      <c r="K14" s="19">
        <f>IF(VLOOKUP($D14,$C$5:$AJ$470,9,)=0,0,((VLOOKUP($D14,$C$5:$AJ$470,9,)/VLOOKUP($D14,$C$5:$AJ$470,4,))*$F14))</f>
        <v>0</v>
      </c>
      <c r="L14" s="19">
        <f>IF(VLOOKUP($D14,$C$5:$AJ$470,10,)=0,0,((VLOOKUP($D14,$C$5:$AJ$470,10,)/VLOOKUP($D14,$C$5:$AJ$470,4,))*$F14))</f>
        <v>625360.02951614698</v>
      </c>
      <c r="M14" s="19">
        <f>IF(VLOOKUP($D14,$C$5:$AJ$470,11,)=0,0,((VLOOKUP($D14,$C$5:$AJ$470,11,)/VLOOKUP($D14,$C$5:$AJ$470,4,))*$F14))</f>
        <v>20812696.196286842</v>
      </c>
      <c r="N14" s="19"/>
      <c r="O14" s="19">
        <f>IF(VLOOKUP($D14,$C$5:$AJ$470,13,)=0,0,((VLOOKUP($D14,$C$5:$AJ$470,13,)/VLOOKUP($D14,$C$5:$AJ$470,4,))*$F14))</f>
        <v>8968489.0947381631</v>
      </c>
      <c r="P14" s="19">
        <f>IF(VLOOKUP($D14,$C$5:$AJ$470,14,)=0,0,((VLOOKUP($D14,$C$5:$AJ$470,14,)/VLOOKUP($D14,$C$5:$AJ$470,4,))*$F14))</f>
        <v>120067.32869770698</v>
      </c>
      <c r="Q14" s="19">
        <f>IF(VLOOKUP($D14,$C$5:$AJ$470,15,)=0,0,((VLOOKUP($D14,$C$5:$AJ$470,15,)/VLOOKUP($D14,$C$5:$AJ$470,4,))*$F14))</f>
        <v>0</v>
      </c>
      <c r="R14" s="19"/>
      <c r="S14" s="19">
        <f>IF(VLOOKUP($D14,$C$5:$AJ$470,17,)=0,0,((VLOOKUP($D14,$C$5:$AJ$470,17,)/VLOOKUP($D14,$C$5:$AJ$470,4,))*$F14))</f>
        <v>0</v>
      </c>
      <c r="T14" s="19">
        <f>IF(VLOOKUP($D14,$C$5:$AJ$470,18,)=0,0,((VLOOKUP($D14,$C$5:$AJ$470,18,)/VLOOKUP($D14,$C$5:$AJ$470,4,))*$F14))</f>
        <v>0</v>
      </c>
      <c r="U14" s="19">
        <f>IF(VLOOKUP($D14,$C$5:$AJ$470,19,)=0,0,((VLOOKUP($D14,$C$5:$AJ$470,19,)/VLOOKUP($D14,$C$5:$AJ$470,4,))*$F14))</f>
        <v>0</v>
      </c>
      <c r="V14" s="19">
        <f>IF(VLOOKUP($D14,$C$5:$AJ$470,20,)=0,0,((VLOOKUP($D14,$C$5:$AJ$470,20,)/VLOOKUP($D14,$C$5:$AJ$470,4,))*$F14))</f>
        <v>0</v>
      </c>
      <c r="W14" s="19">
        <f>IF(VLOOKUP($D14,$C$5:$AJ$470,21,)=0,0,((VLOOKUP($D14,$C$5:$AJ$470,21,)/VLOOKUP($D14,$C$5:$AJ$470,4,))*$F14))</f>
        <v>0</v>
      </c>
      <c r="X14" s="19">
        <f>IF(VLOOKUP($D14,$C$5:$AJ$470,22,)=0,0,((VLOOKUP($D14,$C$5:$AJ$470,22,)/VLOOKUP($D14,$C$5:$AJ$470,4,))*$F14))</f>
        <v>0</v>
      </c>
      <c r="Y14" s="19">
        <f>IF(VLOOKUP($D14,$C$5:$AJ$470,23,)=0,0,((VLOOKUP($D14,$C$5:$AJ$470,23,)/VLOOKUP($D14,$C$5:$AJ$470,4,))*$F14))</f>
        <v>0</v>
      </c>
      <c r="Z14" s="19">
        <f>IF(VLOOKUP($D14,$C$5:$AJ$470,24,)=0,0,((VLOOKUP($D14,$C$5:$AJ$470,24,)/VLOOKUP($D14,$C$5:$AJ$470,4,))*$F14))</f>
        <v>0</v>
      </c>
      <c r="AA14" s="19">
        <f>IF(VLOOKUP($D14,$C$5:$AJ$470,25,)=0,0,((VLOOKUP($D14,$C$5:$AJ$470,25,)/VLOOKUP($D14,$C$5:$AJ$470,4,))*$F14))</f>
        <v>0</v>
      </c>
      <c r="AB14" s="19">
        <f>IF(VLOOKUP($D14,$C$5:$AJ$470,26,)=0,0,((VLOOKUP($D14,$C$5:$AJ$470,26,)/VLOOKUP($D14,$C$5:$AJ$470,4,))*$F14))</f>
        <v>0</v>
      </c>
      <c r="AC14" s="19">
        <f>IF(VLOOKUP($D14,$C$5:$AJ$470,27,)=0,0,((VLOOKUP($D14,$C$5:$AJ$470,27,)/VLOOKUP($D14,$C$5:$AJ$470,4,))*$F14))</f>
        <v>0</v>
      </c>
      <c r="AD14" s="19">
        <f>IF(VLOOKUP($D14,$C$5:$AJ$470,28,)=0,0,((VLOOKUP($D14,$C$5:$AJ$470,28,)/VLOOKUP($D14,$C$5:$AJ$470,4,))*$F14))</f>
        <v>0</v>
      </c>
      <c r="AE14" s="19"/>
      <c r="AF14" s="19">
        <f>IF(VLOOKUP($D14,$C$5:$AJ$470,30,)=0,0,((VLOOKUP($D14,$C$5:$AJ$470,30,)/VLOOKUP($D14,$C$5:$AJ$470,4,))*$F14))</f>
        <v>0</v>
      </c>
      <c r="AG14" s="19"/>
      <c r="AH14" s="19">
        <f>IF(VLOOKUP($D14,$C$5:$AJ$470,32,)=0,0,((VLOOKUP($D14,$C$5:$AJ$470,32,)/VLOOKUP($D14,$C$5:$AJ$470,4,))*$F14))</f>
        <v>0</v>
      </c>
      <c r="AI14" s="19"/>
      <c r="AJ14" s="19">
        <f>IF(VLOOKUP($D14,$C$5:$AJ$470,34,)=0,0,((VLOOKUP($D14,$C$5:$AJ$470,34,)/VLOOKUP($D14,$C$5:$AJ$470,4,))*$F14))</f>
        <v>0</v>
      </c>
      <c r="AK14" s="19">
        <f>SUM(H14:AJ14)</f>
        <v>128492428</v>
      </c>
      <c r="AL14" s="15" t="str">
        <f>IF(ABS(AK14-F14)&lt;1,"ok","err")</f>
        <v>ok</v>
      </c>
    </row>
    <row r="15" spans="1:38" x14ac:dyDescent="0.3">
      <c r="F15" s="20"/>
      <c r="G15" s="2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5"/>
    </row>
    <row r="16" spans="1:38" x14ac:dyDescent="0.3">
      <c r="A16" s="2">
        <v>105</v>
      </c>
      <c r="B16" s="2" t="s">
        <v>38</v>
      </c>
      <c r="C16" s="2" t="s">
        <v>39</v>
      </c>
      <c r="D16" s="2" t="s">
        <v>27</v>
      </c>
      <c r="F16" s="44">
        <v>27461.55</v>
      </c>
      <c r="H16" s="19">
        <f>IF(VLOOKUP($D16,$C$5:$AJ$470,6,)=0,0,((VLOOKUP($D16,$C$5:$AJ$470,6,)/VLOOKUP($D16,$C$5:$AJ$470,4,))*$F16))</f>
        <v>12222.22699212903</v>
      </c>
      <c r="I16" s="19">
        <f>IF(VLOOKUP($D16,$C$5:$AJ$470,7,)=0,0,((VLOOKUP($D16,$C$5:$AJ$470,7,)/VLOOKUP($D16,$C$5:$AJ$470,4,))*$F16))</f>
        <v>15078.969601269018</v>
      </c>
      <c r="J16" s="19">
        <f>IF(VLOOKUP($D16,$C$5:$AJ$470,8,)=0,0,((VLOOKUP($D16,$C$5:$AJ$470,8,)/VLOOKUP($D16,$C$5:$AJ$470,4,))*$F16))</f>
        <v>0</v>
      </c>
      <c r="K16" s="19">
        <f>IF(VLOOKUP($D16,$C$5:$AJ$470,9,)=0,0,((VLOOKUP($D16,$C$5:$AJ$470,9,)/VLOOKUP($D16,$C$5:$AJ$470,4,))*$F16))</f>
        <v>0</v>
      </c>
      <c r="L16" s="19">
        <f>IF(VLOOKUP($D16,$C$5:$AJ$470,10,)=0,0,((VLOOKUP($D16,$C$5:$AJ$470,10,)/VLOOKUP($D16,$C$5:$AJ$470,4,))*$F16))</f>
        <v>160.3534066019528</v>
      </c>
      <c r="M16" s="19">
        <f>IF(VLOOKUP($D16,$C$5:$AJ$470,11,)=0,0,((VLOOKUP($D16,$C$5:$AJ$470,11,)/VLOOKUP($D16,$C$5:$AJ$470,4,))*$F16))</f>
        <v>0</v>
      </c>
      <c r="N16" s="19"/>
      <c r="O16" s="19">
        <f>IF(VLOOKUP($D16,$C$5:$AJ$470,13,)=0,0,((VLOOKUP($D16,$C$5:$AJ$470,13,)/VLOOKUP($D16,$C$5:$AJ$470,4,))*$F16))</f>
        <v>0</v>
      </c>
      <c r="P16" s="19">
        <f>IF(VLOOKUP($D16,$C$5:$AJ$470,14,)=0,0,((VLOOKUP($D16,$C$5:$AJ$470,14,)/VLOOKUP($D16,$C$5:$AJ$470,4,))*$F16))</f>
        <v>0</v>
      </c>
      <c r="Q16" s="19">
        <f>IF(VLOOKUP($D16,$C$5:$AJ$470,15,)=0,0,((VLOOKUP($D16,$C$5:$AJ$470,15,)/VLOOKUP($D16,$C$5:$AJ$470,4,))*$F16))</f>
        <v>0</v>
      </c>
      <c r="R16" s="19"/>
      <c r="S16" s="19">
        <f>IF(VLOOKUP($D16,$C$5:$AJ$470,17,)=0,0,((VLOOKUP($D16,$C$5:$AJ$470,17,)/VLOOKUP($D16,$C$5:$AJ$470,4,))*$F16))</f>
        <v>0</v>
      </c>
      <c r="T16" s="19">
        <f>IF(VLOOKUP($D16,$C$5:$AJ$470,18,)=0,0,((VLOOKUP($D16,$C$5:$AJ$470,18,)/VLOOKUP($D16,$C$5:$AJ$470,4,))*$F16))</f>
        <v>0</v>
      </c>
      <c r="U16" s="19">
        <f>IF(VLOOKUP($D16,$C$5:$AJ$470,19,)=0,0,((VLOOKUP($D16,$C$5:$AJ$470,19,)/VLOOKUP($D16,$C$5:$AJ$470,4,))*$F16))</f>
        <v>0</v>
      </c>
      <c r="V16" s="19">
        <f>IF(VLOOKUP($D16,$C$5:$AJ$470,20,)=0,0,((VLOOKUP($D16,$C$5:$AJ$470,20,)/VLOOKUP($D16,$C$5:$AJ$470,4,))*$F16))</f>
        <v>0</v>
      </c>
      <c r="W16" s="19">
        <f>IF(VLOOKUP($D16,$C$5:$AJ$470,21,)=0,0,((VLOOKUP($D16,$C$5:$AJ$470,21,)/VLOOKUP($D16,$C$5:$AJ$470,4,))*$F16))</f>
        <v>0</v>
      </c>
      <c r="X16" s="19">
        <f>IF(VLOOKUP($D16,$C$5:$AJ$470,22,)=0,0,((VLOOKUP($D16,$C$5:$AJ$470,22,)/VLOOKUP($D16,$C$5:$AJ$470,4,))*$F16))</f>
        <v>0</v>
      </c>
      <c r="Y16" s="19">
        <f>IF(VLOOKUP($D16,$C$5:$AJ$470,23,)=0,0,((VLOOKUP($D16,$C$5:$AJ$470,23,)/VLOOKUP($D16,$C$5:$AJ$470,4,))*$F16))</f>
        <v>0</v>
      </c>
      <c r="Z16" s="19">
        <f>IF(VLOOKUP($D16,$C$5:$AJ$470,24,)=0,0,((VLOOKUP($D16,$C$5:$AJ$470,24,)/VLOOKUP($D16,$C$5:$AJ$470,4,))*$F16))</f>
        <v>0</v>
      </c>
      <c r="AA16" s="19">
        <f>IF(VLOOKUP($D16,$C$5:$AJ$470,25,)=0,0,((VLOOKUP($D16,$C$5:$AJ$470,25,)/VLOOKUP($D16,$C$5:$AJ$470,4,))*$F16))</f>
        <v>0</v>
      </c>
      <c r="AB16" s="19">
        <f>IF(VLOOKUP($D16,$C$5:$AJ$470,26,)=0,0,((VLOOKUP($D16,$C$5:$AJ$470,26,)/VLOOKUP($D16,$C$5:$AJ$470,4,))*$F16))</f>
        <v>0</v>
      </c>
      <c r="AC16" s="19">
        <f>IF(VLOOKUP($D16,$C$5:$AJ$470,27,)=0,0,((VLOOKUP($D16,$C$5:$AJ$470,27,)/VLOOKUP($D16,$C$5:$AJ$470,4,))*$F16))</f>
        <v>0</v>
      </c>
      <c r="AD16" s="19">
        <f>IF(VLOOKUP($D16,$C$5:$AJ$470,28,)=0,0,((VLOOKUP($D16,$C$5:$AJ$470,28,)/VLOOKUP($D16,$C$5:$AJ$470,4,))*$F16))</f>
        <v>0</v>
      </c>
      <c r="AE16" s="19"/>
      <c r="AF16" s="19">
        <f>IF(VLOOKUP($D16,$C$5:$AJ$470,30,)=0,0,((VLOOKUP($D16,$C$5:$AJ$470,30,)/VLOOKUP($D16,$C$5:$AJ$470,4,))*$F16))</f>
        <v>0</v>
      </c>
      <c r="AG16" s="19"/>
      <c r="AH16" s="19">
        <f>IF(VLOOKUP($D16,$C$5:$AJ$470,32,)=0,0,((VLOOKUP($D16,$C$5:$AJ$470,32,)/VLOOKUP($D16,$C$5:$AJ$470,4,))*$F16))</f>
        <v>0</v>
      </c>
      <c r="AI16" s="19"/>
      <c r="AJ16" s="19">
        <f>IF(VLOOKUP($D16,$C$5:$AJ$470,34,)=0,0,((VLOOKUP($D16,$C$5:$AJ$470,34,)/VLOOKUP($D16,$C$5:$AJ$470,4,))*$F16))</f>
        <v>0</v>
      </c>
      <c r="AK16" s="19">
        <f>SUM(H16:AJ16)</f>
        <v>27461.55</v>
      </c>
      <c r="AL16" s="15" t="str">
        <f>IF(ABS(AK16-F16)&lt;1,"ok","err")</f>
        <v>ok</v>
      </c>
    </row>
    <row r="17" spans="1:38" hidden="1" x14ac:dyDescent="0.3">
      <c r="A17" s="2">
        <v>106</v>
      </c>
      <c r="B17" s="2" t="s">
        <v>40</v>
      </c>
      <c r="C17" s="2" t="s">
        <v>41</v>
      </c>
      <c r="D17" s="2" t="s">
        <v>25</v>
      </c>
      <c r="F17" s="44">
        <v>0</v>
      </c>
      <c r="H17" s="19">
        <f>IF(VLOOKUP($D17,$C$5:$AJ$470,6,)=0,0,((VLOOKUP($D17,$C$5:$AJ$470,6,)/VLOOKUP($D17,$C$5:$AJ$470,4,))*$F17))</f>
        <v>0</v>
      </c>
      <c r="I17" s="19">
        <f>IF(VLOOKUP($D17,$C$5:$AJ$470,7,)=0,0,((VLOOKUP($D17,$C$5:$AJ$470,7,)/VLOOKUP($D17,$C$5:$AJ$470,4,))*$F17))</f>
        <v>0</v>
      </c>
      <c r="J17" s="19">
        <f>IF(VLOOKUP($D17,$C$5:$AJ$470,8,)=0,0,((VLOOKUP($D17,$C$5:$AJ$470,8,)/VLOOKUP($D17,$C$5:$AJ$470,4,))*$F17))</f>
        <v>0</v>
      </c>
      <c r="K17" s="19">
        <f>IF(VLOOKUP($D17,$C$5:$AJ$470,9,)=0,0,((VLOOKUP($D17,$C$5:$AJ$470,9,)/VLOOKUP($D17,$C$5:$AJ$470,4,))*$F17))</f>
        <v>0</v>
      </c>
      <c r="L17" s="19">
        <f>IF(VLOOKUP($D17,$C$5:$AJ$470,10,)=0,0,((VLOOKUP($D17,$C$5:$AJ$470,10,)/VLOOKUP($D17,$C$5:$AJ$470,4,))*$F17))</f>
        <v>0</v>
      </c>
      <c r="M17" s="19">
        <f>IF(VLOOKUP($D17,$C$5:$AJ$470,11,)=0,0,((VLOOKUP($D17,$C$5:$AJ$470,11,)/VLOOKUP($D17,$C$5:$AJ$470,4,))*$F17))</f>
        <v>0</v>
      </c>
      <c r="N17" s="19"/>
      <c r="O17" s="19">
        <f>IF(VLOOKUP($D17,$C$5:$AJ$470,13,)=0,0,((VLOOKUP($D17,$C$5:$AJ$470,13,)/VLOOKUP($D17,$C$5:$AJ$470,4,))*$F17))</f>
        <v>0</v>
      </c>
      <c r="P17" s="19">
        <f>IF(VLOOKUP($D17,$C$5:$AJ$470,14,)=0,0,((VLOOKUP($D17,$C$5:$AJ$470,14,)/VLOOKUP($D17,$C$5:$AJ$470,4,))*$F17))</f>
        <v>0</v>
      </c>
      <c r="Q17" s="19">
        <f>IF(VLOOKUP($D17,$C$5:$AJ$470,15,)=0,0,((VLOOKUP($D17,$C$5:$AJ$470,15,)/VLOOKUP($D17,$C$5:$AJ$470,4,))*$F17))</f>
        <v>0</v>
      </c>
      <c r="R17" s="19"/>
      <c r="S17" s="19">
        <f>IF(VLOOKUP($D17,$C$5:$AJ$470,17,)=0,0,((VLOOKUP($D17,$C$5:$AJ$470,17,)/VLOOKUP($D17,$C$5:$AJ$470,4,))*$F17))</f>
        <v>0</v>
      </c>
      <c r="T17" s="19">
        <f>IF(VLOOKUP($D17,$C$5:$AJ$470,18,)=0,0,((VLOOKUP($D17,$C$5:$AJ$470,18,)/VLOOKUP($D17,$C$5:$AJ$470,4,))*$F17))</f>
        <v>0</v>
      </c>
      <c r="U17" s="19">
        <f>IF(VLOOKUP($D17,$C$5:$AJ$470,19,)=0,0,((VLOOKUP($D17,$C$5:$AJ$470,19,)/VLOOKUP($D17,$C$5:$AJ$470,4,))*$F17))</f>
        <v>0</v>
      </c>
      <c r="V17" s="19">
        <f>IF(VLOOKUP($D17,$C$5:$AJ$470,20,)=0,0,((VLOOKUP($D17,$C$5:$AJ$470,20,)/VLOOKUP($D17,$C$5:$AJ$470,4,))*$F17))</f>
        <v>0</v>
      </c>
      <c r="W17" s="19">
        <f>IF(VLOOKUP($D17,$C$5:$AJ$470,21,)=0,0,((VLOOKUP($D17,$C$5:$AJ$470,21,)/VLOOKUP($D17,$C$5:$AJ$470,4,))*$F17))</f>
        <v>0</v>
      </c>
      <c r="X17" s="19">
        <f>IF(VLOOKUP($D17,$C$5:$AJ$470,22,)=0,0,((VLOOKUP($D17,$C$5:$AJ$470,22,)/VLOOKUP($D17,$C$5:$AJ$470,4,))*$F17))</f>
        <v>0</v>
      </c>
      <c r="Y17" s="19">
        <f>IF(VLOOKUP($D17,$C$5:$AJ$470,23,)=0,0,((VLOOKUP($D17,$C$5:$AJ$470,23,)/VLOOKUP($D17,$C$5:$AJ$470,4,))*$F17))</f>
        <v>0</v>
      </c>
      <c r="Z17" s="19">
        <f>IF(VLOOKUP($D17,$C$5:$AJ$470,24,)=0,0,((VLOOKUP($D17,$C$5:$AJ$470,24,)/VLOOKUP($D17,$C$5:$AJ$470,4,))*$F17))</f>
        <v>0</v>
      </c>
      <c r="AA17" s="19">
        <f>IF(VLOOKUP($D17,$C$5:$AJ$470,25,)=0,0,((VLOOKUP($D17,$C$5:$AJ$470,25,)/VLOOKUP($D17,$C$5:$AJ$470,4,))*$F17))</f>
        <v>0</v>
      </c>
      <c r="AB17" s="19">
        <f>IF(VLOOKUP($D17,$C$5:$AJ$470,26,)=0,0,((VLOOKUP($D17,$C$5:$AJ$470,26,)/VLOOKUP($D17,$C$5:$AJ$470,4,))*$F17))</f>
        <v>0</v>
      </c>
      <c r="AC17" s="19">
        <f>IF(VLOOKUP($D17,$C$5:$AJ$470,27,)=0,0,((VLOOKUP($D17,$C$5:$AJ$470,27,)/VLOOKUP($D17,$C$5:$AJ$470,4,))*$F17))</f>
        <v>0</v>
      </c>
      <c r="AD17" s="19">
        <f>IF(VLOOKUP($D17,$C$5:$AJ$470,28,)=0,0,((VLOOKUP($D17,$C$5:$AJ$470,28,)/VLOOKUP($D17,$C$5:$AJ$470,4,))*$F17))</f>
        <v>0</v>
      </c>
      <c r="AE17" s="19"/>
      <c r="AF17" s="19">
        <f>IF(VLOOKUP($D17,$C$5:$AJ$470,30,)=0,0,((VLOOKUP($D17,$C$5:$AJ$470,30,)/VLOOKUP($D17,$C$5:$AJ$470,4,))*$F17))</f>
        <v>0</v>
      </c>
      <c r="AG17" s="19"/>
      <c r="AH17" s="19">
        <f>IF(VLOOKUP($D17,$C$5:$AJ$470,32,)=0,0,((VLOOKUP($D17,$C$5:$AJ$470,32,)/VLOOKUP($D17,$C$5:$AJ$470,4,))*$F17))</f>
        <v>0</v>
      </c>
      <c r="AI17" s="19"/>
      <c r="AJ17" s="19">
        <f>IF(VLOOKUP($D17,$C$5:$AJ$470,34,)=0,0,((VLOOKUP($D17,$C$5:$AJ$470,34,)/VLOOKUP($D17,$C$5:$AJ$470,4,))*$F17))</f>
        <v>0</v>
      </c>
      <c r="AK17" s="19">
        <f>SUM(H17:AJ17)</f>
        <v>0</v>
      </c>
      <c r="AL17" s="15" t="str">
        <f>IF(ABS(AK17-F17)&lt;1,"ok","err")</f>
        <v>ok</v>
      </c>
    </row>
    <row r="18" spans="1:38" hidden="1" x14ac:dyDescent="0.3">
      <c r="A18" s="72">
        <v>106.1</v>
      </c>
      <c r="B18" s="2" t="s">
        <v>42</v>
      </c>
      <c r="C18" s="2" t="s">
        <v>43</v>
      </c>
      <c r="D18" s="2" t="s">
        <v>25</v>
      </c>
      <c r="F18" s="44">
        <v>0</v>
      </c>
      <c r="H18" s="19">
        <f>IF(VLOOKUP($D18,$C$5:$AJ$470,6,)=0,0,((VLOOKUP($D18,$C$5:$AJ$470,6,)/VLOOKUP($D18,$C$5:$AJ$470,4,))*$F18))</f>
        <v>0</v>
      </c>
      <c r="I18" s="19">
        <f>IF(VLOOKUP($D18,$C$5:$AJ$470,7,)=0,0,((VLOOKUP($D18,$C$5:$AJ$470,7,)/VLOOKUP($D18,$C$5:$AJ$470,4,))*$F18))</f>
        <v>0</v>
      </c>
      <c r="J18" s="19">
        <f>IF(VLOOKUP($D18,$C$5:$AJ$470,8,)=0,0,((VLOOKUP($D18,$C$5:$AJ$470,8,)/VLOOKUP($D18,$C$5:$AJ$470,4,))*$F18))</f>
        <v>0</v>
      </c>
      <c r="K18" s="19">
        <f>IF(VLOOKUP($D18,$C$5:$AJ$470,9,)=0,0,((VLOOKUP($D18,$C$5:$AJ$470,9,)/VLOOKUP($D18,$C$5:$AJ$470,4,))*$F18))</f>
        <v>0</v>
      </c>
      <c r="L18" s="19">
        <f>IF(VLOOKUP($D18,$C$5:$AJ$470,10,)=0,0,((VLOOKUP($D18,$C$5:$AJ$470,10,)/VLOOKUP($D18,$C$5:$AJ$470,4,))*$F18))</f>
        <v>0</v>
      </c>
      <c r="M18" s="19">
        <f>IF(VLOOKUP($D18,$C$5:$AJ$470,11,)=0,0,((VLOOKUP($D18,$C$5:$AJ$470,11,)/VLOOKUP($D18,$C$5:$AJ$470,4,))*$F18))</f>
        <v>0</v>
      </c>
      <c r="N18" s="19"/>
      <c r="O18" s="19">
        <f>IF(VLOOKUP($D18,$C$5:$AJ$470,13,)=0,0,((VLOOKUP($D18,$C$5:$AJ$470,13,)/VLOOKUP($D18,$C$5:$AJ$470,4,))*$F18))</f>
        <v>0</v>
      </c>
      <c r="P18" s="19">
        <f>IF(VLOOKUP($D18,$C$5:$AJ$470,14,)=0,0,((VLOOKUP($D18,$C$5:$AJ$470,14,)/VLOOKUP($D18,$C$5:$AJ$470,4,))*$F18))</f>
        <v>0</v>
      </c>
      <c r="Q18" s="19">
        <f>IF(VLOOKUP($D18,$C$5:$AJ$470,15,)=0,0,((VLOOKUP($D18,$C$5:$AJ$470,15,)/VLOOKUP($D18,$C$5:$AJ$470,4,))*$F18))</f>
        <v>0</v>
      </c>
      <c r="R18" s="19"/>
      <c r="S18" s="19">
        <f>IF(VLOOKUP($D18,$C$5:$AJ$470,17,)=0,0,((VLOOKUP($D18,$C$5:$AJ$470,17,)/VLOOKUP($D18,$C$5:$AJ$470,4,))*$F18))</f>
        <v>0</v>
      </c>
      <c r="T18" s="19">
        <f>IF(VLOOKUP($D18,$C$5:$AJ$470,18,)=0,0,((VLOOKUP($D18,$C$5:$AJ$470,18,)/VLOOKUP($D18,$C$5:$AJ$470,4,))*$F18))</f>
        <v>0</v>
      </c>
      <c r="U18" s="19">
        <f>IF(VLOOKUP($D18,$C$5:$AJ$470,19,)=0,0,((VLOOKUP($D18,$C$5:$AJ$470,19,)/VLOOKUP($D18,$C$5:$AJ$470,4,))*$F18))</f>
        <v>0</v>
      </c>
      <c r="V18" s="19">
        <f>IF(VLOOKUP($D18,$C$5:$AJ$470,20,)=0,0,((VLOOKUP($D18,$C$5:$AJ$470,20,)/VLOOKUP($D18,$C$5:$AJ$470,4,))*$F18))</f>
        <v>0</v>
      </c>
      <c r="W18" s="19">
        <f>IF(VLOOKUP($D18,$C$5:$AJ$470,21,)=0,0,((VLOOKUP($D18,$C$5:$AJ$470,21,)/VLOOKUP($D18,$C$5:$AJ$470,4,))*$F18))</f>
        <v>0</v>
      </c>
      <c r="X18" s="19">
        <f>IF(VLOOKUP($D18,$C$5:$AJ$470,22,)=0,0,((VLOOKUP($D18,$C$5:$AJ$470,22,)/VLOOKUP($D18,$C$5:$AJ$470,4,))*$F18))</f>
        <v>0</v>
      </c>
      <c r="Y18" s="19">
        <f>IF(VLOOKUP($D18,$C$5:$AJ$470,23,)=0,0,((VLOOKUP($D18,$C$5:$AJ$470,23,)/VLOOKUP($D18,$C$5:$AJ$470,4,))*$F18))</f>
        <v>0</v>
      </c>
      <c r="Z18" s="19">
        <f>IF(VLOOKUP($D18,$C$5:$AJ$470,24,)=0,0,((VLOOKUP($D18,$C$5:$AJ$470,24,)/VLOOKUP($D18,$C$5:$AJ$470,4,))*$F18))</f>
        <v>0</v>
      </c>
      <c r="AA18" s="19">
        <f>IF(VLOOKUP($D18,$C$5:$AJ$470,25,)=0,0,((VLOOKUP($D18,$C$5:$AJ$470,25,)/VLOOKUP($D18,$C$5:$AJ$470,4,))*$F18))</f>
        <v>0</v>
      </c>
      <c r="AB18" s="19">
        <f>IF(VLOOKUP($D18,$C$5:$AJ$470,26,)=0,0,((VLOOKUP($D18,$C$5:$AJ$470,26,)/VLOOKUP($D18,$C$5:$AJ$470,4,))*$F18))</f>
        <v>0</v>
      </c>
      <c r="AC18" s="19">
        <f>IF(VLOOKUP($D18,$C$5:$AJ$470,27,)=0,0,((VLOOKUP($D18,$C$5:$AJ$470,27,)/VLOOKUP($D18,$C$5:$AJ$470,4,))*$F18))</f>
        <v>0</v>
      </c>
      <c r="AD18" s="19">
        <f>IF(VLOOKUP($D18,$C$5:$AJ$470,28,)=0,0,((VLOOKUP($D18,$C$5:$AJ$470,28,)/VLOOKUP($D18,$C$5:$AJ$470,4,))*$F18))</f>
        <v>0</v>
      </c>
      <c r="AE18" s="19"/>
      <c r="AF18" s="19">
        <f>IF(VLOOKUP($D18,$C$5:$AJ$470,30,)=0,0,((VLOOKUP($D18,$C$5:$AJ$470,30,)/VLOOKUP($D18,$C$5:$AJ$470,4,))*$F18))</f>
        <v>0</v>
      </c>
      <c r="AG18" s="19"/>
      <c r="AH18" s="19">
        <f>IF(VLOOKUP($D18,$C$5:$AJ$470,32,)=0,0,((VLOOKUP($D18,$C$5:$AJ$470,32,)/VLOOKUP($D18,$C$5:$AJ$470,4,))*$F18))</f>
        <v>0</v>
      </c>
      <c r="AI18" s="19"/>
      <c r="AJ18" s="19">
        <f>IF(VLOOKUP($D18,$C$5:$AJ$470,34,)=0,0,((VLOOKUP($D18,$C$5:$AJ$470,34,)/VLOOKUP($D18,$C$5:$AJ$470,4,))*$F18))</f>
        <v>0</v>
      </c>
      <c r="AK18" s="19">
        <f>SUM(H18:AJ18)</f>
        <v>0</v>
      </c>
      <c r="AL18" s="15" t="str">
        <f>IF(ABS(AK18-F18)&lt;1,"ok","err")</f>
        <v>ok</v>
      </c>
    </row>
    <row r="19" spans="1:38" x14ac:dyDescent="0.3">
      <c r="A19" s="2">
        <v>114</v>
      </c>
      <c r="B19" s="2" t="s">
        <v>44</v>
      </c>
      <c r="C19" s="2" t="s">
        <v>45</v>
      </c>
      <c r="D19" s="2" t="s">
        <v>25</v>
      </c>
      <c r="F19" s="44">
        <v>4019664.03</v>
      </c>
      <c r="H19" s="19">
        <f>IF(VLOOKUP($D19,$C$5:$AJ$470,6,)=0,0,((VLOOKUP($D19,$C$5:$AJ$470,6,)/VLOOKUP($D19,$C$5:$AJ$470,4,))*$F19))</f>
        <v>1372004.1980190079</v>
      </c>
      <c r="I19" s="19">
        <f>IF(VLOOKUP($D19,$C$5:$AJ$470,7,)=0,0,((VLOOKUP($D19,$C$5:$AJ$470,7,)/VLOOKUP($D19,$C$5:$AJ$470,4,))*$F19))</f>
        <v>1692687.3971548057</v>
      </c>
      <c r="J19" s="19">
        <f>IF(VLOOKUP($D19,$C$5:$AJ$470,8,)=0,0,((VLOOKUP($D19,$C$5:$AJ$470,8,)/VLOOKUP($D19,$C$5:$AJ$470,4,))*$F19))</f>
        <v>0</v>
      </c>
      <c r="K19" s="19">
        <f>IF(VLOOKUP($D19,$C$5:$AJ$470,9,)=0,0,((VLOOKUP($D19,$C$5:$AJ$470,9,)/VLOOKUP($D19,$C$5:$AJ$470,4,))*$F19))</f>
        <v>0</v>
      </c>
      <c r="L19" s="19">
        <f>IF(VLOOKUP($D19,$C$5:$AJ$470,10,)=0,0,((VLOOKUP($D19,$C$5:$AJ$470,10,)/VLOOKUP($D19,$C$5:$AJ$470,4,))*$F19))</f>
        <v>19563.310115408469</v>
      </c>
      <c r="M19" s="19">
        <f>IF(VLOOKUP($D19,$C$5:$AJ$470,11,)=0,0,((VLOOKUP($D19,$C$5:$AJ$470,11,)/VLOOKUP($D19,$C$5:$AJ$470,4,))*$F19))</f>
        <v>651089.30985047645</v>
      </c>
      <c r="N19" s="19"/>
      <c r="O19" s="19">
        <f>IF(VLOOKUP($D19,$C$5:$AJ$470,13,)=0,0,((VLOOKUP($D19,$C$5:$AJ$470,13,)/VLOOKUP($D19,$C$5:$AJ$470,4,))*$F19))</f>
        <v>280563.71553323168</v>
      </c>
      <c r="P19" s="19">
        <f>IF(VLOOKUP($D19,$C$5:$AJ$470,14,)=0,0,((VLOOKUP($D19,$C$5:$AJ$470,14,)/VLOOKUP($D19,$C$5:$AJ$470,4,))*$F19))</f>
        <v>3756.0993270697591</v>
      </c>
      <c r="Q19" s="19">
        <f>IF(VLOOKUP($D19,$C$5:$AJ$470,15,)=0,0,((VLOOKUP($D19,$C$5:$AJ$470,15,)/VLOOKUP($D19,$C$5:$AJ$470,4,))*$F19))</f>
        <v>0</v>
      </c>
      <c r="R19" s="19"/>
      <c r="S19" s="19">
        <f>IF(VLOOKUP($D19,$C$5:$AJ$470,17,)=0,0,((VLOOKUP($D19,$C$5:$AJ$470,17,)/VLOOKUP($D19,$C$5:$AJ$470,4,))*$F19))</f>
        <v>0</v>
      </c>
      <c r="T19" s="19">
        <f>IF(VLOOKUP($D19,$C$5:$AJ$470,18,)=0,0,((VLOOKUP($D19,$C$5:$AJ$470,18,)/VLOOKUP($D19,$C$5:$AJ$470,4,))*$F19))</f>
        <v>0</v>
      </c>
      <c r="U19" s="19">
        <f>IF(VLOOKUP($D19,$C$5:$AJ$470,19,)=0,0,((VLOOKUP($D19,$C$5:$AJ$470,19,)/VLOOKUP($D19,$C$5:$AJ$470,4,))*$F19))</f>
        <v>0</v>
      </c>
      <c r="V19" s="19">
        <f>IF(VLOOKUP($D19,$C$5:$AJ$470,20,)=0,0,((VLOOKUP($D19,$C$5:$AJ$470,20,)/VLOOKUP($D19,$C$5:$AJ$470,4,))*$F19))</f>
        <v>0</v>
      </c>
      <c r="W19" s="19">
        <f>IF(VLOOKUP($D19,$C$5:$AJ$470,21,)=0,0,((VLOOKUP($D19,$C$5:$AJ$470,21,)/VLOOKUP($D19,$C$5:$AJ$470,4,))*$F19))</f>
        <v>0</v>
      </c>
      <c r="X19" s="19">
        <f>IF(VLOOKUP($D19,$C$5:$AJ$470,22,)=0,0,((VLOOKUP($D19,$C$5:$AJ$470,22,)/VLOOKUP($D19,$C$5:$AJ$470,4,))*$F19))</f>
        <v>0</v>
      </c>
      <c r="Y19" s="19">
        <f>IF(VLOOKUP($D19,$C$5:$AJ$470,23,)=0,0,((VLOOKUP($D19,$C$5:$AJ$470,23,)/VLOOKUP($D19,$C$5:$AJ$470,4,))*$F19))</f>
        <v>0</v>
      </c>
      <c r="Z19" s="19">
        <f>IF(VLOOKUP($D19,$C$5:$AJ$470,24,)=0,0,((VLOOKUP($D19,$C$5:$AJ$470,24,)/VLOOKUP($D19,$C$5:$AJ$470,4,))*$F19))</f>
        <v>0</v>
      </c>
      <c r="AA19" s="19">
        <f>IF(VLOOKUP($D19,$C$5:$AJ$470,25,)=0,0,((VLOOKUP($D19,$C$5:$AJ$470,25,)/VLOOKUP($D19,$C$5:$AJ$470,4,))*$F19))</f>
        <v>0</v>
      </c>
      <c r="AB19" s="19">
        <f>IF(VLOOKUP($D19,$C$5:$AJ$470,26,)=0,0,((VLOOKUP($D19,$C$5:$AJ$470,26,)/VLOOKUP($D19,$C$5:$AJ$470,4,))*$F19))</f>
        <v>0</v>
      </c>
      <c r="AC19" s="19">
        <f>IF(VLOOKUP($D19,$C$5:$AJ$470,27,)=0,0,((VLOOKUP($D19,$C$5:$AJ$470,27,)/VLOOKUP($D19,$C$5:$AJ$470,4,))*$F19))</f>
        <v>0</v>
      </c>
      <c r="AD19" s="19">
        <f>IF(VLOOKUP($D19,$C$5:$AJ$470,28,)=0,0,((VLOOKUP($D19,$C$5:$AJ$470,28,)/VLOOKUP($D19,$C$5:$AJ$470,4,))*$F19))</f>
        <v>0</v>
      </c>
      <c r="AE19" s="19"/>
      <c r="AF19" s="19">
        <f>IF(VLOOKUP($D19,$C$5:$AJ$470,30,)=0,0,((VLOOKUP($D19,$C$5:$AJ$470,30,)/VLOOKUP($D19,$C$5:$AJ$470,4,))*$F19))</f>
        <v>0</v>
      </c>
      <c r="AG19" s="19"/>
      <c r="AH19" s="19">
        <f>IF(VLOOKUP($D19,$C$5:$AJ$470,32,)=0,0,((VLOOKUP($D19,$C$5:$AJ$470,32,)/VLOOKUP($D19,$C$5:$AJ$470,4,))*$F19))</f>
        <v>0</v>
      </c>
      <c r="AI19" s="19"/>
      <c r="AJ19" s="19">
        <f>IF(VLOOKUP($D19,$C$5:$AJ$470,34,)=0,0,((VLOOKUP($D19,$C$5:$AJ$470,34,)/VLOOKUP($D19,$C$5:$AJ$470,4,))*$F19))</f>
        <v>0</v>
      </c>
      <c r="AK19" s="19">
        <f>SUM(H19:AJ19)</f>
        <v>4019664.03</v>
      </c>
      <c r="AL19" s="15" t="str">
        <f>IF(ABS(AK19-F19)&lt;1,"ok","err")</f>
        <v>ok</v>
      </c>
    </row>
    <row r="20" spans="1:38" x14ac:dyDescent="0.3">
      <c r="F20" s="20"/>
      <c r="G20" s="20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5"/>
    </row>
    <row r="21" spans="1:38" x14ac:dyDescent="0.3">
      <c r="A21" s="23" t="s">
        <v>46</v>
      </c>
      <c r="C21" s="2" t="s">
        <v>47</v>
      </c>
      <c r="F21" s="20">
        <f>F7+F12+F14+F16+F17+F18+F19</f>
        <v>4714865111.5799999</v>
      </c>
      <c r="G21" s="20"/>
      <c r="H21" s="20">
        <f t="shared" ref="H21:AJ21" si="2">H7+H12+H14+H16+H17+H18+H19</f>
        <v>1609295237.0612528</v>
      </c>
      <c r="I21" s="20">
        <f t="shared" si="2"/>
        <v>1985441276.3517647</v>
      </c>
      <c r="J21" s="20">
        <f t="shared" si="2"/>
        <v>0</v>
      </c>
      <c r="K21" s="20">
        <f t="shared" si="2"/>
        <v>0</v>
      </c>
      <c r="L21" s="20">
        <f t="shared" si="2"/>
        <v>22946812.213597164</v>
      </c>
      <c r="M21" s="20">
        <f t="shared" si="2"/>
        <v>763690788.2609967</v>
      </c>
      <c r="N21" s="20">
        <f t="shared" si="2"/>
        <v>0</v>
      </c>
      <c r="O21" s="20">
        <f t="shared" si="2"/>
        <v>329085306.47233915</v>
      </c>
      <c r="P21" s="20">
        <f t="shared" si="2"/>
        <v>4405691.2200497622</v>
      </c>
      <c r="Q21" s="20">
        <f t="shared" si="2"/>
        <v>0</v>
      </c>
      <c r="R21" s="20">
        <f t="shared" si="2"/>
        <v>0</v>
      </c>
      <c r="S21" s="20">
        <f t="shared" si="2"/>
        <v>0</v>
      </c>
      <c r="T21" s="20">
        <f t="shared" si="2"/>
        <v>0</v>
      </c>
      <c r="U21" s="20">
        <f t="shared" si="2"/>
        <v>0</v>
      </c>
      <c r="V21" s="20">
        <f t="shared" si="2"/>
        <v>0</v>
      </c>
      <c r="W21" s="20">
        <f t="shared" si="2"/>
        <v>0</v>
      </c>
      <c r="X21" s="20">
        <f t="shared" si="2"/>
        <v>0</v>
      </c>
      <c r="Y21" s="20">
        <f t="shared" si="2"/>
        <v>0</v>
      </c>
      <c r="Z21" s="20">
        <f t="shared" si="2"/>
        <v>0</v>
      </c>
      <c r="AA21" s="20">
        <f t="shared" si="2"/>
        <v>0</v>
      </c>
      <c r="AB21" s="20">
        <f t="shared" si="2"/>
        <v>0</v>
      </c>
      <c r="AC21" s="20">
        <f t="shared" si="2"/>
        <v>0</v>
      </c>
      <c r="AD21" s="20">
        <f t="shared" si="2"/>
        <v>0</v>
      </c>
      <c r="AE21" s="20">
        <f t="shared" si="2"/>
        <v>0</v>
      </c>
      <c r="AF21" s="20">
        <f t="shared" si="2"/>
        <v>0</v>
      </c>
      <c r="AG21" s="20">
        <f t="shared" si="2"/>
        <v>0</v>
      </c>
      <c r="AH21" s="20">
        <f t="shared" si="2"/>
        <v>0</v>
      </c>
      <c r="AI21" s="20">
        <f t="shared" si="2"/>
        <v>0</v>
      </c>
      <c r="AJ21" s="20">
        <f t="shared" si="2"/>
        <v>0</v>
      </c>
      <c r="AK21" s="20">
        <f>SUM(H21:AJ21)</f>
        <v>4714865111.5800009</v>
      </c>
      <c r="AL21" s="15" t="str">
        <f>IF(ABS(AK21-F21)&lt;1,"ok","err")</f>
        <v>ok</v>
      </c>
    </row>
    <row r="22" spans="1:38" x14ac:dyDescent="0.3"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15"/>
    </row>
    <row r="23" spans="1:38" x14ac:dyDescent="0.3">
      <c r="A23" s="16" t="s">
        <v>48</v>
      </c>
      <c r="AL23" s="15"/>
    </row>
    <row r="24" spans="1:38" x14ac:dyDescent="0.3">
      <c r="A24" s="16"/>
      <c r="AL24" s="15"/>
    </row>
    <row r="25" spans="1:38" x14ac:dyDescent="0.3">
      <c r="B25" s="2" t="s">
        <v>49</v>
      </c>
      <c r="C25" s="2" t="s">
        <v>50</v>
      </c>
      <c r="D25" s="2" t="s">
        <v>27</v>
      </c>
      <c r="F25" s="44">
        <v>26669397</v>
      </c>
      <c r="H25" s="19">
        <f>IF(VLOOKUP($D25,$C$5:$AJ$470,6,)=0,0,((VLOOKUP($D25,$C$5:$AJ$470,6,)/VLOOKUP($D25,$C$5:$AJ$470,4,))*$F25))</f>
        <v>11869665.910234673</v>
      </c>
      <c r="I25" s="19">
        <f>IF(VLOOKUP($D25,$C$5:$AJ$470,7,)=0,0,((VLOOKUP($D25,$C$5:$AJ$470,7,)/VLOOKUP($D25,$C$5:$AJ$470,4,))*$F25))</f>
        <v>14644003.220764128</v>
      </c>
      <c r="J25" s="19">
        <f>IF(VLOOKUP($D25,$C$5:$AJ$470,8,)=0,0,((VLOOKUP($D25,$C$5:$AJ$470,8,)/VLOOKUP($D25,$C$5:$AJ$470,4,))*$F25))</f>
        <v>0</v>
      </c>
      <c r="K25" s="19">
        <f>IF(VLOOKUP($D25,$C$5:$AJ$470,9,)=0,0,((VLOOKUP($D25,$C$5:$AJ$470,9,)/VLOOKUP($D25,$C$5:$AJ$470,4,))*$F25))</f>
        <v>0</v>
      </c>
      <c r="L25" s="19">
        <f>IF(VLOOKUP($D25,$C$5:$AJ$470,10,)=0,0,((VLOOKUP($D25,$C$5:$AJ$470,10,)/VLOOKUP($D25,$C$5:$AJ$470,4,))*$F25))</f>
        <v>155727.86900119987</v>
      </c>
      <c r="M25" s="19">
        <f>IF(VLOOKUP($D25,$C$5:$AJ$470,11,)=0,0,((VLOOKUP($D25,$C$5:$AJ$470,11,)/VLOOKUP($D25,$C$5:$AJ$470,4,))*$F25))</f>
        <v>0</v>
      </c>
      <c r="N25" s="19"/>
      <c r="O25" s="19">
        <f>IF(VLOOKUP($D25,$C$5:$AJ$470,13,)=0,0,((VLOOKUP($D25,$C$5:$AJ$470,13,)/VLOOKUP($D25,$C$5:$AJ$470,4,))*$F25))</f>
        <v>0</v>
      </c>
      <c r="P25" s="19">
        <f>IF(VLOOKUP($D25,$C$5:$AJ$470,14,)=0,0,((VLOOKUP($D25,$C$5:$AJ$470,14,)/VLOOKUP($D25,$C$5:$AJ$470,4,))*$F25))</f>
        <v>0</v>
      </c>
      <c r="Q25" s="19">
        <f>IF(VLOOKUP($D25,$C$5:$AJ$470,15,)=0,0,((VLOOKUP($D25,$C$5:$AJ$470,15,)/VLOOKUP($D25,$C$5:$AJ$470,4,))*$F25))</f>
        <v>0</v>
      </c>
      <c r="R25" s="19"/>
      <c r="S25" s="19">
        <f>IF(VLOOKUP($D25,$C$5:$AJ$470,17,)=0,0,((VLOOKUP($D25,$C$5:$AJ$470,17,)/VLOOKUP($D25,$C$5:$AJ$470,4,))*$F25))</f>
        <v>0</v>
      </c>
      <c r="T25" s="19">
        <f>IF(VLOOKUP($D25,$C$5:$AJ$470,18,)=0,0,((VLOOKUP($D25,$C$5:$AJ$470,18,)/VLOOKUP($D25,$C$5:$AJ$470,4,))*$F25))</f>
        <v>0</v>
      </c>
      <c r="U25" s="19">
        <f>IF(VLOOKUP($D25,$C$5:$AJ$470,19,)=0,0,((VLOOKUP($D25,$C$5:$AJ$470,19,)/VLOOKUP($D25,$C$5:$AJ$470,4,))*$F25))</f>
        <v>0</v>
      </c>
      <c r="V25" s="19">
        <f>IF(VLOOKUP($D25,$C$5:$AJ$470,20,)=0,0,((VLOOKUP($D25,$C$5:$AJ$470,20,)/VLOOKUP($D25,$C$5:$AJ$470,4,))*$F25))</f>
        <v>0</v>
      </c>
      <c r="W25" s="19">
        <f>IF(VLOOKUP($D25,$C$5:$AJ$470,21,)=0,0,((VLOOKUP($D25,$C$5:$AJ$470,21,)/VLOOKUP($D25,$C$5:$AJ$470,4,))*$F25))</f>
        <v>0</v>
      </c>
      <c r="X25" s="19">
        <f>IF(VLOOKUP($D25,$C$5:$AJ$470,22,)=0,0,((VLOOKUP($D25,$C$5:$AJ$470,22,)/VLOOKUP($D25,$C$5:$AJ$470,4,))*$F25))</f>
        <v>0</v>
      </c>
      <c r="Y25" s="19">
        <f>IF(VLOOKUP($D25,$C$5:$AJ$470,23,)=0,0,((VLOOKUP($D25,$C$5:$AJ$470,23,)/VLOOKUP($D25,$C$5:$AJ$470,4,))*$F25))</f>
        <v>0</v>
      </c>
      <c r="Z25" s="19">
        <f>IF(VLOOKUP($D25,$C$5:$AJ$470,24,)=0,0,((VLOOKUP($D25,$C$5:$AJ$470,24,)/VLOOKUP($D25,$C$5:$AJ$470,4,))*$F25))</f>
        <v>0</v>
      </c>
      <c r="AA25" s="19">
        <f>IF(VLOOKUP($D25,$C$5:$AJ$470,25,)=0,0,((VLOOKUP($D25,$C$5:$AJ$470,25,)/VLOOKUP($D25,$C$5:$AJ$470,4,))*$F25))</f>
        <v>0</v>
      </c>
      <c r="AB25" s="19">
        <f>IF(VLOOKUP($D25,$C$5:$AJ$470,26,)=0,0,((VLOOKUP($D25,$C$5:$AJ$470,26,)/VLOOKUP($D25,$C$5:$AJ$470,4,))*$F25))</f>
        <v>0</v>
      </c>
      <c r="AC25" s="19">
        <f>IF(VLOOKUP($D25,$C$5:$AJ$470,27,)=0,0,((VLOOKUP($D25,$C$5:$AJ$470,27,)/VLOOKUP($D25,$C$5:$AJ$470,4,))*$F25))</f>
        <v>0</v>
      </c>
      <c r="AD25" s="19">
        <f>IF(VLOOKUP($D25,$C$5:$AJ$470,28,)=0,0,((VLOOKUP($D25,$C$5:$AJ$470,28,)/VLOOKUP($D25,$C$5:$AJ$470,4,))*$F25))</f>
        <v>0</v>
      </c>
      <c r="AE25" s="19"/>
      <c r="AF25" s="19">
        <f>IF(VLOOKUP($D25,$C$5:$AJ$470,30,)=0,0,((VLOOKUP($D25,$C$5:$AJ$470,30,)/VLOOKUP($D25,$C$5:$AJ$470,4,))*$F25))</f>
        <v>0</v>
      </c>
      <c r="AG25" s="19"/>
      <c r="AH25" s="19">
        <f>IF(VLOOKUP($D25,$C$5:$AJ$470,32,)=0,0,((VLOOKUP($D25,$C$5:$AJ$470,32,)/VLOOKUP($D25,$C$5:$AJ$470,4,))*$F25))</f>
        <v>0</v>
      </c>
      <c r="AI25" s="19"/>
      <c r="AJ25" s="19">
        <f>IF(VLOOKUP($D25,$C$5:$AJ$470,34,)=0,0,((VLOOKUP($D25,$C$5:$AJ$470,34,)/VLOOKUP($D25,$C$5:$AJ$470,4,))*$F25))</f>
        <v>0</v>
      </c>
      <c r="AK25" s="19">
        <f>SUM(H25:AJ25)</f>
        <v>26669397</v>
      </c>
      <c r="AL25" s="15" t="str">
        <f>IF(ABS(AK25-F25)&lt;1,"ok","err")</f>
        <v>ok</v>
      </c>
    </row>
    <row r="26" spans="1:38" x14ac:dyDescent="0.3">
      <c r="B26" s="2" t="s">
        <v>51</v>
      </c>
      <c r="C26" s="2" t="s">
        <v>52</v>
      </c>
      <c r="D26" s="2" t="s">
        <v>30</v>
      </c>
      <c r="F26" s="43">
        <v>49588027</v>
      </c>
      <c r="H26" s="19">
        <f>IF(VLOOKUP($D26,$C$5:$AJ$470,6,)=0,0,((VLOOKUP($D26,$C$5:$AJ$470,6,)/VLOOKUP($D26,$C$5:$AJ$470,4,))*$F26))</f>
        <v>0</v>
      </c>
      <c r="I26" s="19">
        <f>IF(VLOOKUP($D26,$C$5:$AJ$470,7,)=0,0,((VLOOKUP($D26,$C$5:$AJ$470,7,)/VLOOKUP($D26,$C$5:$AJ$470,4,))*$F26))</f>
        <v>0</v>
      </c>
      <c r="J26" s="19">
        <f>IF(VLOOKUP($D26,$C$5:$AJ$470,8,)=0,0,((VLOOKUP($D26,$C$5:$AJ$470,8,)/VLOOKUP($D26,$C$5:$AJ$470,4,))*$F26))</f>
        <v>0</v>
      </c>
      <c r="K26" s="19">
        <f>IF(VLOOKUP($D26,$C$5:$AJ$470,9,)=0,0,((VLOOKUP($D26,$C$5:$AJ$470,9,)/VLOOKUP($D26,$C$5:$AJ$470,4,))*$F26))</f>
        <v>0</v>
      </c>
      <c r="L26" s="19">
        <f>IF(VLOOKUP($D26,$C$5:$AJ$470,10,)=0,0,((VLOOKUP($D26,$C$5:$AJ$470,10,)/VLOOKUP($D26,$C$5:$AJ$470,4,))*$F26))</f>
        <v>118745.19131996733</v>
      </c>
      <c r="M26" s="19">
        <f>IF(VLOOKUP($D26,$C$5:$AJ$470,11,)=0,0,((VLOOKUP($D26,$C$5:$AJ$470,11,)/VLOOKUP($D26,$C$5:$AJ$470,4,))*$F26))</f>
        <v>49469281.808680035</v>
      </c>
      <c r="N26" s="19"/>
      <c r="O26" s="19">
        <f>IF(VLOOKUP($D26,$C$5:$AJ$470,13,)=0,0,((VLOOKUP($D26,$C$5:$AJ$470,13,)/VLOOKUP($D26,$C$5:$AJ$470,4,))*$F26))</f>
        <v>0</v>
      </c>
      <c r="P26" s="19">
        <f>IF(VLOOKUP($D26,$C$5:$AJ$470,14,)=0,0,((VLOOKUP($D26,$C$5:$AJ$470,14,)/VLOOKUP($D26,$C$5:$AJ$470,4,))*$F26))</f>
        <v>0</v>
      </c>
      <c r="Q26" s="19">
        <f>IF(VLOOKUP($D26,$C$5:$AJ$470,15,)=0,0,((VLOOKUP($D26,$C$5:$AJ$470,15,)/VLOOKUP($D26,$C$5:$AJ$470,4,))*$F26))</f>
        <v>0</v>
      </c>
      <c r="R26" s="19"/>
      <c r="S26" s="19">
        <f>IF(VLOOKUP($D26,$C$5:$AJ$470,17,)=0,0,((VLOOKUP($D26,$C$5:$AJ$470,17,)/VLOOKUP($D26,$C$5:$AJ$470,4,))*$F26))</f>
        <v>0</v>
      </c>
      <c r="T26" s="19">
        <f>IF(VLOOKUP($D26,$C$5:$AJ$470,18,)=0,0,((VLOOKUP($D26,$C$5:$AJ$470,18,)/VLOOKUP($D26,$C$5:$AJ$470,4,))*$F26))</f>
        <v>0</v>
      </c>
      <c r="U26" s="19">
        <f>IF(VLOOKUP($D26,$C$5:$AJ$470,19,)=0,0,((VLOOKUP($D26,$C$5:$AJ$470,19,)/VLOOKUP($D26,$C$5:$AJ$470,4,))*$F26))</f>
        <v>0</v>
      </c>
      <c r="V26" s="19">
        <f>IF(VLOOKUP($D26,$C$5:$AJ$470,20,)=0,0,((VLOOKUP($D26,$C$5:$AJ$470,20,)/VLOOKUP($D26,$C$5:$AJ$470,4,))*$F26))</f>
        <v>0</v>
      </c>
      <c r="W26" s="19">
        <f>IF(VLOOKUP($D26,$C$5:$AJ$470,21,)=0,0,((VLOOKUP($D26,$C$5:$AJ$470,21,)/VLOOKUP($D26,$C$5:$AJ$470,4,))*$F26))</f>
        <v>0</v>
      </c>
      <c r="X26" s="19">
        <f>IF(VLOOKUP($D26,$C$5:$AJ$470,22,)=0,0,((VLOOKUP($D26,$C$5:$AJ$470,22,)/VLOOKUP($D26,$C$5:$AJ$470,4,))*$F26))</f>
        <v>0</v>
      </c>
      <c r="Y26" s="19">
        <f>IF(VLOOKUP($D26,$C$5:$AJ$470,23,)=0,0,((VLOOKUP($D26,$C$5:$AJ$470,23,)/VLOOKUP($D26,$C$5:$AJ$470,4,))*$F26))</f>
        <v>0</v>
      </c>
      <c r="Z26" s="19">
        <f>IF(VLOOKUP($D26,$C$5:$AJ$470,24,)=0,0,((VLOOKUP($D26,$C$5:$AJ$470,24,)/VLOOKUP($D26,$C$5:$AJ$470,4,))*$F26))</f>
        <v>0</v>
      </c>
      <c r="AA26" s="19">
        <f>IF(VLOOKUP($D26,$C$5:$AJ$470,25,)=0,0,((VLOOKUP($D26,$C$5:$AJ$470,25,)/VLOOKUP($D26,$C$5:$AJ$470,4,))*$F26))</f>
        <v>0</v>
      </c>
      <c r="AB26" s="19">
        <f>IF(VLOOKUP($D26,$C$5:$AJ$470,26,)=0,0,((VLOOKUP($D26,$C$5:$AJ$470,26,)/VLOOKUP($D26,$C$5:$AJ$470,4,))*$F26))</f>
        <v>0</v>
      </c>
      <c r="AC26" s="19">
        <f>IF(VLOOKUP($D26,$C$5:$AJ$470,27,)=0,0,((VLOOKUP($D26,$C$5:$AJ$470,27,)/VLOOKUP($D26,$C$5:$AJ$470,4,))*$F26))</f>
        <v>0</v>
      </c>
      <c r="AD26" s="19">
        <f>IF(VLOOKUP($D26,$C$5:$AJ$470,28,)=0,0,((VLOOKUP($D26,$C$5:$AJ$470,28,)/VLOOKUP($D26,$C$5:$AJ$470,4,))*$F26))</f>
        <v>0</v>
      </c>
      <c r="AE26" s="19"/>
      <c r="AF26" s="19">
        <f>IF(VLOOKUP($D26,$C$5:$AJ$470,30,)=0,0,((VLOOKUP($D26,$C$5:$AJ$470,30,)/VLOOKUP($D26,$C$5:$AJ$470,4,))*$F26))</f>
        <v>0</v>
      </c>
      <c r="AG26" s="19"/>
      <c r="AH26" s="19">
        <f>IF(VLOOKUP($D26,$C$5:$AJ$470,32,)=0,0,((VLOOKUP($D26,$C$5:$AJ$470,32,)/VLOOKUP($D26,$C$5:$AJ$470,4,))*$F26))</f>
        <v>0</v>
      </c>
      <c r="AI26" s="19"/>
      <c r="AJ26" s="19">
        <f>IF(VLOOKUP($D26,$C$5:$AJ$470,34,)=0,0,((VLOOKUP($D26,$C$5:$AJ$470,34,)/VLOOKUP($D26,$C$5:$AJ$470,4,))*$F26))</f>
        <v>0</v>
      </c>
      <c r="AK26" s="19">
        <f>SUM(H26:AJ26)</f>
        <v>49588027</v>
      </c>
      <c r="AL26" s="15" t="str">
        <f>IF(ABS(AK26-F26)&lt;1,"ok","err")</f>
        <v>ok</v>
      </c>
    </row>
    <row r="27" spans="1:38" x14ac:dyDescent="0.3">
      <c r="B27" s="2" t="s">
        <v>53</v>
      </c>
      <c r="C27" s="2" t="s">
        <v>54</v>
      </c>
      <c r="D27" s="2" t="s">
        <v>33</v>
      </c>
      <c r="F27" s="43">
        <v>15612409</v>
      </c>
      <c r="H27" s="19">
        <f>IF(VLOOKUP($D27,$C$5:$AJ$470,6,)=0,0,((VLOOKUP($D27,$C$5:$AJ$470,6,)/VLOOKUP($D27,$C$5:$AJ$470,4,))*$F27))</f>
        <v>0</v>
      </c>
      <c r="I27" s="19">
        <f>IF(VLOOKUP($D27,$C$5:$AJ$470,7,)=0,0,((VLOOKUP($D27,$C$5:$AJ$470,7,)/VLOOKUP($D27,$C$5:$AJ$470,4,))*$F27))</f>
        <v>0</v>
      </c>
      <c r="J27" s="19">
        <f>IF(VLOOKUP($D27,$C$5:$AJ$470,8,)=0,0,((VLOOKUP($D27,$C$5:$AJ$470,8,)/VLOOKUP($D27,$C$5:$AJ$470,4,))*$F27))</f>
        <v>0</v>
      </c>
      <c r="K27" s="19">
        <f>IF(VLOOKUP($D27,$C$5:$AJ$470,9,)=0,0,((VLOOKUP($D27,$C$5:$AJ$470,9,)/VLOOKUP($D27,$C$5:$AJ$470,4,))*$F27))</f>
        <v>0</v>
      </c>
      <c r="L27" s="19">
        <f>IF(VLOOKUP($D27,$C$5:$AJ$470,10,)=0,0,((VLOOKUP($D27,$C$5:$AJ$470,10,)/VLOOKUP($D27,$C$5:$AJ$470,4,))*$F27))</f>
        <v>0</v>
      </c>
      <c r="M27" s="19">
        <f>IF(VLOOKUP($D27,$C$5:$AJ$470,11,)=0,0,((VLOOKUP($D27,$C$5:$AJ$470,11,)/VLOOKUP($D27,$C$5:$AJ$470,4,))*$F27))</f>
        <v>0</v>
      </c>
      <c r="N27" s="19"/>
      <c r="O27" s="19">
        <f>IF(VLOOKUP($D27,$C$5:$AJ$470,13,)=0,0,((VLOOKUP($D27,$C$5:$AJ$470,13,)/VLOOKUP($D27,$C$5:$AJ$470,4,))*$F27))</f>
        <v>15406156.19638288</v>
      </c>
      <c r="P27" s="19">
        <f>IF(VLOOKUP($D27,$C$5:$AJ$470,14,)=0,0,((VLOOKUP($D27,$C$5:$AJ$470,14,)/VLOOKUP($D27,$C$5:$AJ$470,4,))*$F27))</f>
        <v>206252.8036171206</v>
      </c>
      <c r="Q27" s="19">
        <f>IF(VLOOKUP($D27,$C$5:$AJ$470,15,)=0,0,((VLOOKUP($D27,$C$5:$AJ$470,15,)/VLOOKUP($D27,$C$5:$AJ$470,4,))*$F27))</f>
        <v>0</v>
      </c>
      <c r="R27" s="19"/>
      <c r="S27" s="19">
        <f>IF(VLOOKUP($D27,$C$5:$AJ$470,17,)=0,0,((VLOOKUP($D27,$C$5:$AJ$470,17,)/VLOOKUP($D27,$C$5:$AJ$470,4,))*$F27))</f>
        <v>0</v>
      </c>
      <c r="T27" s="19">
        <f>IF(VLOOKUP($D27,$C$5:$AJ$470,18,)=0,0,((VLOOKUP($D27,$C$5:$AJ$470,18,)/VLOOKUP($D27,$C$5:$AJ$470,4,))*$F27))</f>
        <v>0</v>
      </c>
      <c r="U27" s="19">
        <f>IF(VLOOKUP($D27,$C$5:$AJ$470,19,)=0,0,((VLOOKUP($D27,$C$5:$AJ$470,19,)/VLOOKUP($D27,$C$5:$AJ$470,4,))*$F27))</f>
        <v>0</v>
      </c>
      <c r="V27" s="19">
        <f>IF(VLOOKUP($D27,$C$5:$AJ$470,20,)=0,0,((VLOOKUP($D27,$C$5:$AJ$470,20,)/VLOOKUP($D27,$C$5:$AJ$470,4,))*$F27))</f>
        <v>0</v>
      </c>
      <c r="W27" s="19">
        <f>IF(VLOOKUP($D27,$C$5:$AJ$470,21,)=0,0,((VLOOKUP($D27,$C$5:$AJ$470,21,)/VLOOKUP($D27,$C$5:$AJ$470,4,))*$F27))</f>
        <v>0</v>
      </c>
      <c r="X27" s="19">
        <f>IF(VLOOKUP($D27,$C$5:$AJ$470,22,)=0,0,((VLOOKUP($D27,$C$5:$AJ$470,22,)/VLOOKUP($D27,$C$5:$AJ$470,4,))*$F27))</f>
        <v>0</v>
      </c>
      <c r="Y27" s="19">
        <f>IF(VLOOKUP($D27,$C$5:$AJ$470,23,)=0,0,((VLOOKUP($D27,$C$5:$AJ$470,23,)/VLOOKUP($D27,$C$5:$AJ$470,4,))*$F27))</f>
        <v>0</v>
      </c>
      <c r="Z27" s="19">
        <f>IF(VLOOKUP($D27,$C$5:$AJ$470,24,)=0,0,((VLOOKUP($D27,$C$5:$AJ$470,24,)/VLOOKUP($D27,$C$5:$AJ$470,4,))*$F27))</f>
        <v>0</v>
      </c>
      <c r="AA27" s="19">
        <f>IF(VLOOKUP($D27,$C$5:$AJ$470,25,)=0,0,((VLOOKUP($D27,$C$5:$AJ$470,25,)/VLOOKUP($D27,$C$5:$AJ$470,4,))*$F27))</f>
        <v>0</v>
      </c>
      <c r="AB27" s="19">
        <f>IF(VLOOKUP($D27,$C$5:$AJ$470,26,)=0,0,((VLOOKUP($D27,$C$5:$AJ$470,26,)/VLOOKUP($D27,$C$5:$AJ$470,4,))*$F27))</f>
        <v>0</v>
      </c>
      <c r="AC27" s="19">
        <f>IF(VLOOKUP($D27,$C$5:$AJ$470,27,)=0,0,((VLOOKUP($D27,$C$5:$AJ$470,27,)/VLOOKUP($D27,$C$5:$AJ$470,4,))*$F27))</f>
        <v>0</v>
      </c>
      <c r="AD27" s="19">
        <f>IF(VLOOKUP($D27,$C$5:$AJ$470,28,)=0,0,((VLOOKUP($D27,$C$5:$AJ$470,28,)/VLOOKUP($D27,$C$5:$AJ$470,4,))*$F27))</f>
        <v>0</v>
      </c>
      <c r="AE27" s="19"/>
      <c r="AF27" s="19">
        <f>IF(VLOOKUP($D27,$C$5:$AJ$470,30,)=0,0,((VLOOKUP($D27,$C$5:$AJ$470,30,)/VLOOKUP($D27,$C$5:$AJ$470,4,))*$F27))</f>
        <v>0</v>
      </c>
      <c r="AG27" s="19"/>
      <c r="AH27" s="19">
        <f>IF(VLOOKUP($D27,$C$5:$AJ$470,32,)=0,0,((VLOOKUP($D27,$C$5:$AJ$470,32,)/VLOOKUP($D27,$C$5:$AJ$470,4,))*$F27))</f>
        <v>0</v>
      </c>
      <c r="AI27" s="19"/>
      <c r="AJ27" s="19">
        <f>IF(VLOOKUP($D27,$C$5:$AJ$470,34,)=0,0,((VLOOKUP($D27,$C$5:$AJ$470,34,)/VLOOKUP($D27,$C$5:$AJ$470,4,))*$F27))</f>
        <v>0</v>
      </c>
      <c r="AK27" s="19">
        <f>SUM(H27:AJ27)</f>
        <v>15612409</v>
      </c>
      <c r="AL27" s="15" t="str">
        <f>IF(ABS(AK27-F27)&lt;1,"ok","err")</f>
        <v>ok</v>
      </c>
    </row>
    <row r="28" spans="1:38" x14ac:dyDescent="0.3">
      <c r="B28" s="2" t="s">
        <v>55</v>
      </c>
      <c r="C28" s="2" t="s">
        <v>56</v>
      </c>
      <c r="D28" s="2" t="s">
        <v>25</v>
      </c>
      <c r="F28" s="43">
        <f>3337+1260719</f>
        <v>1264056</v>
      </c>
      <c r="H28" s="19">
        <f>IF(VLOOKUP($D28,$C$5:$AJ$470,6,)=0,0,((VLOOKUP($D28,$C$5:$AJ$470,6,)/VLOOKUP($D28,$C$5:$AJ$470,4,))*$F28))</f>
        <v>431451.51574548759</v>
      </c>
      <c r="I28" s="19">
        <f>IF(VLOOKUP($D28,$C$5:$AJ$470,7,)=0,0,((VLOOKUP($D28,$C$5:$AJ$470,7,)/VLOOKUP($D28,$C$5:$AJ$470,4,))*$F28))</f>
        <v>532296.14329183509</v>
      </c>
      <c r="J28" s="19">
        <f>IF(VLOOKUP($D28,$C$5:$AJ$470,8,)=0,0,((VLOOKUP($D28,$C$5:$AJ$470,8,)/VLOOKUP($D28,$C$5:$AJ$470,4,))*$F28))</f>
        <v>0</v>
      </c>
      <c r="K28" s="19">
        <f>IF(VLOOKUP($D28,$C$5:$AJ$470,9,)=0,0,((VLOOKUP($D28,$C$5:$AJ$470,9,)/VLOOKUP($D28,$C$5:$AJ$470,4,))*$F28))</f>
        <v>0</v>
      </c>
      <c r="L28" s="19">
        <f>IF(VLOOKUP($D28,$C$5:$AJ$470,10,)=0,0,((VLOOKUP($D28,$C$5:$AJ$470,10,)/VLOOKUP($D28,$C$5:$AJ$470,4,))*$F28))</f>
        <v>6152.0364256021585</v>
      </c>
      <c r="M28" s="19">
        <f>IF(VLOOKUP($D28,$C$5:$AJ$470,11,)=0,0,((VLOOKUP($D28,$C$5:$AJ$470,11,)/VLOOKUP($D28,$C$5:$AJ$470,4,))*$F28))</f>
        <v>204746.80035693277</v>
      </c>
      <c r="N28" s="19"/>
      <c r="O28" s="19">
        <f>IF(VLOOKUP($D28,$C$5:$AJ$470,13,)=0,0,((VLOOKUP($D28,$C$5:$AJ$470,13,)/VLOOKUP($D28,$C$5:$AJ$470,4,))*$F28))</f>
        <v>88228.330864277421</v>
      </c>
      <c r="P28" s="19">
        <f>IF(VLOOKUP($D28,$C$5:$AJ$470,14,)=0,0,((VLOOKUP($D28,$C$5:$AJ$470,14,)/VLOOKUP($D28,$C$5:$AJ$470,4,))*$F28))</f>
        <v>1181.1733158650304</v>
      </c>
      <c r="Q28" s="19">
        <f>IF(VLOOKUP($D28,$C$5:$AJ$470,15,)=0,0,((VLOOKUP($D28,$C$5:$AJ$470,15,)/VLOOKUP($D28,$C$5:$AJ$470,4,))*$F28))</f>
        <v>0</v>
      </c>
      <c r="R28" s="19"/>
      <c r="S28" s="19">
        <f>IF(VLOOKUP($D28,$C$5:$AJ$470,17,)=0,0,((VLOOKUP($D28,$C$5:$AJ$470,17,)/VLOOKUP($D28,$C$5:$AJ$470,4,))*$F28))</f>
        <v>0</v>
      </c>
      <c r="T28" s="19">
        <f>IF(VLOOKUP($D28,$C$5:$AJ$470,18,)=0,0,((VLOOKUP($D28,$C$5:$AJ$470,18,)/VLOOKUP($D28,$C$5:$AJ$470,4,))*$F28))</f>
        <v>0</v>
      </c>
      <c r="U28" s="19">
        <f>IF(VLOOKUP($D28,$C$5:$AJ$470,19,)=0,0,((VLOOKUP($D28,$C$5:$AJ$470,19,)/VLOOKUP($D28,$C$5:$AJ$470,4,))*$F28))</f>
        <v>0</v>
      </c>
      <c r="V28" s="19">
        <f>IF(VLOOKUP($D28,$C$5:$AJ$470,20,)=0,0,((VLOOKUP($D28,$C$5:$AJ$470,20,)/VLOOKUP($D28,$C$5:$AJ$470,4,))*$F28))</f>
        <v>0</v>
      </c>
      <c r="W28" s="19">
        <f>IF(VLOOKUP($D28,$C$5:$AJ$470,21,)=0,0,((VLOOKUP($D28,$C$5:$AJ$470,21,)/VLOOKUP($D28,$C$5:$AJ$470,4,))*$F28))</f>
        <v>0</v>
      </c>
      <c r="X28" s="19">
        <f>IF(VLOOKUP($D28,$C$5:$AJ$470,22,)=0,0,((VLOOKUP($D28,$C$5:$AJ$470,22,)/VLOOKUP($D28,$C$5:$AJ$470,4,))*$F28))</f>
        <v>0</v>
      </c>
      <c r="Y28" s="19">
        <f>IF(VLOOKUP($D28,$C$5:$AJ$470,23,)=0,0,((VLOOKUP($D28,$C$5:$AJ$470,23,)/VLOOKUP($D28,$C$5:$AJ$470,4,))*$F28))</f>
        <v>0</v>
      </c>
      <c r="Z28" s="19">
        <f>IF(VLOOKUP($D28,$C$5:$AJ$470,24,)=0,0,((VLOOKUP($D28,$C$5:$AJ$470,24,)/VLOOKUP($D28,$C$5:$AJ$470,4,))*$F28))</f>
        <v>0</v>
      </c>
      <c r="AA28" s="19">
        <f>IF(VLOOKUP($D28,$C$5:$AJ$470,25,)=0,0,((VLOOKUP($D28,$C$5:$AJ$470,25,)/VLOOKUP($D28,$C$5:$AJ$470,4,))*$F28))</f>
        <v>0</v>
      </c>
      <c r="AB28" s="19">
        <f>IF(VLOOKUP($D28,$C$5:$AJ$470,26,)=0,0,((VLOOKUP($D28,$C$5:$AJ$470,26,)/VLOOKUP($D28,$C$5:$AJ$470,4,))*$F28))</f>
        <v>0</v>
      </c>
      <c r="AC28" s="19">
        <f>IF(VLOOKUP($D28,$C$5:$AJ$470,27,)=0,0,((VLOOKUP($D28,$C$5:$AJ$470,27,)/VLOOKUP($D28,$C$5:$AJ$470,4,))*$F28))</f>
        <v>0</v>
      </c>
      <c r="AD28" s="19">
        <f>IF(VLOOKUP($D28,$C$5:$AJ$470,28,)=0,0,((VLOOKUP($D28,$C$5:$AJ$470,28,)/VLOOKUP($D28,$C$5:$AJ$470,4,))*$F28))</f>
        <v>0</v>
      </c>
      <c r="AE28" s="19"/>
      <c r="AF28" s="19">
        <f>IF(VLOOKUP($D28,$C$5:$AJ$470,30,)=0,0,((VLOOKUP($D28,$C$5:$AJ$470,30,)/VLOOKUP($D28,$C$5:$AJ$470,4,))*$F28))</f>
        <v>0</v>
      </c>
      <c r="AG28" s="19"/>
      <c r="AH28" s="19">
        <f>IF(VLOOKUP($D28,$C$5:$AJ$470,32,)=0,0,((VLOOKUP($D28,$C$5:$AJ$470,32,)/VLOOKUP($D28,$C$5:$AJ$470,4,))*$F28))</f>
        <v>0</v>
      </c>
      <c r="AI28" s="19"/>
      <c r="AJ28" s="19">
        <f>IF(VLOOKUP($D28,$C$5:$AJ$470,34,)=0,0,((VLOOKUP($D28,$C$5:$AJ$470,34,)/VLOOKUP($D28,$C$5:$AJ$470,4,))*$F28))</f>
        <v>0</v>
      </c>
      <c r="AK28" s="19">
        <f>SUM(H28:AJ28)</f>
        <v>1264056</v>
      </c>
      <c r="AL28" s="15" t="str">
        <f>IF(ABS(AK28-F28)&lt;1,"ok","err")</f>
        <v>ok</v>
      </c>
    </row>
    <row r="29" spans="1:38" x14ac:dyDescent="0.3">
      <c r="F29" s="43"/>
      <c r="AK29" s="19"/>
      <c r="AL29" s="15"/>
    </row>
    <row r="30" spans="1:38" x14ac:dyDescent="0.3">
      <c r="A30" s="23" t="s">
        <v>57</v>
      </c>
      <c r="C30" s="2" t="s">
        <v>58</v>
      </c>
      <c r="F30" s="44">
        <f>SUM(F25:F28)</f>
        <v>93133889</v>
      </c>
      <c r="G30" s="18"/>
      <c r="H30" s="18">
        <f t="shared" ref="H30:M30" si="3">SUM(H25:H28)</f>
        <v>12301117.42598016</v>
      </c>
      <c r="I30" s="18">
        <f t="shared" si="3"/>
        <v>15176299.364055963</v>
      </c>
      <c r="J30" s="18">
        <f t="shared" si="3"/>
        <v>0</v>
      </c>
      <c r="K30" s="18">
        <f t="shared" si="3"/>
        <v>0</v>
      </c>
      <c r="L30" s="18">
        <f t="shared" si="3"/>
        <v>280625.09674676938</v>
      </c>
      <c r="M30" s="18">
        <f t="shared" si="3"/>
        <v>49674028.609036967</v>
      </c>
      <c r="N30" s="18"/>
      <c r="O30" s="18">
        <f>SUM(O25:O28)</f>
        <v>15494384.527247157</v>
      </c>
      <c r="P30" s="18">
        <f>SUM(P25:P28)</f>
        <v>207433.97693298562</v>
      </c>
      <c r="Q30" s="18">
        <f>SUM(Q25:Q28)</f>
        <v>0</v>
      </c>
      <c r="R30" s="18"/>
      <c r="S30" s="18">
        <f t="shared" ref="S30:AD30" si="4">SUM(S25:S28)</f>
        <v>0</v>
      </c>
      <c r="T30" s="18">
        <f t="shared" si="4"/>
        <v>0</v>
      </c>
      <c r="U30" s="18">
        <f t="shared" si="4"/>
        <v>0</v>
      </c>
      <c r="V30" s="18">
        <f t="shared" si="4"/>
        <v>0</v>
      </c>
      <c r="W30" s="18">
        <f t="shared" si="4"/>
        <v>0</v>
      </c>
      <c r="X30" s="18">
        <f t="shared" si="4"/>
        <v>0</v>
      </c>
      <c r="Y30" s="18">
        <f t="shared" si="4"/>
        <v>0</v>
      </c>
      <c r="Z30" s="18">
        <f t="shared" si="4"/>
        <v>0</v>
      </c>
      <c r="AA30" s="18">
        <f t="shared" si="4"/>
        <v>0</v>
      </c>
      <c r="AB30" s="18">
        <f t="shared" si="4"/>
        <v>0</v>
      </c>
      <c r="AC30" s="18">
        <f t="shared" si="4"/>
        <v>0</v>
      </c>
      <c r="AD30" s="18">
        <f t="shared" si="4"/>
        <v>0</v>
      </c>
      <c r="AE30" s="18"/>
      <c r="AF30" s="18">
        <f>SUM(AF25:AF28)</f>
        <v>0</v>
      </c>
      <c r="AG30" s="18"/>
      <c r="AH30" s="18">
        <f>SUM(AH25:AH28)</f>
        <v>0</v>
      </c>
      <c r="AI30" s="18"/>
      <c r="AJ30" s="18">
        <f>SUM(AJ25:AJ28)</f>
        <v>0</v>
      </c>
      <c r="AK30" s="19">
        <f>SUM(H30:AJ30)</f>
        <v>93133889.000000015</v>
      </c>
      <c r="AL30" s="15" t="str">
        <f>IF(ABS(AK30-F30)&lt;1,"ok","err")</f>
        <v>ok</v>
      </c>
    </row>
    <row r="31" spans="1:38" x14ac:dyDescent="0.3">
      <c r="A31" s="23"/>
      <c r="F31" s="44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9"/>
      <c r="AL31" s="15"/>
    </row>
    <row r="32" spans="1:38" x14ac:dyDescent="0.3">
      <c r="A32" s="3" t="s">
        <v>59</v>
      </c>
      <c r="F32" s="44">
        <f>F21+F30</f>
        <v>4807999000.5799999</v>
      </c>
      <c r="G32" s="18"/>
      <c r="H32" s="18">
        <f t="shared" ref="H32:AJ32" si="5">H21+H30</f>
        <v>1621596354.4872329</v>
      </c>
      <c r="I32" s="18">
        <f t="shared" si="5"/>
        <v>2000617575.7158206</v>
      </c>
      <c r="J32" s="18">
        <f t="shared" si="5"/>
        <v>0</v>
      </c>
      <c r="K32" s="18">
        <f t="shared" si="5"/>
        <v>0</v>
      </c>
      <c r="L32" s="18">
        <f t="shared" si="5"/>
        <v>23227437.310343932</v>
      </c>
      <c r="M32" s="18">
        <f t="shared" si="5"/>
        <v>813364816.87003362</v>
      </c>
      <c r="N32" s="18"/>
      <c r="O32" s="18">
        <f t="shared" si="5"/>
        <v>344579690.99958628</v>
      </c>
      <c r="P32" s="18">
        <f t="shared" si="5"/>
        <v>4613125.1969827479</v>
      </c>
      <c r="Q32" s="18">
        <f t="shared" si="5"/>
        <v>0</v>
      </c>
      <c r="R32" s="18"/>
      <c r="S32" s="18">
        <f t="shared" si="5"/>
        <v>0</v>
      </c>
      <c r="T32" s="18">
        <f t="shared" si="5"/>
        <v>0</v>
      </c>
      <c r="U32" s="18">
        <f t="shared" si="5"/>
        <v>0</v>
      </c>
      <c r="V32" s="18">
        <f t="shared" si="5"/>
        <v>0</v>
      </c>
      <c r="W32" s="18">
        <f t="shared" si="5"/>
        <v>0</v>
      </c>
      <c r="X32" s="18">
        <f t="shared" si="5"/>
        <v>0</v>
      </c>
      <c r="Y32" s="18">
        <f t="shared" si="5"/>
        <v>0</v>
      </c>
      <c r="Z32" s="18">
        <f t="shared" si="5"/>
        <v>0</v>
      </c>
      <c r="AA32" s="18">
        <f t="shared" si="5"/>
        <v>0</v>
      </c>
      <c r="AB32" s="18">
        <f t="shared" si="5"/>
        <v>0</v>
      </c>
      <c r="AC32" s="18">
        <f t="shared" si="5"/>
        <v>0</v>
      </c>
      <c r="AD32" s="18">
        <f t="shared" si="5"/>
        <v>0</v>
      </c>
      <c r="AE32" s="18"/>
      <c r="AF32" s="18">
        <f t="shared" si="5"/>
        <v>0</v>
      </c>
      <c r="AG32" s="18"/>
      <c r="AH32" s="18">
        <f t="shared" si="5"/>
        <v>0</v>
      </c>
      <c r="AI32" s="18"/>
      <c r="AJ32" s="18">
        <f t="shared" si="5"/>
        <v>0</v>
      </c>
      <c r="AK32" s="19">
        <f>SUM(H32:AJ32)</f>
        <v>4807999000.579999</v>
      </c>
      <c r="AL32" s="15" t="str">
        <f>IF(ABS(AK32-F32)&lt;1,"ok","err")</f>
        <v>ok</v>
      </c>
    </row>
    <row r="33" spans="1:38" x14ac:dyDescent="0.3">
      <c r="A33" s="3"/>
      <c r="F33" s="44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9"/>
      <c r="AL33" s="15"/>
    </row>
    <row r="34" spans="1:38" x14ac:dyDescent="0.3">
      <c r="A34" s="3"/>
      <c r="F34" s="44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9"/>
      <c r="AL34" s="15"/>
    </row>
    <row r="35" spans="1:38" x14ac:dyDescent="0.3">
      <c r="A35" s="16" t="s">
        <v>60</v>
      </c>
      <c r="AL35" s="15"/>
    </row>
    <row r="36" spans="1:38" x14ac:dyDescent="0.3">
      <c r="AL36" s="15"/>
    </row>
    <row r="37" spans="1:38" x14ac:dyDescent="0.3">
      <c r="A37" s="23" t="s">
        <v>61</v>
      </c>
      <c r="C37" s="2" t="s">
        <v>62</v>
      </c>
      <c r="F37" s="20">
        <f>F32</f>
        <v>4807999000.5799999</v>
      </c>
      <c r="G37" s="20"/>
      <c r="H37" s="20">
        <f t="shared" ref="H37:AJ37" si="6">H32</f>
        <v>1621596354.4872329</v>
      </c>
      <c r="I37" s="20">
        <f t="shared" si="6"/>
        <v>2000617575.7158206</v>
      </c>
      <c r="J37" s="20">
        <f t="shared" si="6"/>
        <v>0</v>
      </c>
      <c r="K37" s="20">
        <f t="shared" si="6"/>
        <v>0</v>
      </c>
      <c r="L37" s="20">
        <f t="shared" si="6"/>
        <v>23227437.310343932</v>
      </c>
      <c r="M37" s="20">
        <f t="shared" si="6"/>
        <v>813364816.87003362</v>
      </c>
      <c r="N37" s="20"/>
      <c r="O37" s="20">
        <f t="shared" si="6"/>
        <v>344579690.99958628</v>
      </c>
      <c r="P37" s="20">
        <f t="shared" si="6"/>
        <v>4613125.1969827479</v>
      </c>
      <c r="Q37" s="20">
        <f t="shared" si="6"/>
        <v>0</v>
      </c>
      <c r="R37" s="20"/>
      <c r="S37" s="20">
        <f t="shared" si="6"/>
        <v>0</v>
      </c>
      <c r="T37" s="20">
        <f t="shared" si="6"/>
        <v>0</v>
      </c>
      <c r="U37" s="20">
        <f t="shared" si="6"/>
        <v>0</v>
      </c>
      <c r="V37" s="20">
        <f t="shared" si="6"/>
        <v>0</v>
      </c>
      <c r="W37" s="20">
        <f t="shared" si="6"/>
        <v>0</v>
      </c>
      <c r="X37" s="20">
        <f t="shared" si="6"/>
        <v>0</v>
      </c>
      <c r="Y37" s="20">
        <f t="shared" si="6"/>
        <v>0</v>
      </c>
      <c r="Z37" s="20">
        <f t="shared" si="6"/>
        <v>0</v>
      </c>
      <c r="AA37" s="20">
        <f t="shared" si="6"/>
        <v>0</v>
      </c>
      <c r="AB37" s="20">
        <f t="shared" si="6"/>
        <v>0</v>
      </c>
      <c r="AC37" s="20">
        <f t="shared" si="6"/>
        <v>0</v>
      </c>
      <c r="AD37" s="20">
        <f t="shared" si="6"/>
        <v>0</v>
      </c>
      <c r="AE37" s="20"/>
      <c r="AF37" s="20">
        <f t="shared" si="6"/>
        <v>0</v>
      </c>
      <c r="AG37" s="20"/>
      <c r="AH37" s="20">
        <f t="shared" si="6"/>
        <v>0</v>
      </c>
      <c r="AI37" s="20"/>
      <c r="AJ37" s="20">
        <f t="shared" si="6"/>
        <v>0</v>
      </c>
      <c r="AK37" s="19">
        <f>SUM(H37:AJ37)</f>
        <v>4807999000.579999</v>
      </c>
      <c r="AL37" s="15" t="str">
        <f>IF(ABS(AK37-F37)&lt;1,"ok","err")</f>
        <v>ok</v>
      </c>
    </row>
    <row r="38" spans="1:38" x14ac:dyDescent="0.3">
      <c r="Y38" s="2"/>
      <c r="AL38" s="15"/>
    </row>
    <row r="39" spans="1:38" x14ac:dyDescent="0.3">
      <c r="A39" s="16" t="s">
        <v>63</v>
      </c>
      <c r="Y39" s="2"/>
      <c r="AL39" s="15"/>
    </row>
    <row r="40" spans="1:38" x14ac:dyDescent="0.3">
      <c r="A40" s="21" t="s">
        <v>64</v>
      </c>
      <c r="C40" s="2" t="s">
        <v>65</v>
      </c>
      <c r="D40" s="2" t="s">
        <v>27</v>
      </c>
      <c r="F40" s="44">
        <v>1438540313</v>
      </c>
      <c r="H40" s="19">
        <f t="shared" ref="H40:H45" si="7">IF(VLOOKUP($D40,$C$5:$AJ$470,6,)=0,0,((VLOOKUP($D40,$C$5:$AJ$470,6,)/VLOOKUP($D40,$C$5:$AJ$470,4,))*$F40))</f>
        <v>640246681.00723898</v>
      </c>
      <c r="I40" s="19">
        <f t="shared" ref="I40:I45" si="8">IF(VLOOKUP($D40,$C$5:$AJ$470,7,)=0,0,((VLOOKUP($D40,$C$5:$AJ$470,7,)/VLOOKUP($D40,$C$5:$AJ$470,4,))*$F40))</f>
        <v>789893711.38653934</v>
      </c>
      <c r="J40" s="19">
        <f t="shared" ref="J40:J45" si="9">IF(VLOOKUP($D40,$C$5:$AJ$470,8,)=0,0,((VLOOKUP($D40,$C$5:$AJ$470,8,)/VLOOKUP($D40,$C$5:$AJ$470,4,))*$F40))</f>
        <v>0</v>
      </c>
      <c r="K40" s="19">
        <f t="shared" ref="K40:K45" si="10">IF(VLOOKUP($D40,$C$5:$AJ$470,9,)=0,0,((VLOOKUP($D40,$C$5:$AJ$470,9,)/VLOOKUP($D40,$C$5:$AJ$470,4,))*$F40))</f>
        <v>0</v>
      </c>
      <c r="L40" s="19">
        <f t="shared" ref="L40:L45" si="11">IF(VLOOKUP($D40,$C$5:$AJ$470,10,)=0,0,((VLOOKUP($D40,$C$5:$AJ$470,10,)/VLOOKUP($D40,$C$5:$AJ$470,4,))*$F40))</f>
        <v>8399920.6062217709</v>
      </c>
      <c r="M40" s="19">
        <f t="shared" ref="M40:M45" si="12">IF(VLOOKUP($D40,$C$5:$AJ$470,11,)=0,0,((VLOOKUP($D40,$C$5:$AJ$470,11,)/VLOOKUP($D40,$C$5:$AJ$470,4,))*$F40))</f>
        <v>0</v>
      </c>
      <c r="N40" s="19"/>
      <c r="O40" s="19">
        <f t="shared" ref="O40:O45" si="13">IF(VLOOKUP($D40,$C$5:$AJ$470,13,)=0,0,((VLOOKUP($D40,$C$5:$AJ$470,13,)/VLOOKUP($D40,$C$5:$AJ$470,4,))*$F40))</f>
        <v>0</v>
      </c>
      <c r="P40" s="19">
        <f t="shared" ref="P40:P45" si="14">IF(VLOOKUP($D40,$C$5:$AJ$470,14,)=0,0,((VLOOKUP($D40,$C$5:$AJ$470,14,)/VLOOKUP($D40,$C$5:$AJ$470,4,))*$F40))</f>
        <v>0</v>
      </c>
      <c r="Q40" s="19">
        <f t="shared" ref="Q40:Q45" si="15">IF(VLOOKUP($D40,$C$5:$AJ$470,15,)=0,0,((VLOOKUP($D40,$C$5:$AJ$470,15,)/VLOOKUP($D40,$C$5:$AJ$470,4,))*$F40))</f>
        <v>0</v>
      </c>
      <c r="R40" s="19"/>
      <c r="S40" s="19">
        <f t="shared" ref="S40:S45" si="16">IF(VLOOKUP($D40,$C$5:$AJ$470,17,)=0,0,((VLOOKUP($D40,$C$5:$AJ$470,17,)/VLOOKUP($D40,$C$5:$AJ$470,4,))*$F40))</f>
        <v>0</v>
      </c>
      <c r="T40" s="19">
        <f t="shared" ref="T40:T45" si="17">IF(VLOOKUP($D40,$C$5:$AJ$470,18,)=0,0,((VLOOKUP($D40,$C$5:$AJ$470,18,)/VLOOKUP($D40,$C$5:$AJ$470,4,))*$F40))</f>
        <v>0</v>
      </c>
      <c r="U40" s="19">
        <f t="shared" ref="U40:U45" si="18">IF(VLOOKUP($D40,$C$5:$AJ$470,19,)=0,0,((VLOOKUP($D40,$C$5:$AJ$470,19,)/VLOOKUP($D40,$C$5:$AJ$470,4,))*$F40))</f>
        <v>0</v>
      </c>
      <c r="V40" s="19">
        <f t="shared" ref="V40:V45" si="19">IF(VLOOKUP($D40,$C$5:$AJ$470,20,)=0,0,((VLOOKUP($D40,$C$5:$AJ$470,20,)/VLOOKUP($D40,$C$5:$AJ$470,4,))*$F40))</f>
        <v>0</v>
      </c>
      <c r="W40" s="19">
        <f t="shared" ref="W40:W45" si="20">IF(VLOOKUP($D40,$C$5:$AJ$470,21,)=0,0,((VLOOKUP($D40,$C$5:$AJ$470,21,)/VLOOKUP($D40,$C$5:$AJ$470,4,))*$F40))</f>
        <v>0</v>
      </c>
      <c r="X40" s="19">
        <f t="shared" ref="X40:X45" si="21">IF(VLOOKUP($D40,$C$5:$AJ$470,22,)=0,0,((VLOOKUP($D40,$C$5:$AJ$470,22,)/VLOOKUP($D40,$C$5:$AJ$470,4,))*$F40))</f>
        <v>0</v>
      </c>
      <c r="Y40" s="19">
        <f t="shared" ref="Y40:Y45" si="22">IF(VLOOKUP($D40,$C$5:$AJ$470,23,)=0,0,((VLOOKUP($D40,$C$5:$AJ$470,23,)/VLOOKUP($D40,$C$5:$AJ$470,4,))*$F40))</f>
        <v>0</v>
      </c>
      <c r="Z40" s="19">
        <f t="shared" ref="Z40:Z45" si="23">IF(VLOOKUP($D40,$C$5:$AJ$470,24,)=0,0,((VLOOKUP($D40,$C$5:$AJ$470,24,)/VLOOKUP($D40,$C$5:$AJ$470,4,))*$F40))</f>
        <v>0</v>
      </c>
      <c r="AA40" s="19">
        <f t="shared" ref="AA40:AA45" si="24">IF(VLOOKUP($D40,$C$5:$AJ$470,25,)=0,0,((VLOOKUP($D40,$C$5:$AJ$470,25,)/VLOOKUP($D40,$C$5:$AJ$470,4,))*$F40))</f>
        <v>0</v>
      </c>
      <c r="AB40" s="19">
        <f t="shared" ref="AB40:AB45" si="25">IF(VLOOKUP($D40,$C$5:$AJ$470,26,)=0,0,((VLOOKUP($D40,$C$5:$AJ$470,26,)/VLOOKUP($D40,$C$5:$AJ$470,4,))*$F40))</f>
        <v>0</v>
      </c>
      <c r="AC40" s="19">
        <f t="shared" ref="AC40:AC45" si="26">IF(VLOOKUP($D40,$C$5:$AJ$470,27,)=0,0,((VLOOKUP($D40,$C$5:$AJ$470,27,)/VLOOKUP($D40,$C$5:$AJ$470,4,))*$F40))</f>
        <v>0</v>
      </c>
      <c r="AD40" s="19">
        <f t="shared" ref="AD40:AD45" si="27">IF(VLOOKUP($D40,$C$5:$AJ$470,28,)=0,0,((VLOOKUP($D40,$C$5:$AJ$470,28,)/VLOOKUP($D40,$C$5:$AJ$470,4,))*$F40))</f>
        <v>0</v>
      </c>
      <c r="AE40" s="19"/>
      <c r="AF40" s="19">
        <f t="shared" ref="AF40:AF45" si="28">IF(VLOOKUP($D40,$C$5:$AJ$470,30,)=0,0,((VLOOKUP($D40,$C$5:$AJ$470,30,)/VLOOKUP($D40,$C$5:$AJ$470,4,))*$F40))</f>
        <v>0</v>
      </c>
      <c r="AG40" s="19"/>
      <c r="AH40" s="19">
        <f t="shared" ref="AH40:AH45" si="29">IF(VLOOKUP($D40,$C$5:$AJ$470,32,)=0,0,((VLOOKUP($D40,$C$5:$AJ$470,32,)/VLOOKUP($D40,$C$5:$AJ$470,4,))*$F40))</f>
        <v>0</v>
      </c>
      <c r="AI40" s="19"/>
      <c r="AJ40" s="19">
        <f t="shared" ref="AJ40:AJ45" si="30">IF(VLOOKUP($D40,$C$5:$AJ$470,34,)=0,0,((VLOOKUP($D40,$C$5:$AJ$470,34,)/VLOOKUP($D40,$C$5:$AJ$470,4,))*$F40))</f>
        <v>0</v>
      </c>
      <c r="AK40" s="19">
        <f t="shared" ref="AK40:AK45" si="31">SUM(H40:AJ40)</f>
        <v>1438540313</v>
      </c>
      <c r="AL40" s="15" t="str">
        <f t="shared" ref="AL40:AL45" si="32">IF(ABS(AK40-F40)&lt;1,"ok","err")</f>
        <v>ok</v>
      </c>
    </row>
    <row r="41" spans="1:38" x14ac:dyDescent="0.3">
      <c r="A41" s="2" t="s">
        <v>66</v>
      </c>
      <c r="C41" s="2" t="s">
        <v>67</v>
      </c>
      <c r="D41" s="2" t="s">
        <v>30</v>
      </c>
      <c r="F41" s="43">
        <v>198159927</v>
      </c>
      <c r="H41" s="19">
        <f t="shared" si="7"/>
        <v>0</v>
      </c>
      <c r="I41" s="19">
        <f t="shared" si="8"/>
        <v>0</v>
      </c>
      <c r="J41" s="19">
        <f t="shared" si="9"/>
        <v>0</v>
      </c>
      <c r="K41" s="19">
        <f t="shared" si="10"/>
        <v>0</v>
      </c>
      <c r="L41" s="19">
        <f t="shared" si="11"/>
        <v>474520.56206159928</v>
      </c>
      <c r="M41" s="19">
        <f t="shared" si="12"/>
        <v>197685406.43793842</v>
      </c>
      <c r="N41" s="19"/>
      <c r="O41" s="19">
        <f t="shared" si="13"/>
        <v>0</v>
      </c>
      <c r="P41" s="19">
        <f t="shared" si="14"/>
        <v>0</v>
      </c>
      <c r="Q41" s="19">
        <f t="shared" si="15"/>
        <v>0</v>
      </c>
      <c r="R41" s="19"/>
      <c r="S41" s="19">
        <f t="shared" si="16"/>
        <v>0</v>
      </c>
      <c r="T41" s="19">
        <f t="shared" si="17"/>
        <v>0</v>
      </c>
      <c r="U41" s="19">
        <f t="shared" si="18"/>
        <v>0</v>
      </c>
      <c r="V41" s="19">
        <f t="shared" si="19"/>
        <v>0</v>
      </c>
      <c r="W41" s="19">
        <f t="shared" si="20"/>
        <v>0</v>
      </c>
      <c r="X41" s="19">
        <f t="shared" si="21"/>
        <v>0</v>
      </c>
      <c r="Y41" s="19">
        <f t="shared" si="22"/>
        <v>0</v>
      </c>
      <c r="Z41" s="19">
        <f t="shared" si="23"/>
        <v>0</v>
      </c>
      <c r="AA41" s="19">
        <f t="shared" si="24"/>
        <v>0</v>
      </c>
      <c r="AB41" s="19">
        <f t="shared" si="25"/>
        <v>0</v>
      </c>
      <c r="AC41" s="19">
        <f t="shared" si="26"/>
        <v>0</v>
      </c>
      <c r="AD41" s="19">
        <f t="shared" si="27"/>
        <v>0</v>
      </c>
      <c r="AE41" s="19"/>
      <c r="AF41" s="19">
        <f t="shared" si="28"/>
        <v>0</v>
      </c>
      <c r="AG41" s="19"/>
      <c r="AH41" s="19">
        <f t="shared" si="29"/>
        <v>0</v>
      </c>
      <c r="AI41" s="19"/>
      <c r="AJ41" s="19">
        <f t="shared" si="30"/>
        <v>0</v>
      </c>
      <c r="AK41" s="19">
        <f t="shared" si="31"/>
        <v>198159927.00000003</v>
      </c>
      <c r="AL41" s="15" t="str">
        <f t="shared" si="32"/>
        <v>ok</v>
      </c>
    </row>
    <row r="42" spans="1:38" x14ac:dyDescent="0.3">
      <c r="A42" s="2" t="s">
        <v>68</v>
      </c>
      <c r="C42" s="2" t="s">
        <v>69</v>
      </c>
      <c r="D42" s="2" t="s">
        <v>33</v>
      </c>
      <c r="F42" s="43">
        <v>96873676</v>
      </c>
      <c r="H42" s="19">
        <f t="shared" si="7"/>
        <v>0</v>
      </c>
      <c r="I42" s="19">
        <f t="shared" si="8"/>
        <v>0</v>
      </c>
      <c r="J42" s="19">
        <f t="shared" si="9"/>
        <v>0</v>
      </c>
      <c r="K42" s="19">
        <f t="shared" si="10"/>
        <v>0</v>
      </c>
      <c r="L42" s="19">
        <f t="shared" si="11"/>
        <v>0</v>
      </c>
      <c r="M42" s="19">
        <f t="shared" si="12"/>
        <v>0</v>
      </c>
      <c r="N42" s="19"/>
      <c r="O42" s="19">
        <f t="shared" si="13"/>
        <v>95593894.816218793</v>
      </c>
      <c r="P42" s="19">
        <f t="shared" si="14"/>
        <v>1279781.1837812199</v>
      </c>
      <c r="Q42" s="19">
        <f t="shared" si="15"/>
        <v>0</v>
      </c>
      <c r="R42" s="19"/>
      <c r="S42" s="19">
        <f t="shared" si="16"/>
        <v>0</v>
      </c>
      <c r="T42" s="19">
        <f t="shared" si="17"/>
        <v>0</v>
      </c>
      <c r="U42" s="19">
        <f t="shared" si="18"/>
        <v>0</v>
      </c>
      <c r="V42" s="19">
        <f t="shared" si="19"/>
        <v>0</v>
      </c>
      <c r="W42" s="19">
        <f t="shared" si="20"/>
        <v>0</v>
      </c>
      <c r="X42" s="19">
        <f t="shared" si="21"/>
        <v>0</v>
      </c>
      <c r="Y42" s="19">
        <f t="shared" si="22"/>
        <v>0</v>
      </c>
      <c r="Z42" s="19">
        <f t="shared" si="23"/>
        <v>0</v>
      </c>
      <c r="AA42" s="19">
        <f t="shared" si="24"/>
        <v>0</v>
      </c>
      <c r="AB42" s="19">
        <f t="shared" si="25"/>
        <v>0</v>
      </c>
      <c r="AC42" s="19">
        <f t="shared" si="26"/>
        <v>0</v>
      </c>
      <c r="AD42" s="19">
        <f t="shared" si="27"/>
        <v>0</v>
      </c>
      <c r="AE42" s="19"/>
      <c r="AF42" s="19">
        <f t="shared" si="28"/>
        <v>0</v>
      </c>
      <c r="AG42" s="19"/>
      <c r="AH42" s="19">
        <f t="shared" si="29"/>
        <v>0</v>
      </c>
      <c r="AI42" s="19"/>
      <c r="AJ42" s="19">
        <f t="shared" si="30"/>
        <v>0</v>
      </c>
      <c r="AK42" s="19">
        <f t="shared" si="31"/>
        <v>96873676.000000015</v>
      </c>
      <c r="AL42" s="15" t="str">
        <f t="shared" si="32"/>
        <v>ok</v>
      </c>
    </row>
    <row r="43" spans="1:38" x14ac:dyDescent="0.3">
      <c r="A43" s="21" t="s">
        <v>70</v>
      </c>
      <c r="C43" s="2" t="s">
        <v>71</v>
      </c>
      <c r="D43" s="2" t="s">
        <v>25</v>
      </c>
      <c r="F43" s="43">
        <v>73451590</v>
      </c>
      <c r="H43" s="19">
        <f t="shared" si="7"/>
        <v>25070724.587689232</v>
      </c>
      <c r="I43" s="19">
        <f t="shared" si="8"/>
        <v>30930590.160288088</v>
      </c>
      <c r="J43" s="19">
        <f t="shared" si="9"/>
        <v>0</v>
      </c>
      <c r="K43" s="19">
        <f t="shared" si="10"/>
        <v>0</v>
      </c>
      <c r="L43" s="19">
        <f t="shared" si="11"/>
        <v>357481.67581056157</v>
      </c>
      <c r="M43" s="19">
        <f t="shared" si="12"/>
        <v>11897398.559580652</v>
      </c>
      <c r="N43" s="19"/>
      <c r="O43" s="19">
        <f t="shared" si="13"/>
        <v>5126759.562097922</v>
      </c>
      <c r="P43" s="19">
        <f t="shared" si="14"/>
        <v>68635.454533548138</v>
      </c>
      <c r="Q43" s="19">
        <f t="shared" si="15"/>
        <v>0</v>
      </c>
      <c r="R43" s="19"/>
      <c r="S43" s="19">
        <f t="shared" si="16"/>
        <v>0</v>
      </c>
      <c r="T43" s="19">
        <f t="shared" si="17"/>
        <v>0</v>
      </c>
      <c r="U43" s="19">
        <f t="shared" si="18"/>
        <v>0</v>
      </c>
      <c r="V43" s="19">
        <f t="shared" si="19"/>
        <v>0</v>
      </c>
      <c r="W43" s="19">
        <f t="shared" si="20"/>
        <v>0</v>
      </c>
      <c r="X43" s="19">
        <f t="shared" si="21"/>
        <v>0</v>
      </c>
      <c r="Y43" s="19">
        <f t="shared" si="22"/>
        <v>0</v>
      </c>
      <c r="Z43" s="19">
        <f t="shared" si="23"/>
        <v>0</v>
      </c>
      <c r="AA43" s="19">
        <f t="shared" si="24"/>
        <v>0</v>
      </c>
      <c r="AB43" s="19">
        <f t="shared" si="25"/>
        <v>0</v>
      </c>
      <c r="AC43" s="19">
        <f t="shared" si="26"/>
        <v>0</v>
      </c>
      <c r="AD43" s="19">
        <f t="shared" si="27"/>
        <v>0</v>
      </c>
      <c r="AE43" s="19"/>
      <c r="AF43" s="19">
        <f t="shared" si="28"/>
        <v>0</v>
      </c>
      <c r="AG43" s="19"/>
      <c r="AH43" s="19">
        <f t="shared" si="29"/>
        <v>0</v>
      </c>
      <c r="AI43" s="19"/>
      <c r="AJ43" s="19">
        <f t="shared" si="30"/>
        <v>0</v>
      </c>
      <c r="AK43" s="19">
        <f t="shared" si="31"/>
        <v>73451590</v>
      </c>
      <c r="AL43" s="15" t="str">
        <f t="shared" si="32"/>
        <v>ok</v>
      </c>
    </row>
    <row r="44" spans="1:38" x14ac:dyDescent="0.3">
      <c r="A44" s="21" t="s">
        <v>72</v>
      </c>
      <c r="C44" s="2" t="s">
        <v>73</v>
      </c>
      <c r="D44" s="2" t="s">
        <v>25</v>
      </c>
      <c r="F44" s="43">
        <f>3455274+1339888</f>
        <v>4795162</v>
      </c>
      <c r="H44" s="19">
        <f t="shared" si="7"/>
        <v>1636699.5711781471</v>
      </c>
      <c r="I44" s="19">
        <f t="shared" si="8"/>
        <v>2019250.9185190864</v>
      </c>
      <c r="J44" s="19">
        <f t="shared" si="9"/>
        <v>0</v>
      </c>
      <c r="K44" s="19">
        <f t="shared" si="10"/>
        <v>0</v>
      </c>
      <c r="L44" s="19">
        <f t="shared" si="11"/>
        <v>23337.582583891297</v>
      </c>
      <c r="M44" s="19">
        <f t="shared" si="12"/>
        <v>776701.40934669867</v>
      </c>
      <c r="N44" s="19"/>
      <c r="O44" s="19">
        <f t="shared" si="13"/>
        <v>334691.7695765142</v>
      </c>
      <c r="P44" s="19">
        <f t="shared" si="14"/>
        <v>4480.7487956625273</v>
      </c>
      <c r="Q44" s="19">
        <f t="shared" si="15"/>
        <v>0</v>
      </c>
      <c r="R44" s="19"/>
      <c r="S44" s="19">
        <f t="shared" si="16"/>
        <v>0</v>
      </c>
      <c r="T44" s="19">
        <f t="shared" si="17"/>
        <v>0</v>
      </c>
      <c r="U44" s="19">
        <f t="shared" si="18"/>
        <v>0</v>
      </c>
      <c r="V44" s="19">
        <f t="shared" si="19"/>
        <v>0</v>
      </c>
      <c r="W44" s="19">
        <f t="shared" si="20"/>
        <v>0</v>
      </c>
      <c r="X44" s="19">
        <f t="shared" si="21"/>
        <v>0</v>
      </c>
      <c r="Y44" s="19">
        <f t="shared" si="22"/>
        <v>0</v>
      </c>
      <c r="Z44" s="19">
        <f t="shared" si="23"/>
        <v>0</v>
      </c>
      <c r="AA44" s="19">
        <f t="shared" si="24"/>
        <v>0</v>
      </c>
      <c r="AB44" s="19">
        <f t="shared" si="25"/>
        <v>0</v>
      </c>
      <c r="AC44" s="19">
        <f t="shared" si="26"/>
        <v>0</v>
      </c>
      <c r="AD44" s="19">
        <f t="shared" si="27"/>
        <v>0</v>
      </c>
      <c r="AE44" s="19"/>
      <c r="AF44" s="19">
        <f t="shared" si="28"/>
        <v>0</v>
      </c>
      <c r="AG44" s="19"/>
      <c r="AH44" s="19">
        <f t="shared" si="29"/>
        <v>0</v>
      </c>
      <c r="AI44" s="19"/>
      <c r="AJ44" s="19">
        <f t="shared" si="30"/>
        <v>0</v>
      </c>
      <c r="AK44" s="19">
        <f t="shared" si="31"/>
        <v>4795162</v>
      </c>
      <c r="AL44" s="15" t="str">
        <f t="shared" si="32"/>
        <v>ok</v>
      </c>
    </row>
    <row r="45" spans="1:38" x14ac:dyDescent="0.3">
      <c r="A45" s="21" t="s">
        <v>74</v>
      </c>
      <c r="C45" s="2" t="s">
        <v>75</v>
      </c>
      <c r="D45" s="2" t="s">
        <v>25</v>
      </c>
      <c r="F45" s="43">
        <v>0</v>
      </c>
      <c r="H45" s="19">
        <f t="shared" si="7"/>
        <v>0</v>
      </c>
      <c r="I45" s="19">
        <f t="shared" si="8"/>
        <v>0</v>
      </c>
      <c r="J45" s="19">
        <f t="shared" si="9"/>
        <v>0</v>
      </c>
      <c r="K45" s="19">
        <f t="shared" si="10"/>
        <v>0</v>
      </c>
      <c r="L45" s="19">
        <f t="shared" si="11"/>
        <v>0</v>
      </c>
      <c r="M45" s="19">
        <f t="shared" si="12"/>
        <v>0</v>
      </c>
      <c r="N45" s="19"/>
      <c r="O45" s="19">
        <f t="shared" si="13"/>
        <v>0</v>
      </c>
      <c r="P45" s="19">
        <f t="shared" si="14"/>
        <v>0</v>
      </c>
      <c r="Q45" s="19">
        <f t="shared" si="15"/>
        <v>0</v>
      </c>
      <c r="R45" s="19"/>
      <c r="S45" s="19">
        <f t="shared" si="16"/>
        <v>0</v>
      </c>
      <c r="T45" s="19">
        <f t="shared" si="17"/>
        <v>0</v>
      </c>
      <c r="U45" s="19">
        <f t="shared" si="18"/>
        <v>0</v>
      </c>
      <c r="V45" s="19">
        <f t="shared" si="19"/>
        <v>0</v>
      </c>
      <c r="W45" s="19">
        <f t="shared" si="20"/>
        <v>0</v>
      </c>
      <c r="X45" s="19">
        <f t="shared" si="21"/>
        <v>0</v>
      </c>
      <c r="Y45" s="19">
        <f t="shared" si="22"/>
        <v>0</v>
      </c>
      <c r="Z45" s="19">
        <f t="shared" si="23"/>
        <v>0</v>
      </c>
      <c r="AA45" s="19">
        <f t="shared" si="24"/>
        <v>0</v>
      </c>
      <c r="AB45" s="19">
        <f t="shared" si="25"/>
        <v>0</v>
      </c>
      <c r="AC45" s="19">
        <f t="shared" si="26"/>
        <v>0</v>
      </c>
      <c r="AD45" s="19">
        <f t="shared" si="27"/>
        <v>0</v>
      </c>
      <c r="AE45" s="19"/>
      <c r="AF45" s="19">
        <f t="shared" si="28"/>
        <v>0</v>
      </c>
      <c r="AG45" s="19"/>
      <c r="AH45" s="19">
        <f t="shared" si="29"/>
        <v>0</v>
      </c>
      <c r="AI45" s="19"/>
      <c r="AJ45" s="19">
        <f t="shared" si="30"/>
        <v>0</v>
      </c>
      <c r="AK45" s="19">
        <f t="shared" si="31"/>
        <v>0</v>
      </c>
      <c r="AL45" s="15" t="str">
        <f t="shared" si="32"/>
        <v>ok</v>
      </c>
    </row>
    <row r="46" spans="1:38" x14ac:dyDescent="0.3">
      <c r="Y46" s="2"/>
      <c r="AK46" s="19"/>
      <c r="AL46" s="15"/>
    </row>
    <row r="47" spans="1:38" x14ac:dyDescent="0.3">
      <c r="A47" s="2" t="s">
        <v>76</v>
      </c>
      <c r="C47" s="2" t="s">
        <v>77</v>
      </c>
      <c r="F47" s="20">
        <f>SUM(F40:F45)</f>
        <v>1811820668</v>
      </c>
      <c r="G47" s="20"/>
      <c r="H47" s="20">
        <f t="shared" ref="H47:AK47" si="33">SUM(H40:H45)</f>
        <v>666954105.16610646</v>
      </c>
      <c r="I47" s="20">
        <f t="shared" si="33"/>
        <v>822843552.46534657</v>
      </c>
      <c r="J47" s="20">
        <f t="shared" si="33"/>
        <v>0</v>
      </c>
      <c r="K47" s="20">
        <f t="shared" si="33"/>
        <v>0</v>
      </c>
      <c r="L47" s="20">
        <f t="shared" si="33"/>
        <v>9255260.4266778231</v>
      </c>
      <c r="M47" s="20">
        <f t="shared" si="33"/>
        <v>210359506.40686578</v>
      </c>
      <c r="N47" s="20"/>
      <c r="O47" s="20">
        <f t="shared" si="33"/>
        <v>101055346.14789324</v>
      </c>
      <c r="P47" s="20">
        <f t="shared" si="33"/>
        <v>1352897.3871104305</v>
      </c>
      <c r="Q47" s="20">
        <f t="shared" si="33"/>
        <v>0</v>
      </c>
      <c r="R47" s="20"/>
      <c r="S47" s="20">
        <f t="shared" si="33"/>
        <v>0</v>
      </c>
      <c r="T47" s="20">
        <f t="shared" si="33"/>
        <v>0</v>
      </c>
      <c r="U47" s="20">
        <f t="shared" si="33"/>
        <v>0</v>
      </c>
      <c r="V47" s="20">
        <f t="shared" si="33"/>
        <v>0</v>
      </c>
      <c r="W47" s="20">
        <f t="shared" si="33"/>
        <v>0</v>
      </c>
      <c r="X47" s="20">
        <f t="shared" si="33"/>
        <v>0</v>
      </c>
      <c r="Y47" s="20">
        <f t="shared" si="33"/>
        <v>0</v>
      </c>
      <c r="Z47" s="20">
        <f t="shared" si="33"/>
        <v>0</v>
      </c>
      <c r="AA47" s="20">
        <f t="shared" si="33"/>
        <v>0</v>
      </c>
      <c r="AB47" s="20">
        <f t="shared" si="33"/>
        <v>0</v>
      </c>
      <c r="AC47" s="20">
        <f t="shared" si="33"/>
        <v>0</v>
      </c>
      <c r="AD47" s="20">
        <f t="shared" si="33"/>
        <v>0</v>
      </c>
      <c r="AE47" s="20"/>
      <c r="AF47" s="20">
        <f t="shared" si="33"/>
        <v>0</v>
      </c>
      <c r="AG47" s="20"/>
      <c r="AH47" s="20">
        <f t="shared" si="33"/>
        <v>0</v>
      </c>
      <c r="AI47" s="20"/>
      <c r="AJ47" s="20">
        <f t="shared" si="33"/>
        <v>0</v>
      </c>
      <c r="AK47" s="20">
        <f t="shared" si="33"/>
        <v>1811820668</v>
      </c>
      <c r="AL47" s="15" t="str">
        <f>IF(ABS(AK47-F47)&lt;1,"ok","err")</f>
        <v>ok</v>
      </c>
    </row>
    <row r="48" spans="1:38" x14ac:dyDescent="0.3">
      <c r="F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19"/>
      <c r="AL48" s="15"/>
    </row>
    <row r="49" spans="1:38" x14ac:dyDescent="0.3">
      <c r="A49" s="16" t="s">
        <v>78</v>
      </c>
      <c r="C49" s="2" t="s">
        <v>79</v>
      </c>
      <c r="F49" s="20">
        <f>F37-F47</f>
        <v>2996178332.5799999</v>
      </c>
      <c r="G49" s="20"/>
      <c r="H49" s="20">
        <f t="shared" ref="H49:M49" si="34">H37-H47</f>
        <v>954642249.32112646</v>
      </c>
      <c r="I49" s="20">
        <f t="shared" si="34"/>
        <v>1177774023.250474</v>
      </c>
      <c r="J49" s="20">
        <f t="shared" si="34"/>
        <v>0</v>
      </c>
      <c r="K49" s="20">
        <f t="shared" si="34"/>
        <v>0</v>
      </c>
      <c r="L49" s="20">
        <f t="shared" si="34"/>
        <v>13972176.883666109</v>
      </c>
      <c r="M49" s="20">
        <f t="shared" si="34"/>
        <v>603005310.46316791</v>
      </c>
      <c r="N49" s="20"/>
      <c r="O49" s="20">
        <f>O37-O47</f>
        <v>243524344.85169303</v>
      </c>
      <c r="P49" s="20">
        <f>P37-P47</f>
        <v>3260227.8098723171</v>
      </c>
      <c r="Q49" s="20">
        <f>Q37-Q47</f>
        <v>0</v>
      </c>
      <c r="R49" s="20"/>
      <c r="S49" s="20">
        <f t="shared" ref="S49:AD49" si="35">S37-S47</f>
        <v>0</v>
      </c>
      <c r="T49" s="20">
        <f t="shared" si="35"/>
        <v>0</v>
      </c>
      <c r="U49" s="20">
        <f t="shared" si="35"/>
        <v>0</v>
      </c>
      <c r="V49" s="20">
        <f t="shared" si="35"/>
        <v>0</v>
      </c>
      <c r="W49" s="20">
        <f t="shared" si="35"/>
        <v>0</v>
      </c>
      <c r="X49" s="20">
        <f t="shared" si="35"/>
        <v>0</v>
      </c>
      <c r="Y49" s="20">
        <f t="shared" si="35"/>
        <v>0</v>
      </c>
      <c r="Z49" s="20">
        <f t="shared" si="35"/>
        <v>0</v>
      </c>
      <c r="AA49" s="20">
        <f t="shared" si="35"/>
        <v>0</v>
      </c>
      <c r="AB49" s="20">
        <f t="shared" si="35"/>
        <v>0</v>
      </c>
      <c r="AC49" s="20">
        <f t="shared" si="35"/>
        <v>0</v>
      </c>
      <c r="AD49" s="20">
        <f t="shared" si="35"/>
        <v>0</v>
      </c>
      <c r="AE49" s="20"/>
      <c r="AF49" s="20">
        <f>AF37-AF47</f>
        <v>0</v>
      </c>
      <c r="AG49" s="20"/>
      <c r="AH49" s="20">
        <f>AH37-AH47</f>
        <v>0</v>
      </c>
      <c r="AI49" s="20"/>
      <c r="AJ49" s="20">
        <f>AJ37-AJ47</f>
        <v>0</v>
      </c>
      <c r="AK49" s="19">
        <f>SUM(H49:AJ49)</f>
        <v>2996178332.5799994</v>
      </c>
      <c r="AL49" s="15" t="str">
        <f>IF(ABS(AK49-F49)&lt;1,"ok","err")</f>
        <v>ok</v>
      </c>
    </row>
    <row r="50" spans="1:38" x14ac:dyDescent="0.3">
      <c r="Y50" s="2"/>
      <c r="AL50" s="15"/>
    </row>
    <row r="51" spans="1:38" x14ac:dyDescent="0.3">
      <c r="A51" s="16" t="s">
        <v>80</v>
      </c>
      <c r="Y51" s="2"/>
      <c r="AL51" s="15"/>
    </row>
    <row r="52" spans="1:38" x14ac:dyDescent="0.3">
      <c r="A52" s="2" t="s">
        <v>81</v>
      </c>
      <c r="C52" s="2" t="s">
        <v>82</v>
      </c>
      <c r="D52" s="2" t="s">
        <v>83</v>
      </c>
      <c r="F52" s="44">
        <f>(F249)*0.125</f>
        <v>43381701.329125009</v>
      </c>
      <c r="G52" s="18"/>
      <c r="H52" s="19">
        <f>IF(VLOOKUP($D52,$C$5:$AJ$470,6,)=0,0,((VLOOKUP($D52,$C$5:$AJ$470,6,)/VLOOKUP($D52,$C$5:$AJ$470,4,))*$F52))</f>
        <v>8602507.2339729667</v>
      </c>
      <c r="I52" s="19">
        <f>IF(VLOOKUP($D52,$C$5:$AJ$470,7,)=0,0,((VLOOKUP($D52,$C$5:$AJ$470,7,)/VLOOKUP($D52,$C$5:$AJ$470,4,))*$F52))</f>
        <v>10613200.455147116</v>
      </c>
      <c r="J52" s="19">
        <f>IF(VLOOKUP($D52,$C$5:$AJ$470,8,)=0,0,((VLOOKUP($D52,$C$5:$AJ$470,8,)/VLOOKUP($D52,$C$5:$AJ$470,4,))*$F52))</f>
        <v>5831103.328685753</v>
      </c>
      <c r="K52" s="19">
        <f>IF(VLOOKUP($D52,$C$5:$AJ$470,9,)=0,0,((VLOOKUP($D52,$C$5:$AJ$470,9,)/VLOOKUP($D52,$C$5:$AJ$470,4,))*$F52))</f>
        <v>6365366.2908931859</v>
      </c>
      <c r="L52" s="19">
        <f>IF(VLOOKUP($D52,$C$5:$AJ$470,10,)=0,0,((VLOOKUP($D52,$C$5:$AJ$470,10,)/VLOOKUP($D52,$C$5:$AJ$470,4,))*$F52))</f>
        <v>320579.40243488865</v>
      </c>
      <c r="M52" s="19">
        <f>IF(VLOOKUP($D52,$C$5:$AJ$470,11,)=0,0,((VLOOKUP($D52,$C$5:$AJ$470,11,)/VLOOKUP($D52,$C$5:$AJ$470,4,))*$F52))</f>
        <v>10802462.3016009</v>
      </c>
      <c r="N52" s="19"/>
      <c r="O52" s="19">
        <f>IF(VLOOKUP($D52,$C$5:$AJ$470,13,)=0,0,((VLOOKUP($D52,$C$5:$AJ$470,13,)/VLOOKUP($D52,$C$5:$AJ$470,4,))*$F52))</f>
        <v>818557.37971874548</v>
      </c>
      <c r="P52" s="19">
        <f>IF(VLOOKUP($D52,$C$5:$AJ$470,14,)=0,0,((VLOOKUP($D52,$C$5:$AJ$470,14,)/VLOOKUP($D52,$C$5:$AJ$470,4,))*$F52))</f>
        <v>27924.936671452055</v>
      </c>
      <c r="Q52" s="19">
        <f>IF(VLOOKUP($D52,$C$5:$AJ$470,15,)=0,0,((VLOOKUP($D52,$C$5:$AJ$470,15,)/VLOOKUP($D52,$C$5:$AJ$470,4,))*$F52))</f>
        <v>0</v>
      </c>
      <c r="R52" s="19"/>
      <c r="S52" s="19">
        <f>IF(VLOOKUP($D52,$C$5:$AJ$470,17,)=0,0,((VLOOKUP($D52,$C$5:$AJ$470,17,)/VLOOKUP($D52,$C$5:$AJ$470,4,))*$F52))</f>
        <v>0</v>
      </c>
      <c r="T52" s="19">
        <f>IF(VLOOKUP($D52,$C$5:$AJ$470,18,)=0,0,((VLOOKUP($D52,$C$5:$AJ$470,18,)/VLOOKUP($D52,$C$5:$AJ$470,4,))*$F52))</f>
        <v>0</v>
      </c>
      <c r="U52" s="19">
        <f>IF(VLOOKUP($D52,$C$5:$AJ$470,19,)=0,0,((VLOOKUP($D52,$C$5:$AJ$470,19,)/VLOOKUP($D52,$C$5:$AJ$470,4,))*$F52))</f>
        <v>0</v>
      </c>
      <c r="V52" s="19">
        <f>IF(VLOOKUP($D52,$C$5:$AJ$470,20,)=0,0,((VLOOKUP($D52,$C$5:$AJ$470,20,)/VLOOKUP($D52,$C$5:$AJ$470,4,))*$F52))</f>
        <v>0</v>
      </c>
      <c r="W52" s="19">
        <f>IF(VLOOKUP($D52,$C$5:$AJ$470,21,)=0,0,((VLOOKUP($D52,$C$5:$AJ$470,21,)/VLOOKUP($D52,$C$5:$AJ$470,4,))*$F52))</f>
        <v>0</v>
      </c>
      <c r="X52" s="19">
        <f>IF(VLOOKUP($D52,$C$5:$AJ$470,22,)=0,0,((VLOOKUP($D52,$C$5:$AJ$470,22,)/VLOOKUP($D52,$C$5:$AJ$470,4,))*$F52))</f>
        <v>0</v>
      </c>
      <c r="Y52" s="19">
        <f>IF(VLOOKUP($D52,$C$5:$AJ$470,23,)=0,0,((VLOOKUP($D52,$C$5:$AJ$470,23,)/VLOOKUP($D52,$C$5:$AJ$470,4,))*$F52))</f>
        <v>0</v>
      </c>
      <c r="Z52" s="19">
        <f>IF(VLOOKUP($D52,$C$5:$AJ$470,24,)=0,0,((VLOOKUP($D52,$C$5:$AJ$470,24,)/VLOOKUP($D52,$C$5:$AJ$470,4,))*$F52))</f>
        <v>0</v>
      </c>
      <c r="AA52" s="19">
        <f>IF(VLOOKUP($D52,$C$5:$AJ$470,25,)=0,0,((VLOOKUP($D52,$C$5:$AJ$470,25,)/VLOOKUP($D52,$C$5:$AJ$470,4,))*$F52))</f>
        <v>0</v>
      </c>
      <c r="AB52" s="19">
        <f>IF(VLOOKUP($D52,$C$5:$AJ$470,26,)=0,0,((VLOOKUP($D52,$C$5:$AJ$470,26,)/VLOOKUP($D52,$C$5:$AJ$470,4,))*$F52))</f>
        <v>0</v>
      </c>
      <c r="AC52" s="19">
        <f>IF(VLOOKUP($D52,$C$5:$AJ$470,27,)=0,0,((VLOOKUP($D52,$C$5:$AJ$470,27,)/VLOOKUP($D52,$C$5:$AJ$470,4,))*$F52))</f>
        <v>0</v>
      </c>
      <c r="AD52" s="19">
        <f>IF(VLOOKUP($D52,$C$5:$AJ$470,28,)=0,0,((VLOOKUP($D52,$C$5:$AJ$470,28,)/VLOOKUP($D52,$C$5:$AJ$470,4,))*$F52))</f>
        <v>0</v>
      </c>
      <c r="AE52" s="19"/>
      <c r="AF52" s="19">
        <f>IF(VLOOKUP($D52,$C$5:$AJ$470,30,)=0,0,((VLOOKUP($D52,$C$5:$AJ$470,30,)/VLOOKUP($D52,$C$5:$AJ$470,4,))*$F52))</f>
        <v>0</v>
      </c>
      <c r="AG52" s="19"/>
      <c r="AH52" s="19">
        <f>IF(VLOOKUP($D52,$C$5:$AJ$470,32,)=0,0,((VLOOKUP($D52,$C$5:$AJ$470,32,)/VLOOKUP($D52,$C$5:$AJ$470,4,))*$F52))</f>
        <v>0</v>
      </c>
      <c r="AI52" s="19"/>
      <c r="AJ52" s="19">
        <f>IF(VLOOKUP($D52,$C$5:$AJ$470,34,)=0,0,((VLOOKUP($D52,$C$5:$AJ$470,34,)/VLOOKUP($D52,$C$5:$AJ$470,4,))*$F52))</f>
        <v>0</v>
      </c>
      <c r="AK52" s="19">
        <f>SUM(H52:AJ52)</f>
        <v>43381701.329125009</v>
      </c>
      <c r="AL52" s="15" t="str">
        <f>IF(ABS(AK52-F52)&lt;1,"ok","err")</f>
        <v>ok</v>
      </c>
    </row>
    <row r="53" spans="1:38" x14ac:dyDescent="0.3">
      <c r="A53" s="2" t="s">
        <v>84</v>
      </c>
      <c r="C53" s="2" t="s">
        <v>85</v>
      </c>
      <c r="D53" s="2" t="s">
        <v>47</v>
      </c>
      <c r="F53" s="43">
        <v>122957867.84615384</v>
      </c>
      <c r="G53" s="19"/>
      <c r="H53" s="19">
        <f>IF(VLOOKUP($D53,$C$5:$AJ$470,6,)=0,0,((VLOOKUP($D53,$C$5:$AJ$470,6,)/VLOOKUP($D53,$C$5:$AJ$470,4,))*$F53))</f>
        <v>41968435.236466862</v>
      </c>
      <c r="I53" s="19">
        <f>IF(VLOOKUP($D53,$C$5:$AJ$470,7,)=0,0,((VLOOKUP($D53,$C$5:$AJ$470,7,)/VLOOKUP($D53,$C$5:$AJ$470,4,))*$F53))</f>
        <v>51777860.086468153</v>
      </c>
      <c r="J53" s="19">
        <f>IF(VLOOKUP($D53,$C$5:$AJ$470,8,)=0,0,((VLOOKUP($D53,$C$5:$AJ$470,8,)/VLOOKUP($D53,$C$5:$AJ$470,4,))*$F53))</f>
        <v>0</v>
      </c>
      <c r="K53" s="19">
        <f>IF(VLOOKUP($D53,$C$5:$AJ$470,9,)=0,0,((VLOOKUP($D53,$C$5:$AJ$470,9,)/VLOOKUP($D53,$C$5:$AJ$470,4,))*$F53))</f>
        <v>0</v>
      </c>
      <c r="L53" s="19">
        <f>IF(VLOOKUP($D53,$C$5:$AJ$470,10,)=0,0,((VLOOKUP($D53,$C$5:$AJ$470,10,)/VLOOKUP($D53,$C$5:$AJ$470,4,))*$F53))</f>
        <v>598424.56504645967</v>
      </c>
      <c r="M53" s="19">
        <f>IF(VLOOKUP($D53,$C$5:$AJ$470,11,)=0,0,((VLOOKUP($D53,$C$5:$AJ$470,11,)/VLOOKUP($D53,$C$5:$AJ$470,4,))*$F53))</f>
        <v>19916113.991828121</v>
      </c>
      <c r="N53" s="19"/>
      <c r="O53" s="19">
        <f>IF(VLOOKUP($D53,$C$5:$AJ$470,13,)=0,0,((VLOOKUP($D53,$C$5:$AJ$470,13,)/VLOOKUP($D53,$C$5:$AJ$470,4,))*$F53))</f>
        <v>8582138.9723230358</v>
      </c>
      <c r="P53" s="19">
        <f>IF(VLOOKUP($D53,$C$5:$AJ$470,14,)=0,0,((VLOOKUP($D53,$C$5:$AJ$470,14,)/VLOOKUP($D53,$C$5:$AJ$470,4,))*$F53))</f>
        <v>114894.99402121916</v>
      </c>
      <c r="Q53" s="19">
        <f>IF(VLOOKUP($D53,$C$5:$AJ$470,15,)=0,0,((VLOOKUP($D53,$C$5:$AJ$470,15,)/VLOOKUP($D53,$C$5:$AJ$470,4,))*$F53))</f>
        <v>0</v>
      </c>
      <c r="R53" s="19"/>
      <c r="S53" s="19">
        <f>IF(VLOOKUP($D53,$C$5:$AJ$470,17,)=0,0,((VLOOKUP($D53,$C$5:$AJ$470,17,)/VLOOKUP($D53,$C$5:$AJ$470,4,))*$F53))</f>
        <v>0</v>
      </c>
      <c r="T53" s="19">
        <f>IF(VLOOKUP($D53,$C$5:$AJ$470,18,)=0,0,((VLOOKUP($D53,$C$5:$AJ$470,18,)/VLOOKUP($D53,$C$5:$AJ$470,4,))*$F53))</f>
        <v>0</v>
      </c>
      <c r="U53" s="19">
        <f>IF(VLOOKUP($D53,$C$5:$AJ$470,19,)=0,0,((VLOOKUP($D53,$C$5:$AJ$470,19,)/VLOOKUP($D53,$C$5:$AJ$470,4,))*$F53))</f>
        <v>0</v>
      </c>
      <c r="V53" s="19">
        <f>IF(VLOOKUP($D53,$C$5:$AJ$470,20,)=0,0,((VLOOKUP($D53,$C$5:$AJ$470,20,)/VLOOKUP($D53,$C$5:$AJ$470,4,))*$F53))</f>
        <v>0</v>
      </c>
      <c r="W53" s="19">
        <f>IF(VLOOKUP($D53,$C$5:$AJ$470,21,)=0,0,((VLOOKUP($D53,$C$5:$AJ$470,21,)/VLOOKUP($D53,$C$5:$AJ$470,4,))*$F53))</f>
        <v>0</v>
      </c>
      <c r="X53" s="19">
        <f>IF(VLOOKUP($D53,$C$5:$AJ$470,22,)=0,0,((VLOOKUP($D53,$C$5:$AJ$470,22,)/VLOOKUP($D53,$C$5:$AJ$470,4,))*$F53))</f>
        <v>0</v>
      </c>
      <c r="Y53" s="19">
        <f>IF(VLOOKUP($D53,$C$5:$AJ$470,23,)=0,0,((VLOOKUP($D53,$C$5:$AJ$470,23,)/VLOOKUP($D53,$C$5:$AJ$470,4,))*$F53))</f>
        <v>0</v>
      </c>
      <c r="Z53" s="19">
        <f>IF(VLOOKUP($D53,$C$5:$AJ$470,24,)=0,0,((VLOOKUP($D53,$C$5:$AJ$470,24,)/VLOOKUP($D53,$C$5:$AJ$470,4,))*$F53))</f>
        <v>0</v>
      </c>
      <c r="AA53" s="19">
        <f>IF(VLOOKUP($D53,$C$5:$AJ$470,25,)=0,0,((VLOOKUP($D53,$C$5:$AJ$470,25,)/VLOOKUP($D53,$C$5:$AJ$470,4,))*$F53))</f>
        <v>0</v>
      </c>
      <c r="AB53" s="19">
        <f>IF(VLOOKUP($D53,$C$5:$AJ$470,26,)=0,0,((VLOOKUP($D53,$C$5:$AJ$470,26,)/VLOOKUP($D53,$C$5:$AJ$470,4,))*$F53))</f>
        <v>0</v>
      </c>
      <c r="AC53" s="19">
        <f>IF(VLOOKUP($D53,$C$5:$AJ$470,27,)=0,0,((VLOOKUP($D53,$C$5:$AJ$470,27,)/VLOOKUP($D53,$C$5:$AJ$470,4,))*$F53))</f>
        <v>0</v>
      </c>
      <c r="AD53" s="19">
        <f>IF(VLOOKUP($D53,$C$5:$AJ$470,28,)=0,0,((VLOOKUP($D53,$C$5:$AJ$470,28,)/VLOOKUP($D53,$C$5:$AJ$470,4,))*$F53))</f>
        <v>0</v>
      </c>
      <c r="AE53" s="19"/>
      <c r="AF53" s="19">
        <f>IF(VLOOKUP($D53,$C$5:$AJ$470,30,)=0,0,((VLOOKUP($D53,$C$5:$AJ$470,30,)/VLOOKUP($D53,$C$5:$AJ$470,4,))*$F53))</f>
        <v>0</v>
      </c>
      <c r="AG53" s="19"/>
      <c r="AH53" s="19">
        <f>IF(VLOOKUP($D53,$C$5:$AJ$470,32,)=0,0,((VLOOKUP($D53,$C$5:$AJ$470,32,)/VLOOKUP($D53,$C$5:$AJ$470,4,))*$F53))</f>
        <v>0</v>
      </c>
      <c r="AI53" s="19"/>
      <c r="AJ53" s="19">
        <f>IF(VLOOKUP($D53,$C$5:$AJ$470,34,)=0,0,((VLOOKUP($D53,$C$5:$AJ$470,34,)/VLOOKUP($D53,$C$5:$AJ$470,4,))*$F53))</f>
        <v>0</v>
      </c>
      <c r="AK53" s="19">
        <f>SUM(H53:AJ53)</f>
        <v>122957867.84615384</v>
      </c>
      <c r="AL53" s="15" t="str">
        <f>IF(ABS(AK53-F53)&lt;1,"ok","err")</f>
        <v>ok</v>
      </c>
    </row>
    <row r="54" spans="1:38" x14ac:dyDescent="0.3">
      <c r="A54" s="2" t="s">
        <v>86</v>
      </c>
      <c r="C54" s="2" t="s">
        <v>87</v>
      </c>
      <c r="D54" s="2" t="s">
        <v>47</v>
      </c>
      <c r="F54" s="43">
        <v>22374925.307692308</v>
      </c>
      <c r="G54" s="19"/>
      <c r="H54" s="19">
        <f>IF(VLOOKUP($D54,$C$5:$AJ$470,6,)=0,0,((VLOOKUP($D54,$C$5:$AJ$470,6,)/VLOOKUP($D54,$C$5:$AJ$470,4,))*$F54))</f>
        <v>7637092.4459393304</v>
      </c>
      <c r="I54" s="19">
        <f>IF(VLOOKUP($D54,$C$5:$AJ$470,7,)=0,0,((VLOOKUP($D54,$C$5:$AJ$470,7,)/VLOOKUP($D54,$C$5:$AJ$470,4,))*$F54))</f>
        <v>9422135.9911382571</v>
      </c>
      <c r="J54" s="19">
        <f>IF(VLOOKUP($D54,$C$5:$AJ$470,8,)=0,0,((VLOOKUP($D54,$C$5:$AJ$470,8,)/VLOOKUP($D54,$C$5:$AJ$470,4,))*$F54))</f>
        <v>0</v>
      </c>
      <c r="K54" s="19">
        <f>IF(VLOOKUP($D54,$C$5:$AJ$470,9,)=0,0,((VLOOKUP($D54,$C$5:$AJ$470,9,)/VLOOKUP($D54,$C$5:$AJ$470,4,))*$F54))</f>
        <v>0</v>
      </c>
      <c r="L54" s="19">
        <f>IF(VLOOKUP($D54,$C$5:$AJ$470,10,)=0,0,((VLOOKUP($D54,$C$5:$AJ$470,10,)/VLOOKUP($D54,$C$5:$AJ$470,4,))*$F54))</f>
        <v>108896.69103530755</v>
      </c>
      <c r="M54" s="19">
        <f>IF(VLOOKUP($D54,$C$5:$AJ$470,11,)=0,0,((VLOOKUP($D54,$C$5:$AJ$470,11,)/VLOOKUP($D54,$C$5:$AJ$470,4,))*$F54))</f>
        <v>3624180.9555790783</v>
      </c>
      <c r="N54" s="19"/>
      <c r="O54" s="19">
        <f>IF(VLOOKUP($D54,$C$5:$AJ$470,13,)=0,0,((VLOOKUP($D54,$C$5:$AJ$470,13,)/VLOOKUP($D54,$C$5:$AJ$470,4,))*$F54))</f>
        <v>1561711.5183407902</v>
      </c>
      <c r="P54" s="19">
        <f>IF(VLOOKUP($D54,$C$5:$AJ$470,14,)=0,0,((VLOOKUP($D54,$C$5:$AJ$470,14,)/VLOOKUP($D54,$C$5:$AJ$470,4,))*$F54))</f>
        <v>20907.705659544317</v>
      </c>
      <c r="Q54" s="19">
        <f>IF(VLOOKUP($D54,$C$5:$AJ$470,15,)=0,0,((VLOOKUP($D54,$C$5:$AJ$470,15,)/VLOOKUP($D54,$C$5:$AJ$470,4,))*$F54))</f>
        <v>0</v>
      </c>
      <c r="R54" s="19"/>
      <c r="S54" s="19">
        <f>IF(VLOOKUP($D54,$C$5:$AJ$470,17,)=0,0,((VLOOKUP($D54,$C$5:$AJ$470,17,)/VLOOKUP($D54,$C$5:$AJ$470,4,))*$F54))</f>
        <v>0</v>
      </c>
      <c r="T54" s="19">
        <f>IF(VLOOKUP($D54,$C$5:$AJ$470,18,)=0,0,((VLOOKUP($D54,$C$5:$AJ$470,18,)/VLOOKUP($D54,$C$5:$AJ$470,4,))*$F54))</f>
        <v>0</v>
      </c>
      <c r="U54" s="19">
        <f>IF(VLOOKUP($D54,$C$5:$AJ$470,19,)=0,0,((VLOOKUP($D54,$C$5:$AJ$470,19,)/VLOOKUP($D54,$C$5:$AJ$470,4,))*$F54))</f>
        <v>0</v>
      </c>
      <c r="V54" s="19">
        <f>IF(VLOOKUP($D54,$C$5:$AJ$470,20,)=0,0,((VLOOKUP($D54,$C$5:$AJ$470,20,)/VLOOKUP($D54,$C$5:$AJ$470,4,))*$F54))</f>
        <v>0</v>
      </c>
      <c r="W54" s="19">
        <f>IF(VLOOKUP($D54,$C$5:$AJ$470,21,)=0,0,((VLOOKUP($D54,$C$5:$AJ$470,21,)/VLOOKUP($D54,$C$5:$AJ$470,4,))*$F54))</f>
        <v>0</v>
      </c>
      <c r="X54" s="19">
        <f>IF(VLOOKUP($D54,$C$5:$AJ$470,22,)=0,0,((VLOOKUP($D54,$C$5:$AJ$470,22,)/VLOOKUP($D54,$C$5:$AJ$470,4,))*$F54))</f>
        <v>0</v>
      </c>
      <c r="Y54" s="19">
        <f>IF(VLOOKUP($D54,$C$5:$AJ$470,23,)=0,0,((VLOOKUP($D54,$C$5:$AJ$470,23,)/VLOOKUP($D54,$C$5:$AJ$470,4,))*$F54))</f>
        <v>0</v>
      </c>
      <c r="Z54" s="19">
        <f>IF(VLOOKUP($D54,$C$5:$AJ$470,24,)=0,0,((VLOOKUP($D54,$C$5:$AJ$470,24,)/VLOOKUP($D54,$C$5:$AJ$470,4,))*$F54))</f>
        <v>0</v>
      </c>
      <c r="AA54" s="19">
        <f>IF(VLOOKUP($D54,$C$5:$AJ$470,25,)=0,0,((VLOOKUP($D54,$C$5:$AJ$470,25,)/VLOOKUP($D54,$C$5:$AJ$470,4,))*$F54))</f>
        <v>0</v>
      </c>
      <c r="AB54" s="19">
        <f>IF(VLOOKUP($D54,$C$5:$AJ$470,26,)=0,0,((VLOOKUP($D54,$C$5:$AJ$470,26,)/VLOOKUP($D54,$C$5:$AJ$470,4,))*$F54))</f>
        <v>0</v>
      </c>
      <c r="AC54" s="19">
        <f>IF(VLOOKUP($D54,$C$5:$AJ$470,27,)=0,0,((VLOOKUP($D54,$C$5:$AJ$470,27,)/VLOOKUP($D54,$C$5:$AJ$470,4,))*$F54))</f>
        <v>0</v>
      </c>
      <c r="AD54" s="19">
        <f>IF(VLOOKUP($D54,$C$5:$AJ$470,28,)=0,0,((VLOOKUP($D54,$C$5:$AJ$470,28,)/VLOOKUP($D54,$C$5:$AJ$470,4,))*$F54))</f>
        <v>0</v>
      </c>
      <c r="AE54" s="19"/>
      <c r="AF54" s="19">
        <f>IF(VLOOKUP($D54,$C$5:$AJ$470,30,)=0,0,((VLOOKUP($D54,$C$5:$AJ$470,30,)/VLOOKUP($D54,$C$5:$AJ$470,4,))*$F54))</f>
        <v>0</v>
      </c>
      <c r="AG54" s="19"/>
      <c r="AH54" s="19">
        <f>IF(VLOOKUP($D54,$C$5:$AJ$470,32,)=0,0,((VLOOKUP($D54,$C$5:$AJ$470,32,)/VLOOKUP($D54,$C$5:$AJ$470,4,))*$F54))</f>
        <v>0</v>
      </c>
      <c r="AI54" s="19"/>
      <c r="AJ54" s="19">
        <f>IF(VLOOKUP($D54,$C$5:$AJ$470,34,)=0,0,((VLOOKUP($D54,$C$5:$AJ$470,34,)/VLOOKUP($D54,$C$5:$AJ$470,4,))*$F54))</f>
        <v>0</v>
      </c>
      <c r="AK54" s="19">
        <f>SUM(H54:AJ54)</f>
        <v>22374925.307692312</v>
      </c>
      <c r="AL54" s="15" t="str">
        <f>IF(ABS(AK54-F54)&lt;1,"ok","err")</f>
        <v>ok</v>
      </c>
    </row>
    <row r="55" spans="1:38" x14ac:dyDescent="0.3">
      <c r="A55" s="2" t="s">
        <v>88</v>
      </c>
      <c r="D55" s="2" t="s">
        <v>89</v>
      </c>
      <c r="F55" s="43">
        <v>133729827</v>
      </c>
      <c r="H55" s="19">
        <f>IF(VLOOKUP($D55,$C$5:$AJ$470,6,)=0,0,((VLOOKUP($D55,$C$5:$AJ$470,6,)/VLOOKUP($D55,$C$5:$AJ$470,4,))*$F55))</f>
        <v>0</v>
      </c>
      <c r="I55" s="19">
        <f>IF(VLOOKUP($D55,$C$5:$AJ$470,7,)=0,0,((VLOOKUP($D55,$C$5:$AJ$470,7,)/VLOOKUP($D55,$C$5:$AJ$470,4,))*$F55))</f>
        <v>0</v>
      </c>
      <c r="J55" s="19">
        <f>IF(VLOOKUP($D55,$C$5:$AJ$470,8,)=0,0,((VLOOKUP($D55,$C$5:$AJ$470,8,)/VLOOKUP($D55,$C$5:$AJ$470,4,))*$F55))</f>
        <v>62990468.389240146</v>
      </c>
      <c r="K55" s="19">
        <f>IF(VLOOKUP($D55,$C$5:$AJ$470,9,)=0,0,((VLOOKUP($D55,$C$5:$AJ$470,9,)/VLOOKUP($D55,$C$5:$AJ$470,4,))*$F55))</f>
        <v>68770126.527783036</v>
      </c>
      <c r="L55" s="19">
        <f>IF(VLOOKUP($D55,$C$5:$AJ$470,10,)=0,0,((VLOOKUP($D55,$C$5:$AJ$470,10,)/VLOOKUP($D55,$C$5:$AJ$470,4,))*$F55))</f>
        <v>1969232.0829768269</v>
      </c>
      <c r="M55" s="19">
        <f>IF(VLOOKUP($D55,$C$5:$AJ$470,11,)=0,0,((VLOOKUP($D55,$C$5:$AJ$470,11,)/VLOOKUP($D55,$C$5:$AJ$470,4,))*$F55))</f>
        <v>0</v>
      </c>
      <c r="N55" s="19"/>
      <c r="O55" s="19">
        <f>IF(VLOOKUP($D55,$C$5:$AJ$470,13,)=0,0,((VLOOKUP($D55,$C$5:$AJ$470,13,)/VLOOKUP($D55,$C$5:$AJ$470,4,))*$F55))</f>
        <v>0</v>
      </c>
      <c r="P55" s="19">
        <f>IF(VLOOKUP($D55,$C$5:$AJ$470,14,)=0,0,((VLOOKUP($D55,$C$5:$AJ$470,14,)/VLOOKUP($D55,$C$5:$AJ$470,4,))*$F55))</f>
        <v>0</v>
      </c>
      <c r="Q55" s="19">
        <f>IF(VLOOKUP($D55,$C$5:$AJ$470,15,)=0,0,((VLOOKUP($D55,$C$5:$AJ$470,15,)/VLOOKUP($D55,$C$5:$AJ$470,4,))*$F55))</f>
        <v>0</v>
      </c>
      <c r="R55" s="19"/>
      <c r="S55" s="19">
        <f>IF(VLOOKUP($D55,$C$5:$AJ$470,17,)=0,0,((VLOOKUP($D55,$C$5:$AJ$470,17,)/VLOOKUP($D55,$C$5:$AJ$470,4,))*$F55))</f>
        <v>0</v>
      </c>
      <c r="T55" s="19">
        <f>IF(VLOOKUP($D55,$C$5:$AJ$470,18,)=0,0,((VLOOKUP($D55,$C$5:$AJ$470,18,)/VLOOKUP($D55,$C$5:$AJ$470,4,))*$F55))</f>
        <v>0</v>
      </c>
      <c r="U55" s="19">
        <f>IF(VLOOKUP($D55,$C$5:$AJ$470,19,)=0,0,((VLOOKUP($D55,$C$5:$AJ$470,19,)/VLOOKUP($D55,$C$5:$AJ$470,4,))*$F55))</f>
        <v>0</v>
      </c>
      <c r="V55" s="19">
        <f>IF(VLOOKUP($D55,$C$5:$AJ$470,20,)=0,0,((VLOOKUP($D55,$C$5:$AJ$470,20,)/VLOOKUP($D55,$C$5:$AJ$470,4,))*$F55))</f>
        <v>0</v>
      </c>
      <c r="W55" s="19">
        <f>IF(VLOOKUP($D55,$C$5:$AJ$470,21,)=0,0,((VLOOKUP($D55,$C$5:$AJ$470,21,)/VLOOKUP($D55,$C$5:$AJ$470,4,))*$F55))</f>
        <v>0</v>
      </c>
      <c r="X55" s="19">
        <f>IF(VLOOKUP($D55,$C$5:$AJ$470,22,)=0,0,((VLOOKUP($D55,$C$5:$AJ$470,22,)/VLOOKUP($D55,$C$5:$AJ$470,4,))*$F55))</f>
        <v>0</v>
      </c>
      <c r="Y55" s="19">
        <f>IF(VLOOKUP($D55,$C$5:$AJ$470,23,)=0,0,((VLOOKUP($D55,$C$5:$AJ$470,23,)/VLOOKUP($D55,$C$5:$AJ$470,4,))*$F55))</f>
        <v>0</v>
      </c>
      <c r="Z55" s="19">
        <f>IF(VLOOKUP($D55,$C$5:$AJ$470,24,)=0,0,((VLOOKUP($D55,$C$5:$AJ$470,24,)/VLOOKUP($D55,$C$5:$AJ$470,4,))*$F55))</f>
        <v>0</v>
      </c>
      <c r="AA55" s="19">
        <f>IF(VLOOKUP($D55,$C$5:$AJ$470,25,)=0,0,((VLOOKUP($D55,$C$5:$AJ$470,25,)/VLOOKUP($D55,$C$5:$AJ$470,4,))*$F55))</f>
        <v>0</v>
      </c>
      <c r="AB55" s="19">
        <f>IF(VLOOKUP($D55,$C$5:$AJ$470,26,)=0,0,((VLOOKUP($D55,$C$5:$AJ$470,26,)/VLOOKUP($D55,$C$5:$AJ$470,4,))*$F55))</f>
        <v>0</v>
      </c>
      <c r="AC55" s="19">
        <f>IF(VLOOKUP($D55,$C$5:$AJ$470,27,)=0,0,((VLOOKUP($D55,$C$5:$AJ$470,27,)/VLOOKUP($D55,$C$5:$AJ$470,4,))*$F55))</f>
        <v>0</v>
      </c>
      <c r="AD55" s="19">
        <f>IF(VLOOKUP($D55,$C$5:$AJ$470,28,)=0,0,((VLOOKUP($D55,$C$5:$AJ$470,28,)/VLOOKUP($D55,$C$5:$AJ$470,4,))*$F55))</f>
        <v>0</v>
      </c>
      <c r="AE55" s="19"/>
      <c r="AF55" s="19">
        <f>IF(VLOOKUP($D55,$C$5:$AJ$470,30,)=0,0,((VLOOKUP($D55,$C$5:$AJ$470,30,)/VLOOKUP($D55,$C$5:$AJ$470,4,))*$F55))</f>
        <v>0</v>
      </c>
      <c r="AG55" s="19"/>
      <c r="AH55" s="19">
        <f>IF(VLOOKUP($D55,$C$5:$AJ$470,32,)=0,0,((VLOOKUP($D55,$C$5:$AJ$470,32,)/VLOOKUP($D55,$C$5:$AJ$470,4,))*$F55))</f>
        <v>0</v>
      </c>
      <c r="AI55" s="19"/>
      <c r="AJ55" s="19">
        <f>IF(VLOOKUP($D55,$C$5:$AJ$470,34,)=0,0,((VLOOKUP($D55,$C$5:$AJ$470,34,)/VLOOKUP($D55,$C$5:$AJ$470,4,))*$F55))</f>
        <v>0</v>
      </c>
      <c r="AK55" s="19">
        <f>SUM(H55:AJ55)</f>
        <v>133729827.00000001</v>
      </c>
      <c r="AL55" s="15" t="str">
        <f>IF(ABS(AK55-F55)&lt;1,"ok","err")</f>
        <v>ok</v>
      </c>
    </row>
    <row r="56" spans="1:38" x14ac:dyDescent="0.3">
      <c r="Y56" s="2"/>
      <c r="AK56" s="19"/>
      <c r="AL56" s="15"/>
    </row>
    <row r="57" spans="1:38" x14ac:dyDescent="0.3">
      <c r="A57" s="21" t="s">
        <v>90</v>
      </c>
      <c r="C57" s="2" t="s">
        <v>91</v>
      </c>
      <c r="F57" s="20">
        <f>SUM(F52:F56)</f>
        <v>322444321.48297119</v>
      </c>
      <c r="G57" s="20"/>
      <c r="H57" s="20">
        <f t="shared" ref="H57:M57" si="36">SUM(H52:H56)</f>
        <v>58208034.916379161</v>
      </c>
      <c r="I57" s="20">
        <f t="shared" si="36"/>
        <v>71813196.532753527</v>
      </c>
      <c r="J57" s="20">
        <f t="shared" si="36"/>
        <v>68821571.717925906</v>
      </c>
      <c r="K57" s="20">
        <f t="shared" si="36"/>
        <v>75135492.818676218</v>
      </c>
      <c r="L57" s="20">
        <f t="shared" si="36"/>
        <v>2997132.7414934831</v>
      </c>
      <c r="M57" s="20">
        <f t="shared" si="36"/>
        <v>34342757.249008097</v>
      </c>
      <c r="N57" s="20"/>
      <c r="O57" s="20">
        <f>SUM(O52:O56)</f>
        <v>10962407.870382572</v>
      </c>
      <c r="P57" s="20">
        <f>SUM(P52:P56)</f>
        <v>163727.63635221554</v>
      </c>
      <c r="Q57" s="20">
        <f>SUM(Q52:Q56)</f>
        <v>0</v>
      </c>
      <c r="R57" s="20"/>
      <c r="S57" s="20">
        <f t="shared" ref="S57:AD57" si="37">SUM(S52:S56)</f>
        <v>0</v>
      </c>
      <c r="T57" s="20">
        <f t="shared" si="37"/>
        <v>0</v>
      </c>
      <c r="U57" s="20">
        <f t="shared" si="37"/>
        <v>0</v>
      </c>
      <c r="V57" s="20">
        <f t="shared" si="37"/>
        <v>0</v>
      </c>
      <c r="W57" s="20">
        <f t="shared" si="37"/>
        <v>0</v>
      </c>
      <c r="X57" s="20">
        <f t="shared" si="37"/>
        <v>0</v>
      </c>
      <c r="Y57" s="20">
        <f t="shared" si="37"/>
        <v>0</v>
      </c>
      <c r="Z57" s="20">
        <f t="shared" si="37"/>
        <v>0</v>
      </c>
      <c r="AA57" s="20">
        <f t="shared" si="37"/>
        <v>0</v>
      </c>
      <c r="AB57" s="20">
        <f t="shared" si="37"/>
        <v>0</v>
      </c>
      <c r="AC57" s="20">
        <f t="shared" si="37"/>
        <v>0</v>
      </c>
      <c r="AD57" s="20">
        <f t="shared" si="37"/>
        <v>0</v>
      </c>
      <c r="AE57" s="20"/>
      <c r="AF57" s="20">
        <f>SUM(AF52:AF56)</f>
        <v>0</v>
      </c>
      <c r="AG57" s="20"/>
      <c r="AH57" s="20">
        <f>SUM(AH52:AH56)</f>
        <v>0</v>
      </c>
      <c r="AI57" s="20"/>
      <c r="AJ57" s="20">
        <f>SUM(AJ52:AJ56)</f>
        <v>0</v>
      </c>
      <c r="AK57" s="19">
        <f>SUM(H57:AJ57)</f>
        <v>322444321.48297119</v>
      </c>
      <c r="AL57" s="15" t="str">
        <f>IF(ABS(AK57-F57)&lt;1,"ok","err")</f>
        <v>ok</v>
      </c>
    </row>
    <row r="58" spans="1:38" x14ac:dyDescent="0.3">
      <c r="Y58" s="2"/>
      <c r="AL58" s="15"/>
    </row>
    <row r="59" spans="1:38" x14ac:dyDescent="0.3">
      <c r="A59" s="16" t="s">
        <v>92</v>
      </c>
      <c r="Y59" s="2"/>
      <c r="AL59" s="15"/>
    </row>
    <row r="60" spans="1:38" x14ac:dyDescent="0.3">
      <c r="A60" s="2" t="s">
        <v>93</v>
      </c>
      <c r="C60" s="2" t="s">
        <v>94</v>
      </c>
      <c r="D60" s="2" t="s">
        <v>95</v>
      </c>
      <c r="F60" s="44">
        <v>0</v>
      </c>
      <c r="G60" s="18"/>
      <c r="H60" s="19">
        <f>IF(VLOOKUP($D60,$C$5:$AJ$470,6,)=0,0,((VLOOKUP($D60,$C$5:$AJ$470,6,)/VLOOKUP($D60,$C$5:$AJ$470,4,))*$F60))</f>
        <v>0</v>
      </c>
      <c r="I60" s="19">
        <f>IF(VLOOKUP($D60,$C$5:$AJ$470,7,)=0,0,((VLOOKUP($D60,$C$5:$AJ$470,7,)/VLOOKUP($D60,$C$5:$AJ$470,4,))*$F60))</f>
        <v>0</v>
      </c>
      <c r="J60" s="19">
        <f>IF(VLOOKUP($D60,$C$5:$AJ$470,8,)=0,0,((VLOOKUP($D60,$C$5:$AJ$470,8,)/VLOOKUP($D60,$C$5:$AJ$470,4,))*$F60))</f>
        <v>0</v>
      </c>
      <c r="K60" s="19">
        <f>IF(VLOOKUP($D60,$C$5:$AJ$470,9,)=0,0,((VLOOKUP($D60,$C$5:$AJ$470,9,)/VLOOKUP($D60,$C$5:$AJ$470,4,))*$F60))</f>
        <v>0</v>
      </c>
      <c r="L60" s="19">
        <f>IF(VLOOKUP($D60,$C$5:$AJ$470,10,)=0,0,((VLOOKUP($D60,$C$5:$AJ$470,10,)/VLOOKUP($D60,$C$5:$AJ$470,4,))*$F60))</f>
        <v>0</v>
      </c>
      <c r="M60" s="19">
        <f>IF(VLOOKUP($D60,$C$5:$AJ$470,11,)=0,0,((VLOOKUP($D60,$C$5:$AJ$470,11,)/VLOOKUP($D60,$C$5:$AJ$470,4,))*$F60))</f>
        <v>0</v>
      </c>
      <c r="N60" s="19"/>
      <c r="O60" s="19">
        <f>IF(VLOOKUP($D60,$C$5:$AJ$470,13,)=0,0,((VLOOKUP($D60,$C$5:$AJ$470,13,)/VLOOKUP($D60,$C$5:$AJ$470,4,))*$F60))</f>
        <v>0</v>
      </c>
      <c r="P60" s="19">
        <f>IF(VLOOKUP($D60,$C$5:$AJ$470,14,)=0,0,((VLOOKUP($D60,$C$5:$AJ$470,14,)/VLOOKUP($D60,$C$5:$AJ$470,4,))*$F60))</f>
        <v>0</v>
      </c>
      <c r="Q60" s="19">
        <f>IF(VLOOKUP($D60,$C$5:$AJ$470,15,)=0,0,((VLOOKUP($D60,$C$5:$AJ$470,15,)/VLOOKUP($D60,$C$5:$AJ$470,4,))*$F60))</f>
        <v>0</v>
      </c>
      <c r="R60" s="19"/>
      <c r="S60" s="19">
        <f>IF(VLOOKUP($D60,$C$5:$AJ$470,17,)=0,0,((VLOOKUP($D60,$C$5:$AJ$470,17,)/VLOOKUP($D60,$C$5:$AJ$470,4,))*$F60))</f>
        <v>0</v>
      </c>
      <c r="T60" s="19">
        <f>IF(VLOOKUP($D60,$C$5:$AJ$470,18,)=0,0,((VLOOKUP($D60,$C$5:$AJ$470,18,)/VLOOKUP($D60,$C$5:$AJ$470,4,))*$F60))</f>
        <v>0</v>
      </c>
      <c r="U60" s="19">
        <f>IF(VLOOKUP($D60,$C$5:$AJ$470,19,)=0,0,((VLOOKUP($D60,$C$5:$AJ$470,19,)/VLOOKUP($D60,$C$5:$AJ$470,4,))*$F60))</f>
        <v>0</v>
      </c>
      <c r="V60" s="19">
        <f>IF(VLOOKUP($D60,$C$5:$AJ$470,20,)=0,0,((VLOOKUP($D60,$C$5:$AJ$470,20,)/VLOOKUP($D60,$C$5:$AJ$470,4,))*$F60))</f>
        <v>0</v>
      </c>
      <c r="W60" s="19">
        <f>IF(VLOOKUP($D60,$C$5:$AJ$470,21,)=0,0,((VLOOKUP($D60,$C$5:$AJ$470,21,)/VLOOKUP($D60,$C$5:$AJ$470,4,))*$F60))</f>
        <v>0</v>
      </c>
      <c r="X60" s="19">
        <f>IF(VLOOKUP($D60,$C$5:$AJ$470,22,)=0,0,((VLOOKUP($D60,$C$5:$AJ$470,22,)/VLOOKUP($D60,$C$5:$AJ$470,4,))*$F60))</f>
        <v>0</v>
      </c>
      <c r="Y60" s="19">
        <f>IF(VLOOKUP($D60,$C$5:$AJ$470,23,)=0,0,((VLOOKUP($D60,$C$5:$AJ$470,23,)/VLOOKUP($D60,$C$5:$AJ$470,4,))*$F60))</f>
        <v>0</v>
      </c>
      <c r="Z60" s="19">
        <f>IF(VLOOKUP($D60,$C$5:$AJ$470,24,)=0,0,((VLOOKUP($D60,$C$5:$AJ$470,24,)/VLOOKUP($D60,$C$5:$AJ$470,4,))*$F60))</f>
        <v>0</v>
      </c>
      <c r="AA60" s="19">
        <f>IF(VLOOKUP($D60,$C$5:$AJ$470,25,)=0,0,((VLOOKUP($D60,$C$5:$AJ$470,25,)/VLOOKUP($D60,$C$5:$AJ$470,4,))*$F60))</f>
        <v>0</v>
      </c>
      <c r="AB60" s="19">
        <f>IF(VLOOKUP($D60,$C$5:$AJ$470,26,)=0,0,((VLOOKUP($D60,$C$5:$AJ$470,26,)/VLOOKUP($D60,$C$5:$AJ$470,4,))*$F60))</f>
        <v>0</v>
      </c>
      <c r="AC60" s="19">
        <f>IF(VLOOKUP($D60,$C$5:$AJ$470,27,)=0,0,((VLOOKUP($D60,$C$5:$AJ$470,27,)/VLOOKUP($D60,$C$5:$AJ$470,4,))*$F60))</f>
        <v>0</v>
      </c>
      <c r="AD60" s="19">
        <f>IF(VLOOKUP($D60,$C$5:$AJ$470,28,)=0,0,((VLOOKUP($D60,$C$5:$AJ$470,28,)/VLOOKUP($D60,$C$5:$AJ$470,4,))*$F60))</f>
        <v>0</v>
      </c>
      <c r="AE60" s="19"/>
      <c r="AF60" s="19">
        <f>IF(VLOOKUP($D60,$C$5:$AJ$470,30,)=0,0,((VLOOKUP($D60,$C$5:$AJ$470,30,)/VLOOKUP($D60,$C$5:$AJ$470,4,))*$F60))</f>
        <v>0</v>
      </c>
      <c r="AG60" s="19"/>
      <c r="AH60" s="19">
        <f>IF(VLOOKUP($D60,$C$5:$AJ$470,32,)=0,0,((VLOOKUP($D60,$C$5:$AJ$470,32,)/VLOOKUP($D60,$C$5:$AJ$470,4,))*$F60))</f>
        <v>0</v>
      </c>
      <c r="AI60" s="19"/>
      <c r="AJ60" s="19">
        <f>IF(VLOOKUP($D60,$C$5:$AJ$470,34,)=0,0,((VLOOKUP($D60,$C$5:$AJ$470,34,)/VLOOKUP($D60,$C$5:$AJ$470,4,))*$F60))</f>
        <v>0</v>
      </c>
      <c r="AK60" s="19">
        <f>SUM(H60:AJ60)</f>
        <v>0</v>
      </c>
      <c r="AL60" s="15" t="str">
        <f>IF(ABS(AK60-F60)&lt;1,"ok","err")</f>
        <v>ok</v>
      </c>
    </row>
    <row r="61" spans="1:38" x14ac:dyDescent="0.3">
      <c r="A61" s="2" t="s">
        <v>96</v>
      </c>
      <c r="C61" s="2" t="s">
        <v>97</v>
      </c>
      <c r="D61" s="2" t="s">
        <v>98</v>
      </c>
      <c r="F61" s="43">
        <v>0</v>
      </c>
      <c r="G61" s="19"/>
      <c r="H61" s="19">
        <f>IF(VLOOKUP($D61,$C$5:$AJ$470,6,)=0,0,((VLOOKUP($D61,$C$5:$AJ$470,6,)/VLOOKUP($D61,$C$5:$AJ$470,4,))*$F61))</f>
        <v>0</v>
      </c>
      <c r="I61" s="19">
        <f>IF(VLOOKUP($D61,$C$5:$AJ$470,7,)=0,0,((VLOOKUP($D61,$C$5:$AJ$470,7,)/VLOOKUP($D61,$C$5:$AJ$470,4,))*$F61))</f>
        <v>0</v>
      </c>
      <c r="J61" s="19">
        <f>IF(VLOOKUP($D61,$C$5:$AJ$470,8,)=0,0,((VLOOKUP($D61,$C$5:$AJ$470,8,)/VLOOKUP($D61,$C$5:$AJ$470,4,))*$F61))</f>
        <v>0</v>
      </c>
      <c r="K61" s="19">
        <f>IF(VLOOKUP($D61,$C$5:$AJ$470,9,)=0,0,((VLOOKUP($D61,$C$5:$AJ$470,9,)/VLOOKUP($D61,$C$5:$AJ$470,4,))*$F61))</f>
        <v>0</v>
      </c>
      <c r="L61" s="19">
        <f>IF(VLOOKUP($D61,$C$5:$AJ$470,10,)=0,0,((VLOOKUP($D61,$C$5:$AJ$470,10,)/VLOOKUP($D61,$C$5:$AJ$470,4,))*$F61))</f>
        <v>0</v>
      </c>
      <c r="M61" s="19">
        <f>IF(VLOOKUP($D61,$C$5:$AJ$470,11,)=0,0,((VLOOKUP($D61,$C$5:$AJ$470,11,)/VLOOKUP($D61,$C$5:$AJ$470,4,))*$F61))</f>
        <v>0</v>
      </c>
      <c r="N61" s="19"/>
      <c r="O61" s="19">
        <f>IF(VLOOKUP($D61,$C$5:$AJ$470,13,)=0,0,((VLOOKUP($D61,$C$5:$AJ$470,13,)/VLOOKUP($D61,$C$5:$AJ$470,4,))*$F61))</f>
        <v>0</v>
      </c>
      <c r="P61" s="19">
        <f>IF(VLOOKUP($D61,$C$5:$AJ$470,14,)=0,0,((VLOOKUP($D61,$C$5:$AJ$470,14,)/VLOOKUP($D61,$C$5:$AJ$470,4,))*$F61))</f>
        <v>0</v>
      </c>
      <c r="Q61" s="19">
        <f>IF(VLOOKUP($D61,$C$5:$AJ$470,15,)=0,0,((VLOOKUP($D61,$C$5:$AJ$470,15,)/VLOOKUP($D61,$C$5:$AJ$470,4,))*$F61))</f>
        <v>0</v>
      </c>
      <c r="R61" s="19"/>
      <c r="S61" s="19">
        <f>IF(VLOOKUP($D61,$C$5:$AJ$470,17,)=0,0,((VLOOKUP($D61,$C$5:$AJ$470,17,)/VLOOKUP($D61,$C$5:$AJ$470,4,))*$F61))</f>
        <v>0</v>
      </c>
      <c r="T61" s="19">
        <f>IF(VLOOKUP($D61,$C$5:$AJ$470,18,)=0,0,((VLOOKUP($D61,$C$5:$AJ$470,18,)/VLOOKUP($D61,$C$5:$AJ$470,4,))*$F61))</f>
        <v>0</v>
      </c>
      <c r="U61" s="19">
        <f>IF(VLOOKUP($D61,$C$5:$AJ$470,19,)=0,0,((VLOOKUP($D61,$C$5:$AJ$470,19,)/VLOOKUP($D61,$C$5:$AJ$470,4,))*$F61))</f>
        <v>0</v>
      </c>
      <c r="V61" s="19">
        <f>IF(VLOOKUP($D61,$C$5:$AJ$470,20,)=0,0,((VLOOKUP($D61,$C$5:$AJ$470,20,)/VLOOKUP($D61,$C$5:$AJ$470,4,))*$F61))</f>
        <v>0</v>
      </c>
      <c r="W61" s="19">
        <f>IF(VLOOKUP($D61,$C$5:$AJ$470,21,)=0,0,((VLOOKUP($D61,$C$5:$AJ$470,21,)/VLOOKUP($D61,$C$5:$AJ$470,4,))*$F61))</f>
        <v>0</v>
      </c>
      <c r="X61" s="19">
        <f>IF(VLOOKUP($D61,$C$5:$AJ$470,22,)=0,0,((VLOOKUP($D61,$C$5:$AJ$470,22,)/VLOOKUP($D61,$C$5:$AJ$470,4,))*$F61))</f>
        <v>0</v>
      </c>
      <c r="Y61" s="19">
        <f>IF(VLOOKUP($D61,$C$5:$AJ$470,23,)=0,0,((VLOOKUP($D61,$C$5:$AJ$470,23,)/VLOOKUP($D61,$C$5:$AJ$470,4,))*$F61))</f>
        <v>0</v>
      </c>
      <c r="Z61" s="19">
        <f>IF(VLOOKUP($D61,$C$5:$AJ$470,24,)=0,0,((VLOOKUP($D61,$C$5:$AJ$470,24,)/VLOOKUP($D61,$C$5:$AJ$470,4,))*$F61))</f>
        <v>0</v>
      </c>
      <c r="AA61" s="19">
        <f>IF(VLOOKUP($D61,$C$5:$AJ$470,25,)=0,0,((VLOOKUP($D61,$C$5:$AJ$470,25,)/VLOOKUP($D61,$C$5:$AJ$470,4,))*$F61))</f>
        <v>0</v>
      </c>
      <c r="AB61" s="19">
        <f>IF(VLOOKUP($D61,$C$5:$AJ$470,26,)=0,0,((VLOOKUP($D61,$C$5:$AJ$470,26,)/VLOOKUP($D61,$C$5:$AJ$470,4,))*$F61))</f>
        <v>0</v>
      </c>
      <c r="AC61" s="19">
        <f>IF(VLOOKUP($D61,$C$5:$AJ$470,27,)=0,0,((VLOOKUP($D61,$C$5:$AJ$470,27,)/VLOOKUP($D61,$C$5:$AJ$470,4,))*$F61))</f>
        <v>0</v>
      </c>
      <c r="AD61" s="19">
        <f>IF(VLOOKUP($D61,$C$5:$AJ$470,28,)=0,0,((VLOOKUP($D61,$C$5:$AJ$470,28,)/VLOOKUP($D61,$C$5:$AJ$470,4,))*$F61))</f>
        <v>0</v>
      </c>
      <c r="AE61" s="19"/>
      <c r="AF61" s="19">
        <f>IF(VLOOKUP($D61,$C$5:$AJ$470,30,)=0,0,((VLOOKUP($D61,$C$5:$AJ$470,30,)/VLOOKUP($D61,$C$5:$AJ$470,4,))*$F61))</f>
        <v>0</v>
      </c>
      <c r="AG61" s="19"/>
      <c r="AH61" s="19">
        <f>IF(VLOOKUP($D61,$C$5:$AJ$470,32,)=0,0,((VLOOKUP($D61,$C$5:$AJ$470,32,)/VLOOKUP($D61,$C$5:$AJ$470,4,))*$F61))</f>
        <v>0</v>
      </c>
      <c r="AI61" s="19"/>
      <c r="AJ61" s="19">
        <f>IF(VLOOKUP($D61,$C$5:$AJ$470,34,)=0,0,((VLOOKUP($D61,$C$5:$AJ$470,34,)/VLOOKUP($D61,$C$5:$AJ$470,4,))*$F61))</f>
        <v>0</v>
      </c>
      <c r="AK61" s="19">
        <f>SUM(H61:AJ61)</f>
        <v>0</v>
      </c>
      <c r="AL61" s="15" t="str">
        <f>IF(ABS(AK61-F61)&lt;1,"ok","err")</f>
        <v>ok</v>
      </c>
    </row>
    <row r="62" spans="1:38" x14ac:dyDescent="0.3">
      <c r="Y62" s="2"/>
      <c r="AL62" s="15"/>
    </row>
    <row r="63" spans="1:38" x14ac:dyDescent="0.3">
      <c r="A63" s="21" t="s">
        <v>99</v>
      </c>
      <c r="F63" s="20">
        <f>SUM(F60:F62)</f>
        <v>0</v>
      </c>
      <c r="G63" s="20"/>
      <c r="H63" s="20">
        <f t="shared" ref="H63:AJ63" si="38">SUM(H60:H62)</f>
        <v>0</v>
      </c>
      <c r="I63" s="20">
        <f t="shared" si="38"/>
        <v>0</v>
      </c>
      <c r="J63" s="20">
        <f t="shared" si="38"/>
        <v>0</v>
      </c>
      <c r="K63" s="20">
        <f t="shared" si="38"/>
        <v>0</v>
      </c>
      <c r="L63" s="20">
        <f t="shared" si="38"/>
        <v>0</v>
      </c>
      <c r="M63" s="20">
        <f t="shared" si="38"/>
        <v>0</v>
      </c>
      <c r="N63" s="20">
        <f t="shared" si="38"/>
        <v>0</v>
      </c>
      <c r="O63" s="20">
        <f t="shared" si="38"/>
        <v>0</v>
      </c>
      <c r="P63" s="20">
        <f t="shared" si="38"/>
        <v>0</v>
      </c>
      <c r="Q63" s="20">
        <f t="shared" si="38"/>
        <v>0</v>
      </c>
      <c r="R63" s="20">
        <f t="shared" si="38"/>
        <v>0</v>
      </c>
      <c r="S63" s="20">
        <f t="shared" si="38"/>
        <v>0</v>
      </c>
      <c r="T63" s="20">
        <f t="shared" si="38"/>
        <v>0</v>
      </c>
      <c r="U63" s="20">
        <f t="shared" si="38"/>
        <v>0</v>
      </c>
      <c r="V63" s="20">
        <f t="shared" si="38"/>
        <v>0</v>
      </c>
      <c r="W63" s="20">
        <f t="shared" si="38"/>
        <v>0</v>
      </c>
      <c r="X63" s="20">
        <f t="shared" si="38"/>
        <v>0</v>
      </c>
      <c r="Y63" s="20">
        <f t="shared" si="38"/>
        <v>0</v>
      </c>
      <c r="Z63" s="20">
        <f t="shared" si="38"/>
        <v>0</v>
      </c>
      <c r="AA63" s="20">
        <f t="shared" si="38"/>
        <v>0</v>
      </c>
      <c r="AB63" s="20">
        <f t="shared" si="38"/>
        <v>0</v>
      </c>
      <c r="AC63" s="20">
        <f t="shared" si="38"/>
        <v>0</v>
      </c>
      <c r="AD63" s="20">
        <f t="shared" si="38"/>
        <v>0</v>
      </c>
      <c r="AE63" s="20">
        <f t="shared" si="38"/>
        <v>0</v>
      </c>
      <c r="AF63" s="20">
        <f t="shared" si="38"/>
        <v>0</v>
      </c>
      <c r="AG63" s="20">
        <f t="shared" si="38"/>
        <v>0</v>
      </c>
      <c r="AH63" s="20">
        <f t="shared" si="38"/>
        <v>0</v>
      </c>
      <c r="AI63" s="20">
        <f t="shared" si="38"/>
        <v>0</v>
      </c>
      <c r="AJ63" s="20">
        <f t="shared" si="38"/>
        <v>0</v>
      </c>
      <c r="AK63" s="19">
        <f>SUM(H63:AJ63)</f>
        <v>0</v>
      </c>
      <c r="AL63" s="15" t="str">
        <f>IF(ABS(AK63-F63)&lt;1,"ok","err")</f>
        <v>ok</v>
      </c>
    </row>
    <row r="64" spans="1:38" x14ac:dyDescent="0.3">
      <c r="Y64" s="2"/>
      <c r="AL64" s="15"/>
    </row>
    <row r="65" spans="1:38" x14ac:dyDescent="0.3">
      <c r="A65" s="16" t="s">
        <v>100</v>
      </c>
      <c r="C65" s="2" t="s">
        <v>101</v>
      </c>
      <c r="D65" s="2" t="s">
        <v>95</v>
      </c>
      <c r="F65" s="44">
        <v>20234818.510000002</v>
      </c>
      <c r="G65" s="18"/>
      <c r="H65" s="19">
        <f>IF(VLOOKUP($D65,$C$5:$AJ$470,6,)=0,0,((VLOOKUP($D65,$C$5:$AJ$470,6,)/VLOOKUP($D65,$C$5:$AJ$470,4,))*$F65))</f>
        <v>4844518.3848585123</v>
      </c>
      <c r="I65" s="19">
        <f>IF(VLOOKUP($D65,$C$5:$AJ$470,7,)=0,0,((VLOOKUP($D65,$C$5:$AJ$470,7,)/VLOOKUP($D65,$C$5:$AJ$470,4,))*$F65))</f>
        <v>5976844.1140157133</v>
      </c>
      <c r="J65" s="19">
        <f>IF(VLOOKUP($D65,$C$5:$AJ$470,8,)=0,0,((VLOOKUP($D65,$C$5:$AJ$470,8,)/VLOOKUP($D65,$C$5:$AJ$470,4,))*$F65))</f>
        <v>2058848.6481918802</v>
      </c>
      <c r="K65" s="19">
        <f>IF(VLOOKUP($D65,$C$5:$AJ$470,9,)=0,0,((VLOOKUP($D65,$C$5:$AJ$470,9,)/VLOOKUP($D65,$C$5:$AJ$470,4,))*$F65))</f>
        <v>2247757.2505540568</v>
      </c>
      <c r="L65" s="19">
        <f>IF(VLOOKUP($D65,$C$5:$AJ$470,10,)=0,0,((VLOOKUP($D65,$C$5:$AJ$470,10,)/VLOOKUP($D65,$C$5:$AJ$470,4,))*$F65))</f>
        <v>138777.51384203328</v>
      </c>
      <c r="M65" s="19">
        <f>IF(VLOOKUP($D65,$C$5:$AJ$470,11,)=0,0,((VLOOKUP($D65,$C$5:$AJ$470,11,)/VLOOKUP($D65,$C$5:$AJ$470,4,))*$F65))</f>
        <v>4521694.7758581005</v>
      </c>
      <c r="N65" s="19"/>
      <c r="O65" s="19">
        <f>IF(VLOOKUP($D65,$C$5:$AJ$470,13,)=0,0,((VLOOKUP($D65,$C$5:$AJ$470,13,)/VLOOKUP($D65,$C$5:$AJ$470,4,))*$F65))</f>
        <v>430362.53454960109</v>
      </c>
      <c r="P65" s="19">
        <f>IF(VLOOKUP($D65,$C$5:$AJ$470,14,)=0,0,((VLOOKUP($D65,$C$5:$AJ$470,14,)/VLOOKUP($D65,$C$5:$AJ$470,4,))*$F65))</f>
        <v>16015.28813010367</v>
      </c>
      <c r="Q65" s="19">
        <f>IF(VLOOKUP($D65,$C$5:$AJ$470,15,)=0,0,((VLOOKUP($D65,$C$5:$AJ$470,15,)/VLOOKUP($D65,$C$5:$AJ$470,4,))*$F65))</f>
        <v>0</v>
      </c>
      <c r="R65" s="19"/>
      <c r="S65" s="19">
        <f>IF(VLOOKUP($D65,$C$5:$AJ$470,17,)=0,0,((VLOOKUP($D65,$C$5:$AJ$470,17,)/VLOOKUP($D65,$C$5:$AJ$470,4,))*$F65))</f>
        <v>0</v>
      </c>
      <c r="T65" s="19">
        <f>IF(VLOOKUP($D65,$C$5:$AJ$470,18,)=0,0,((VLOOKUP($D65,$C$5:$AJ$470,18,)/VLOOKUP($D65,$C$5:$AJ$470,4,))*$F65))</f>
        <v>0</v>
      </c>
      <c r="U65" s="19">
        <f>IF(VLOOKUP($D65,$C$5:$AJ$470,19,)=0,0,((VLOOKUP($D65,$C$5:$AJ$470,19,)/VLOOKUP($D65,$C$5:$AJ$470,4,))*$F65))</f>
        <v>0</v>
      </c>
      <c r="V65" s="19">
        <f>IF(VLOOKUP($D65,$C$5:$AJ$470,20,)=0,0,((VLOOKUP($D65,$C$5:$AJ$470,20,)/VLOOKUP($D65,$C$5:$AJ$470,4,))*$F65))</f>
        <v>0</v>
      </c>
      <c r="W65" s="19">
        <f>IF(VLOOKUP($D65,$C$5:$AJ$470,21,)=0,0,((VLOOKUP($D65,$C$5:$AJ$470,21,)/VLOOKUP($D65,$C$5:$AJ$470,4,))*$F65))</f>
        <v>0</v>
      </c>
      <c r="X65" s="19">
        <f>IF(VLOOKUP($D65,$C$5:$AJ$470,22,)=0,0,((VLOOKUP($D65,$C$5:$AJ$470,22,)/VLOOKUP($D65,$C$5:$AJ$470,4,))*$F65))</f>
        <v>0</v>
      </c>
      <c r="Y65" s="19">
        <f>IF(VLOOKUP($D65,$C$5:$AJ$470,23,)=0,0,((VLOOKUP($D65,$C$5:$AJ$470,23,)/VLOOKUP($D65,$C$5:$AJ$470,4,))*$F65))</f>
        <v>0</v>
      </c>
      <c r="Z65" s="19">
        <f>IF(VLOOKUP($D65,$C$5:$AJ$470,24,)=0,0,((VLOOKUP($D65,$C$5:$AJ$470,24,)/VLOOKUP($D65,$C$5:$AJ$470,4,))*$F65))</f>
        <v>0</v>
      </c>
      <c r="AA65" s="19">
        <f>IF(VLOOKUP($D65,$C$5:$AJ$470,25,)=0,0,((VLOOKUP($D65,$C$5:$AJ$470,25,)/VLOOKUP($D65,$C$5:$AJ$470,4,))*$F65))</f>
        <v>0</v>
      </c>
      <c r="AB65" s="19">
        <f>IF(VLOOKUP($D65,$C$5:$AJ$470,26,)=0,0,((VLOOKUP($D65,$C$5:$AJ$470,26,)/VLOOKUP($D65,$C$5:$AJ$470,4,))*$F65))</f>
        <v>0</v>
      </c>
      <c r="AC65" s="19">
        <f>IF(VLOOKUP($D65,$C$5:$AJ$470,27,)=0,0,((VLOOKUP($D65,$C$5:$AJ$470,27,)/VLOOKUP($D65,$C$5:$AJ$470,4,))*$F65))</f>
        <v>0</v>
      </c>
      <c r="AD65" s="19">
        <f>IF(VLOOKUP($D65,$C$5:$AJ$470,28,)=0,0,((VLOOKUP($D65,$C$5:$AJ$470,28,)/VLOOKUP($D65,$C$5:$AJ$470,4,))*$F65))</f>
        <v>0</v>
      </c>
      <c r="AE65" s="19"/>
      <c r="AF65" s="19">
        <f>IF(VLOOKUP($D65,$C$5:$AJ$470,30,)=0,0,((VLOOKUP($D65,$C$5:$AJ$470,30,)/VLOOKUP($D65,$C$5:$AJ$470,4,))*$F65))</f>
        <v>0</v>
      </c>
      <c r="AG65" s="19"/>
      <c r="AH65" s="19">
        <f>IF(VLOOKUP($D65,$C$5:$AJ$470,32,)=0,0,((VLOOKUP($D65,$C$5:$AJ$470,32,)/VLOOKUP($D65,$C$5:$AJ$470,4,))*$F65))</f>
        <v>0</v>
      </c>
      <c r="AI65" s="19"/>
      <c r="AJ65" s="19">
        <f>IF(VLOOKUP($D65,$C$5:$AJ$470,34,)=0,0,((VLOOKUP($D65,$C$5:$AJ$470,34,)/VLOOKUP($D65,$C$5:$AJ$470,4,))*$F65))</f>
        <v>0</v>
      </c>
      <c r="AK65" s="19">
        <f>SUM(H65:AJ65)</f>
        <v>20234818.510000002</v>
      </c>
      <c r="AL65" s="15" t="str">
        <f>IF(ABS(AK65-F65)&lt;1,"ok","err")</f>
        <v>ok</v>
      </c>
    </row>
    <row r="66" spans="1:38" x14ac:dyDescent="0.3">
      <c r="Y66" s="2"/>
      <c r="AL66" s="15"/>
    </row>
    <row r="67" spans="1:38" x14ac:dyDescent="0.3">
      <c r="A67" s="16" t="s">
        <v>102</v>
      </c>
      <c r="Y67" s="2"/>
      <c r="AL67" s="15"/>
    </row>
    <row r="68" spans="1:38" x14ac:dyDescent="0.3">
      <c r="A68" s="2" t="s">
        <v>103</v>
      </c>
      <c r="C68" s="2" t="s">
        <v>104</v>
      </c>
      <c r="D68" s="2" t="s">
        <v>47</v>
      </c>
      <c r="F68" s="44">
        <v>0</v>
      </c>
      <c r="G68" s="18"/>
      <c r="H68" s="19">
        <f>IF(VLOOKUP($D68,$C$5:$AJ$470,6,)=0,0,((VLOOKUP($D68,$C$5:$AJ$470,6,)/VLOOKUP($D68,$C$5:$AJ$470,4,))*$F68))</f>
        <v>0</v>
      </c>
      <c r="I68" s="19">
        <f>IF(VLOOKUP($D68,$C$5:$AJ$470,7,)=0,0,((VLOOKUP($D68,$C$5:$AJ$470,7,)/VLOOKUP($D68,$C$5:$AJ$470,4,))*$F68))</f>
        <v>0</v>
      </c>
      <c r="J68" s="19">
        <f>IF(VLOOKUP($D68,$C$5:$AJ$470,8,)=0,0,((VLOOKUP($D68,$C$5:$AJ$470,8,)/VLOOKUP($D68,$C$5:$AJ$470,4,))*$F68))</f>
        <v>0</v>
      </c>
      <c r="K68" s="19">
        <f>IF(VLOOKUP($D68,$C$5:$AJ$470,9,)=0,0,((VLOOKUP($D68,$C$5:$AJ$470,9,)/VLOOKUP($D68,$C$5:$AJ$470,4,))*$F68))</f>
        <v>0</v>
      </c>
      <c r="L68" s="19">
        <f>IF(VLOOKUP($D68,$C$5:$AJ$470,10,)=0,0,((VLOOKUP($D68,$C$5:$AJ$470,10,)/VLOOKUP($D68,$C$5:$AJ$470,4,))*$F68))</f>
        <v>0</v>
      </c>
      <c r="M68" s="19">
        <f>IF(VLOOKUP($D68,$C$5:$AJ$470,11,)=0,0,((VLOOKUP($D68,$C$5:$AJ$470,11,)/VLOOKUP($D68,$C$5:$AJ$470,4,))*$F68))</f>
        <v>0</v>
      </c>
      <c r="N68" s="19"/>
      <c r="O68" s="19">
        <f>IF(VLOOKUP($D68,$C$5:$AJ$470,13,)=0,0,((VLOOKUP($D68,$C$5:$AJ$470,13,)/VLOOKUP($D68,$C$5:$AJ$470,4,))*$F68))</f>
        <v>0</v>
      </c>
      <c r="P68" s="19">
        <f>IF(VLOOKUP($D68,$C$5:$AJ$470,14,)=0,0,((VLOOKUP($D68,$C$5:$AJ$470,14,)/VLOOKUP($D68,$C$5:$AJ$470,4,))*$F68))</f>
        <v>0</v>
      </c>
      <c r="Q68" s="19">
        <f>IF(VLOOKUP($D68,$C$5:$AJ$470,15,)=0,0,((VLOOKUP($D68,$C$5:$AJ$470,15,)/VLOOKUP($D68,$C$5:$AJ$470,4,))*$F68))</f>
        <v>0</v>
      </c>
      <c r="R68" s="19"/>
      <c r="S68" s="19">
        <f>IF(VLOOKUP($D68,$C$5:$AJ$470,17,)=0,0,((VLOOKUP($D68,$C$5:$AJ$470,17,)/VLOOKUP($D68,$C$5:$AJ$470,4,))*$F68))</f>
        <v>0</v>
      </c>
      <c r="T68" s="19">
        <f>IF(VLOOKUP($D68,$C$5:$AJ$470,18,)=0,0,((VLOOKUP($D68,$C$5:$AJ$470,18,)/VLOOKUP($D68,$C$5:$AJ$470,4,))*$F68))</f>
        <v>0</v>
      </c>
      <c r="U68" s="19">
        <f>IF(VLOOKUP($D68,$C$5:$AJ$470,19,)=0,0,((VLOOKUP($D68,$C$5:$AJ$470,19,)/VLOOKUP($D68,$C$5:$AJ$470,4,))*$F68))</f>
        <v>0</v>
      </c>
      <c r="V68" s="19">
        <f>IF(VLOOKUP($D68,$C$5:$AJ$470,20,)=0,0,((VLOOKUP($D68,$C$5:$AJ$470,20,)/VLOOKUP($D68,$C$5:$AJ$470,4,))*$F68))</f>
        <v>0</v>
      </c>
      <c r="W68" s="19">
        <f>IF(VLOOKUP($D68,$C$5:$AJ$470,21,)=0,0,((VLOOKUP($D68,$C$5:$AJ$470,21,)/VLOOKUP($D68,$C$5:$AJ$470,4,))*$F68))</f>
        <v>0</v>
      </c>
      <c r="X68" s="19">
        <f>IF(VLOOKUP($D68,$C$5:$AJ$470,22,)=0,0,((VLOOKUP($D68,$C$5:$AJ$470,22,)/VLOOKUP($D68,$C$5:$AJ$470,4,))*$F68))</f>
        <v>0</v>
      </c>
      <c r="Y68" s="19">
        <f>IF(VLOOKUP($D68,$C$5:$AJ$470,23,)=0,0,((VLOOKUP($D68,$C$5:$AJ$470,23,)/VLOOKUP($D68,$C$5:$AJ$470,4,))*$F68))</f>
        <v>0</v>
      </c>
      <c r="Z68" s="19">
        <f>IF(VLOOKUP($D68,$C$5:$AJ$470,24,)=0,0,((VLOOKUP($D68,$C$5:$AJ$470,24,)/VLOOKUP($D68,$C$5:$AJ$470,4,))*$F68))</f>
        <v>0</v>
      </c>
      <c r="AA68" s="19">
        <f>IF(VLOOKUP($D68,$C$5:$AJ$470,25,)=0,0,((VLOOKUP($D68,$C$5:$AJ$470,25,)/VLOOKUP($D68,$C$5:$AJ$470,4,))*$F68))</f>
        <v>0</v>
      </c>
      <c r="AB68" s="19">
        <f>IF(VLOOKUP($D68,$C$5:$AJ$470,26,)=0,0,((VLOOKUP($D68,$C$5:$AJ$470,26,)/VLOOKUP($D68,$C$5:$AJ$470,4,))*$F68))</f>
        <v>0</v>
      </c>
      <c r="AC68" s="19">
        <f>IF(VLOOKUP($D68,$C$5:$AJ$470,27,)=0,0,((VLOOKUP($D68,$C$5:$AJ$470,27,)/VLOOKUP($D68,$C$5:$AJ$470,4,))*$F68))</f>
        <v>0</v>
      </c>
      <c r="AD68" s="19">
        <f>IF(VLOOKUP($D68,$C$5:$AJ$470,28,)=0,0,((VLOOKUP($D68,$C$5:$AJ$470,28,)/VLOOKUP($D68,$C$5:$AJ$470,4,))*$F68))</f>
        <v>0</v>
      </c>
      <c r="AE68" s="19"/>
      <c r="AF68" s="19">
        <f>IF(VLOOKUP($D68,$C$5:$AJ$470,30,)=0,0,((VLOOKUP($D68,$C$5:$AJ$470,30,)/VLOOKUP($D68,$C$5:$AJ$470,4,))*$F68))</f>
        <v>0</v>
      </c>
      <c r="AG68" s="19"/>
      <c r="AH68" s="19">
        <f>IF(VLOOKUP($D68,$C$5:$AJ$470,32,)=0,0,((VLOOKUP($D68,$C$5:$AJ$470,32,)/VLOOKUP($D68,$C$5:$AJ$470,4,))*$F68))</f>
        <v>0</v>
      </c>
      <c r="AI68" s="19"/>
      <c r="AJ68" s="19">
        <f>IF(VLOOKUP($D68,$C$5:$AJ$470,34,)=0,0,((VLOOKUP($D68,$C$5:$AJ$470,34,)/VLOOKUP($D68,$C$5:$AJ$470,4,))*$F68))</f>
        <v>0</v>
      </c>
      <c r="AK68" s="19">
        <f>SUM(H68:AJ68)</f>
        <v>0</v>
      </c>
      <c r="AL68" s="15" t="str">
        <f>IF(ABS(AK68-F68)&lt;1,"ok","err")</f>
        <v>ok</v>
      </c>
    </row>
    <row r="69" spans="1:38" x14ac:dyDescent="0.3">
      <c r="A69" s="2" t="s">
        <v>105</v>
      </c>
      <c r="C69" s="2" t="s">
        <v>104</v>
      </c>
      <c r="D69" s="2" t="s">
        <v>47</v>
      </c>
      <c r="F69" s="43">
        <v>0</v>
      </c>
      <c r="G69" s="19"/>
      <c r="H69" s="19">
        <f>IF(VLOOKUP($D69,$C$5:$AJ$470,6,)=0,0,((VLOOKUP($D69,$C$5:$AJ$470,6,)/VLOOKUP($D69,$C$5:$AJ$470,4,))*$F69))</f>
        <v>0</v>
      </c>
      <c r="I69" s="19">
        <f>IF(VLOOKUP($D69,$C$5:$AJ$470,7,)=0,0,((VLOOKUP($D69,$C$5:$AJ$470,7,)/VLOOKUP($D69,$C$5:$AJ$470,4,))*$F69))</f>
        <v>0</v>
      </c>
      <c r="J69" s="19">
        <f>IF(VLOOKUP($D69,$C$5:$AJ$470,8,)=0,0,((VLOOKUP($D69,$C$5:$AJ$470,8,)/VLOOKUP($D69,$C$5:$AJ$470,4,))*$F69))</f>
        <v>0</v>
      </c>
      <c r="K69" s="19">
        <f>IF(VLOOKUP($D69,$C$5:$AJ$470,9,)=0,0,((VLOOKUP($D69,$C$5:$AJ$470,9,)/VLOOKUP($D69,$C$5:$AJ$470,4,))*$F69))</f>
        <v>0</v>
      </c>
      <c r="L69" s="19">
        <f>IF(VLOOKUP($D69,$C$5:$AJ$470,10,)=0,0,((VLOOKUP($D69,$C$5:$AJ$470,10,)/VLOOKUP($D69,$C$5:$AJ$470,4,))*$F69))</f>
        <v>0</v>
      </c>
      <c r="M69" s="19">
        <f>IF(VLOOKUP($D69,$C$5:$AJ$470,11,)=0,0,((VLOOKUP($D69,$C$5:$AJ$470,11,)/VLOOKUP($D69,$C$5:$AJ$470,4,))*$F69))</f>
        <v>0</v>
      </c>
      <c r="N69" s="19"/>
      <c r="O69" s="19">
        <f>IF(VLOOKUP($D69,$C$5:$AJ$470,13,)=0,0,((VLOOKUP($D69,$C$5:$AJ$470,13,)/VLOOKUP($D69,$C$5:$AJ$470,4,))*$F69))</f>
        <v>0</v>
      </c>
      <c r="P69" s="19">
        <f>IF(VLOOKUP($D69,$C$5:$AJ$470,14,)=0,0,((VLOOKUP($D69,$C$5:$AJ$470,14,)/VLOOKUP($D69,$C$5:$AJ$470,4,))*$F69))</f>
        <v>0</v>
      </c>
      <c r="Q69" s="19">
        <f>IF(VLOOKUP($D69,$C$5:$AJ$470,15,)=0,0,((VLOOKUP($D69,$C$5:$AJ$470,15,)/VLOOKUP($D69,$C$5:$AJ$470,4,))*$F69))</f>
        <v>0</v>
      </c>
      <c r="R69" s="19"/>
      <c r="S69" s="19">
        <f>IF(VLOOKUP($D69,$C$5:$AJ$470,17,)=0,0,((VLOOKUP($D69,$C$5:$AJ$470,17,)/VLOOKUP($D69,$C$5:$AJ$470,4,))*$F69))</f>
        <v>0</v>
      </c>
      <c r="T69" s="19">
        <f>IF(VLOOKUP($D69,$C$5:$AJ$470,18,)=0,0,((VLOOKUP($D69,$C$5:$AJ$470,18,)/VLOOKUP($D69,$C$5:$AJ$470,4,))*$F69))</f>
        <v>0</v>
      </c>
      <c r="U69" s="19">
        <f>IF(VLOOKUP($D69,$C$5:$AJ$470,19,)=0,0,((VLOOKUP($D69,$C$5:$AJ$470,19,)/VLOOKUP($D69,$C$5:$AJ$470,4,))*$F69))</f>
        <v>0</v>
      </c>
      <c r="V69" s="19">
        <f>IF(VLOOKUP($D69,$C$5:$AJ$470,20,)=0,0,((VLOOKUP($D69,$C$5:$AJ$470,20,)/VLOOKUP($D69,$C$5:$AJ$470,4,))*$F69))</f>
        <v>0</v>
      </c>
      <c r="W69" s="19">
        <f>IF(VLOOKUP($D69,$C$5:$AJ$470,21,)=0,0,((VLOOKUP($D69,$C$5:$AJ$470,21,)/VLOOKUP($D69,$C$5:$AJ$470,4,))*$F69))</f>
        <v>0</v>
      </c>
      <c r="X69" s="19">
        <f>IF(VLOOKUP($D69,$C$5:$AJ$470,22,)=0,0,((VLOOKUP($D69,$C$5:$AJ$470,22,)/VLOOKUP($D69,$C$5:$AJ$470,4,))*$F69))</f>
        <v>0</v>
      </c>
      <c r="Y69" s="19">
        <f>IF(VLOOKUP($D69,$C$5:$AJ$470,23,)=0,0,((VLOOKUP($D69,$C$5:$AJ$470,23,)/VLOOKUP($D69,$C$5:$AJ$470,4,))*$F69))</f>
        <v>0</v>
      </c>
      <c r="Z69" s="19">
        <f>IF(VLOOKUP($D69,$C$5:$AJ$470,24,)=0,0,((VLOOKUP($D69,$C$5:$AJ$470,24,)/VLOOKUP($D69,$C$5:$AJ$470,4,))*$F69))</f>
        <v>0</v>
      </c>
      <c r="AA69" s="19">
        <f>IF(VLOOKUP($D69,$C$5:$AJ$470,25,)=0,0,((VLOOKUP($D69,$C$5:$AJ$470,25,)/VLOOKUP($D69,$C$5:$AJ$470,4,))*$F69))</f>
        <v>0</v>
      </c>
      <c r="AB69" s="19">
        <f>IF(VLOOKUP($D69,$C$5:$AJ$470,26,)=0,0,((VLOOKUP($D69,$C$5:$AJ$470,26,)/VLOOKUP($D69,$C$5:$AJ$470,4,))*$F69))</f>
        <v>0</v>
      </c>
      <c r="AC69" s="19">
        <f>IF(VLOOKUP($D69,$C$5:$AJ$470,27,)=0,0,((VLOOKUP($D69,$C$5:$AJ$470,27,)/VLOOKUP($D69,$C$5:$AJ$470,4,))*$F69))</f>
        <v>0</v>
      </c>
      <c r="AD69" s="19">
        <f>IF(VLOOKUP($D69,$C$5:$AJ$470,28,)=0,0,((VLOOKUP($D69,$C$5:$AJ$470,28,)/VLOOKUP($D69,$C$5:$AJ$470,4,))*$F69))</f>
        <v>0</v>
      </c>
      <c r="AE69" s="19"/>
      <c r="AF69" s="19">
        <f>IF(VLOOKUP($D69,$C$5:$AJ$470,30,)=0,0,((VLOOKUP($D69,$C$5:$AJ$470,30,)/VLOOKUP($D69,$C$5:$AJ$470,4,))*$F69))</f>
        <v>0</v>
      </c>
      <c r="AG69" s="19"/>
      <c r="AH69" s="19">
        <f>IF(VLOOKUP($D69,$C$5:$AJ$470,32,)=0,0,((VLOOKUP($D69,$C$5:$AJ$470,32,)/VLOOKUP($D69,$C$5:$AJ$470,4,))*$F69))</f>
        <v>0</v>
      </c>
      <c r="AI69" s="19"/>
      <c r="AJ69" s="19">
        <f>IF(VLOOKUP($D69,$C$5:$AJ$470,34,)=0,0,((VLOOKUP($D69,$C$5:$AJ$470,34,)/VLOOKUP($D69,$C$5:$AJ$470,4,))*$F69))</f>
        <v>0</v>
      </c>
      <c r="AK69" s="19">
        <f>SUM(H69:AJ69)</f>
        <v>0</v>
      </c>
      <c r="AL69" s="15" t="str">
        <f>IF(ABS(AK69-F69)&lt;1,"ok","err")</f>
        <v>ok</v>
      </c>
    </row>
    <row r="70" spans="1:38" x14ac:dyDescent="0.3">
      <c r="A70" s="2" t="s">
        <v>106</v>
      </c>
      <c r="C70" s="2" t="s">
        <v>104</v>
      </c>
      <c r="D70" s="2" t="s">
        <v>27</v>
      </c>
      <c r="F70" s="43">
        <v>32415280.43</v>
      </c>
      <c r="G70" s="19"/>
      <c r="H70" s="19">
        <f>IF(VLOOKUP($D70,$C$5:$AJ$470,6,)=0,0,((VLOOKUP($D70,$C$5:$AJ$470,6,)/VLOOKUP($D70,$C$5:$AJ$470,4,))*$F70))</f>
        <v>14426968.449667914</v>
      </c>
      <c r="I70" s="19">
        <f>IF(VLOOKUP($D70,$C$5:$AJ$470,7,)=0,0,((VLOOKUP($D70,$C$5:$AJ$470,7,)/VLOOKUP($D70,$C$5:$AJ$470,4,))*$F70))</f>
        <v>17799032.764741264</v>
      </c>
      <c r="J70" s="19">
        <f>IF(VLOOKUP($D70,$C$5:$AJ$470,8,)=0,0,((VLOOKUP($D70,$C$5:$AJ$470,8,)/VLOOKUP($D70,$C$5:$AJ$470,4,))*$F70))</f>
        <v>0</v>
      </c>
      <c r="K70" s="19">
        <f>IF(VLOOKUP($D70,$C$5:$AJ$470,9,)=0,0,((VLOOKUP($D70,$C$5:$AJ$470,9,)/VLOOKUP($D70,$C$5:$AJ$470,4,))*$F70))</f>
        <v>0</v>
      </c>
      <c r="L70" s="19">
        <f>IF(VLOOKUP($D70,$C$5:$AJ$470,10,)=0,0,((VLOOKUP($D70,$C$5:$AJ$470,10,)/VLOOKUP($D70,$C$5:$AJ$470,4,))*$F70))</f>
        <v>189279.21559082111</v>
      </c>
      <c r="M70" s="19">
        <f>IF(VLOOKUP($D70,$C$5:$AJ$470,11,)=0,0,((VLOOKUP($D70,$C$5:$AJ$470,11,)/VLOOKUP($D70,$C$5:$AJ$470,4,))*$F70))</f>
        <v>0</v>
      </c>
      <c r="N70" s="19"/>
      <c r="O70" s="19">
        <f>IF(VLOOKUP($D70,$C$5:$AJ$470,13,)=0,0,((VLOOKUP($D70,$C$5:$AJ$470,13,)/VLOOKUP($D70,$C$5:$AJ$470,4,))*$F70))</f>
        <v>0</v>
      </c>
      <c r="P70" s="19">
        <f>IF(VLOOKUP($D70,$C$5:$AJ$470,14,)=0,0,((VLOOKUP($D70,$C$5:$AJ$470,14,)/VLOOKUP($D70,$C$5:$AJ$470,4,))*$F70))</f>
        <v>0</v>
      </c>
      <c r="Q70" s="19">
        <f>IF(VLOOKUP($D70,$C$5:$AJ$470,15,)=0,0,((VLOOKUP($D70,$C$5:$AJ$470,15,)/VLOOKUP($D70,$C$5:$AJ$470,4,))*$F70))</f>
        <v>0</v>
      </c>
      <c r="R70" s="19"/>
      <c r="S70" s="19">
        <f>IF(VLOOKUP($D70,$C$5:$AJ$470,17,)=0,0,((VLOOKUP($D70,$C$5:$AJ$470,17,)/VLOOKUP($D70,$C$5:$AJ$470,4,))*$F70))</f>
        <v>0</v>
      </c>
      <c r="T70" s="19">
        <f>IF(VLOOKUP($D70,$C$5:$AJ$470,18,)=0,0,((VLOOKUP($D70,$C$5:$AJ$470,18,)/VLOOKUP($D70,$C$5:$AJ$470,4,))*$F70))</f>
        <v>0</v>
      </c>
      <c r="U70" s="19">
        <f>IF(VLOOKUP($D70,$C$5:$AJ$470,19,)=0,0,((VLOOKUP($D70,$C$5:$AJ$470,19,)/VLOOKUP($D70,$C$5:$AJ$470,4,))*$F70))</f>
        <v>0</v>
      </c>
      <c r="V70" s="19">
        <f>IF(VLOOKUP($D70,$C$5:$AJ$470,20,)=0,0,((VLOOKUP($D70,$C$5:$AJ$470,20,)/VLOOKUP($D70,$C$5:$AJ$470,4,))*$F70))</f>
        <v>0</v>
      </c>
      <c r="W70" s="19">
        <f>IF(VLOOKUP($D70,$C$5:$AJ$470,21,)=0,0,((VLOOKUP($D70,$C$5:$AJ$470,21,)/VLOOKUP($D70,$C$5:$AJ$470,4,))*$F70))</f>
        <v>0</v>
      </c>
      <c r="X70" s="19">
        <f>IF(VLOOKUP($D70,$C$5:$AJ$470,22,)=0,0,((VLOOKUP($D70,$C$5:$AJ$470,22,)/VLOOKUP($D70,$C$5:$AJ$470,4,))*$F70))</f>
        <v>0</v>
      </c>
      <c r="Y70" s="19">
        <f>IF(VLOOKUP($D70,$C$5:$AJ$470,23,)=0,0,((VLOOKUP($D70,$C$5:$AJ$470,23,)/VLOOKUP($D70,$C$5:$AJ$470,4,))*$F70))</f>
        <v>0</v>
      </c>
      <c r="Z70" s="19">
        <f>IF(VLOOKUP($D70,$C$5:$AJ$470,24,)=0,0,((VLOOKUP($D70,$C$5:$AJ$470,24,)/VLOOKUP($D70,$C$5:$AJ$470,4,))*$F70))</f>
        <v>0</v>
      </c>
      <c r="AA70" s="19">
        <f>IF(VLOOKUP($D70,$C$5:$AJ$470,25,)=0,0,((VLOOKUP($D70,$C$5:$AJ$470,25,)/VLOOKUP($D70,$C$5:$AJ$470,4,))*$F70))</f>
        <v>0</v>
      </c>
      <c r="AB70" s="19">
        <f>IF(VLOOKUP($D70,$C$5:$AJ$470,26,)=0,0,((VLOOKUP($D70,$C$5:$AJ$470,26,)/VLOOKUP($D70,$C$5:$AJ$470,4,))*$F70))</f>
        <v>0</v>
      </c>
      <c r="AC70" s="19">
        <f>IF(VLOOKUP($D70,$C$5:$AJ$470,27,)=0,0,((VLOOKUP($D70,$C$5:$AJ$470,27,)/VLOOKUP($D70,$C$5:$AJ$470,4,))*$F70))</f>
        <v>0</v>
      </c>
      <c r="AD70" s="19">
        <f>IF(VLOOKUP($D70,$C$5:$AJ$470,28,)=0,0,((VLOOKUP($D70,$C$5:$AJ$470,28,)/VLOOKUP($D70,$C$5:$AJ$470,4,))*$F70))</f>
        <v>0</v>
      </c>
      <c r="AE70" s="19"/>
      <c r="AF70" s="19">
        <f>IF(VLOOKUP($D70,$C$5:$AJ$470,30,)=0,0,((VLOOKUP($D70,$C$5:$AJ$470,30,)/VLOOKUP($D70,$C$5:$AJ$470,4,))*$F70))</f>
        <v>0</v>
      </c>
      <c r="AG70" s="19"/>
      <c r="AH70" s="19">
        <f>IF(VLOOKUP($D70,$C$5:$AJ$470,32,)=0,0,((VLOOKUP($D70,$C$5:$AJ$470,32,)/VLOOKUP($D70,$C$5:$AJ$470,4,))*$F70))</f>
        <v>0</v>
      </c>
      <c r="AI70" s="19"/>
      <c r="AJ70" s="19">
        <f>IF(VLOOKUP($D70,$C$5:$AJ$470,34,)=0,0,((VLOOKUP($D70,$C$5:$AJ$470,34,)/VLOOKUP($D70,$C$5:$AJ$470,4,))*$F70))</f>
        <v>0</v>
      </c>
      <c r="AK70" s="19">
        <f>SUM(H70:AJ70)</f>
        <v>32415280.43</v>
      </c>
      <c r="AL70" s="15" t="str">
        <f>IF(ABS(AK70-F70)&lt;1,"ok","err")</f>
        <v>ok</v>
      </c>
    </row>
    <row r="71" spans="1:38" x14ac:dyDescent="0.3">
      <c r="A71" s="2" t="s">
        <v>107</v>
      </c>
      <c r="C71" s="2" t="s">
        <v>104</v>
      </c>
      <c r="D71" s="2" t="s">
        <v>47</v>
      </c>
      <c r="F71" s="43">
        <v>0</v>
      </c>
      <c r="H71" s="19">
        <f>IF(VLOOKUP($D71,$C$5:$AJ$470,6,)=0,0,((VLOOKUP($D71,$C$5:$AJ$470,6,)/VLOOKUP($D71,$C$5:$AJ$470,4,))*$F71))</f>
        <v>0</v>
      </c>
      <c r="I71" s="19">
        <f>IF(VLOOKUP($D71,$C$5:$AJ$470,7,)=0,0,((VLOOKUP($D71,$C$5:$AJ$470,7,)/VLOOKUP($D71,$C$5:$AJ$470,4,))*$F71))</f>
        <v>0</v>
      </c>
      <c r="J71" s="19">
        <f>IF(VLOOKUP($D71,$C$5:$AJ$470,8,)=0,0,((VLOOKUP($D71,$C$5:$AJ$470,8,)/VLOOKUP($D71,$C$5:$AJ$470,4,))*$F71))</f>
        <v>0</v>
      </c>
      <c r="K71" s="19">
        <f>IF(VLOOKUP($D71,$C$5:$AJ$470,9,)=0,0,((VLOOKUP($D71,$C$5:$AJ$470,9,)/VLOOKUP($D71,$C$5:$AJ$470,4,))*$F71))</f>
        <v>0</v>
      </c>
      <c r="L71" s="19">
        <f>IF(VLOOKUP($D71,$C$5:$AJ$470,10,)=0,0,((VLOOKUP($D71,$C$5:$AJ$470,10,)/VLOOKUP($D71,$C$5:$AJ$470,4,))*$F71))</f>
        <v>0</v>
      </c>
      <c r="M71" s="19">
        <f>IF(VLOOKUP($D71,$C$5:$AJ$470,11,)=0,0,((VLOOKUP($D71,$C$5:$AJ$470,11,)/VLOOKUP($D71,$C$5:$AJ$470,4,))*$F71))</f>
        <v>0</v>
      </c>
      <c r="N71" s="19"/>
      <c r="O71" s="19">
        <f>IF(VLOOKUP($D71,$C$5:$AJ$470,13,)=0,0,((VLOOKUP($D71,$C$5:$AJ$470,13,)/VLOOKUP($D71,$C$5:$AJ$470,4,))*$F71))</f>
        <v>0</v>
      </c>
      <c r="P71" s="19">
        <f>IF(VLOOKUP($D71,$C$5:$AJ$470,14,)=0,0,((VLOOKUP($D71,$C$5:$AJ$470,14,)/VLOOKUP($D71,$C$5:$AJ$470,4,))*$F71))</f>
        <v>0</v>
      </c>
      <c r="Q71" s="19">
        <f>IF(VLOOKUP($D71,$C$5:$AJ$470,15,)=0,0,((VLOOKUP($D71,$C$5:$AJ$470,15,)/VLOOKUP($D71,$C$5:$AJ$470,4,))*$F71))</f>
        <v>0</v>
      </c>
      <c r="R71" s="19"/>
      <c r="S71" s="19">
        <f>IF(VLOOKUP($D71,$C$5:$AJ$470,17,)=0,0,((VLOOKUP($D71,$C$5:$AJ$470,17,)/VLOOKUP($D71,$C$5:$AJ$470,4,))*$F71))</f>
        <v>0</v>
      </c>
      <c r="T71" s="19">
        <f>IF(VLOOKUP($D71,$C$5:$AJ$470,18,)=0,0,((VLOOKUP($D71,$C$5:$AJ$470,18,)/VLOOKUP($D71,$C$5:$AJ$470,4,))*$F71))</f>
        <v>0</v>
      </c>
      <c r="U71" s="19">
        <f>IF(VLOOKUP($D71,$C$5:$AJ$470,19,)=0,0,((VLOOKUP($D71,$C$5:$AJ$470,19,)/VLOOKUP($D71,$C$5:$AJ$470,4,))*$F71))</f>
        <v>0</v>
      </c>
      <c r="V71" s="19">
        <f>IF(VLOOKUP($D71,$C$5:$AJ$470,20,)=0,0,((VLOOKUP($D71,$C$5:$AJ$470,20,)/VLOOKUP($D71,$C$5:$AJ$470,4,))*$F71))</f>
        <v>0</v>
      </c>
      <c r="W71" s="19">
        <f>IF(VLOOKUP($D71,$C$5:$AJ$470,21,)=0,0,((VLOOKUP($D71,$C$5:$AJ$470,21,)/VLOOKUP($D71,$C$5:$AJ$470,4,))*$F71))</f>
        <v>0</v>
      </c>
      <c r="X71" s="19">
        <f>IF(VLOOKUP($D71,$C$5:$AJ$470,22,)=0,0,((VLOOKUP($D71,$C$5:$AJ$470,22,)/VLOOKUP($D71,$C$5:$AJ$470,4,))*$F71))</f>
        <v>0</v>
      </c>
      <c r="Y71" s="19">
        <f>IF(VLOOKUP($D71,$C$5:$AJ$470,23,)=0,0,((VLOOKUP($D71,$C$5:$AJ$470,23,)/VLOOKUP($D71,$C$5:$AJ$470,4,))*$F71))</f>
        <v>0</v>
      </c>
      <c r="Z71" s="19">
        <f>IF(VLOOKUP($D71,$C$5:$AJ$470,24,)=0,0,((VLOOKUP($D71,$C$5:$AJ$470,24,)/VLOOKUP($D71,$C$5:$AJ$470,4,))*$F71))</f>
        <v>0</v>
      </c>
      <c r="AA71" s="19">
        <f>IF(VLOOKUP($D71,$C$5:$AJ$470,25,)=0,0,((VLOOKUP($D71,$C$5:$AJ$470,25,)/VLOOKUP($D71,$C$5:$AJ$470,4,))*$F71))</f>
        <v>0</v>
      </c>
      <c r="AB71" s="19">
        <f>IF(VLOOKUP($D71,$C$5:$AJ$470,26,)=0,0,((VLOOKUP($D71,$C$5:$AJ$470,26,)/VLOOKUP($D71,$C$5:$AJ$470,4,))*$F71))</f>
        <v>0</v>
      </c>
      <c r="AC71" s="19">
        <f>IF(VLOOKUP($D71,$C$5:$AJ$470,27,)=0,0,((VLOOKUP($D71,$C$5:$AJ$470,27,)/VLOOKUP($D71,$C$5:$AJ$470,4,))*$F71))</f>
        <v>0</v>
      </c>
      <c r="AD71" s="19">
        <f>IF(VLOOKUP($D71,$C$5:$AJ$470,28,)=0,0,((VLOOKUP($D71,$C$5:$AJ$470,28,)/VLOOKUP($D71,$C$5:$AJ$470,4,))*$F71))</f>
        <v>0</v>
      </c>
      <c r="AE71" s="19"/>
      <c r="AF71" s="19">
        <f>IF(VLOOKUP($D71,$C$5:$AJ$470,30,)=0,0,((VLOOKUP($D71,$C$5:$AJ$470,30,)/VLOOKUP($D71,$C$5:$AJ$470,4,))*$F71))</f>
        <v>0</v>
      </c>
      <c r="AG71" s="19"/>
      <c r="AH71" s="19">
        <f>IF(VLOOKUP($D71,$C$5:$AJ$470,32,)=0,0,((VLOOKUP($D71,$C$5:$AJ$470,32,)/VLOOKUP($D71,$C$5:$AJ$470,4,))*$F71))</f>
        <v>0</v>
      </c>
      <c r="AI71" s="19"/>
      <c r="AJ71" s="19">
        <f>IF(VLOOKUP($D71,$C$5:$AJ$470,34,)=0,0,((VLOOKUP($D71,$C$5:$AJ$470,34,)/VLOOKUP($D71,$C$5:$AJ$470,4,))*$F71))</f>
        <v>0</v>
      </c>
      <c r="AK71" s="19">
        <f>SUM(H71:AJ71)</f>
        <v>0</v>
      </c>
      <c r="AL71" s="15" t="str">
        <f>IF(ABS(AK71-F71)&lt;1,"ok","err")</f>
        <v>ok</v>
      </c>
    </row>
    <row r="72" spans="1:38" x14ac:dyDescent="0.3">
      <c r="Y72" s="2"/>
      <c r="AK72" s="19"/>
      <c r="AL72" s="15"/>
    </row>
    <row r="73" spans="1:38" x14ac:dyDescent="0.3">
      <c r="A73" s="21" t="s">
        <v>108</v>
      </c>
      <c r="F73" s="20">
        <f>SUM(F68:F72)</f>
        <v>32415280.43</v>
      </c>
      <c r="G73" s="20"/>
      <c r="H73" s="20">
        <f t="shared" ref="H73:M73" si="39">SUM(H68:H72)</f>
        <v>14426968.449667914</v>
      </c>
      <c r="I73" s="20">
        <f t="shared" si="39"/>
        <v>17799032.764741264</v>
      </c>
      <c r="J73" s="20">
        <f t="shared" si="39"/>
        <v>0</v>
      </c>
      <c r="K73" s="20">
        <f t="shared" si="39"/>
        <v>0</v>
      </c>
      <c r="L73" s="20">
        <f t="shared" si="39"/>
        <v>189279.21559082111</v>
      </c>
      <c r="M73" s="20">
        <f t="shared" si="39"/>
        <v>0</v>
      </c>
      <c r="N73" s="20"/>
      <c r="O73" s="20">
        <f>SUM(O68:O72)</f>
        <v>0</v>
      </c>
      <c r="P73" s="20">
        <f>SUM(P68:P72)</f>
        <v>0</v>
      </c>
      <c r="Q73" s="20">
        <f>SUM(Q68:Q72)</f>
        <v>0</v>
      </c>
      <c r="R73" s="20"/>
      <c r="S73" s="20">
        <f t="shared" ref="S73:AD73" si="40">SUM(S68:S72)</f>
        <v>0</v>
      </c>
      <c r="T73" s="20">
        <f t="shared" si="40"/>
        <v>0</v>
      </c>
      <c r="U73" s="20">
        <f t="shared" si="40"/>
        <v>0</v>
      </c>
      <c r="V73" s="20">
        <f t="shared" si="40"/>
        <v>0</v>
      </c>
      <c r="W73" s="20">
        <f t="shared" si="40"/>
        <v>0</v>
      </c>
      <c r="X73" s="20">
        <f t="shared" si="40"/>
        <v>0</v>
      </c>
      <c r="Y73" s="20">
        <f t="shared" si="40"/>
        <v>0</v>
      </c>
      <c r="Z73" s="20">
        <f t="shared" si="40"/>
        <v>0</v>
      </c>
      <c r="AA73" s="20">
        <f t="shared" si="40"/>
        <v>0</v>
      </c>
      <c r="AB73" s="20">
        <f t="shared" si="40"/>
        <v>0</v>
      </c>
      <c r="AC73" s="20">
        <f t="shared" si="40"/>
        <v>0</v>
      </c>
      <c r="AD73" s="20">
        <f t="shared" si="40"/>
        <v>0</v>
      </c>
      <c r="AE73" s="20"/>
      <c r="AF73" s="20">
        <f>SUM(AF68:AF72)</f>
        <v>0</v>
      </c>
      <c r="AG73" s="20"/>
      <c r="AH73" s="20">
        <f>SUM(AH68:AH72)</f>
        <v>0</v>
      </c>
      <c r="AI73" s="20"/>
      <c r="AJ73" s="20">
        <f>SUM(AJ68:AJ72)</f>
        <v>0</v>
      </c>
      <c r="AK73" s="19">
        <f>SUM(H73:AJ73)</f>
        <v>32415280.43</v>
      </c>
      <c r="AL73" s="15" t="str">
        <f>IF(ABS(AK73-F73)&lt;1,"ok","err")</f>
        <v>ok</v>
      </c>
    </row>
    <row r="74" spans="1:38" x14ac:dyDescent="0.3">
      <c r="Y74" s="2"/>
      <c r="AL74" s="15"/>
    </row>
    <row r="75" spans="1:38" x14ac:dyDescent="0.3">
      <c r="A75" s="16" t="s">
        <v>109</v>
      </c>
      <c r="Y75" s="2"/>
      <c r="AL75" s="15"/>
    </row>
    <row r="76" spans="1:38" x14ac:dyDescent="0.3">
      <c r="A76" s="2" t="s">
        <v>110</v>
      </c>
      <c r="C76" s="2" t="s">
        <v>104</v>
      </c>
      <c r="D76" s="2" t="s">
        <v>27</v>
      </c>
      <c r="F76" s="44">
        <v>0</v>
      </c>
      <c r="G76" s="18"/>
      <c r="H76" s="19">
        <f>IF(VLOOKUP($D76,$C$5:$AJ$470,6,)=0,0,((VLOOKUP($D76,$C$5:$AJ$470,6,)/VLOOKUP($D76,$C$5:$AJ$470,4,))*$F76))</f>
        <v>0</v>
      </c>
      <c r="I76" s="19">
        <f>IF(VLOOKUP($D76,$C$5:$AJ$470,7,)=0,0,((VLOOKUP($D76,$C$5:$AJ$470,7,)/VLOOKUP($D76,$C$5:$AJ$470,4,))*$F76))</f>
        <v>0</v>
      </c>
      <c r="J76" s="19">
        <f>IF(VLOOKUP($D76,$C$5:$AJ$470,8,)=0,0,((VLOOKUP($D76,$C$5:$AJ$470,8,)/VLOOKUP($D76,$C$5:$AJ$470,4,))*$F76))</f>
        <v>0</v>
      </c>
      <c r="K76" s="19">
        <f>IF(VLOOKUP($D76,$C$5:$AJ$470,9,)=0,0,((VLOOKUP($D76,$C$5:$AJ$470,9,)/VLOOKUP($D76,$C$5:$AJ$470,4,))*$F76))</f>
        <v>0</v>
      </c>
      <c r="L76" s="19">
        <f>IF(VLOOKUP($D76,$C$5:$AJ$470,10,)=0,0,((VLOOKUP($D76,$C$5:$AJ$470,10,)/VLOOKUP($D76,$C$5:$AJ$470,4,))*$F76))</f>
        <v>0</v>
      </c>
      <c r="M76" s="19">
        <f>IF(VLOOKUP($D76,$C$5:$AJ$470,11,)=0,0,((VLOOKUP($D76,$C$5:$AJ$470,11,)/VLOOKUP($D76,$C$5:$AJ$470,4,))*$F76))</f>
        <v>0</v>
      </c>
      <c r="N76" s="19"/>
      <c r="O76" s="19">
        <f>IF(VLOOKUP($D76,$C$5:$AJ$470,13,)=0,0,((VLOOKUP($D76,$C$5:$AJ$470,13,)/VLOOKUP($D76,$C$5:$AJ$470,4,))*$F76))</f>
        <v>0</v>
      </c>
      <c r="P76" s="19">
        <f>IF(VLOOKUP($D76,$C$5:$AJ$470,14,)=0,0,((VLOOKUP($D76,$C$5:$AJ$470,14,)/VLOOKUP($D76,$C$5:$AJ$470,4,))*$F76))</f>
        <v>0</v>
      </c>
      <c r="Q76" s="19">
        <f>IF(VLOOKUP($D76,$C$5:$AJ$470,15,)=0,0,((VLOOKUP($D76,$C$5:$AJ$470,15,)/VLOOKUP($D76,$C$5:$AJ$470,4,))*$F76))</f>
        <v>0</v>
      </c>
      <c r="R76" s="19"/>
      <c r="S76" s="19">
        <f>IF(VLOOKUP($D76,$C$5:$AJ$470,17,)=0,0,((VLOOKUP($D76,$C$5:$AJ$470,17,)/VLOOKUP($D76,$C$5:$AJ$470,4,))*$F76))</f>
        <v>0</v>
      </c>
      <c r="T76" s="19">
        <f>IF(VLOOKUP($D76,$C$5:$AJ$470,18,)=0,0,((VLOOKUP($D76,$C$5:$AJ$470,18,)/VLOOKUP($D76,$C$5:$AJ$470,4,))*$F76))</f>
        <v>0</v>
      </c>
      <c r="U76" s="19">
        <f>IF(VLOOKUP($D76,$C$5:$AJ$470,19,)=0,0,((VLOOKUP($D76,$C$5:$AJ$470,19,)/VLOOKUP($D76,$C$5:$AJ$470,4,))*$F76))</f>
        <v>0</v>
      </c>
      <c r="V76" s="19">
        <f>IF(VLOOKUP($D76,$C$5:$AJ$470,20,)=0,0,((VLOOKUP($D76,$C$5:$AJ$470,20,)/VLOOKUP($D76,$C$5:$AJ$470,4,))*$F76))</f>
        <v>0</v>
      </c>
      <c r="W76" s="19">
        <f>IF(VLOOKUP($D76,$C$5:$AJ$470,21,)=0,0,((VLOOKUP($D76,$C$5:$AJ$470,21,)/VLOOKUP($D76,$C$5:$AJ$470,4,))*$F76))</f>
        <v>0</v>
      </c>
      <c r="X76" s="19">
        <f>IF(VLOOKUP($D76,$C$5:$AJ$470,22,)=0,0,((VLOOKUP($D76,$C$5:$AJ$470,22,)/VLOOKUP($D76,$C$5:$AJ$470,4,))*$F76))</f>
        <v>0</v>
      </c>
      <c r="Y76" s="19">
        <f>IF(VLOOKUP($D76,$C$5:$AJ$470,23,)=0,0,((VLOOKUP($D76,$C$5:$AJ$470,23,)/VLOOKUP($D76,$C$5:$AJ$470,4,))*$F76))</f>
        <v>0</v>
      </c>
      <c r="Z76" s="19">
        <f>IF(VLOOKUP($D76,$C$5:$AJ$470,24,)=0,0,((VLOOKUP($D76,$C$5:$AJ$470,24,)/VLOOKUP($D76,$C$5:$AJ$470,4,))*$F76))</f>
        <v>0</v>
      </c>
      <c r="AA76" s="19">
        <f>IF(VLOOKUP($D76,$C$5:$AJ$470,25,)=0,0,((VLOOKUP($D76,$C$5:$AJ$470,25,)/VLOOKUP($D76,$C$5:$AJ$470,4,))*$F76))</f>
        <v>0</v>
      </c>
      <c r="AB76" s="19">
        <f>IF(VLOOKUP($D76,$C$5:$AJ$470,26,)=0,0,((VLOOKUP($D76,$C$5:$AJ$470,26,)/VLOOKUP($D76,$C$5:$AJ$470,4,))*$F76))</f>
        <v>0</v>
      </c>
      <c r="AC76" s="19">
        <f>IF(VLOOKUP($D76,$C$5:$AJ$470,27,)=0,0,((VLOOKUP($D76,$C$5:$AJ$470,27,)/VLOOKUP($D76,$C$5:$AJ$470,4,))*$F76))</f>
        <v>0</v>
      </c>
      <c r="AD76" s="19">
        <f>IF(VLOOKUP($D76,$C$5:$AJ$470,28,)=0,0,((VLOOKUP($D76,$C$5:$AJ$470,28,)/VLOOKUP($D76,$C$5:$AJ$470,4,))*$F76))</f>
        <v>0</v>
      </c>
      <c r="AE76" s="19"/>
      <c r="AF76" s="19">
        <f>IF(VLOOKUP($D76,$C$5:$AJ$470,30,)=0,0,((VLOOKUP($D76,$C$5:$AJ$470,30,)/VLOOKUP($D76,$C$5:$AJ$470,4,))*$F76))</f>
        <v>0</v>
      </c>
      <c r="AG76" s="19"/>
      <c r="AH76" s="19">
        <f>IF(VLOOKUP($D76,$C$5:$AJ$470,32,)=0,0,((VLOOKUP($D76,$C$5:$AJ$470,32,)/VLOOKUP($D76,$C$5:$AJ$470,4,))*$F76))</f>
        <v>0</v>
      </c>
      <c r="AI76" s="19"/>
      <c r="AJ76" s="19">
        <f>IF(VLOOKUP($D76,$C$5:$AJ$470,34,)=0,0,((VLOOKUP($D76,$C$5:$AJ$470,34,)/VLOOKUP($D76,$C$5:$AJ$470,4,))*$F76))</f>
        <v>0</v>
      </c>
      <c r="AK76" s="19">
        <f>SUM(H76:AJ76)</f>
        <v>0</v>
      </c>
      <c r="AL76" s="15" t="str">
        <f>IF(ABS(AK76-F76)&lt;1,"ok","err")</f>
        <v>ok</v>
      </c>
    </row>
    <row r="77" spans="1:38" x14ac:dyDescent="0.3">
      <c r="A77" s="2" t="s">
        <v>111</v>
      </c>
      <c r="C77" s="2" t="s">
        <v>104</v>
      </c>
      <c r="D77" s="2" t="s">
        <v>30</v>
      </c>
      <c r="F77" s="43">
        <v>0</v>
      </c>
      <c r="G77" s="19"/>
      <c r="H77" s="19">
        <f>IF(VLOOKUP($D77,$C$5:$AJ$470,6,)=0,0,((VLOOKUP($D77,$C$5:$AJ$470,6,)/VLOOKUP($D77,$C$5:$AJ$470,4,))*$F77))</f>
        <v>0</v>
      </c>
      <c r="I77" s="19">
        <f>IF(VLOOKUP($D77,$C$5:$AJ$470,7,)=0,0,((VLOOKUP($D77,$C$5:$AJ$470,7,)/VLOOKUP($D77,$C$5:$AJ$470,4,))*$F77))</f>
        <v>0</v>
      </c>
      <c r="J77" s="19">
        <f>IF(VLOOKUP($D77,$C$5:$AJ$470,8,)=0,0,((VLOOKUP($D77,$C$5:$AJ$470,8,)/VLOOKUP($D77,$C$5:$AJ$470,4,))*$F77))</f>
        <v>0</v>
      </c>
      <c r="K77" s="19">
        <f>IF(VLOOKUP($D77,$C$5:$AJ$470,9,)=0,0,((VLOOKUP($D77,$C$5:$AJ$470,9,)/VLOOKUP($D77,$C$5:$AJ$470,4,))*$F77))</f>
        <v>0</v>
      </c>
      <c r="L77" s="19">
        <f>IF(VLOOKUP($D77,$C$5:$AJ$470,10,)=0,0,((VLOOKUP($D77,$C$5:$AJ$470,10,)/VLOOKUP($D77,$C$5:$AJ$470,4,))*$F77))</f>
        <v>0</v>
      </c>
      <c r="M77" s="19">
        <f>IF(VLOOKUP($D77,$C$5:$AJ$470,11,)=0,0,((VLOOKUP($D77,$C$5:$AJ$470,11,)/VLOOKUP($D77,$C$5:$AJ$470,4,))*$F77))</f>
        <v>0</v>
      </c>
      <c r="N77" s="19"/>
      <c r="O77" s="19">
        <f>IF(VLOOKUP($D77,$C$5:$AJ$470,13,)=0,0,((VLOOKUP($D77,$C$5:$AJ$470,13,)/VLOOKUP($D77,$C$5:$AJ$470,4,))*$F77))</f>
        <v>0</v>
      </c>
      <c r="P77" s="19">
        <f>IF(VLOOKUP($D77,$C$5:$AJ$470,14,)=0,0,((VLOOKUP($D77,$C$5:$AJ$470,14,)/VLOOKUP($D77,$C$5:$AJ$470,4,))*$F77))</f>
        <v>0</v>
      </c>
      <c r="Q77" s="19">
        <f>IF(VLOOKUP($D77,$C$5:$AJ$470,15,)=0,0,((VLOOKUP($D77,$C$5:$AJ$470,15,)/VLOOKUP($D77,$C$5:$AJ$470,4,))*$F77))</f>
        <v>0</v>
      </c>
      <c r="R77" s="19"/>
      <c r="S77" s="19">
        <f>IF(VLOOKUP($D77,$C$5:$AJ$470,17,)=0,0,((VLOOKUP($D77,$C$5:$AJ$470,17,)/VLOOKUP($D77,$C$5:$AJ$470,4,))*$F77))</f>
        <v>0</v>
      </c>
      <c r="T77" s="19">
        <f>IF(VLOOKUP($D77,$C$5:$AJ$470,18,)=0,0,((VLOOKUP($D77,$C$5:$AJ$470,18,)/VLOOKUP($D77,$C$5:$AJ$470,4,))*$F77))</f>
        <v>0</v>
      </c>
      <c r="U77" s="19">
        <f>IF(VLOOKUP($D77,$C$5:$AJ$470,19,)=0,0,((VLOOKUP($D77,$C$5:$AJ$470,19,)/VLOOKUP($D77,$C$5:$AJ$470,4,))*$F77))</f>
        <v>0</v>
      </c>
      <c r="V77" s="19">
        <f>IF(VLOOKUP($D77,$C$5:$AJ$470,20,)=0,0,((VLOOKUP($D77,$C$5:$AJ$470,20,)/VLOOKUP($D77,$C$5:$AJ$470,4,))*$F77))</f>
        <v>0</v>
      </c>
      <c r="W77" s="19">
        <f>IF(VLOOKUP($D77,$C$5:$AJ$470,21,)=0,0,((VLOOKUP($D77,$C$5:$AJ$470,21,)/VLOOKUP($D77,$C$5:$AJ$470,4,))*$F77))</f>
        <v>0</v>
      </c>
      <c r="X77" s="19">
        <f>IF(VLOOKUP($D77,$C$5:$AJ$470,22,)=0,0,((VLOOKUP($D77,$C$5:$AJ$470,22,)/VLOOKUP($D77,$C$5:$AJ$470,4,))*$F77))</f>
        <v>0</v>
      </c>
      <c r="Y77" s="19">
        <f>IF(VLOOKUP($D77,$C$5:$AJ$470,23,)=0,0,((VLOOKUP($D77,$C$5:$AJ$470,23,)/VLOOKUP($D77,$C$5:$AJ$470,4,))*$F77))</f>
        <v>0</v>
      </c>
      <c r="Z77" s="19">
        <f>IF(VLOOKUP($D77,$C$5:$AJ$470,24,)=0,0,((VLOOKUP($D77,$C$5:$AJ$470,24,)/VLOOKUP($D77,$C$5:$AJ$470,4,))*$F77))</f>
        <v>0</v>
      </c>
      <c r="AA77" s="19">
        <f>IF(VLOOKUP($D77,$C$5:$AJ$470,25,)=0,0,((VLOOKUP($D77,$C$5:$AJ$470,25,)/VLOOKUP($D77,$C$5:$AJ$470,4,))*$F77))</f>
        <v>0</v>
      </c>
      <c r="AB77" s="19">
        <f>IF(VLOOKUP($D77,$C$5:$AJ$470,26,)=0,0,((VLOOKUP($D77,$C$5:$AJ$470,26,)/VLOOKUP($D77,$C$5:$AJ$470,4,))*$F77))</f>
        <v>0</v>
      </c>
      <c r="AC77" s="19">
        <f>IF(VLOOKUP($D77,$C$5:$AJ$470,27,)=0,0,((VLOOKUP($D77,$C$5:$AJ$470,27,)/VLOOKUP($D77,$C$5:$AJ$470,4,))*$F77))</f>
        <v>0</v>
      </c>
      <c r="AD77" s="19">
        <f>IF(VLOOKUP($D77,$C$5:$AJ$470,28,)=0,0,((VLOOKUP($D77,$C$5:$AJ$470,28,)/VLOOKUP($D77,$C$5:$AJ$470,4,))*$F77))</f>
        <v>0</v>
      </c>
      <c r="AE77" s="19"/>
      <c r="AF77" s="19">
        <f>IF(VLOOKUP($D77,$C$5:$AJ$470,30,)=0,0,((VLOOKUP($D77,$C$5:$AJ$470,30,)/VLOOKUP($D77,$C$5:$AJ$470,4,))*$F77))</f>
        <v>0</v>
      </c>
      <c r="AG77" s="19"/>
      <c r="AH77" s="19">
        <f>IF(VLOOKUP($D77,$C$5:$AJ$470,32,)=0,0,((VLOOKUP($D77,$C$5:$AJ$470,32,)/VLOOKUP($D77,$C$5:$AJ$470,4,))*$F77))</f>
        <v>0</v>
      </c>
      <c r="AI77" s="19"/>
      <c r="AJ77" s="19">
        <f>IF(VLOOKUP($D77,$C$5:$AJ$470,34,)=0,0,((VLOOKUP($D77,$C$5:$AJ$470,34,)/VLOOKUP($D77,$C$5:$AJ$470,4,))*$F77))</f>
        <v>0</v>
      </c>
      <c r="AK77" s="19">
        <f>SUM(H77:AJ77)</f>
        <v>0</v>
      </c>
      <c r="AL77" s="15" t="str">
        <f>IF(ABS(AK77-F77)&lt;1,"ok","err")</f>
        <v>ok</v>
      </c>
    </row>
    <row r="78" spans="1:38" x14ac:dyDescent="0.3">
      <c r="A78" s="2" t="s">
        <v>112</v>
      </c>
      <c r="C78" s="2" t="s">
        <v>104</v>
      </c>
      <c r="D78" s="2" t="s">
        <v>33</v>
      </c>
      <c r="F78" s="43">
        <v>0</v>
      </c>
      <c r="G78" s="19"/>
      <c r="H78" s="19">
        <f>IF(VLOOKUP($D78,$C$5:$AJ$470,6,)=0,0,((VLOOKUP($D78,$C$5:$AJ$470,6,)/VLOOKUP($D78,$C$5:$AJ$470,4,))*$F78))</f>
        <v>0</v>
      </c>
      <c r="I78" s="19">
        <f>IF(VLOOKUP($D78,$C$5:$AJ$470,7,)=0,0,((VLOOKUP($D78,$C$5:$AJ$470,7,)/VLOOKUP($D78,$C$5:$AJ$470,4,))*$F78))</f>
        <v>0</v>
      </c>
      <c r="J78" s="19">
        <f>IF(VLOOKUP($D78,$C$5:$AJ$470,8,)=0,0,((VLOOKUP($D78,$C$5:$AJ$470,8,)/VLOOKUP($D78,$C$5:$AJ$470,4,))*$F78))</f>
        <v>0</v>
      </c>
      <c r="K78" s="19">
        <f>IF(VLOOKUP($D78,$C$5:$AJ$470,9,)=0,0,((VLOOKUP($D78,$C$5:$AJ$470,9,)/VLOOKUP($D78,$C$5:$AJ$470,4,))*$F78))</f>
        <v>0</v>
      </c>
      <c r="L78" s="19">
        <f>IF(VLOOKUP($D78,$C$5:$AJ$470,10,)=0,0,((VLOOKUP($D78,$C$5:$AJ$470,10,)/VLOOKUP($D78,$C$5:$AJ$470,4,))*$F78))</f>
        <v>0</v>
      </c>
      <c r="M78" s="19">
        <f>IF(VLOOKUP($D78,$C$5:$AJ$470,11,)=0,0,((VLOOKUP($D78,$C$5:$AJ$470,11,)/VLOOKUP($D78,$C$5:$AJ$470,4,))*$F78))</f>
        <v>0</v>
      </c>
      <c r="N78" s="19"/>
      <c r="O78" s="19">
        <f>IF(VLOOKUP($D78,$C$5:$AJ$470,13,)=0,0,((VLOOKUP($D78,$C$5:$AJ$470,13,)/VLOOKUP($D78,$C$5:$AJ$470,4,))*$F78))</f>
        <v>0</v>
      </c>
      <c r="P78" s="19">
        <f>IF(VLOOKUP($D78,$C$5:$AJ$470,14,)=0,0,((VLOOKUP($D78,$C$5:$AJ$470,14,)/VLOOKUP($D78,$C$5:$AJ$470,4,))*$F78))</f>
        <v>0</v>
      </c>
      <c r="Q78" s="19">
        <f>IF(VLOOKUP($D78,$C$5:$AJ$470,15,)=0,0,((VLOOKUP($D78,$C$5:$AJ$470,15,)/VLOOKUP($D78,$C$5:$AJ$470,4,))*$F78))</f>
        <v>0</v>
      </c>
      <c r="R78" s="19"/>
      <c r="S78" s="19">
        <f>IF(VLOOKUP($D78,$C$5:$AJ$470,17,)=0,0,((VLOOKUP($D78,$C$5:$AJ$470,17,)/VLOOKUP($D78,$C$5:$AJ$470,4,))*$F78))</f>
        <v>0</v>
      </c>
      <c r="T78" s="19">
        <f>IF(VLOOKUP($D78,$C$5:$AJ$470,18,)=0,0,((VLOOKUP($D78,$C$5:$AJ$470,18,)/VLOOKUP($D78,$C$5:$AJ$470,4,))*$F78))</f>
        <v>0</v>
      </c>
      <c r="U78" s="19">
        <f>IF(VLOOKUP($D78,$C$5:$AJ$470,19,)=0,0,((VLOOKUP($D78,$C$5:$AJ$470,19,)/VLOOKUP($D78,$C$5:$AJ$470,4,))*$F78))</f>
        <v>0</v>
      </c>
      <c r="V78" s="19">
        <f>IF(VLOOKUP($D78,$C$5:$AJ$470,20,)=0,0,((VLOOKUP($D78,$C$5:$AJ$470,20,)/VLOOKUP($D78,$C$5:$AJ$470,4,))*$F78))</f>
        <v>0</v>
      </c>
      <c r="W78" s="19">
        <f>IF(VLOOKUP($D78,$C$5:$AJ$470,21,)=0,0,((VLOOKUP($D78,$C$5:$AJ$470,21,)/VLOOKUP($D78,$C$5:$AJ$470,4,))*$F78))</f>
        <v>0</v>
      </c>
      <c r="X78" s="19">
        <f>IF(VLOOKUP($D78,$C$5:$AJ$470,22,)=0,0,((VLOOKUP($D78,$C$5:$AJ$470,22,)/VLOOKUP($D78,$C$5:$AJ$470,4,))*$F78))</f>
        <v>0</v>
      </c>
      <c r="Y78" s="19">
        <f>IF(VLOOKUP($D78,$C$5:$AJ$470,23,)=0,0,((VLOOKUP($D78,$C$5:$AJ$470,23,)/VLOOKUP($D78,$C$5:$AJ$470,4,))*$F78))</f>
        <v>0</v>
      </c>
      <c r="Z78" s="19">
        <f>IF(VLOOKUP($D78,$C$5:$AJ$470,24,)=0,0,((VLOOKUP($D78,$C$5:$AJ$470,24,)/VLOOKUP($D78,$C$5:$AJ$470,4,))*$F78))</f>
        <v>0</v>
      </c>
      <c r="AA78" s="19">
        <f>IF(VLOOKUP($D78,$C$5:$AJ$470,25,)=0,0,((VLOOKUP($D78,$C$5:$AJ$470,25,)/VLOOKUP($D78,$C$5:$AJ$470,4,))*$F78))</f>
        <v>0</v>
      </c>
      <c r="AB78" s="19">
        <f>IF(VLOOKUP($D78,$C$5:$AJ$470,26,)=0,0,((VLOOKUP($D78,$C$5:$AJ$470,26,)/VLOOKUP($D78,$C$5:$AJ$470,4,))*$F78))</f>
        <v>0</v>
      </c>
      <c r="AC78" s="19">
        <f>IF(VLOOKUP($D78,$C$5:$AJ$470,27,)=0,0,((VLOOKUP($D78,$C$5:$AJ$470,27,)/VLOOKUP($D78,$C$5:$AJ$470,4,))*$F78))</f>
        <v>0</v>
      </c>
      <c r="AD78" s="19">
        <f>IF(VLOOKUP($D78,$C$5:$AJ$470,28,)=0,0,((VLOOKUP($D78,$C$5:$AJ$470,28,)/VLOOKUP($D78,$C$5:$AJ$470,4,))*$F78))</f>
        <v>0</v>
      </c>
      <c r="AE78" s="19"/>
      <c r="AF78" s="19">
        <f>IF(VLOOKUP($D78,$C$5:$AJ$470,30,)=0,0,((VLOOKUP($D78,$C$5:$AJ$470,30,)/VLOOKUP($D78,$C$5:$AJ$470,4,))*$F78))</f>
        <v>0</v>
      </c>
      <c r="AG78" s="19"/>
      <c r="AH78" s="19">
        <f>IF(VLOOKUP($D78,$C$5:$AJ$470,32,)=0,0,((VLOOKUP($D78,$C$5:$AJ$470,32,)/VLOOKUP($D78,$C$5:$AJ$470,4,))*$F78))</f>
        <v>0</v>
      </c>
      <c r="AI78" s="19"/>
      <c r="AJ78" s="19">
        <f>IF(VLOOKUP($D78,$C$5:$AJ$470,34,)=0,0,((VLOOKUP($D78,$C$5:$AJ$470,34,)/VLOOKUP($D78,$C$5:$AJ$470,4,))*$F78))</f>
        <v>0</v>
      </c>
      <c r="AK78" s="19">
        <f>SUM(H78:AJ78)</f>
        <v>0</v>
      </c>
      <c r="AL78" s="15" t="str">
        <f>IF(ABS(AK78-F78)&lt;1,"ok","err")</f>
        <v>ok</v>
      </c>
    </row>
    <row r="79" spans="1:38" x14ac:dyDescent="0.3">
      <c r="A79" s="2" t="s">
        <v>113</v>
      </c>
      <c r="C79" s="2" t="s">
        <v>104</v>
      </c>
      <c r="D79" s="2" t="s">
        <v>25</v>
      </c>
      <c r="F79" s="43">
        <v>0</v>
      </c>
      <c r="H79" s="19">
        <f>IF(VLOOKUP($D79,$C$5:$AJ$470,6,)=0,0,((VLOOKUP($D79,$C$5:$AJ$470,6,)/VLOOKUP($D79,$C$5:$AJ$470,4,))*$F79))</f>
        <v>0</v>
      </c>
      <c r="I79" s="19">
        <f>IF(VLOOKUP($D79,$C$5:$AJ$470,7,)=0,0,((VLOOKUP($D79,$C$5:$AJ$470,7,)/VLOOKUP($D79,$C$5:$AJ$470,4,))*$F79))</f>
        <v>0</v>
      </c>
      <c r="J79" s="19">
        <f>IF(VLOOKUP($D79,$C$5:$AJ$470,8,)=0,0,((VLOOKUP($D79,$C$5:$AJ$470,8,)/VLOOKUP($D79,$C$5:$AJ$470,4,))*$F79))</f>
        <v>0</v>
      </c>
      <c r="K79" s="19">
        <f>IF(VLOOKUP($D79,$C$5:$AJ$470,9,)=0,0,((VLOOKUP($D79,$C$5:$AJ$470,9,)/VLOOKUP($D79,$C$5:$AJ$470,4,))*$F79))</f>
        <v>0</v>
      </c>
      <c r="L79" s="19">
        <f>IF(VLOOKUP($D79,$C$5:$AJ$470,10,)=0,0,((VLOOKUP($D79,$C$5:$AJ$470,10,)/VLOOKUP($D79,$C$5:$AJ$470,4,))*$F79))</f>
        <v>0</v>
      </c>
      <c r="M79" s="19">
        <f>IF(VLOOKUP($D79,$C$5:$AJ$470,11,)=0,0,((VLOOKUP($D79,$C$5:$AJ$470,11,)/VLOOKUP($D79,$C$5:$AJ$470,4,))*$F79))</f>
        <v>0</v>
      </c>
      <c r="N79" s="19"/>
      <c r="O79" s="19">
        <f>IF(VLOOKUP($D79,$C$5:$AJ$470,13,)=0,0,((VLOOKUP($D79,$C$5:$AJ$470,13,)/VLOOKUP($D79,$C$5:$AJ$470,4,))*$F79))</f>
        <v>0</v>
      </c>
      <c r="P79" s="19">
        <f>IF(VLOOKUP($D79,$C$5:$AJ$470,14,)=0,0,((VLOOKUP($D79,$C$5:$AJ$470,14,)/VLOOKUP($D79,$C$5:$AJ$470,4,))*$F79))</f>
        <v>0</v>
      </c>
      <c r="Q79" s="19">
        <f>IF(VLOOKUP($D79,$C$5:$AJ$470,15,)=0,0,((VLOOKUP($D79,$C$5:$AJ$470,15,)/VLOOKUP($D79,$C$5:$AJ$470,4,))*$F79))</f>
        <v>0</v>
      </c>
      <c r="R79" s="19"/>
      <c r="S79" s="19">
        <f>IF(VLOOKUP($D79,$C$5:$AJ$470,17,)=0,0,((VLOOKUP($D79,$C$5:$AJ$470,17,)/VLOOKUP($D79,$C$5:$AJ$470,4,))*$F79))</f>
        <v>0</v>
      </c>
      <c r="T79" s="19">
        <f>IF(VLOOKUP($D79,$C$5:$AJ$470,18,)=0,0,((VLOOKUP($D79,$C$5:$AJ$470,18,)/VLOOKUP($D79,$C$5:$AJ$470,4,))*$F79))</f>
        <v>0</v>
      </c>
      <c r="U79" s="19">
        <f>IF(VLOOKUP($D79,$C$5:$AJ$470,19,)=0,0,((VLOOKUP($D79,$C$5:$AJ$470,19,)/VLOOKUP($D79,$C$5:$AJ$470,4,))*$F79))</f>
        <v>0</v>
      </c>
      <c r="V79" s="19">
        <f>IF(VLOOKUP($D79,$C$5:$AJ$470,20,)=0,0,((VLOOKUP($D79,$C$5:$AJ$470,20,)/VLOOKUP($D79,$C$5:$AJ$470,4,))*$F79))</f>
        <v>0</v>
      </c>
      <c r="W79" s="19">
        <f>IF(VLOOKUP($D79,$C$5:$AJ$470,21,)=0,0,((VLOOKUP($D79,$C$5:$AJ$470,21,)/VLOOKUP($D79,$C$5:$AJ$470,4,))*$F79))</f>
        <v>0</v>
      </c>
      <c r="X79" s="19">
        <f>IF(VLOOKUP($D79,$C$5:$AJ$470,22,)=0,0,((VLOOKUP($D79,$C$5:$AJ$470,22,)/VLOOKUP($D79,$C$5:$AJ$470,4,))*$F79))</f>
        <v>0</v>
      </c>
      <c r="Y79" s="19">
        <f>IF(VLOOKUP($D79,$C$5:$AJ$470,23,)=0,0,((VLOOKUP($D79,$C$5:$AJ$470,23,)/VLOOKUP($D79,$C$5:$AJ$470,4,))*$F79))</f>
        <v>0</v>
      </c>
      <c r="Z79" s="19">
        <f>IF(VLOOKUP($D79,$C$5:$AJ$470,24,)=0,0,((VLOOKUP($D79,$C$5:$AJ$470,24,)/VLOOKUP($D79,$C$5:$AJ$470,4,))*$F79))</f>
        <v>0</v>
      </c>
      <c r="AA79" s="19">
        <f>IF(VLOOKUP($D79,$C$5:$AJ$470,25,)=0,0,((VLOOKUP($D79,$C$5:$AJ$470,25,)/VLOOKUP($D79,$C$5:$AJ$470,4,))*$F79))</f>
        <v>0</v>
      </c>
      <c r="AB79" s="19">
        <f>IF(VLOOKUP($D79,$C$5:$AJ$470,26,)=0,0,((VLOOKUP($D79,$C$5:$AJ$470,26,)/VLOOKUP($D79,$C$5:$AJ$470,4,))*$F79))</f>
        <v>0</v>
      </c>
      <c r="AC79" s="19">
        <f>IF(VLOOKUP($D79,$C$5:$AJ$470,27,)=0,0,((VLOOKUP($D79,$C$5:$AJ$470,27,)/VLOOKUP($D79,$C$5:$AJ$470,4,))*$F79))</f>
        <v>0</v>
      </c>
      <c r="AD79" s="19">
        <f>IF(VLOOKUP($D79,$C$5:$AJ$470,28,)=0,0,((VLOOKUP($D79,$C$5:$AJ$470,28,)/VLOOKUP($D79,$C$5:$AJ$470,4,))*$F79))</f>
        <v>0</v>
      </c>
      <c r="AE79" s="19"/>
      <c r="AF79" s="19">
        <f>IF(VLOOKUP($D79,$C$5:$AJ$470,30,)=0,0,((VLOOKUP($D79,$C$5:$AJ$470,30,)/VLOOKUP($D79,$C$5:$AJ$470,4,))*$F79))</f>
        <v>0</v>
      </c>
      <c r="AG79" s="19"/>
      <c r="AH79" s="19">
        <f>IF(VLOOKUP($D79,$C$5:$AJ$470,32,)=0,0,((VLOOKUP($D79,$C$5:$AJ$470,32,)/VLOOKUP($D79,$C$5:$AJ$470,4,))*$F79))</f>
        <v>0</v>
      </c>
      <c r="AI79" s="19"/>
      <c r="AJ79" s="19">
        <f>IF(VLOOKUP($D79,$C$5:$AJ$470,34,)=0,0,((VLOOKUP($D79,$C$5:$AJ$470,34,)/VLOOKUP($D79,$C$5:$AJ$470,4,))*$F79))</f>
        <v>0</v>
      </c>
      <c r="AK79" s="19">
        <f>SUM(H79:AJ79)</f>
        <v>0</v>
      </c>
      <c r="AL79" s="15" t="str">
        <f>IF(ABS(AK79-F79)&lt;1,"ok","err")</f>
        <v>ok</v>
      </c>
    </row>
    <row r="80" spans="1:38" x14ac:dyDescent="0.3">
      <c r="Y80" s="2"/>
      <c r="AK80" s="19"/>
      <c r="AL80" s="15"/>
    </row>
    <row r="81" spans="1:38" x14ac:dyDescent="0.3">
      <c r="A81" s="21" t="s">
        <v>114</v>
      </c>
      <c r="F81" s="20">
        <f>SUM(F76:F80)</f>
        <v>0</v>
      </c>
      <c r="G81" s="20"/>
      <c r="H81" s="20">
        <f t="shared" ref="H81:M81" si="41">SUM(H76:H80)</f>
        <v>0</v>
      </c>
      <c r="I81" s="20">
        <f t="shared" si="41"/>
        <v>0</v>
      </c>
      <c r="J81" s="20">
        <f t="shared" si="41"/>
        <v>0</v>
      </c>
      <c r="K81" s="20">
        <f t="shared" si="41"/>
        <v>0</v>
      </c>
      <c r="L81" s="20">
        <f t="shared" si="41"/>
        <v>0</v>
      </c>
      <c r="M81" s="20">
        <f t="shared" si="41"/>
        <v>0</v>
      </c>
      <c r="N81" s="20"/>
      <c r="O81" s="20">
        <f>SUM(O76:O80)</f>
        <v>0</v>
      </c>
      <c r="P81" s="20">
        <f>SUM(P76:P80)</f>
        <v>0</v>
      </c>
      <c r="Q81" s="20">
        <f>SUM(Q76:Q80)</f>
        <v>0</v>
      </c>
      <c r="R81" s="20"/>
      <c r="S81" s="20">
        <f t="shared" ref="S81:AD81" si="42">SUM(S76:S80)</f>
        <v>0</v>
      </c>
      <c r="T81" s="20">
        <f t="shared" si="42"/>
        <v>0</v>
      </c>
      <c r="U81" s="20">
        <f t="shared" si="42"/>
        <v>0</v>
      </c>
      <c r="V81" s="20">
        <f t="shared" si="42"/>
        <v>0</v>
      </c>
      <c r="W81" s="20">
        <f t="shared" si="42"/>
        <v>0</v>
      </c>
      <c r="X81" s="20">
        <f t="shared" si="42"/>
        <v>0</v>
      </c>
      <c r="Y81" s="20">
        <f t="shared" si="42"/>
        <v>0</v>
      </c>
      <c r="Z81" s="20">
        <f t="shared" si="42"/>
        <v>0</v>
      </c>
      <c r="AA81" s="20">
        <f t="shared" si="42"/>
        <v>0</v>
      </c>
      <c r="AB81" s="20">
        <f t="shared" si="42"/>
        <v>0</v>
      </c>
      <c r="AC81" s="20">
        <f t="shared" si="42"/>
        <v>0</v>
      </c>
      <c r="AD81" s="20">
        <f t="shared" si="42"/>
        <v>0</v>
      </c>
      <c r="AE81" s="20"/>
      <c r="AF81" s="20">
        <f>SUM(AF76:AF80)</f>
        <v>0</v>
      </c>
      <c r="AG81" s="20"/>
      <c r="AH81" s="20">
        <f>SUM(AH76:AH80)</f>
        <v>0</v>
      </c>
      <c r="AI81" s="20"/>
      <c r="AJ81" s="20">
        <f>SUM(AJ76:AJ80)</f>
        <v>0</v>
      </c>
      <c r="AK81" s="19">
        <f>SUM(H81:AJ81)</f>
        <v>0</v>
      </c>
      <c r="AL81" s="15" t="str">
        <f>IF(ABS(AK81-F81)&lt;1,"ok","err")</f>
        <v>ok</v>
      </c>
    </row>
    <row r="82" spans="1:38" x14ac:dyDescent="0.3">
      <c r="A82" s="21"/>
      <c r="F82" s="44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5"/>
    </row>
    <row r="83" spans="1:38" x14ac:dyDescent="0.3">
      <c r="A83" s="3" t="s">
        <v>115</v>
      </c>
      <c r="C83" s="2" t="s">
        <v>116</v>
      </c>
      <c r="F83" s="20">
        <f>F37-F47+F57+F63-F65-F73-F81</f>
        <v>3265972555.1229711</v>
      </c>
      <c r="G83" s="20"/>
      <c r="H83" s="20">
        <f t="shared" ref="H83:AJ83" si="43">H37-H47+H57+H63-H65-H73-H81</f>
        <v>993578797.40297925</v>
      </c>
      <c r="I83" s="20">
        <f t="shared" si="43"/>
        <v>1225811342.9044704</v>
      </c>
      <c r="J83" s="20">
        <f t="shared" si="43"/>
        <v>66762723.069734029</v>
      </c>
      <c r="K83" s="20">
        <f t="shared" si="43"/>
        <v>72887735.568122163</v>
      </c>
      <c r="L83" s="20">
        <f t="shared" si="43"/>
        <v>16641252.895726735</v>
      </c>
      <c r="M83" s="20">
        <f t="shared" si="43"/>
        <v>632826372.93631792</v>
      </c>
      <c r="N83" s="20">
        <f t="shared" si="43"/>
        <v>0</v>
      </c>
      <c r="O83" s="20">
        <f t="shared" si="43"/>
        <v>254056390.18752602</v>
      </c>
      <c r="P83" s="20">
        <f t="shared" si="43"/>
        <v>3407940.1580944289</v>
      </c>
      <c r="Q83" s="20">
        <f t="shared" si="43"/>
        <v>0</v>
      </c>
      <c r="R83" s="20">
        <f t="shared" si="43"/>
        <v>0</v>
      </c>
      <c r="S83" s="20">
        <f t="shared" si="43"/>
        <v>0</v>
      </c>
      <c r="T83" s="20">
        <f t="shared" si="43"/>
        <v>0</v>
      </c>
      <c r="U83" s="20">
        <f t="shared" si="43"/>
        <v>0</v>
      </c>
      <c r="V83" s="20">
        <f t="shared" si="43"/>
        <v>0</v>
      </c>
      <c r="W83" s="20">
        <f t="shared" si="43"/>
        <v>0</v>
      </c>
      <c r="X83" s="20">
        <f t="shared" si="43"/>
        <v>0</v>
      </c>
      <c r="Y83" s="20">
        <f t="shared" si="43"/>
        <v>0</v>
      </c>
      <c r="Z83" s="20">
        <f t="shared" si="43"/>
        <v>0</v>
      </c>
      <c r="AA83" s="20">
        <f t="shared" si="43"/>
        <v>0</v>
      </c>
      <c r="AB83" s="20">
        <f t="shared" si="43"/>
        <v>0</v>
      </c>
      <c r="AC83" s="20">
        <f t="shared" si="43"/>
        <v>0</v>
      </c>
      <c r="AD83" s="20">
        <f t="shared" si="43"/>
        <v>0</v>
      </c>
      <c r="AE83" s="20">
        <f t="shared" si="43"/>
        <v>0</v>
      </c>
      <c r="AF83" s="20">
        <f t="shared" si="43"/>
        <v>0</v>
      </c>
      <c r="AG83" s="20">
        <f t="shared" si="43"/>
        <v>0</v>
      </c>
      <c r="AH83" s="20">
        <f t="shared" si="43"/>
        <v>0</v>
      </c>
      <c r="AI83" s="20">
        <f t="shared" si="43"/>
        <v>0</v>
      </c>
      <c r="AJ83" s="20">
        <f t="shared" si="43"/>
        <v>0</v>
      </c>
      <c r="AK83" s="19">
        <f>SUM(H83:AJ83)</f>
        <v>3265972555.1229715</v>
      </c>
      <c r="AL83" s="15" t="str">
        <f>IF(ABS(AK83-F83)&lt;1,"ok","err")</f>
        <v>ok</v>
      </c>
    </row>
    <row r="84" spans="1:38" x14ac:dyDescent="0.3">
      <c r="Y84" s="2"/>
      <c r="AL84" s="15"/>
    </row>
    <row r="85" spans="1:38" x14ac:dyDescent="0.3">
      <c r="A85" s="16" t="s">
        <v>117</v>
      </c>
      <c r="Y85" s="2"/>
      <c r="AL85" s="15"/>
    </row>
    <row r="86" spans="1:38" x14ac:dyDescent="0.3">
      <c r="A86" s="16"/>
      <c r="F86" s="20"/>
      <c r="Y86" s="2"/>
      <c r="AL86" s="15"/>
    </row>
    <row r="87" spans="1:38" x14ac:dyDescent="0.3">
      <c r="A87" s="3" t="s">
        <v>118</v>
      </c>
      <c r="Y87" s="2"/>
      <c r="AL87" s="15"/>
    </row>
    <row r="88" spans="1:38" x14ac:dyDescent="0.3">
      <c r="A88" s="2">
        <v>500</v>
      </c>
      <c r="B88" s="2" t="s">
        <v>119</v>
      </c>
      <c r="C88" s="2" t="s">
        <v>120</v>
      </c>
      <c r="D88" s="2" t="s">
        <v>28</v>
      </c>
      <c r="F88" s="44">
        <v>8383871</v>
      </c>
      <c r="H88" s="19">
        <f t="shared" ref="H88:H94" si="44">IF(VLOOKUP($D88,$C$5:$AJ$470,6,)=0,0,((VLOOKUP($D88,$C$5:$AJ$470,6,)/VLOOKUP($D88,$C$5:$AJ$470,4,))*$F88))</f>
        <v>3731383.4956412804</v>
      </c>
      <c r="I88" s="19">
        <f t="shared" ref="I88:I94" si="45">IF(VLOOKUP($D88,$C$5:$AJ$470,7,)=0,0,((VLOOKUP($D88,$C$5:$AJ$470,7,)/VLOOKUP($D88,$C$5:$AJ$470,4,))*$F88))</f>
        <v>4603532.4280661829</v>
      </c>
      <c r="J88" s="19">
        <f t="shared" ref="J88:J94" si="46">IF(VLOOKUP($D88,$C$5:$AJ$470,8,)=0,0,((VLOOKUP($D88,$C$5:$AJ$470,8,)/VLOOKUP($D88,$C$5:$AJ$470,4,))*$F88))</f>
        <v>0</v>
      </c>
      <c r="K88" s="19">
        <f t="shared" ref="K88:K94" si="47">IF(VLOOKUP($D88,$C$5:$AJ$470,9,)=0,0,((VLOOKUP($D88,$C$5:$AJ$470,9,)/VLOOKUP($D88,$C$5:$AJ$470,4,))*$F88))</f>
        <v>0</v>
      </c>
      <c r="L88" s="19">
        <f t="shared" ref="L88:L94" si="48">IF(VLOOKUP($D88,$C$5:$AJ$470,10,)=0,0,((VLOOKUP($D88,$C$5:$AJ$470,10,)/VLOOKUP($D88,$C$5:$AJ$470,4,))*$F88))</f>
        <v>48955.076292537044</v>
      </c>
      <c r="M88" s="19">
        <f t="shared" ref="M88:M94" si="49">IF(VLOOKUP($D88,$C$5:$AJ$470,11,)=0,0,((VLOOKUP($D88,$C$5:$AJ$470,11,)/VLOOKUP($D88,$C$5:$AJ$470,4,))*$F88))</f>
        <v>0</v>
      </c>
      <c r="N88" s="19"/>
      <c r="O88" s="19">
        <f t="shared" ref="O88:O94" si="50">IF(VLOOKUP($D88,$C$5:$AJ$470,13,)=0,0,((VLOOKUP($D88,$C$5:$AJ$470,13,)/VLOOKUP($D88,$C$5:$AJ$470,4,))*$F88))</f>
        <v>0</v>
      </c>
      <c r="P88" s="19">
        <f t="shared" ref="P88:P94" si="51">IF(VLOOKUP($D88,$C$5:$AJ$470,14,)=0,0,((VLOOKUP($D88,$C$5:$AJ$470,14,)/VLOOKUP($D88,$C$5:$AJ$470,4,))*$F88))</f>
        <v>0</v>
      </c>
      <c r="Q88" s="19">
        <f t="shared" ref="Q88:Q94" si="52">IF(VLOOKUP($D88,$C$5:$AJ$470,15,)=0,0,((VLOOKUP($D88,$C$5:$AJ$470,15,)/VLOOKUP($D88,$C$5:$AJ$470,4,))*$F88))</f>
        <v>0</v>
      </c>
      <c r="R88" s="19"/>
      <c r="S88" s="19">
        <f t="shared" ref="S88:S94" si="53">IF(VLOOKUP($D88,$C$5:$AJ$470,17,)=0,0,((VLOOKUP($D88,$C$5:$AJ$470,17,)/VLOOKUP($D88,$C$5:$AJ$470,4,))*$F88))</f>
        <v>0</v>
      </c>
      <c r="T88" s="19">
        <f t="shared" ref="T88:T94" si="54">IF(VLOOKUP($D88,$C$5:$AJ$470,18,)=0,0,((VLOOKUP($D88,$C$5:$AJ$470,18,)/VLOOKUP($D88,$C$5:$AJ$470,4,))*$F88))</f>
        <v>0</v>
      </c>
      <c r="U88" s="19">
        <f t="shared" ref="U88:U94" si="55">IF(VLOOKUP($D88,$C$5:$AJ$470,19,)=0,0,((VLOOKUP($D88,$C$5:$AJ$470,19,)/VLOOKUP($D88,$C$5:$AJ$470,4,))*$F88))</f>
        <v>0</v>
      </c>
      <c r="V88" s="19">
        <f t="shared" ref="V88:V94" si="56">IF(VLOOKUP($D88,$C$5:$AJ$470,20,)=0,0,((VLOOKUP($D88,$C$5:$AJ$470,20,)/VLOOKUP($D88,$C$5:$AJ$470,4,))*$F88))</f>
        <v>0</v>
      </c>
      <c r="W88" s="19">
        <f t="shared" ref="W88:W94" si="57">IF(VLOOKUP($D88,$C$5:$AJ$470,21,)=0,0,((VLOOKUP($D88,$C$5:$AJ$470,21,)/VLOOKUP($D88,$C$5:$AJ$470,4,))*$F88))</f>
        <v>0</v>
      </c>
      <c r="X88" s="19">
        <f t="shared" ref="X88:X94" si="58">IF(VLOOKUP($D88,$C$5:$AJ$470,22,)=0,0,((VLOOKUP($D88,$C$5:$AJ$470,22,)/VLOOKUP($D88,$C$5:$AJ$470,4,))*$F88))</f>
        <v>0</v>
      </c>
      <c r="Y88" s="19">
        <f t="shared" ref="Y88:Y94" si="59">IF(VLOOKUP($D88,$C$5:$AJ$470,23,)=0,0,((VLOOKUP($D88,$C$5:$AJ$470,23,)/VLOOKUP($D88,$C$5:$AJ$470,4,))*$F88))</f>
        <v>0</v>
      </c>
      <c r="Z88" s="19">
        <f t="shared" ref="Z88:Z94" si="60">IF(VLOOKUP($D88,$C$5:$AJ$470,24,)=0,0,((VLOOKUP($D88,$C$5:$AJ$470,24,)/VLOOKUP($D88,$C$5:$AJ$470,4,))*$F88))</f>
        <v>0</v>
      </c>
      <c r="AA88" s="19">
        <f t="shared" ref="AA88:AA94" si="61">IF(VLOOKUP($D88,$C$5:$AJ$470,25,)=0,0,((VLOOKUP($D88,$C$5:$AJ$470,25,)/VLOOKUP($D88,$C$5:$AJ$470,4,))*$F88))</f>
        <v>0</v>
      </c>
      <c r="AB88" s="19">
        <f t="shared" ref="AB88:AB94" si="62">IF(VLOOKUP($D88,$C$5:$AJ$470,26,)=0,0,((VLOOKUP($D88,$C$5:$AJ$470,26,)/VLOOKUP($D88,$C$5:$AJ$470,4,))*$F88))</f>
        <v>0</v>
      </c>
      <c r="AC88" s="19">
        <f t="shared" ref="AC88:AC94" si="63">IF(VLOOKUP($D88,$C$5:$AJ$470,27,)=0,0,((VLOOKUP($D88,$C$5:$AJ$470,27,)/VLOOKUP($D88,$C$5:$AJ$470,4,))*$F88))</f>
        <v>0</v>
      </c>
      <c r="AD88" s="19">
        <f t="shared" ref="AD88:AD94" si="64">IF(VLOOKUP($D88,$C$5:$AJ$470,28,)=0,0,((VLOOKUP($D88,$C$5:$AJ$470,28,)/VLOOKUP($D88,$C$5:$AJ$470,4,))*$F88))</f>
        <v>0</v>
      </c>
      <c r="AE88" s="19"/>
      <c r="AF88" s="19">
        <f t="shared" ref="AF88:AF94" si="65">IF(VLOOKUP($D88,$C$5:$AJ$470,30,)=0,0,((VLOOKUP($D88,$C$5:$AJ$470,30,)/VLOOKUP($D88,$C$5:$AJ$470,4,))*$F88))</f>
        <v>0</v>
      </c>
      <c r="AG88" s="19"/>
      <c r="AH88" s="19">
        <f t="shared" ref="AH88:AH94" si="66">IF(VLOOKUP($D88,$C$5:$AJ$470,32,)=0,0,((VLOOKUP($D88,$C$5:$AJ$470,32,)/VLOOKUP($D88,$C$5:$AJ$470,4,))*$F88))</f>
        <v>0</v>
      </c>
      <c r="AI88" s="19"/>
      <c r="AJ88" s="19">
        <f t="shared" ref="AJ88:AJ94" si="67">IF(VLOOKUP($D88,$C$5:$AJ$470,34,)=0,0,((VLOOKUP($D88,$C$5:$AJ$470,34,)/VLOOKUP($D88,$C$5:$AJ$470,4,))*$F88))</f>
        <v>0</v>
      </c>
      <c r="AK88" s="19">
        <f t="shared" ref="AK88:AK94" si="68">SUM(H88:AJ88)</f>
        <v>8383871</v>
      </c>
      <c r="AL88" s="15" t="str">
        <f t="shared" ref="AL88:AL94" si="69">IF(ABS(AK88-F88)&lt;1,"ok","err")</f>
        <v>ok</v>
      </c>
    </row>
    <row r="89" spans="1:38" x14ac:dyDescent="0.3">
      <c r="A89" s="68">
        <v>501</v>
      </c>
      <c r="B89" s="2" t="s">
        <v>89</v>
      </c>
      <c r="C89" s="2" t="s">
        <v>121</v>
      </c>
      <c r="D89" s="2" t="s">
        <v>122</v>
      </c>
      <c r="F89" s="44">
        <f>327216537.81</f>
        <v>327216537.81</v>
      </c>
      <c r="H89" s="19">
        <f t="shared" si="44"/>
        <v>0</v>
      </c>
      <c r="I89" s="19">
        <f t="shared" si="45"/>
        <v>0</v>
      </c>
      <c r="J89" s="19">
        <f t="shared" si="46"/>
        <v>154128091.26985118</v>
      </c>
      <c r="K89" s="19">
        <f t="shared" si="47"/>
        <v>168270035.27924103</v>
      </c>
      <c r="L89" s="19">
        <f t="shared" si="48"/>
        <v>4818411.2609077999</v>
      </c>
      <c r="M89" s="19">
        <f t="shared" si="49"/>
        <v>0</v>
      </c>
      <c r="N89" s="19"/>
      <c r="O89" s="19">
        <f t="shared" si="50"/>
        <v>0</v>
      </c>
      <c r="P89" s="19">
        <f t="shared" si="51"/>
        <v>0</v>
      </c>
      <c r="Q89" s="19">
        <f t="shared" si="52"/>
        <v>0</v>
      </c>
      <c r="R89" s="19"/>
      <c r="S89" s="19">
        <f t="shared" si="53"/>
        <v>0</v>
      </c>
      <c r="T89" s="19">
        <f t="shared" si="54"/>
        <v>0</v>
      </c>
      <c r="U89" s="19">
        <f t="shared" si="55"/>
        <v>0</v>
      </c>
      <c r="V89" s="19">
        <f t="shared" si="56"/>
        <v>0</v>
      </c>
      <c r="W89" s="19">
        <f t="shared" si="57"/>
        <v>0</v>
      </c>
      <c r="X89" s="19">
        <f t="shared" si="58"/>
        <v>0</v>
      </c>
      <c r="Y89" s="19">
        <f t="shared" si="59"/>
        <v>0</v>
      </c>
      <c r="Z89" s="19">
        <f t="shared" si="60"/>
        <v>0</v>
      </c>
      <c r="AA89" s="19">
        <f t="shared" si="61"/>
        <v>0</v>
      </c>
      <c r="AB89" s="19">
        <f t="shared" si="62"/>
        <v>0</v>
      </c>
      <c r="AC89" s="19">
        <f t="shared" si="63"/>
        <v>0</v>
      </c>
      <c r="AD89" s="19">
        <f t="shared" si="64"/>
        <v>0</v>
      </c>
      <c r="AE89" s="19"/>
      <c r="AF89" s="19">
        <f t="shared" si="65"/>
        <v>0</v>
      </c>
      <c r="AG89" s="19"/>
      <c r="AH89" s="19">
        <f t="shared" si="66"/>
        <v>0</v>
      </c>
      <c r="AI89" s="19"/>
      <c r="AJ89" s="19">
        <f t="shared" si="67"/>
        <v>0</v>
      </c>
      <c r="AK89" s="19">
        <f t="shared" si="68"/>
        <v>327216537.81</v>
      </c>
      <c r="AL89" s="15" t="str">
        <f t="shared" si="69"/>
        <v>ok</v>
      </c>
    </row>
    <row r="90" spans="1:38" x14ac:dyDescent="0.3">
      <c r="A90" s="2">
        <v>502</v>
      </c>
      <c r="B90" s="2" t="s">
        <v>123</v>
      </c>
      <c r="C90" s="2" t="s">
        <v>124</v>
      </c>
      <c r="D90" s="2" t="s">
        <v>28</v>
      </c>
      <c r="F90" s="44">
        <f>12831272.63</f>
        <v>12831272.630000001</v>
      </c>
      <c r="H90" s="19">
        <f t="shared" si="44"/>
        <v>5710774.7625954272</v>
      </c>
      <c r="I90" s="19">
        <f t="shared" si="45"/>
        <v>7045573.535847947</v>
      </c>
      <c r="J90" s="19">
        <f t="shared" si="46"/>
        <v>0</v>
      </c>
      <c r="K90" s="19">
        <f t="shared" si="47"/>
        <v>0</v>
      </c>
      <c r="L90" s="19">
        <f t="shared" si="48"/>
        <v>74924.331556627309</v>
      </c>
      <c r="M90" s="19">
        <f t="shared" si="49"/>
        <v>0</v>
      </c>
      <c r="N90" s="19"/>
      <c r="O90" s="19">
        <f t="shared" si="50"/>
        <v>0</v>
      </c>
      <c r="P90" s="19">
        <f t="shared" si="51"/>
        <v>0</v>
      </c>
      <c r="Q90" s="19">
        <f t="shared" si="52"/>
        <v>0</v>
      </c>
      <c r="R90" s="19"/>
      <c r="S90" s="19">
        <f t="shared" si="53"/>
        <v>0</v>
      </c>
      <c r="T90" s="19">
        <f t="shared" si="54"/>
        <v>0</v>
      </c>
      <c r="U90" s="19">
        <f t="shared" si="55"/>
        <v>0</v>
      </c>
      <c r="V90" s="19">
        <f t="shared" si="56"/>
        <v>0</v>
      </c>
      <c r="W90" s="19">
        <f t="shared" si="57"/>
        <v>0</v>
      </c>
      <c r="X90" s="19">
        <f t="shared" si="58"/>
        <v>0</v>
      </c>
      <c r="Y90" s="19">
        <f t="shared" si="59"/>
        <v>0</v>
      </c>
      <c r="Z90" s="19">
        <f t="shared" si="60"/>
        <v>0</v>
      </c>
      <c r="AA90" s="19">
        <f t="shared" si="61"/>
        <v>0</v>
      </c>
      <c r="AB90" s="19">
        <f t="shared" si="62"/>
        <v>0</v>
      </c>
      <c r="AC90" s="19">
        <f t="shared" si="63"/>
        <v>0</v>
      </c>
      <c r="AD90" s="19">
        <f t="shared" si="64"/>
        <v>0</v>
      </c>
      <c r="AE90" s="19"/>
      <c r="AF90" s="19">
        <f t="shared" si="65"/>
        <v>0</v>
      </c>
      <c r="AG90" s="19"/>
      <c r="AH90" s="19">
        <f t="shared" si="66"/>
        <v>0</v>
      </c>
      <c r="AI90" s="19"/>
      <c r="AJ90" s="19">
        <f t="shared" si="67"/>
        <v>0</v>
      </c>
      <c r="AK90" s="19">
        <f>SUM(H90:AJ90)</f>
        <v>12831272.630000001</v>
      </c>
      <c r="AL90" s="15" t="str">
        <f>IF(ABS(AK90-F90)&lt;1,"ok","err")</f>
        <v>ok</v>
      </c>
    </row>
    <row r="91" spans="1:38" x14ac:dyDescent="0.3">
      <c r="A91" s="2">
        <v>505</v>
      </c>
      <c r="B91" s="2" t="s">
        <v>125</v>
      </c>
      <c r="C91" s="2" t="s">
        <v>126</v>
      </c>
      <c r="D91" s="2" t="s">
        <v>28</v>
      </c>
      <c r="F91" s="44">
        <v>6187613.4699999997</v>
      </c>
      <c r="H91" s="19">
        <f t="shared" si="44"/>
        <v>2753901.9600093644</v>
      </c>
      <c r="I91" s="19">
        <f t="shared" si="45"/>
        <v>3397580.8145764787</v>
      </c>
      <c r="J91" s="19">
        <f t="shared" si="46"/>
        <v>0</v>
      </c>
      <c r="K91" s="19">
        <f t="shared" si="47"/>
        <v>0</v>
      </c>
      <c r="L91" s="19">
        <f t="shared" si="48"/>
        <v>36130.695414156522</v>
      </c>
      <c r="M91" s="19">
        <f t="shared" si="49"/>
        <v>0</v>
      </c>
      <c r="N91" s="19"/>
      <c r="O91" s="19">
        <f t="shared" si="50"/>
        <v>0</v>
      </c>
      <c r="P91" s="19">
        <f t="shared" si="51"/>
        <v>0</v>
      </c>
      <c r="Q91" s="19">
        <f t="shared" si="52"/>
        <v>0</v>
      </c>
      <c r="R91" s="19"/>
      <c r="S91" s="19">
        <f t="shared" si="53"/>
        <v>0</v>
      </c>
      <c r="T91" s="19">
        <f t="shared" si="54"/>
        <v>0</v>
      </c>
      <c r="U91" s="19">
        <f t="shared" si="55"/>
        <v>0</v>
      </c>
      <c r="V91" s="19">
        <f t="shared" si="56"/>
        <v>0</v>
      </c>
      <c r="W91" s="19">
        <f t="shared" si="57"/>
        <v>0</v>
      </c>
      <c r="X91" s="19">
        <f t="shared" si="58"/>
        <v>0</v>
      </c>
      <c r="Y91" s="19">
        <f t="shared" si="59"/>
        <v>0</v>
      </c>
      <c r="Z91" s="19">
        <f t="shared" si="60"/>
        <v>0</v>
      </c>
      <c r="AA91" s="19">
        <f t="shared" si="61"/>
        <v>0</v>
      </c>
      <c r="AB91" s="19">
        <f t="shared" si="62"/>
        <v>0</v>
      </c>
      <c r="AC91" s="19">
        <f t="shared" si="63"/>
        <v>0</v>
      </c>
      <c r="AD91" s="19">
        <f t="shared" si="64"/>
        <v>0</v>
      </c>
      <c r="AE91" s="19"/>
      <c r="AF91" s="19">
        <f t="shared" si="65"/>
        <v>0</v>
      </c>
      <c r="AG91" s="19"/>
      <c r="AH91" s="19">
        <f t="shared" si="66"/>
        <v>0</v>
      </c>
      <c r="AI91" s="19"/>
      <c r="AJ91" s="19">
        <f t="shared" si="67"/>
        <v>0</v>
      </c>
      <c r="AK91" s="19">
        <f>SUM(H91:AJ91)</f>
        <v>6187613.4699999997</v>
      </c>
      <c r="AL91" s="15" t="str">
        <f>IF(ABS(AK91-F91)&lt;1,"ok","err")</f>
        <v>ok</v>
      </c>
    </row>
    <row r="92" spans="1:38" x14ac:dyDescent="0.3">
      <c r="A92" s="2">
        <v>506</v>
      </c>
      <c r="B92" s="2" t="s">
        <v>127</v>
      </c>
      <c r="C92" s="2" t="s">
        <v>128</v>
      </c>
      <c r="D92" s="2" t="s">
        <v>28</v>
      </c>
      <c r="F92" s="44">
        <f>45083016.45</f>
        <v>45083016.450000003</v>
      </c>
      <c r="H92" s="19">
        <f t="shared" si="44"/>
        <v>20064958.479830422</v>
      </c>
      <c r="I92" s="19">
        <f t="shared" si="45"/>
        <v>24754809.345541716</v>
      </c>
      <c r="J92" s="19">
        <f t="shared" si="46"/>
        <v>0</v>
      </c>
      <c r="K92" s="19">
        <f t="shared" si="47"/>
        <v>0</v>
      </c>
      <c r="L92" s="19">
        <f t="shared" si="48"/>
        <v>263248.62462786614</v>
      </c>
      <c r="M92" s="19">
        <f t="shared" si="49"/>
        <v>0</v>
      </c>
      <c r="N92" s="19"/>
      <c r="O92" s="19">
        <f t="shared" si="50"/>
        <v>0</v>
      </c>
      <c r="P92" s="19">
        <f t="shared" si="51"/>
        <v>0</v>
      </c>
      <c r="Q92" s="19">
        <f t="shared" si="52"/>
        <v>0</v>
      </c>
      <c r="R92" s="19"/>
      <c r="S92" s="19">
        <f t="shared" si="53"/>
        <v>0</v>
      </c>
      <c r="T92" s="19">
        <f t="shared" si="54"/>
        <v>0</v>
      </c>
      <c r="U92" s="19">
        <f t="shared" si="55"/>
        <v>0</v>
      </c>
      <c r="V92" s="19">
        <f t="shared" si="56"/>
        <v>0</v>
      </c>
      <c r="W92" s="19">
        <f t="shared" si="57"/>
        <v>0</v>
      </c>
      <c r="X92" s="19">
        <f t="shared" si="58"/>
        <v>0</v>
      </c>
      <c r="Y92" s="19">
        <f t="shared" si="59"/>
        <v>0</v>
      </c>
      <c r="Z92" s="19">
        <f t="shared" si="60"/>
        <v>0</v>
      </c>
      <c r="AA92" s="19">
        <f t="shared" si="61"/>
        <v>0</v>
      </c>
      <c r="AB92" s="19">
        <f t="shared" si="62"/>
        <v>0</v>
      </c>
      <c r="AC92" s="19">
        <f t="shared" si="63"/>
        <v>0</v>
      </c>
      <c r="AD92" s="19">
        <f t="shared" si="64"/>
        <v>0</v>
      </c>
      <c r="AE92" s="19"/>
      <c r="AF92" s="19">
        <f t="shared" si="65"/>
        <v>0</v>
      </c>
      <c r="AG92" s="19"/>
      <c r="AH92" s="19">
        <f t="shared" si="66"/>
        <v>0</v>
      </c>
      <c r="AI92" s="19"/>
      <c r="AJ92" s="19">
        <f t="shared" si="67"/>
        <v>0</v>
      </c>
      <c r="AK92" s="19">
        <f t="shared" si="68"/>
        <v>45083016.450000003</v>
      </c>
      <c r="AL92" s="15" t="str">
        <f t="shared" si="69"/>
        <v>ok</v>
      </c>
    </row>
    <row r="93" spans="1:38" x14ac:dyDescent="0.3">
      <c r="A93" s="2">
        <v>507</v>
      </c>
      <c r="B93" s="2" t="s">
        <v>129</v>
      </c>
      <c r="C93" s="2" t="s">
        <v>130</v>
      </c>
      <c r="D93" s="2" t="s">
        <v>28</v>
      </c>
      <c r="F93" s="44">
        <v>0</v>
      </c>
      <c r="H93" s="19">
        <f t="shared" si="44"/>
        <v>0</v>
      </c>
      <c r="I93" s="19">
        <f t="shared" si="45"/>
        <v>0</v>
      </c>
      <c r="J93" s="19">
        <f t="shared" si="46"/>
        <v>0</v>
      </c>
      <c r="K93" s="19">
        <f t="shared" si="47"/>
        <v>0</v>
      </c>
      <c r="L93" s="19">
        <f t="shared" si="48"/>
        <v>0</v>
      </c>
      <c r="M93" s="19">
        <f t="shared" si="49"/>
        <v>0</v>
      </c>
      <c r="N93" s="19"/>
      <c r="O93" s="19">
        <f t="shared" si="50"/>
        <v>0</v>
      </c>
      <c r="P93" s="19">
        <f t="shared" si="51"/>
        <v>0</v>
      </c>
      <c r="Q93" s="19">
        <f t="shared" si="52"/>
        <v>0</v>
      </c>
      <c r="R93" s="19"/>
      <c r="S93" s="19">
        <f t="shared" si="53"/>
        <v>0</v>
      </c>
      <c r="T93" s="19">
        <f t="shared" si="54"/>
        <v>0</v>
      </c>
      <c r="U93" s="19">
        <f t="shared" si="55"/>
        <v>0</v>
      </c>
      <c r="V93" s="19">
        <f t="shared" si="56"/>
        <v>0</v>
      </c>
      <c r="W93" s="19">
        <f t="shared" si="57"/>
        <v>0</v>
      </c>
      <c r="X93" s="19">
        <f t="shared" si="58"/>
        <v>0</v>
      </c>
      <c r="Y93" s="19">
        <f t="shared" si="59"/>
        <v>0</v>
      </c>
      <c r="Z93" s="19">
        <f t="shared" si="60"/>
        <v>0</v>
      </c>
      <c r="AA93" s="19">
        <f t="shared" si="61"/>
        <v>0</v>
      </c>
      <c r="AB93" s="19">
        <f t="shared" si="62"/>
        <v>0</v>
      </c>
      <c r="AC93" s="19">
        <f t="shared" si="63"/>
        <v>0</v>
      </c>
      <c r="AD93" s="19">
        <f t="shared" si="64"/>
        <v>0</v>
      </c>
      <c r="AE93" s="19"/>
      <c r="AF93" s="19">
        <f t="shared" si="65"/>
        <v>0</v>
      </c>
      <c r="AG93" s="19"/>
      <c r="AH93" s="19">
        <f t="shared" si="66"/>
        <v>0</v>
      </c>
      <c r="AI93" s="19"/>
      <c r="AJ93" s="19">
        <f t="shared" si="67"/>
        <v>0</v>
      </c>
      <c r="AK93" s="19">
        <f>SUM(H93:AJ93)</f>
        <v>0</v>
      </c>
      <c r="AL93" s="15" t="str">
        <f>IF(ABS(AK93-F93)&lt;1,"ok","err")</f>
        <v>ok</v>
      </c>
    </row>
    <row r="94" spans="1:38" x14ac:dyDescent="0.3">
      <c r="A94" s="2">
        <v>509</v>
      </c>
      <c r="B94" s="2" t="s">
        <v>131</v>
      </c>
      <c r="C94" s="2" t="s">
        <v>132</v>
      </c>
      <c r="D94" s="2" t="s">
        <v>122</v>
      </c>
      <c r="F94" s="44">
        <f>16711.64</f>
        <v>16711.64</v>
      </c>
      <c r="H94" s="19">
        <f t="shared" si="44"/>
        <v>0</v>
      </c>
      <c r="I94" s="19">
        <f t="shared" si="45"/>
        <v>0</v>
      </c>
      <c r="J94" s="19">
        <f t="shared" si="46"/>
        <v>7871.6472963982906</v>
      </c>
      <c r="K94" s="19">
        <f t="shared" si="47"/>
        <v>8593.9062591231796</v>
      </c>
      <c r="L94" s="19">
        <f t="shared" si="48"/>
        <v>246.08644447852953</v>
      </c>
      <c r="M94" s="19">
        <f t="shared" si="49"/>
        <v>0</v>
      </c>
      <c r="N94" s="19"/>
      <c r="O94" s="19">
        <f t="shared" si="50"/>
        <v>0</v>
      </c>
      <c r="P94" s="19">
        <f t="shared" si="51"/>
        <v>0</v>
      </c>
      <c r="Q94" s="19">
        <f t="shared" si="52"/>
        <v>0</v>
      </c>
      <c r="R94" s="19"/>
      <c r="S94" s="19">
        <f t="shared" si="53"/>
        <v>0</v>
      </c>
      <c r="T94" s="19">
        <f t="shared" si="54"/>
        <v>0</v>
      </c>
      <c r="U94" s="19">
        <f t="shared" si="55"/>
        <v>0</v>
      </c>
      <c r="V94" s="19">
        <f t="shared" si="56"/>
        <v>0</v>
      </c>
      <c r="W94" s="19">
        <f t="shared" si="57"/>
        <v>0</v>
      </c>
      <c r="X94" s="19">
        <f t="shared" si="58"/>
        <v>0</v>
      </c>
      <c r="Y94" s="19">
        <f t="shared" si="59"/>
        <v>0</v>
      </c>
      <c r="Z94" s="19">
        <f t="shared" si="60"/>
        <v>0</v>
      </c>
      <c r="AA94" s="19">
        <f t="shared" si="61"/>
        <v>0</v>
      </c>
      <c r="AB94" s="19">
        <f t="shared" si="62"/>
        <v>0</v>
      </c>
      <c r="AC94" s="19">
        <f t="shared" si="63"/>
        <v>0</v>
      </c>
      <c r="AD94" s="19">
        <f t="shared" si="64"/>
        <v>0</v>
      </c>
      <c r="AE94" s="19"/>
      <c r="AF94" s="19">
        <f t="shared" si="65"/>
        <v>0</v>
      </c>
      <c r="AG94" s="19"/>
      <c r="AH94" s="19">
        <f t="shared" si="66"/>
        <v>0</v>
      </c>
      <c r="AI94" s="19"/>
      <c r="AJ94" s="19">
        <f t="shared" si="67"/>
        <v>0</v>
      </c>
      <c r="AK94" s="19">
        <f t="shared" si="68"/>
        <v>16711.64</v>
      </c>
      <c r="AL94" s="15" t="str">
        <f t="shared" si="69"/>
        <v>ok</v>
      </c>
    </row>
    <row r="95" spans="1:38" x14ac:dyDescent="0.3">
      <c r="F95" s="44"/>
      <c r="Y95" s="2"/>
      <c r="AL95" s="15"/>
    </row>
    <row r="96" spans="1:38" x14ac:dyDescent="0.3">
      <c r="B96" s="2" t="s">
        <v>133</v>
      </c>
      <c r="F96" s="44">
        <f>SUM(F88:F95)</f>
        <v>399719023</v>
      </c>
      <c r="H96" s="18">
        <f>SUM(H88:H95)</f>
        <v>32261018.698076494</v>
      </c>
      <c r="I96" s="18">
        <f t="shared" ref="I96:AK96" si="70">SUM(I88:I95)</f>
        <v>39801496.124032326</v>
      </c>
      <c r="J96" s="18">
        <f t="shared" si="70"/>
        <v>154135962.91714758</v>
      </c>
      <c r="K96" s="18">
        <f t="shared" si="70"/>
        <v>168278629.18550014</v>
      </c>
      <c r="L96" s="18">
        <f t="shared" si="70"/>
        <v>5241916.0752434656</v>
      </c>
      <c r="M96" s="18">
        <f t="shared" si="70"/>
        <v>0</v>
      </c>
      <c r="O96" s="18">
        <f t="shared" si="70"/>
        <v>0</v>
      </c>
      <c r="P96" s="18">
        <f>SUM(P88:P95)</f>
        <v>0</v>
      </c>
      <c r="Q96" s="18">
        <f>SUM(Q88:Q95)</f>
        <v>0</v>
      </c>
      <c r="S96" s="18">
        <f t="shared" si="70"/>
        <v>0</v>
      </c>
      <c r="T96" s="18">
        <f t="shared" si="70"/>
        <v>0</v>
      </c>
      <c r="U96" s="18">
        <f t="shared" si="70"/>
        <v>0</v>
      </c>
      <c r="V96" s="18">
        <f t="shared" si="70"/>
        <v>0</v>
      </c>
      <c r="W96" s="18">
        <f>SUM(W88:W95)</f>
        <v>0</v>
      </c>
      <c r="X96" s="18">
        <f>SUM(X88:X95)</f>
        <v>0</v>
      </c>
      <c r="Y96" s="18">
        <f>SUM(Y88:Y95)</f>
        <v>0</v>
      </c>
      <c r="Z96" s="18">
        <f t="shared" si="70"/>
        <v>0</v>
      </c>
      <c r="AA96" s="18">
        <f t="shared" si="70"/>
        <v>0</v>
      </c>
      <c r="AB96" s="18">
        <f>SUM(AB88:AB95)</f>
        <v>0</v>
      </c>
      <c r="AC96" s="18">
        <f>SUM(AC88:AC95)</f>
        <v>0</v>
      </c>
      <c r="AD96" s="18">
        <f t="shared" si="70"/>
        <v>0</v>
      </c>
      <c r="AF96" s="18">
        <f t="shared" si="70"/>
        <v>0</v>
      </c>
      <c r="AH96" s="18">
        <f t="shared" si="70"/>
        <v>0</v>
      </c>
      <c r="AJ96" s="18">
        <f t="shared" si="70"/>
        <v>0</v>
      </c>
      <c r="AK96" s="18">
        <f t="shared" si="70"/>
        <v>399719023</v>
      </c>
      <c r="AL96" s="15" t="str">
        <f>IF(ABS(AK96-F96)&lt;1,"ok","err")</f>
        <v>ok</v>
      </c>
    </row>
    <row r="97" spans="1:38" x14ac:dyDescent="0.3">
      <c r="F97" s="44"/>
      <c r="Y97" s="2"/>
      <c r="AL97" s="15"/>
    </row>
    <row r="98" spans="1:38" x14ac:dyDescent="0.3">
      <c r="A98" s="3" t="s">
        <v>134</v>
      </c>
      <c r="F98" s="44"/>
      <c r="Y98" s="2"/>
      <c r="AL98" s="15"/>
    </row>
    <row r="99" spans="1:38" x14ac:dyDescent="0.3">
      <c r="A99" s="2">
        <v>510</v>
      </c>
      <c r="B99" s="2" t="s">
        <v>135</v>
      </c>
      <c r="C99" s="2" t="s">
        <v>136</v>
      </c>
      <c r="D99" s="2" t="s">
        <v>122</v>
      </c>
      <c r="F99" s="44">
        <v>3775553.74</v>
      </c>
      <c r="H99" s="19">
        <f>IF(VLOOKUP($D99,$C$5:$AJ$470,6,)=0,0,((VLOOKUP($D99,$C$5:$AJ$470,6,)/VLOOKUP($D99,$C$5:$AJ$470,4,))*$F99))</f>
        <v>0</v>
      </c>
      <c r="I99" s="19">
        <f>IF(VLOOKUP($D99,$C$5:$AJ$470,7,)=0,0,((VLOOKUP($D99,$C$5:$AJ$470,7,)/VLOOKUP($D99,$C$5:$AJ$470,4,))*$F99))</f>
        <v>0</v>
      </c>
      <c r="J99" s="19">
        <f>IF(VLOOKUP($D99,$C$5:$AJ$470,8,)=0,0,((VLOOKUP($D99,$C$5:$AJ$470,8,)/VLOOKUP($D99,$C$5:$AJ$470,4,))*$F99))</f>
        <v>1778390.8335673492</v>
      </c>
      <c r="K99" s="19">
        <f>IF(VLOOKUP($D99,$C$5:$AJ$470,9,)=0,0,((VLOOKUP($D99,$C$5:$AJ$470,9,)/VLOOKUP($D99,$C$5:$AJ$470,4,))*$F99))</f>
        <v>1941566.1729095369</v>
      </c>
      <c r="L99" s="19">
        <f>IF(VLOOKUP($D99,$C$5:$AJ$470,10,)=0,0,((VLOOKUP($D99,$C$5:$AJ$470,10,)/VLOOKUP($D99,$C$5:$AJ$470,4,))*$F99))</f>
        <v>55596.733523114104</v>
      </c>
      <c r="M99" s="19">
        <f>IF(VLOOKUP($D99,$C$5:$AJ$470,11,)=0,0,((VLOOKUP($D99,$C$5:$AJ$470,11,)/VLOOKUP($D99,$C$5:$AJ$470,4,))*$F99))</f>
        <v>0</v>
      </c>
      <c r="N99" s="19"/>
      <c r="O99" s="19">
        <f>IF(VLOOKUP($D99,$C$5:$AJ$470,13,)=0,0,((VLOOKUP($D99,$C$5:$AJ$470,13,)/VLOOKUP($D99,$C$5:$AJ$470,4,))*$F99))</f>
        <v>0</v>
      </c>
      <c r="P99" s="19">
        <f>IF(VLOOKUP($D99,$C$5:$AJ$470,14,)=0,0,((VLOOKUP($D99,$C$5:$AJ$470,14,)/VLOOKUP($D99,$C$5:$AJ$470,4,))*$F99))</f>
        <v>0</v>
      </c>
      <c r="Q99" s="19">
        <f>IF(VLOOKUP($D99,$C$5:$AJ$470,15,)=0,0,((VLOOKUP($D99,$C$5:$AJ$470,15,)/VLOOKUP($D99,$C$5:$AJ$470,4,))*$F99))</f>
        <v>0</v>
      </c>
      <c r="R99" s="19"/>
      <c r="S99" s="19">
        <f>IF(VLOOKUP($D99,$C$5:$AJ$470,17,)=0,0,((VLOOKUP($D99,$C$5:$AJ$470,17,)/VLOOKUP($D99,$C$5:$AJ$470,4,))*$F99))</f>
        <v>0</v>
      </c>
      <c r="T99" s="19">
        <f>IF(VLOOKUP($D99,$C$5:$AJ$470,18,)=0,0,((VLOOKUP($D99,$C$5:$AJ$470,18,)/VLOOKUP($D99,$C$5:$AJ$470,4,))*$F99))</f>
        <v>0</v>
      </c>
      <c r="U99" s="19">
        <f>IF(VLOOKUP($D99,$C$5:$AJ$470,19,)=0,0,((VLOOKUP($D99,$C$5:$AJ$470,19,)/VLOOKUP($D99,$C$5:$AJ$470,4,))*$F99))</f>
        <v>0</v>
      </c>
      <c r="V99" s="19">
        <f>IF(VLOOKUP($D99,$C$5:$AJ$470,20,)=0,0,((VLOOKUP($D99,$C$5:$AJ$470,20,)/VLOOKUP($D99,$C$5:$AJ$470,4,))*$F99))</f>
        <v>0</v>
      </c>
      <c r="W99" s="19">
        <f>IF(VLOOKUP($D99,$C$5:$AJ$470,21,)=0,0,((VLOOKUP($D99,$C$5:$AJ$470,21,)/VLOOKUP($D99,$C$5:$AJ$470,4,))*$F99))</f>
        <v>0</v>
      </c>
      <c r="X99" s="19">
        <f>IF(VLOOKUP($D99,$C$5:$AJ$470,22,)=0,0,((VLOOKUP($D99,$C$5:$AJ$470,22,)/VLOOKUP($D99,$C$5:$AJ$470,4,))*$F99))</f>
        <v>0</v>
      </c>
      <c r="Y99" s="19">
        <f>IF(VLOOKUP($D99,$C$5:$AJ$470,23,)=0,0,((VLOOKUP($D99,$C$5:$AJ$470,23,)/VLOOKUP($D99,$C$5:$AJ$470,4,))*$F99))</f>
        <v>0</v>
      </c>
      <c r="Z99" s="19">
        <f>IF(VLOOKUP($D99,$C$5:$AJ$470,24,)=0,0,((VLOOKUP($D99,$C$5:$AJ$470,24,)/VLOOKUP($D99,$C$5:$AJ$470,4,))*$F99))</f>
        <v>0</v>
      </c>
      <c r="AA99" s="19">
        <f>IF(VLOOKUP($D99,$C$5:$AJ$470,25,)=0,0,((VLOOKUP($D99,$C$5:$AJ$470,25,)/VLOOKUP($D99,$C$5:$AJ$470,4,))*$F99))</f>
        <v>0</v>
      </c>
      <c r="AB99" s="19">
        <f>IF(VLOOKUP($D99,$C$5:$AJ$470,26,)=0,0,((VLOOKUP($D99,$C$5:$AJ$470,26,)/VLOOKUP($D99,$C$5:$AJ$470,4,))*$F99))</f>
        <v>0</v>
      </c>
      <c r="AC99" s="19">
        <f>IF(VLOOKUP($D99,$C$5:$AJ$470,27,)=0,0,((VLOOKUP($D99,$C$5:$AJ$470,27,)/VLOOKUP($D99,$C$5:$AJ$470,4,))*$F99))</f>
        <v>0</v>
      </c>
      <c r="AD99" s="19">
        <f>IF(VLOOKUP($D99,$C$5:$AJ$470,28,)=0,0,((VLOOKUP($D99,$C$5:$AJ$470,28,)/VLOOKUP($D99,$C$5:$AJ$470,4,))*$F99))</f>
        <v>0</v>
      </c>
      <c r="AE99" s="19"/>
      <c r="AF99" s="19">
        <f>IF(VLOOKUP($D99,$C$5:$AJ$470,30,)=0,0,((VLOOKUP($D99,$C$5:$AJ$470,30,)/VLOOKUP($D99,$C$5:$AJ$470,4,))*$F99))</f>
        <v>0</v>
      </c>
      <c r="AG99" s="19"/>
      <c r="AH99" s="19">
        <f>IF(VLOOKUP($D99,$C$5:$AJ$470,32,)=0,0,((VLOOKUP($D99,$C$5:$AJ$470,32,)/VLOOKUP($D99,$C$5:$AJ$470,4,))*$F99))</f>
        <v>0</v>
      </c>
      <c r="AI99" s="19"/>
      <c r="AJ99" s="19">
        <f>IF(VLOOKUP($D99,$C$5:$AJ$470,34,)=0,0,((VLOOKUP($D99,$C$5:$AJ$470,34,)/VLOOKUP($D99,$C$5:$AJ$470,4,))*$F99))</f>
        <v>0</v>
      </c>
      <c r="AK99" s="19">
        <f>SUM(H99:AJ99)</f>
        <v>3775553.74</v>
      </c>
      <c r="AL99" s="15" t="str">
        <f>IF(ABS(AK99-F99)&lt;1,"ok","err")</f>
        <v>ok</v>
      </c>
    </row>
    <row r="100" spans="1:38" x14ac:dyDescent="0.3">
      <c r="A100" s="2">
        <v>511</v>
      </c>
      <c r="B100" s="2" t="s">
        <v>137</v>
      </c>
      <c r="C100" s="2" t="s">
        <v>138</v>
      </c>
      <c r="D100" s="2" t="s">
        <v>28</v>
      </c>
      <c r="F100" s="44">
        <v>7381253.2699999996</v>
      </c>
      <c r="H100" s="19">
        <f>IF(VLOOKUP($D100,$C$5:$AJ$470,6,)=0,0,((VLOOKUP($D100,$C$5:$AJ$470,6,)/VLOOKUP($D100,$C$5:$AJ$470,4,))*$F100))</f>
        <v>3285151.5283126649</v>
      </c>
      <c r="I100" s="19">
        <f>IF(VLOOKUP($D100,$C$5:$AJ$470,7,)=0,0,((VLOOKUP($D100,$C$5:$AJ$470,7,)/VLOOKUP($D100,$C$5:$AJ$470,4,))*$F100))</f>
        <v>4053001.1480632932</v>
      </c>
      <c r="J100" s="19">
        <f>IF(VLOOKUP($D100,$C$5:$AJ$470,8,)=0,0,((VLOOKUP($D100,$C$5:$AJ$470,8,)/VLOOKUP($D100,$C$5:$AJ$470,4,))*$F100))</f>
        <v>0</v>
      </c>
      <c r="K100" s="19">
        <f>IF(VLOOKUP($D100,$C$5:$AJ$470,9,)=0,0,((VLOOKUP($D100,$C$5:$AJ$470,9,)/VLOOKUP($D100,$C$5:$AJ$470,4,))*$F100))</f>
        <v>0</v>
      </c>
      <c r="L100" s="19">
        <f>IF(VLOOKUP($D100,$C$5:$AJ$470,10,)=0,0,((VLOOKUP($D100,$C$5:$AJ$470,10,)/VLOOKUP($D100,$C$5:$AJ$470,4,))*$F100))</f>
        <v>43100.59362404175</v>
      </c>
      <c r="M100" s="19">
        <f>IF(VLOOKUP($D100,$C$5:$AJ$470,11,)=0,0,((VLOOKUP($D100,$C$5:$AJ$470,11,)/VLOOKUP($D100,$C$5:$AJ$470,4,))*$F100))</f>
        <v>0</v>
      </c>
      <c r="N100" s="19"/>
      <c r="O100" s="19">
        <f>IF(VLOOKUP($D100,$C$5:$AJ$470,13,)=0,0,((VLOOKUP($D100,$C$5:$AJ$470,13,)/VLOOKUP($D100,$C$5:$AJ$470,4,))*$F100))</f>
        <v>0</v>
      </c>
      <c r="P100" s="19">
        <f>IF(VLOOKUP($D100,$C$5:$AJ$470,14,)=0,0,((VLOOKUP($D100,$C$5:$AJ$470,14,)/VLOOKUP($D100,$C$5:$AJ$470,4,))*$F100))</f>
        <v>0</v>
      </c>
      <c r="Q100" s="19">
        <f>IF(VLOOKUP($D100,$C$5:$AJ$470,15,)=0,0,((VLOOKUP($D100,$C$5:$AJ$470,15,)/VLOOKUP($D100,$C$5:$AJ$470,4,))*$F100))</f>
        <v>0</v>
      </c>
      <c r="R100" s="19"/>
      <c r="S100" s="19">
        <f>IF(VLOOKUP($D100,$C$5:$AJ$470,17,)=0,0,((VLOOKUP($D100,$C$5:$AJ$470,17,)/VLOOKUP($D100,$C$5:$AJ$470,4,))*$F100))</f>
        <v>0</v>
      </c>
      <c r="T100" s="19">
        <f>IF(VLOOKUP($D100,$C$5:$AJ$470,18,)=0,0,((VLOOKUP($D100,$C$5:$AJ$470,18,)/VLOOKUP($D100,$C$5:$AJ$470,4,))*$F100))</f>
        <v>0</v>
      </c>
      <c r="U100" s="19">
        <f>IF(VLOOKUP($D100,$C$5:$AJ$470,19,)=0,0,((VLOOKUP($D100,$C$5:$AJ$470,19,)/VLOOKUP($D100,$C$5:$AJ$470,4,))*$F100))</f>
        <v>0</v>
      </c>
      <c r="V100" s="19">
        <f>IF(VLOOKUP($D100,$C$5:$AJ$470,20,)=0,0,((VLOOKUP($D100,$C$5:$AJ$470,20,)/VLOOKUP($D100,$C$5:$AJ$470,4,))*$F100))</f>
        <v>0</v>
      </c>
      <c r="W100" s="19">
        <f>IF(VLOOKUP($D100,$C$5:$AJ$470,21,)=0,0,((VLOOKUP($D100,$C$5:$AJ$470,21,)/VLOOKUP($D100,$C$5:$AJ$470,4,))*$F100))</f>
        <v>0</v>
      </c>
      <c r="X100" s="19">
        <f>IF(VLOOKUP($D100,$C$5:$AJ$470,22,)=0,0,((VLOOKUP($D100,$C$5:$AJ$470,22,)/VLOOKUP($D100,$C$5:$AJ$470,4,))*$F100))</f>
        <v>0</v>
      </c>
      <c r="Y100" s="19">
        <f>IF(VLOOKUP($D100,$C$5:$AJ$470,23,)=0,0,((VLOOKUP($D100,$C$5:$AJ$470,23,)/VLOOKUP($D100,$C$5:$AJ$470,4,))*$F100))</f>
        <v>0</v>
      </c>
      <c r="Z100" s="19">
        <f>IF(VLOOKUP($D100,$C$5:$AJ$470,24,)=0,0,((VLOOKUP($D100,$C$5:$AJ$470,24,)/VLOOKUP($D100,$C$5:$AJ$470,4,))*$F100))</f>
        <v>0</v>
      </c>
      <c r="AA100" s="19">
        <f>IF(VLOOKUP($D100,$C$5:$AJ$470,25,)=0,0,((VLOOKUP($D100,$C$5:$AJ$470,25,)/VLOOKUP($D100,$C$5:$AJ$470,4,))*$F100))</f>
        <v>0</v>
      </c>
      <c r="AB100" s="19">
        <f>IF(VLOOKUP($D100,$C$5:$AJ$470,26,)=0,0,((VLOOKUP($D100,$C$5:$AJ$470,26,)/VLOOKUP($D100,$C$5:$AJ$470,4,))*$F100))</f>
        <v>0</v>
      </c>
      <c r="AC100" s="19">
        <f>IF(VLOOKUP($D100,$C$5:$AJ$470,27,)=0,0,((VLOOKUP($D100,$C$5:$AJ$470,27,)/VLOOKUP($D100,$C$5:$AJ$470,4,))*$F100))</f>
        <v>0</v>
      </c>
      <c r="AD100" s="19">
        <f>IF(VLOOKUP($D100,$C$5:$AJ$470,28,)=0,0,((VLOOKUP($D100,$C$5:$AJ$470,28,)/VLOOKUP($D100,$C$5:$AJ$470,4,))*$F100))</f>
        <v>0</v>
      </c>
      <c r="AE100" s="19"/>
      <c r="AF100" s="19">
        <f>IF(VLOOKUP($D100,$C$5:$AJ$470,30,)=0,0,((VLOOKUP($D100,$C$5:$AJ$470,30,)/VLOOKUP($D100,$C$5:$AJ$470,4,))*$F100))</f>
        <v>0</v>
      </c>
      <c r="AG100" s="19"/>
      <c r="AH100" s="19">
        <f>IF(VLOOKUP($D100,$C$5:$AJ$470,32,)=0,0,((VLOOKUP($D100,$C$5:$AJ$470,32,)/VLOOKUP($D100,$C$5:$AJ$470,4,))*$F100))</f>
        <v>0</v>
      </c>
      <c r="AI100" s="19"/>
      <c r="AJ100" s="19">
        <f>IF(VLOOKUP($D100,$C$5:$AJ$470,34,)=0,0,((VLOOKUP($D100,$C$5:$AJ$470,34,)/VLOOKUP($D100,$C$5:$AJ$470,4,))*$F100))</f>
        <v>0</v>
      </c>
      <c r="AK100" s="19">
        <f>SUM(H100:AJ100)</f>
        <v>7381253.2699999996</v>
      </c>
      <c r="AL100" s="15" t="str">
        <f>IF(ABS(AK100-F100)&lt;1,"ok","err")</f>
        <v>ok</v>
      </c>
    </row>
    <row r="101" spans="1:38" x14ac:dyDescent="0.3">
      <c r="A101" s="2">
        <v>512</v>
      </c>
      <c r="B101" s="2" t="s">
        <v>139</v>
      </c>
      <c r="C101" s="2" t="s">
        <v>140</v>
      </c>
      <c r="D101" s="2" t="s">
        <v>122</v>
      </c>
      <c r="F101" s="44">
        <f>61760195.67</f>
        <v>61760195.670000002</v>
      </c>
      <c r="H101" s="19">
        <f>IF(VLOOKUP($D101,$C$5:$AJ$470,6,)=0,0,((VLOOKUP($D101,$C$5:$AJ$470,6,)/VLOOKUP($D101,$C$5:$AJ$470,4,))*$F101))</f>
        <v>0</v>
      </c>
      <c r="I101" s="19">
        <f>IF(VLOOKUP($D101,$C$5:$AJ$470,7,)=0,0,((VLOOKUP($D101,$C$5:$AJ$470,7,)/VLOOKUP($D101,$C$5:$AJ$470,4,))*$F101))</f>
        <v>0</v>
      </c>
      <c r="J101" s="19">
        <f>IF(VLOOKUP($D101,$C$5:$AJ$470,8,)=0,0,((VLOOKUP($D101,$C$5:$AJ$470,8,)/VLOOKUP($D101,$C$5:$AJ$470,4,))*$F101))</f>
        <v>29090770.10220331</v>
      </c>
      <c r="K101" s="19">
        <f>IF(VLOOKUP($D101,$C$5:$AJ$470,9,)=0,0,((VLOOKUP($D101,$C$5:$AJ$470,9,)/VLOOKUP($D101,$C$5:$AJ$470,4,))*$F101))</f>
        <v>31759978.801187996</v>
      </c>
      <c r="L101" s="19">
        <f>IF(VLOOKUP($D101,$C$5:$AJ$470,10,)=0,0,((VLOOKUP($D101,$C$5:$AJ$470,10,)/VLOOKUP($D101,$C$5:$AJ$470,4,))*$F101))</f>
        <v>909446.7666086976</v>
      </c>
      <c r="M101" s="19">
        <f>IF(VLOOKUP($D101,$C$5:$AJ$470,11,)=0,0,((VLOOKUP($D101,$C$5:$AJ$470,11,)/VLOOKUP($D101,$C$5:$AJ$470,4,))*$F101))</f>
        <v>0</v>
      </c>
      <c r="N101" s="19"/>
      <c r="O101" s="19">
        <f>IF(VLOOKUP($D101,$C$5:$AJ$470,13,)=0,0,((VLOOKUP($D101,$C$5:$AJ$470,13,)/VLOOKUP($D101,$C$5:$AJ$470,4,))*$F101))</f>
        <v>0</v>
      </c>
      <c r="P101" s="19">
        <f>IF(VLOOKUP($D101,$C$5:$AJ$470,14,)=0,0,((VLOOKUP($D101,$C$5:$AJ$470,14,)/VLOOKUP($D101,$C$5:$AJ$470,4,))*$F101))</f>
        <v>0</v>
      </c>
      <c r="Q101" s="19">
        <f>IF(VLOOKUP($D101,$C$5:$AJ$470,15,)=0,0,((VLOOKUP($D101,$C$5:$AJ$470,15,)/VLOOKUP($D101,$C$5:$AJ$470,4,))*$F101))</f>
        <v>0</v>
      </c>
      <c r="R101" s="19"/>
      <c r="S101" s="19">
        <f>IF(VLOOKUP($D101,$C$5:$AJ$470,17,)=0,0,((VLOOKUP($D101,$C$5:$AJ$470,17,)/VLOOKUP($D101,$C$5:$AJ$470,4,))*$F101))</f>
        <v>0</v>
      </c>
      <c r="T101" s="19">
        <f>IF(VLOOKUP($D101,$C$5:$AJ$470,18,)=0,0,((VLOOKUP($D101,$C$5:$AJ$470,18,)/VLOOKUP($D101,$C$5:$AJ$470,4,))*$F101))</f>
        <v>0</v>
      </c>
      <c r="U101" s="19">
        <f>IF(VLOOKUP($D101,$C$5:$AJ$470,19,)=0,0,((VLOOKUP($D101,$C$5:$AJ$470,19,)/VLOOKUP($D101,$C$5:$AJ$470,4,))*$F101))</f>
        <v>0</v>
      </c>
      <c r="V101" s="19">
        <f>IF(VLOOKUP($D101,$C$5:$AJ$470,20,)=0,0,((VLOOKUP($D101,$C$5:$AJ$470,20,)/VLOOKUP($D101,$C$5:$AJ$470,4,))*$F101))</f>
        <v>0</v>
      </c>
      <c r="W101" s="19">
        <f>IF(VLOOKUP($D101,$C$5:$AJ$470,21,)=0,0,((VLOOKUP($D101,$C$5:$AJ$470,21,)/VLOOKUP($D101,$C$5:$AJ$470,4,))*$F101))</f>
        <v>0</v>
      </c>
      <c r="X101" s="19">
        <f>IF(VLOOKUP($D101,$C$5:$AJ$470,22,)=0,0,((VLOOKUP($D101,$C$5:$AJ$470,22,)/VLOOKUP($D101,$C$5:$AJ$470,4,))*$F101))</f>
        <v>0</v>
      </c>
      <c r="Y101" s="19">
        <f>IF(VLOOKUP($D101,$C$5:$AJ$470,23,)=0,0,((VLOOKUP($D101,$C$5:$AJ$470,23,)/VLOOKUP($D101,$C$5:$AJ$470,4,))*$F101))</f>
        <v>0</v>
      </c>
      <c r="Z101" s="19">
        <f>IF(VLOOKUP($D101,$C$5:$AJ$470,24,)=0,0,((VLOOKUP($D101,$C$5:$AJ$470,24,)/VLOOKUP($D101,$C$5:$AJ$470,4,))*$F101))</f>
        <v>0</v>
      </c>
      <c r="AA101" s="19">
        <f>IF(VLOOKUP($D101,$C$5:$AJ$470,25,)=0,0,((VLOOKUP($D101,$C$5:$AJ$470,25,)/VLOOKUP($D101,$C$5:$AJ$470,4,))*$F101))</f>
        <v>0</v>
      </c>
      <c r="AB101" s="19">
        <f>IF(VLOOKUP($D101,$C$5:$AJ$470,26,)=0,0,((VLOOKUP($D101,$C$5:$AJ$470,26,)/VLOOKUP($D101,$C$5:$AJ$470,4,))*$F101))</f>
        <v>0</v>
      </c>
      <c r="AC101" s="19">
        <f>IF(VLOOKUP($D101,$C$5:$AJ$470,27,)=0,0,((VLOOKUP($D101,$C$5:$AJ$470,27,)/VLOOKUP($D101,$C$5:$AJ$470,4,))*$F101))</f>
        <v>0</v>
      </c>
      <c r="AD101" s="19">
        <f>IF(VLOOKUP($D101,$C$5:$AJ$470,28,)=0,0,((VLOOKUP($D101,$C$5:$AJ$470,28,)/VLOOKUP($D101,$C$5:$AJ$470,4,))*$F101))</f>
        <v>0</v>
      </c>
      <c r="AE101" s="19"/>
      <c r="AF101" s="19">
        <f>IF(VLOOKUP($D101,$C$5:$AJ$470,30,)=0,0,((VLOOKUP($D101,$C$5:$AJ$470,30,)/VLOOKUP($D101,$C$5:$AJ$470,4,))*$F101))</f>
        <v>0</v>
      </c>
      <c r="AG101" s="19"/>
      <c r="AH101" s="19">
        <f>IF(VLOOKUP($D101,$C$5:$AJ$470,32,)=0,0,((VLOOKUP($D101,$C$5:$AJ$470,32,)/VLOOKUP($D101,$C$5:$AJ$470,4,))*$F101))</f>
        <v>0</v>
      </c>
      <c r="AI101" s="19"/>
      <c r="AJ101" s="19">
        <f>IF(VLOOKUP($D101,$C$5:$AJ$470,34,)=0,0,((VLOOKUP($D101,$C$5:$AJ$470,34,)/VLOOKUP($D101,$C$5:$AJ$470,4,))*$F101))</f>
        <v>0</v>
      </c>
      <c r="AK101" s="19">
        <f>SUM(H101:AJ101)</f>
        <v>61760195.670000002</v>
      </c>
      <c r="AL101" s="15" t="str">
        <f>IF(ABS(AK101-F101)&lt;1,"ok","err")</f>
        <v>ok</v>
      </c>
    </row>
    <row r="102" spans="1:38" x14ac:dyDescent="0.3">
      <c r="A102" s="2">
        <v>513</v>
      </c>
      <c r="B102" s="2" t="s">
        <v>141</v>
      </c>
      <c r="C102" s="2" t="s">
        <v>142</v>
      </c>
      <c r="D102" s="2" t="s">
        <v>122</v>
      </c>
      <c r="F102" s="44">
        <v>23685335.550000001</v>
      </c>
      <c r="H102" s="19">
        <f>IF(VLOOKUP($D102,$C$5:$AJ$470,6,)=0,0,((VLOOKUP($D102,$C$5:$AJ$470,6,)/VLOOKUP($D102,$C$5:$AJ$470,4,))*$F102))</f>
        <v>0</v>
      </c>
      <c r="I102" s="19">
        <f>IF(VLOOKUP($D102,$C$5:$AJ$470,7,)=0,0,((VLOOKUP($D102,$C$5:$AJ$470,7,)/VLOOKUP($D102,$C$5:$AJ$470,4,))*$F102))</f>
        <v>0</v>
      </c>
      <c r="J102" s="19">
        <f>IF(VLOOKUP($D102,$C$5:$AJ$470,8,)=0,0,((VLOOKUP($D102,$C$5:$AJ$470,8,)/VLOOKUP($D102,$C$5:$AJ$470,4,))*$F102))</f>
        <v>11156451.883025475</v>
      </c>
      <c r="K102" s="19">
        <f>IF(VLOOKUP($D102,$C$5:$AJ$470,9,)=0,0,((VLOOKUP($D102,$C$5:$AJ$470,9,)/VLOOKUP($D102,$C$5:$AJ$470,4,))*$F102))</f>
        <v>12180106.406826485</v>
      </c>
      <c r="L102" s="19">
        <f>IF(VLOOKUP($D102,$C$5:$AJ$470,10,)=0,0,((VLOOKUP($D102,$C$5:$AJ$470,10,)/VLOOKUP($D102,$C$5:$AJ$470,4,))*$F102))</f>
        <v>348777.26014804153</v>
      </c>
      <c r="M102" s="19">
        <f>IF(VLOOKUP($D102,$C$5:$AJ$470,11,)=0,0,((VLOOKUP($D102,$C$5:$AJ$470,11,)/VLOOKUP($D102,$C$5:$AJ$470,4,))*$F102))</f>
        <v>0</v>
      </c>
      <c r="N102" s="19"/>
      <c r="O102" s="19">
        <f>IF(VLOOKUP($D102,$C$5:$AJ$470,13,)=0,0,((VLOOKUP($D102,$C$5:$AJ$470,13,)/VLOOKUP($D102,$C$5:$AJ$470,4,))*$F102))</f>
        <v>0</v>
      </c>
      <c r="P102" s="19">
        <f>IF(VLOOKUP($D102,$C$5:$AJ$470,14,)=0,0,((VLOOKUP($D102,$C$5:$AJ$470,14,)/VLOOKUP($D102,$C$5:$AJ$470,4,))*$F102))</f>
        <v>0</v>
      </c>
      <c r="Q102" s="19">
        <f>IF(VLOOKUP($D102,$C$5:$AJ$470,15,)=0,0,((VLOOKUP($D102,$C$5:$AJ$470,15,)/VLOOKUP($D102,$C$5:$AJ$470,4,))*$F102))</f>
        <v>0</v>
      </c>
      <c r="R102" s="19"/>
      <c r="S102" s="19">
        <f>IF(VLOOKUP($D102,$C$5:$AJ$470,17,)=0,0,((VLOOKUP($D102,$C$5:$AJ$470,17,)/VLOOKUP($D102,$C$5:$AJ$470,4,))*$F102))</f>
        <v>0</v>
      </c>
      <c r="T102" s="19">
        <f>IF(VLOOKUP($D102,$C$5:$AJ$470,18,)=0,0,((VLOOKUP($D102,$C$5:$AJ$470,18,)/VLOOKUP($D102,$C$5:$AJ$470,4,))*$F102))</f>
        <v>0</v>
      </c>
      <c r="U102" s="19">
        <f>IF(VLOOKUP($D102,$C$5:$AJ$470,19,)=0,0,((VLOOKUP($D102,$C$5:$AJ$470,19,)/VLOOKUP($D102,$C$5:$AJ$470,4,))*$F102))</f>
        <v>0</v>
      </c>
      <c r="V102" s="19">
        <f>IF(VLOOKUP($D102,$C$5:$AJ$470,20,)=0,0,((VLOOKUP($D102,$C$5:$AJ$470,20,)/VLOOKUP($D102,$C$5:$AJ$470,4,))*$F102))</f>
        <v>0</v>
      </c>
      <c r="W102" s="19">
        <f>IF(VLOOKUP($D102,$C$5:$AJ$470,21,)=0,0,((VLOOKUP($D102,$C$5:$AJ$470,21,)/VLOOKUP($D102,$C$5:$AJ$470,4,))*$F102))</f>
        <v>0</v>
      </c>
      <c r="X102" s="19">
        <f>IF(VLOOKUP($D102,$C$5:$AJ$470,22,)=0,0,((VLOOKUP($D102,$C$5:$AJ$470,22,)/VLOOKUP($D102,$C$5:$AJ$470,4,))*$F102))</f>
        <v>0</v>
      </c>
      <c r="Y102" s="19">
        <f>IF(VLOOKUP($D102,$C$5:$AJ$470,23,)=0,0,((VLOOKUP($D102,$C$5:$AJ$470,23,)/VLOOKUP($D102,$C$5:$AJ$470,4,))*$F102))</f>
        <v>0</v>
      </c>
      <c r="Z102" s="19">
        <f>IF(VLOOKUP($D102,$C$5:$AJ$470,24,)=0,0,((VLOOKUP($D102,$C$5:$AJ$470,24,)/VLOOKUP($D102,$C$5:$AJ$470,4,))*$F102))</f>
        <v>0</v>
      </c>
      <c r="AA102" s="19">
        <f>IF(VLOOKUP($D102,$C$5:$AJ$470,25,)=0,0,((VLOOKUP($D102,$C$5:$AJ$470,25,)/VLOOKUP($D102,$C$5:$AJ$470,4,))*$F102))</f>
        <v>0</v>
      </c>
      <c r="AB102" s="19">
        <f>IF(VLOOKUP($D102,$C$5:$AJ$470,26,)=0,0,((VLOOKUP($D102,$C$5:$AJ$470,26,)/VLOOKUP($D102,$C$5:$AJ$470,4,))*$F102))</f>
        <v>0</v>
      </c>
      <c r="AC102" s="19">
        <f>IF(VLOOKUP($D102,$C$5:$AJ$470,27,)=0,0,((VLOOKUP($D102,$C$5:$AJ$470,27,)/VLOOKUP($D102,$C$5:$AJ$470,4,))*$F102))</f>
        <v>0</v>
      </c>
      <c r="AD102" s="19">
        <f>IF(VLOOKUP($D102,$C$5:$AJ$470,28,)=0,0,((VLOOKUP($D102,$C$5:$AJ$470,28,)/VLOOKUP($D102,$C$5:$AJ$470,4,))*$F102))</f>
        <v>0</v>
      </c>
      <c r="AE102" s="19"/>
      <c r="AF102" s="19">
        <f>IF(VLOOKUP($D102,$C$5:$AJ$470,30,)=0,0,((VLOOKUP($D102,$C$5:$AJ$470,30,)/VLOOKUP($D102,$C$5:$AJ$470,4,))*$F102))</f>
        <v>0</v>
      </c>
      <c r="AG102" s="19"/>
      <c r="AH102" s="19">
        <f>IF(VLOOKUP($D102,$C$5:$AJ$470,32,)=0,0,((VLOOKUP($D102,$C$5:$AJ$470,32,)/VLOOKUP($D102,$C$5:$AJ$470,4,))*$F102))</f>
        <v>0</v>
      </c>
      <c r="AI102" s="19"/>
      <c r="AJ102" s="19">
        <f>IF(VLOOKUP($D102,$C$5:$AJ$470,34,)=0,0,((VLOOKUP($D102,$C$5:$AJ$470,34,)/VLOOKUP($D102,$C$5:$AJ$470,4,))*$F102))</f>
        <v>0</v>
      </c>
      <c r="AK102" s="19">
        <f>SUM(H102:AJ102)</f>
        <v>23685335.550000001</v>
      </c>
      <c r="AL102" s="15" t="str">
        <f>IF(ABS(AK102-F102)&lt;1,"ok","err")</f>
        <v>ok</v>
      </c>
    </row>
    <row r="103" spans="1:38" x14ac:dyDescent="0.3">
      <c r="A103" s="2">
        <v>514</v>
      </c>
      <c r="B103" s="2" t="s">
        <v>143</v>
      </c>
      <c r="C103" s="2" t="s">
        <v>144</v>
      </c>
      <c r="D103" s="2" t="s">
        <v>28</v>
      </c>
      <c r="F103" s="44">
        <v>0</v>
      </c>
      <c r="H103" s="19">
        <f>IF(VLOOKUP($D103,$C$5:$AJ$470,6,)=0,0,((VLOOKUP($D103,$C$5:$AJ$470,6,)/VLOOKUP($D103,$C$5:$AJ$470,4,))*$F103))</f>
        <v>0</v>
      </c>
      <c r="I103" s="19">
        <f>IF(VLOOKUP($D103,$C$5:$AJ$470,7,)=0,0,((VLOOKUP($D103,$C$5:$AJ$470,7,)/VLOOKUP($D103,$C$5:$AJ$470,4,))*$F103))</f>
        <v>0</v>
      </c>
      <c r="J103" s="19">
        <f>IF(VLOOKUP($D103,$C$5:$AJ$470,8,)=0,0,((VLOOKUP($D103,$C$5:$AJ$470,8,)/VLOOKUP($D103,$C$5:$AJ$470,4,))*$F103))</f>
        <v>0</v>
      </c>
      <c r="K103" s="19">
        <f>IF(VLOOKUP($D103,$C$5:$AJ$470,9,)=0,0,((VLOOKUP($D103,$C$5:$AJ$470,9,)/VLOOKUP($D103,$C$5:$AJ$470,4,))*$F103))</f>
        <v>0</v>
      </c>
      <c r="L103" s="19">
        <f>IF(VLOOKUP($D103,$C$5:$AJ$470,10,)=0,0,((VLOOKUP($D103,$C$5:$AJ$470,10,)/VLOOKUP($D103,$C$5:$AJ$470,4,))*$F103))</f>
        <v>0</v>
      </c>
      <c r="M103" s="19">
        <f>IF(VLOOKUP($D103,$C$5:$AJ$470,11,)=0,0,((VLOOKUP($D103,$C$5:$AJ$470,11,)/VLOOKUP($D103,$C$5:$AJ$470,4,))*$F103))</f>
        <v>0</v>
      </c>
      <c r="N103" s="19"/>
      <c r="O103" s="19">
        <f>IF(VLOOKUP($D103,$C$5:$AJ$470,13,)=0,0,((VLOOKUP($D103,$C$5:$AJ$470,13,)/VLOOKUP($D103,$C$5:$AJ$470,4,))*$F103))</f>
        <v>0</v>
      </c>
      <c r="P103" s="19">
        <f>IF(VLOOKUP($D103,$C$5:$AJ$470,14,)=0,0,((VLOOKUP($D103,$C$5:$AJ$470,14,)/VLOOKUP($D103,$C$5:$AJ$470,4,))*$F103))</f>
        <v>0</v>
      </c>
      <c r="Q103" s="19">
        <f>IF(VLOOKUP($D103,$C$5:$AJ$470,15,)=0,0,((VLOOKUP($D103,$C$5:$AJ$470,15,)/VLOOKUP($D103,$C$5:$AJ$470,4,))*$F103))</f>
        <v>0</v>
      </c>
      <c r="R103" s="19"/>
      <c r="S103" s="19">
        <f>IF(VLOOKUP($D103,$C$5:$AJ$470,17,)=0,0,((VLOOKUP($D103,$C$5:$AJ$470,17,)/VLOOKUP($D103,$C$5:$AJ$470,4,))*$F103))</f>
        <v>0</v>
      </c>
      <c r="T103" s="19">
        <f>IF(VLOOKUP($D103,$C$5:$AJ$470,18,)=0,0,((VLOOKUP($D103,$C$5:$AJ$470,18,)/VLOOKUP($D103,$C$5:$AJ$470,4,))*$F103))</f>
        <v>0</v>
      </c>
      <c r="U103" s="19">
        <f>IF(VLOOKUP($D103,$C$5:$AJ$470,19,)=0,0,((VLOOKUP($D103,$C$5:$AJ$470,19,)/VLOOKUP($D103,$C$5:$AJ$470,4,))*$F103))</f>
        <v>0</v>
      </c>
      <c r="V103" s="19">
        <f>IF(VLOOKUP($D103,$C$5:$AJ$470,20,)=0,0,((VLOOKUP($D103,$C$5:$AJ$470,20,)/VLOOKUP($D103,$C$5:$AJ$470,4,))*$F103))</f>
        <v>0</v>
      </c>
      <c r="W103" s="19">
        <f>IF(VLOOKUP($D103,$C$5:$AJ$470,21,)=0,0,((VLOOKUP($D103,$C$5:$AJ$470,21,)/VLOOKUP($D103,$C$5:$AJ$470,4,))*$F103))</f>
        <v>0</v>
      </c>
      <c r="X103" s="19">
        <f>IF(VLOOKUP($D103,$C$5:$AJ$470,22,)=0,0,((VLOOKUP($D103,$C$5:$AJ$470,22,)/VLOOKUP($D103,$C$5:$AJ$470,4,))*$F103))</f>
        <v>0</v>
      </c>
      <c r="Y103" s="19">
        <f>IF(VLOOKUP($D103,$C$5:$AJ$470,23,)=0,0,((VLOOKUP($D103,$C$5:$AJ$470,23,)/VLOOKUP($D103,$C$5:$AJ$470,4,))*$F103))</f>
        <v>0</v>
      </c>
      <c r="Z103" s="19">
        <f>IF(VLOOKUP($D103,$C$5:$AJ$470,24,)=0,0,((VLOOKUP($D103,$C$5:$AJ$470,24,)/VLOOKUP($D103,$C$5:$AJ$470,4,))*$F103))</f>
        <v>0</v>
      </c>
      <c r="AA103" s="19">
        <f>IF(VLOOKUP($D103,$C$5:$AJ$470,25,)=0,0,((VLOOKUP($D103,$C$5:$AJ$470,25,)/VLOOKUP($D103,$C$5:$AJ$470,4,))*$F103))</f>
        <v>0</v>
      </c>
      <c r="AB103" s="19">
        <f>IF(VLOOKUP($D103,$C$5:$AJ$470,26,)=0,0,((VLOOKUP($D103,$C$5:$AJ$470,26,)/VLOOKUP($D103,$C$5:$AJ$470,4,))*$F103))</f>
        <v>0</v>
      </c>
      <c r="AC103" s="19">
        <f>IF(VLOOKUP($D103,$C$5:$AJ$470,27,)=0,0,((VLOOKUP($D103,$C$5:$AJ$470,27,)/VLOOKUP($D103,$C$5:$AJ$470,4,))*$F103))</f>
        <v>0</v>
      </c>
      <c r="AD103" s="19">
        <f>IF(VLOOKUP($D103,$C$5:$AJ$470,28,)=0,0,((VLOOKUP($D103,$C$5:$AJ$470,28,)/VLOOKUP($D103,$C$5:$AJ$470,4,))*$F103))</f>
        <v>0</v>
      </c>
      <c r="AE103" s="19"/>
      <c r="AF103" s="19">
        <f>IF(VLOOKUP($D103,$C$5:$AJ$470,30,)=0,0,((VLOOKUP($D103,$C$5:$AJ$470,30,)/VLOOKUP($D103,$C$5:$AJ$470,4,))*$F103))</f>
        <v>0</v>
      </c>
      <c r="AG103" s="19"/>
      <c r="AH103" s="19">
        <f>IF(VLOOKUP($D103,$C$5:$AJ$470,32,)=0,0,((VLOOKUP($D103,$C$5:$AJ$470,32,)/VLOOKUP($D103,$C$5:$AJ$470,4,))*$F103))</f>
        <v>0</v>
      </c>
      <c r="AI103" s="19"/>
      <c r="AJ103" s="19">
        <f>IF(VLOOKUP($D103,$C$5:$AJ$470,34,)=0,0,((VLOOKUP($D103,$C$5:$AJ$470,34,)/VLOOKUP($D103,$C$5:$AJ$470,4,))*$F103))</f>
        <v>0</v>
      </c>
      <c r="AK103" s="19">
        <f>SUM(H103:AJ103)</f>
        <v>0</v>
      </c>
      <c r="AL103" s="15" t="str">
        <f>IF(ABS(AK103-F103)&lt;1,"ok","err")</f>
        <v>ok</v>
      </c>
    </row>
    <row r="104" spans="1:38" x14ac:dyDescent="0.3">
      <c r="F104" s="44"/>
      <c r="Y104" s="2"/>
      <c r="AK104" s="19"/>
      <c r="AL104" s="15"/>
    </row>
    <row r="105" spans="1:38" x14ac:dyDescent="0.3">
      <c r="B105" s="2" t="s">
        <v>145</v>
      </c>
      <c r="F105" s="44">
        <f>SUM(F99:F104)</f>
        <v>96602338.230000004</v>
      </c>
      <c r="H105" s="18">
        <f t="shared" ref="H105:M105" si="71">SUM(H99:H104)</f>
        <v>3285151.5283126649</v>
      </c>
      <c r="I105" s="18">
        <f t="shared" si="71"/>
        <v>4053001.1480632932</v>
      </c>
      <c r="J105" s="18">
        <f t="shared" si="71"/>
        <v>42025612.818796135</v>
      </c>
      <c r="K105" s="18">
        <f t="shared" si="71"/>
        <v>45881651.380924016</v>
      </c>
      <c r="L105" s="18">
        <f t="shared" si="71"/>
        <v>1356921.353903895</v>
      </c>
      <c r="M105" s="18">
        <f t="shared" si="71"/>
        <v>0</v>
      </c>
      <c r="O105" s="18">
        <f>SUM(O99:O104)</f>
        <v>0</v>
      </c>
      <c r="P105" s="18">
        <f>SUM(P99:P104)</f>
        <v>0</v>
      </c>
      <c r="Q105" s="18">
        <f>SUM(Q99:Q104)</f>
        <v>0</v>
      </c>
      <c r="S105" s="18">
        <f t="shared" ref="S105:AD105" si="72">SUM(S99:S104)</f>
        <v>0</v>
      </c>
      <c r="T105" s="18">
        <f t="shared" si="72"/>
        <v>0</v>
      </c>
      <c r="U105" s="18">
        <f t="shared" si="72"/>
        <v>0</v>
      </c>
      <c r="V105" s="18">
        <f t="shared" si="72"/>
        <v>0</v>
      </c>
      <c r="W105" s="18">
        <f t="shared" si="72"/>
        <v>0</v>
      </c>
      <c r="X105" s="18">
        <f t="shared" si="72"/>
        <v>0</v>
      </c>
      <c r="Y105" s="18">
        <f t="shared" si="72"/>
        <v>0</v>
      </c>
      <c r="Z105" s="18">
        <f t="shared" si="72"/>
        <v>0</v>
      </c>
      <c r="AA105" s="18">
        <f t="shared" si="72"/>
        <v>0</v>
      </c>
      <c r="AB105" s="18">
        <f t="shared" si="72"/>
        <v>0</v>
      </c>
      <c r="AC105" s="18">
        <f t="shared" si="72"/>
        <v>0</v>
      </c>
      <c r="AD105" s="18">
        <f t="shared" si="72"/>
        <v>0</v>
      </c>
      <c r="AF105" s="18">
        <f>SUM(AF99:AF104)</f>
        <v>0</v>
      </c>
      <c r="AH105" s="18">
        <f>SUM(AH99:AH104)</f>
        <v>0</v>
      </c>
      <c r="AJ105" s="18">
        <f>SUM(AJ99:AJ104)</f>
        <v>0</v>
      </c>
      <c r="AK105" s="19">
        <f>SUM(H105:AJ105)</f>
        <v>96602338.229999989</v>
      </c>
      <c r="AL105" s="15" t="str">
        <f>IF(ABS(AK105-F105)&lt;1,"ok","err")</f>
        <v>ok</v>
      </c>
    </row>
    <row r="106" spans="1:38" x14ac:dyDescent="0.3">
      <c r="F106" s="44"/>
      <c r="H106" s="18"/>
      <c r="I106" s="18"/>
      <c r="J106" s="18"/>
      <c r="K106" s="18"/>
      <c r="L106" s="18"/>
      <c r="M106" s="18"/>
      <c r="O106" s="18"/>
      <c r="P106" s="18"/>
      <c r="Q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F106" s="18"/>
      <c r="AH106" s="18"/>
      <c r="AJ106" s="18"/>
      <c r="AK106" s="19"/>
      <c r="AL106" s="15"/>
    </row>
    <row r="107" spans="1:38" x14ac:dyDescent="0.3">
      <c r="B107" s="2" t="s">
        <v>146</v>
      </c>
      <c r="F107" s="44">
        <f>F96+F105</f>
        <v>496321361.23000002</v>
      </c>
      <c r="H107" s="18">
        <f t="shared" ref="H107:M107" si="73">H96+H105</f>
        <v>35546170.226389162</v>
      </c>
      <c r="I107" s="18">
        <f t="shared" si="73"/>
        <v>43854497.272095621</v>
      </c>
      <c r="J107" s="18">
        <f t="shared" si="73"/>
        <v>196161575.7359437</v>
      </c>
      <c r="K107" s="18">
        <f t="shared" si="73"/>
        <v>214160280.56642416</v>
      </c>
      <c r="L107" s="18">
        <f t="shared" si="73"/>
        <v>6598837.4291473608</v>
      </c>
      <c r="M107" s="18">
        <f t="shared" si="73"/>
        <v>0</v>
      </c>
      <c r="O107" s="18">
        <f>O96+O105</f>
        <v>0</v>
      </c>
      <c r="P107" s="18">
        <f>P96+P105</f>
        <v>0</v>
      </c>
      <c r="Q107" s="18">
        <f>Q96+Q105</f>
        <v>0</v>
      </c>
      <c r="S107" s="18">
        <f t="shared" ref="S107:AD107" si="74">S96+S105</f>
        <v>0</v>
      </c>
      <c r="T107" s="18">
        <f t="shared" si="74"/>
        <v>0</v>
      </c>
      <c r="U107" s="18">
        <f t="shared" si="74"/>
        <v>0</v>
      </c>
      <c r="V107" s="18">
        <f t="shared" si="74"/>
        <v>0</v>
      </c>
      <c r="W107" s="18">
        <f t="shared" si="74"/>
        <v>0</v>
      </c>
      <c r="X107" s="18">
        <f t="shared" si="74"/>
        <v>0</v>
      </c>
      <c r="Y107" s="18">
        <f t="shared" si="74"/>
        <v>0</v>
      </c>
      <c r="Z107" s="18">
        <f t="shared" si="74"/>
        <v>0</v>
      </c>
      <c r="AA107" s="18">
        <f t="shared" si="74"/>
        <v>0</v>
      </c>
      <c r="AB107" s="18">
        <f t="shared" si="74"/>
        <v>0</v>
      </c>
      <c r="AC107" s="18">
        <f t="shared" si="74"/>
        <v>0</v>
      </c>
      <c r="AD107" s="18">
        <f t="shared" si="74"/>
        <v>0</v>
      </c>
      <c r="AF107" s="18">
        <f>AF96+AF105</f>
        <v>0</v>
      </c>
      <c r="AH107" s="18">
        <f>AH96+AH105</f>
        <v>0</v>
      </c>
      <c r="AJ107" s="18">
        <f>AJ96+AJ105</f>
        <v>0</v>
      </c>
      <c r="AK107" s="19">
        <f>SUM(H107:AJ107)</f>
        <v>496321361.23000002</v>
      </c>
      <c r="AL107" s="15" t="str">
        <f>IF(ABS(AK107-F107)&lt;1,"ok","err")</f>
        <v>ok</v>
      </c>
    </row>
    <row r="108" spans="1:38" x14ac:dyDescent="0.3">
      <c r="F108" s="44"/>
      <c r="H108" s="18"/>
      <c r="I108" s="18"/>
      <c r="J108" s="18"/>
      <c r="K108" s="18"/>
      <c r="L108" s="18"/>
      <c r="M108" s="18"/>
      <c r="O108" s="18"/>
      <c r="P108" s="18"/>
      <c r="Q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F108" s="18"/>
      <c r="AH108" s="18"/>
      <c r="AJ108" s="18"/>
      <c r="AK108" s="19"/>
      <c r="AL108" s="15"/>
    </row>
    <row r="109" spans="1:38" x14ac:dyDescent="0.3">
      <c r="A109" s="16" t="s">
        <v>147</v>
      </c>
      <c r="F109" s="44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5"/>
    </row>
    <row r="110" spans="1:38" x14ac:dyDescent="0.3">
      <c r="F110" s="44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5"/>
    </row>
    <row r="111" spans="1:38" x14ac:dyDescent="0.3">
      <c r="A111" s="3" t="s">
        <v>148</v>
      </c>
      <c r="F111" s="44"/>
      <c r="Y111" s="2"/>
      <c r="AL111" s="15"/>
    </row>
    <row r="112" spans="1:38" x14ac:dyDescent="0.3">
      <c r="A112" s="2">
        <v>546</v>
      </c>
      <c r="B112" s="2" t="s">
        <v>119</v>
      </c>
      <c r="C112" s="2" t="s">
        <v>149</v>
      </c>
      <c r="D112" s="2" t="s">
        <v>28</v>
      </c>
      <c r="F112" s="44">
        <v>3493837.17</v>
      </c>
      <c r="H112" s="19">
        <f>IF(VLOOKUP($D112,$C$5:$AJ$470,6,)=0,0,((VLOOKUP($D112,$C$5:$AJ$470,6,)/VLOOKUP($D112,$C$5:$AJ$470,4,))*$F112))</f>
        <v>1554991.2865543896</v>
      </c>
      <c r="I112" s="19">
        <f>IF(VLOOKUP($D112,$C$5:$AJ$470,7,)=0,0,((VLOOKUP($D112,$C$5:$AJ$470,7,)/VLOOKUP($D112,$C$5:$AJ$470,4,))*$F112))</f>
        <v>1918444.6791318688</v>
      </c>
      <c r="J112" s="19">
        <f>IF(VLOOKUP($D112,$C$5:$AJ$470,8,)=0,0,((VLOOKUP($D112,$C$5:$AJ$470,8,)/VLOOKUP($D112,$C$5:$AJ$470,4,))*$F112))</f>
        <v>0</v>
      </c>
      <c r="K112" s="19">
        <f>IF(VLOOKUP($D112,$C$5:$AJ$470,9,)=0,0,((VLOOKUP($D112,$C$5:$AJ$470,9,)/VLOOKUP($D112,$C$5:$AJ$470,4,))*$F112))</f>
        <v>0</v>
      </c>
      <c r="L112" s="19">
        <f>IF(VLOOKUP($D112,$C$5:$AJ$470,10,)=0,0,((VLOOKUP($D112,$C$5:$AJ$470,10,)/VLOOKUP($D112,$C$5:$AJ$470,4,))*$F112))</f>
        <v>20401.204313741437</v>
      </c>
      <c r="M112" s="19">
        <f>IF(VLOOKUP($D112,$C$5:$AJ$470,11,)=0,0,((VLOOKUP($D112,$C$5:$AJ$470,11,)/VLOOKUP($D112,$C$5:$AJ$470,4,))*$F112))</f>
        <v>0</v>
      </c>
      <c r="N112" s="19"/>
      <c r="O112" s="19">
        <f>IF(VLOOKUP($D112,$C$5:$AJ$470,13,)=0,0,((VLOOKUP($D112,$C$5:$AJ$470,13,)/VLOOKUP($D112,$C$5:$AJ$470,4,))*$F112))</f>
        <v>0</v>
      </c>
      <c r="P112" s="19">
        <f>IF(VLOOKUP($D112,$C$5:$AJ$470,14,)=0,0,((VLOOKUP($D112,$C$5:$AJ$470,14,)/VLOOKUP($D112,$C$5:$AJ$470,4,))*$F112))</f>
        <v>0</v>
      </c>
      <c r="Q112" s="19">
        <f>IF(VLOOKUP($D112,$C$5:$AJ$470,15,)=0,0,((VLOOKUP($D112,$C$5:$AJ$470,15,)/VLOOKUP($D112,$C$5:$AJ$470,4,))*$F112))</f>
        <v>0</v>
      </c>
      <c r="R112" s="19"/>
      <c r="S112" s="19">
        <f>IF(VLOOKUP($D112,$C$5:$AJ$470,17,)=0,0,((VLOOKUP($D112,$C$5:$AJ$470,17,)/VLOOKUP($D112,$C$5:$AJ$470,4,))*$F112))</f>
        <v>0</v>
      </c>
      <c r="T112" s="19">
        <f>IF(VLOOKUP($D112,$C$5:$AJ$470,18,)=0,0,((VLOOKUP($D112,$C$5:$AJ$470,18,)/VLOOKUP($D112,$C$5:$AJ$470,4,))*$F112))</f>
        <v>0</v>
      </c>
      <c r="U112" s="19">
        <f>IF(VLOOKUP($D112,$C$5:$AJ$470,19,)=0,0,((VLOOKUP($D112,$C$5:$AJ$470,19,)/VLOOKUP($D112,$C$5:$AJ$470,4,))*$F112))</f>
        <v>0</v>
      </c>
      <c r="V112" s="19">
        <f>IF(VLOOKUP($D112,$C$5:$AJ$470,20,)=0,0,((VLOOKUP($D112,$C$5:$AJ$470,20,)/VLOOKUP($D112,$C$5:$AJ$470,4,))*$F112))</f>
        <v>0</v>
      </c>
      <c r="W112" s="19">
        <f>IF(VLOOKUP($D112,$C$5:$AJ$470,21,)=0,0,((VLOOKUP($D112,$C$5:$AJ$470,21,)/VLOOKUP($D112,$C$5:$AJ$470,4,))*$F112))</f>
        <v>0</v>
      </c>
      <c r="X112" s="19">
        <f>IF(VLOOKUP($D112,$C$5:$AJ$470,22,)=0,0,((VLOOKUP($D112,$C$5:$AJ$470,22,)/VLOOKUP($D112,$C$5:$AJ$470,4,))*$F112))</f>
        <v>0</v>
      </c>
      <c r="Y112" s="19">
        <f>IF(VLOOKUP($D112,$C$5:$AJ$470,23,)=0,0,((VLOOKUP($D112,$C$5:$AJ$470,23,)/VLOOKUP($D112,$C$5:$AJ$470,4,))*$F112))</f>
        <v>0</v>
      </c>
      <c r="Z112" s="19">
        <f>IF(VLOOKUP($D112,$C$5:$AJ$470,24,)=0,0,((VLOOKUP($D112,$C$5:$AJ$470,24,)/VLOOKUP($D112,$C$5:$AJ$470,4,))*$F112))</f>
        <v>0</v>
      </c>
      <c r="AA112" s="19">
        <f>IF(VLOOKUP($D112,$C$5:$AJ$470,25,)=0,0,((VLOOKUP($D112,$C$5:$AJ$470,25,)/VLOOKUP($D112,$C$5:$AJ$470,4,))*$F112))</f>
        <v>0</v>
      </c>
      <c r="AB112" s="19">
        <f>IF(VLOOKUP($D112,$C$5:$AJ$470,26,)=0,0,((VLOOKUP($D112,$C$5:$AJ$470,26,)/VLOOKUP($D112,$C$5:$AJ$470,4,))*$F112))</f>
        <v>0</v>
      </c>
      <c r="AC112" s="19">
        <f>IF(VLOOKUP($D112,$C$5:$AJ$470,27,)=0,0,((VLOOKUP($D112,$C$5:$AJ$470,27,)/VLOOKUP($D112,$C$5:$AJ$470,4,))*$F112))</f>
        <v>0</v>
      </c>
      <c r="AD112" s="19">
        <f>IF(VLOOKUP($D112,$C$5:$AJ$470,28,)=0,0,((VLOOKUP($D112,$C$5:$AJ$470,28,)/VLOOKUP($D112,$C$5:$AJ$470,4,))*$F112))</f>
        <v>0</v>
      </c>
      <c r="AE112" s="19"/>
      <c r="AF112" s="19">
        <f>IF(VLOOKUP($D112,$C$5:$AJ$470,30,)=0,0,((VLOOKUP($D112,$C$5:$AJ$470,30,)/VLOOKUP($D112,$C$5:$AJ$470,4,))*$F112))</f>
        <v>0</v>
      </c>
      <c r="AG112" s="19"/>
      <c r="AH112" s="19">
        <f>IF(VLOOKUP($D112,$C$5:$AJ$470,32,)=0,0,((VLOOKUP($D112,$C$5:$AJ$470,32,)/VLOOKUP($D112,$C$5:$AJ$470,4,))*$F112))</f>
        <v>0</v>
      </c>
      <c r="AI112" s="19"/>
      <c r="AJ112" s="19">
        <f>IF(VLOOKUP($D112,$C$5:$AJ$470,34,)=0,0,((VLOOKUP($D112,$C$5:$AJ$470,34,)/VLOOKUP($D112,$C$5:$AJ$470,4,))*$F112))</f>
        <v>0</v>
      </c>
      <c r="AK112" s="19">
        <f>SUM(H112:AJ112)</f>
        <v>3493837.17</v>
      </c>
      <c r="AL112" s="15" t="str">
        <f>IF(ABS(AK112-F112)&lt;1,"ok","err")</f>
        <v>ok</v>
      </c>
    </row>
    <row r="113" spans="1:38" x14ac:dyDescent="0.3">
      <c r="A113" s="2">
        <v>547</v>
      </c>
      <c r="B113" s="2" t="s">
        <v>89</v>
      </c>
      <c r="C113" s="2" t="s">
        <v>150</v>
      </c>
      <c r="D113" s="2" t="s">
        <v>151</v>
      </c>
      <c r="F113" s="44">
        <v>17144591.209999997</v>
      </c>
      <c r="H113" s="19">
        <f>IF(VLOOKUP($D113,$C$5:$AJ$470,6,)=0,0,((VLOOKUP($D113,$C$5:$AJ$470,6,)/VLOOKUP($D113,$C$5:$AJ$470,4,))*$F113))</f>
        <v>0</v>
      </c>
      <c r="I113" s="19">
        <f>IF(VLOOKUP($D113,$C$5:$AJ$470,7,)=0,0,((VLOOKUP($D113,$C$5:$AJ$470,7,)/VLOOKUP($D113,$C$5:$AJ$470,4,))*$F113))</f>
        <v>0</v>
      </c>
      <c r="J113" s="19">
        <f>IF(VLOOKUP($D113,$C$5:$AJ$470,8,)=0,0,((VLOOKUP($D113,$C$5:$AJ$470,8,)/VLOOKUP($D113,$C$5:$AJ$470,4,))*$F113))</f>
        <v>8385419.5608109981</v>
      </c>
      <c r="K113" s="19">
        <f>IF(VLOOKUP($D113,$C$5:$AJ$470,9,)=0,0,((VLOOKUP($D113,$C$5:$AJ$470,9,)/VLOOKUP($D113,$C$5:$AJ$470,4,))*$F113))</f>
        <v>8759171.6491889991</v>
      </c>
      <c r="L113" s="19">
        <f>IF(VLOOKUP($D113,$C$5:$AJ$470,10,)=0,0,((VLOOKUP($D113,$C$5:$AJ$470,10,)/VLOOKUP($D113,$C$5:$AJ$470,4,))*$F113))</f>
        <v>0</v>
      </c>
      <c r="M113" s="19">
        <f>IF(VLOOKUP($D113,$C$5:$AJ$470,11,)=0,0,((VLOOKUP($D113,$C$5:$AJ$470,11,)/VLOOKUP($D113,$C$5:$AJ$470,4,))*$F113))</f>
        <v>0</v>
      </c>
      <c r="N113" s="19"/>
      <c r="O113" s="19">
        <f>IF(VLOOKUP($D113,$C$5:$AJ$470,13,)=0,0,((VLOOKUP($D113,$C$5:$AJ$470,13,)/VLOOKUP($D113,$C$5:$AJ$470,4,))*$F113))</f>
        <v>0</v>
      </c>
      <c r="P113" s="19">
        <f>IF(VLOOKUP($D113,$C$5:$AJ$470,14,)=0,0,((VLOOKUP($D113,$C$5:$AJ$470,14,)/VLOOKUP($D113,$C$5:$AJ$470,4,))*$F113))</f>
        <v>0</v>
      </c>
      <c r="Q113" s="19">
        <f>IF(VLOOKUP($D113,$C$5:$AJ$470,15,)=0,0,((VLOOKUP($D113,$C$5:$AJ$470,15,)/VLOOKUP($D113,$C$5:$AJ$470,4,))*$F113))</f>
        <v>0</v>
      </c>
      <c r="R113" s="19"/>
      <c r="S113" s="19">
        <f>IF(VLOOKUP($D113,$C$5:$AJ$470,17,)=0,0,((VLOOKUP($D113,$C$5:$AJ$470,17,)/VLOOKUP($D113,$C$5:$AJ$470,4,))*$F113))</f>
        <v>0</v>
      </c>
      <c r="T113" s="19">
        <f>IF(VLOOKUP($D113,$C$5:$AJ$470,18,)=0,0,((VLOOKUP($D113,$C$5:$AJ$470,18,)/VLOOKUP($D113,$C$5:$AJ$470,4,))*$F113))</f>
        <v>0</v>
      </c>
      <c r="U113" s="19">
        <f>IF(VLOOKUP($D113,$C$5:$AJ$470,19,)=0,0,((VLOOKUP($D113,$C$5:$AJ$470,19,)/VLOOKUP($D113,$C$5:$AJ$470,4,))*$F113))</f>
        <v>0</v>
      </c>
      <c r="V113" s="19">
        <f>IF(VLOOKUP($D113,$C$5:$AJ$470,20,)=0,0,((VLOOKUP($D113,$C$5:$AJ$470,20,)/VLOOKUP($D113,$C$5:$AJ$470,4,))*$F113))</f>
        <v>0</v>
      </c>
      <c r="W113" s="19">
        <f>IF(VLOOKUP($D113,$C$5:$AJ$470,21,)=0,0,((VLOOKUP($D113,$C$5:$AJ$470,21,)/VLOOKUP($D113,$C$5:$AJ$470,4,))*$F113))</f>
        <v>0</v>
      </c>
      <c r="X113" s="19">
        <f>IF(VLOOKUP($D113,$C$5:$AJ$470,22,)=0,0,((VLOOKUP($D113,$C$5:$AJ$470,22,)/VLOOKUP($D113,$C$5:$AJ$470,4,))*$F113))</f>
        <v>0</v>
      </c>
      <c r="Y113" s="19">
        <f>IF(VLOOKUP($D113,$C$5:$AJ$470,23,)=0,0,((VLOOKUP($D113,$C$5:$AJ$470,23,)/VLOOKUP($D113,$C$5:$AJ$470,4,))*$F113))</f>
        <v>0</v>
      </c>
      <c r="Z113" s="19">
        <f>IF(VLOOKUP($D113,$C$5:$AJ$470,24,)=0,0,((VLOOKUP($D113,$C$5:$AJ$470,24,)/VLOOKUP($D113,$C$5:$AJ$470,4,))*$F113))</f>
        <v>0</v>
      </c>
      <c r="AA113" s="19">
        <f>IF(VLOOKUP($D113,$C$5:$AJ$470,25,)=0,0,((VLOOKUP($D113,$C$5:$AJ$470,25,)/VLOOKUP($D113,$C$5:$AJ$470,4,))*$F113))</f>
        <v>0</v>
      </c>
      <c r="AB113" s="19">
        <f>IF(VLOOKUP($D113,$C$5:$AJ$470,26,)=0,0,((VLOOKUP($D113,$C$5:$AJ$470,26,)/VLOOKUP($D113,$C$5:$AJ$470,4,))*$F113))</f>
        <v>0</v>
      </c>
      <c r="AC113" s="19">
        <f>IF(VLOOKUP($D113,$C$5:$AJ$470,27,)=0,0,((VLOOKUP($D113,$C$5:$AJ$470,27,)/VLOOKUP($D113,$C$5:$AJ$470,4,))*$F113))</f>
        <v>0</v>
      </c>
      <c r="AD113" s="19">
        <f>IF(VLOOKUP($D113,$C$5:$AJ$470,28,)=0,0,((VLOOKUP($D113,$C$5:$AJ$470,28,)/VLOOKUP($D113,$C$5:$AJ$470,4,))*$F113))</f>
        <v>0</v>
      </c>
      <c r="AE113" s="19"/>
      <c r="AF113" s="19">
        <f>IF(VLOOKUP($D113,$C$5:$AJ$470,30,)=0,0,((VLOOKUP($D113,$C$5:$AJ$470,30,)/VLOOKUP($D113,$C$5:$AJ$470,4,))*$F113))</f>
        <v>0</v>
      </c>
      <c r="AG113" s="19"/>
      <c r="AH113" s="19">
        <f>IF(VLOOKUP($D113,$C$5:$AJ$470,32,)=0,0,((VLOOKUP($D113,$C$5:$AJ$470,32,)/VLOOKUP($D113,$C$5:$AJ$470,4,))*$F113))</f>
        <v>0</v>
      </c>
      <c r="AI113" s="19"/>
      <c r="AJ113" s="19">
        <f>IF(VLOOKUP($D113,$C$5:$AJ$470,34,)=0,0,((VLOOKUP($D113,$C$5:$AJ$470,34,)/VLOOKUP($D113,$C$5:$AJ$470,4,))*$F113))</f>
        <v>0</v>
      </c>
      <c r="AK113" s="19">
        <f>SUM(H113:AJ113)</f>
        <v>17144591.209999997</v>
      </c>
      <c r="AL113" s="15" t="str">
        <f>IF(ABS(AK113-F113)&lt;1,"ok","err")</f>
        <v>ok</v>
      </c>
    </row>
    <row r="114" spans="1:38" x14ac:dyDescent="0.3">
      <c r="A114" s="2">
        <v>548</v>
      </c>
      <c r="B114" s="2" t="s">
        <v>152</v>
      </c>
      <c r="C114" s="2" t="s">
        <v>153</v>
      </c>
      <c r="D114" s="2" t="s">
        <v>28</v>
      </c>
      <c r="F114" s="44">
        <v>7697851.3700000001</v>
      </c>
      <c r="H114" s="19">
        <f>IF(VLOOKUP($D114,$C$5:$AJ$470,6,)=0,0,((VLOOKUP($D114,$C$5:$AJ$470,6,)/VLOOKUP($D114,$C$5:$AJ$470,4,))*$F114))</f>
        <v>3426058.8639684008</v>
      </c>
      <c r="I114" s="19">
        <f>IF(VLOOKUP($D114,$C$5:$AJ$470,7,)=0,0,((VLOOKUP($D114,$C$5:$AJ$470,7,)/VLOOKUP($D114,$C$5:$AJ$470,4,))*$F114))</f>
        <v>4226843.2336600469</v>
      </c>
      <c r="J114" s="19">
        <f>IF(VLOOKUP($D114,$C$5:$AJ$470,8,)=0,0,((VLOOKUP($D114,$C$5:$AJ$470,8,)/VLOOKUP($D114,$C$5:$AJ$470,4,))*$F114))</f>
        <v>0</v>
      </c>
      <c r="K114" s="19">
        <f>IF(VLOOKUP($D114,$C$5:$AJ$470,9,)=0,0,((VLOOKUP($D114,$C$5:$AJ$470,9,)/VLOOKUP($D114,$C$5:$AJ$470,4,))*$F114))</f>
        <v>0</v>
      </c>
      <c r="L114" s="19">
        <f>IF(VLOOKUP($D114,$C$5:$AJ$470,10,)=0,0,((VLOOKUP($D114,$C$5:$AJ$470,10,)/VLOOKUP($D114,$C$5:$AJ$470,4,))*$F114))</f>
        <v>44949.272371552572</v>
      </c>
      <c r="M114" s="19">
        <f>IF(VLOOKUP($D114,$C$5:$AJ$470,11,)=0,0,((VLOOKUP($D114,$C$5:$AJ$470,11,)/VLOOKUP($D114,$C$5:$AJ$470,4,))*$F114))</f>
        <v>0</v>
      </c>
      <c r="N114" s="19"/>
      <c r="O114" s="19">
        <f>IF(VLOOKUP($D114,$C$5:$AJ$470,13,)=0,0,((VLOOKUP($D114,$C$5:$AJ$470,13,)/VLOOKUP($D114,$C$5:$AJ$470,4,))*$F114))</f>
        <v>0</v>
      </c>
      <c r="P114" s="19">
        <f>IF(VLOOKUP($D114,$C$5:$AJ$470,14,)=0,0,((VLOOKUP($D114,$C$5:$AJ$470,14,)/VLOOKUP($D114,$C$5:$AJ$470,4,))*$F114))</f>
        <v>0</v>
      </c>
      <c r="Q114" s="19">
        <f>IF(VLOOKUP($D114,$C$5:$AJ$470,15,)=0,0,((VLOOKUP($D114,$C$5:$AJ$470,15,)/VLOOKUP($D114,$C$5:$AJ$470,4,))*$F114))</f>
        <v>0</v>
      </c>
      <c r="R114" s="19"/>
      <c r="S114" s="19">
        <f>IF(VLOOKUP($D114,$C$5:$AJ$470,17,)=0,0,((VLOOKUP($D114,$C$5:$AJ$470,17,)/VLOOKUP($D114,$C$5:$AJ$470,4,))*$F114))</f>
        <v>0</v>
      </c>
      <c r="T114" s="19">
        <f>IF(VLOOKUP($D114,$C$5:$AJ$470,18,)=0,0,((VLOOKUP($D114,$C$5:$AJ$470,18,)/VLOOKUP($D114,$C$5:$AJ$470,4,))*$F114))</f>
        <v>0</v>
      </c>
      <c r="U114" s="19">
        <f>IF(VLOOKUP($D114,$C$5:$AJ$470,19,)=0,0,((VLOOKUP($D114,$C$5:$AJ$470,19,)/VLOOKUP($D114,$C$5:$AJ$470,4,))*$F114))</f>
        <v>0</v>
      </c>
      <c r="V114" s="19">
        <f>IF(VLOOKUP($D114,$C$5:$AJ$470,20,)=0,0,((VLOOKUP($D114,$C$5:$AJ$470,20,)/VLOOKUP($D114,$C$5:$AJ$470,4,))*$F114))</f>
        <v>0</v>
      </c>
      <c r="W114" s="19">
        <f>IF(VLOOKUP($D114,$C$5:$AJ$470,21,)=0,0,((VLOOKUP($D114,$C$5:$AJ$470,21,)/VLOOKUP($D114,$C$5:$AJ$470,4,))*$F114))</f>
        <v>0</v>
      </c>
      <c r="X114" s="19">
        <f>IF(VLOOKUP($D114,$C$5:$AJ$470,22,)=0,0,((VLOOKUP($D114,$C$5:$AJ$470,22,)/VLOOKUP($D114,$C$5:$AJ$470,4,))*$F114))</f>
        <v>0</v>
      </c>
      <c r="Y114" s="19">
        <f>IF(VLOOKUP($D114,$C$5:$AJ$470,23,)=0,0,((VLOOKUP($D114,$C$5:$AJ$470,23,)/VLOOKUP($D114,$C$5:$AJ$470,4,))*$F114))</f>
        <v>0</v>
      </c>
      <c r="Z114" s="19">
        <f>IF(VLOOKUP($D114,$C$5:$AJ$470,24,)=0,0,((VLOOKUP($D114,$C$5:$AJ$470,24,)/VLOOKUP($D114,$C$5:$AJ$470,4,))*$F114))</f>
        <v>0</v>
      </c>
      <c r="AA114" s="19">
        <f>IF(VLOOKUP($D114,$C$5:$AJ$470,25,)=0,0,((VLOOKUP($D114,$C$5:$AJ$470,25,)/VLOOKUP($D114,$C$5:$AJ$470,4,))*$F114))</f>
        <v>0</v>
      </c>
      <c r="AB114" s="19">
        <f>IF(VLOOKUP($D114,$C$5:$AJ$470,26,)=0,0,((VLOOKUP($D114,$C$5:$AJ$470,26,)/VLOOKUP($D114,$C$5:$AJ$470,4,))*$F114))</f>
        <v>0</v>
      </c>
      <c r="AC114" s="19">
        <f>IF(VLOOKUP($D114,$C$5:$AJ$470,27,)=0,0,((VLOOKUP($D114,$C$5:$AJ$470,27,)/VLOOKUP($D114,$C$5:$AJ$470,4,))*$F114))</f>
        <v>0</v>
      </c>
      <c r="AD114" s="19">
        <f>IF(VLOOKUP($D114,$C$5:$AJ$470,28,)=0,0,((VLOOKUP($D114,$C$5:$AJ$470,28,)/VLOOKUP($D114,$C$5:$AJ$470,4,))*$F114))</f>
        <v>0</v>
      </c>
      <c r="AE114" s="19"/>
      <c r="AF114" s="19">
        <f>IF(VLOOKUP($D114,$C$5:$AJ$470,30,)=0,0,((VLOOKUP($D114,$C$5:$AJ$470,30,)/VLOOKUP($D114,$C$5:$AJ$470,4,))*$F114))</f>
        <v>0</v>
      </c>
      <c r="AG114" s="19"/>
      <c r="AH114" s="19">
        <f>IF(VLOOKUP($D114,$C$5:$AJ$470,32,)=0,0,((VLOOKUP($D114,$C$5:$AJ$470,32,)/VLOOKUP($D114,$C$5:$AJ$470,4,))*$F114))</f>
        <v>0</v>
      </c>
      <c r="AI114" s="19"/>
      <c r="AJ114" s="19">
        <f>IF(VLOOKUP($D114,$C$5:$AJ$470,34,)=0,0,((VLOOKUP($D114,$C$5:$AJ$470,34,)/VLOOKUP($D114,$C$5:$AJ$470,4,))*$F114))</f>
        <v>0</v>
      </c>
      <c r="AK114" s="19">
        <f>SUM(H114:AJ114)</f>
        <v>7697851.370000001</v>
      </c>
      <c r="AL114" s="15" t="str">
        <f>IF(ABS(AK114-F114)&lt;1,"ok","err")</f>
        <v>ok</v>
      </c>
    </row>
    <row r="115" spans="1:38" x14ac:dyDescent="0.3">
      <c r="A115" s="2">
        <v>549</v>
      </c>
      <c r="B115" s="2" t="s">
        <v>154</v>
      </c>
      <c r="C115" s="2" t="s">
        <v>155</v>
      </c>
      <c r="D115" s="2" t="s">
        <v>28</v>
      </c>
      <c r="F115" s="44">
        <v>5220053.4400000004</v>
      </c>
      <c r="H115" s="19">
        <f>IF(VLOOKUP($D115,$C$5:$AJ$470,6,)=0,0,((VLOOKUP($D115,$C$5:$AJ$470,6,)/VLOOKUP($D115,$C$5:$AJ$470,4,))*$F115))</f>
        <v>2323273.0146231367</v>
      </c>
      <c r="I115" s="19">
        <f>IF(VLOOKUP($D115,$C$5:$AJ$470,7,)=0,0,((VLOOKUP($D115,$C$5:$AJ$470,7,)/VLOOKUP($D115,$C$5:$AJ$470,4,))*$F115))</f>
        <v>2866299.5038065868</v>
      </c>
      <c r="J115" s="19">
        <f>IF(VLOOKUP($D115,$C$5:$AJ$470,8,)=0,0,((VLOOKUP($D115,$C$5:$AJ$470,8,)/VLOOKUP($D115,$C$5:$AJ$470,4,))*$F115))</f>
        <v>0</v>
      </c>
      <c r="K115" s="19">
        <f>IF(VLOOKUP($D115,$C$5:$AJ$470,9,)=0,0,((VLOOKUP($D115,$C$5:$AJ$470,9,)/VLOOKUP($D115,$C$5:$AJ$470,4,))*$F115))</f>
        <v>0</v>
      </c>
      <c r="L115" s="19">
        <f>IF(VLOOKUP($D115,$C$5:$AJ$470,10,)=0,0,((VLOOKUP($D115,$C$5:$AJ$470,10,)/VLOOKUP($D115,$C$5:$AJ$470,4,))*$F115))</f>
        <v>30480.921570277082</v>
      </c>
      <c r="M115" s="19">
        <f>IF(VLOOKUP($D115,$C$5:$AJ$470,11,)=0,0,((VLOOKUP($D115,$C$5:$AJ$470,11,)/VLOOKUP($D115,$C$5:$AJ$470,4,))*$F115))</f>
        <v>0</v>
      </c>
      <c r="N115" s="19"/>
      <c r="O115" s="19">
        <f>IF(VLOOKUP($D115,$C$5:$AJ$470,13,)=0,0,((VLOOKUP($D115,$C$5:$AJ$470,13,)/VLOOKUP($D115,$C$5:$AJ$470,4,))*$F115))</f>
        <v>0</v>
      </c>
      <c r="P115" s="19">
        <f>IF(VLOOKUP($D115,$C$5:$AJ$470,14,)=0,0,((VLOOKUP($D115,$C$5:$AJ$470,14,)/VLOOKUP($D115,$C$5:$AJ$470,4,))*$F115))</f>
        <v>0</v>
      </c>
      <c r="Q115" s="19">
        <f>IF(VLOOKUP($D115,$C$5:$AJ$470,15,)=0,0,((VLOOKUP($D115,$C$5:$AJ$470,15,)/VLOOKUP($D115,$C$5:$AJ$470,4,))*$F115))</f>
        <v>0</v>
      </c>
      <c r="R115" s="19"/>
      <c r="S115" s="19">
        <f>IF(VLOOKUP($D115,$C$5:$AJ$470,17,)=0,0,((VLOOKUP($D115,$C$5:$AJ$470,17,)/VLOOKUP($D115,$C$5:$AJ$470,4,))*$F115))</f>
        <v>0</v>
      </c>
      <c r="T115" s="19">
        <f>IF(VLOOKUP($D115,$C$5:$AJ$470,18,)=0,0,((VLOOKUP($D115,$C$5:$AJ$470,18,)/VLOOKUP($D115,$C$5:$AJ$470,4,))*$F115))</f>
        <v>0</v>
      </c>
      <c r="U115" s="19">
        <f>IF(VLOOKUP($D115,$C$5:$AJ$470,19,)=0,0,((VLOOKUP($D115,$C$5:$AJ$470,19,)/VLOOKUP($D115,$C$5:$AJ$470,4,))*$F115))</f>
        <v>0</v>
      </c>
      <c r="V115" s="19">
        <f>IF(VLOOKUP($D115,$C$5:$AJ$470,20,)=0,0,((VLOOKUP($D115,$C$5:$AJ$470,20,)/VLOOKUP($D115,$C$5:$AJ$470,4,))*$F115))</f>
        <v>0</v>
      </c>
      <c r="W115" s="19">
        <f>IF(VLOOKUP($D115,$C$5:$AJ$470,21,)=0,0,((VLOOKUP($D115,$C$5:$AJ$470,21,)/VLOOKUP($D115,$C$5:$AJ$470,4,))*$F115))</f>
        <v>0</v>
      </c>
      <c r="X115" s="19">
        <f>IF(VLOOKUP($D115,$C$5:$AJ$470,22,)=0,0,((VLOOKUP($D115,$C$5:$AJ$470,22,)/VLOOKUP($D115,$C$5:$AJ$470,4,))*$F115))</f>
        <v>0</v>
      </c>
      <c r="Y115" s="19">
        <f>IF(VLOOKUP($D115,$C$5:$AJ$470,23,)=0,0,((VLOOKUP($D115,$C$5:$AJ$470,23,)/VLOOKUP($D115,$C$5:$AJ$470,4,))*$F115))</f>
        <v>0</v>
      </c>
      <c r="Z115" s="19">
        <f>IF(VLOOKUP($D115,$C$5:$AJ$470,24,)=0,0,((VLOOKUP($D115,$C$5:$AJ$470,24,)/VLOOKUP($D115,$C$5:$AJ$470,4,))*$F115))</f>
        <v>0</v>
      </c>
      <c r="AA115" s="19">
        <f>IF(VLOOKUP($D115,$C$5:$AJ$470,25,)=0,0,((VLOOKUP($D115,$C$5:$AJ$470,25,)/VLOOKUP($D115,$C$5:$AJ$470,4,))*$F115))</f>
        <v>0</v>
      </c>
      <c r="AB115" s="19">
        <f>IF(VLOOKUP($D115,$C$5:$AJ$470,26,)=0,0,((VLOOKUP($D115,$C$5:$AJ$470,26,)/VLOOKUP($D115,$C$5:$AJ$470,4,))*$F115))</f>
        <v>0</v>
      </c>
      <c r="AC115" s="19">
        <f>IF(VLOOKUP($D115,$C$5:$AJ$470,27,)=0,0,((VLOOKUP($D115,$C$5:$AJ$470,27,)/VLOOKUP($D115,$C$5:$AJ$470,4,))*$F115))</f>
        <v>0</v>
      </c>
      <c r="AD115" s="19">
        <f>IF(VLOOKUP($D115,$C$5:$AJ$470,28,)=0,0,((VLOOKUP($D115,$C$5:$AJ$470,28,)/VLOOKUP($D115,$C$5:$AJ$470,4,))*$F115))</f>
        <v>0</v>
      </c>
      <c r="AE115" s="19"/>
      <c r="AF115" s="19">
        <f>IF(VLOOKUP($D115,$C$5:$AJ$470,30,)=0,0,((VLOOKUP($D115,$C$5:$AJ$470,30,)/VLOOKUP($D115,$C$5:$AJ$470,4,))*$F115))</f>
        <v>0</v>
      </c>
      <c r="AG115" s="19"/>
      <c r="AH115" s="19">
        <f>IF(VLOOKUP($D115,$C$5:$AJ$470,32,)=0,0,((VLOOKUP($D115,$C$5:$AJ$470,32,)/VLOOKUP($D115,$C$5:$AJ$470,4,))*$F115))</f>
        <v>0</v>
      </c>
      <c r="AI115" s="19"/>
      <c r="AJ115" s="19">
        <f>IF(VLOOKUP($D115,$C$5:$AJ$470,34,)=0,0,((VLOOKUP($D115,$C$5:$AJ$470,34,)/VLOOKUP($D115,$C$5:$AJ$470,4,))*$F115))</f>
        <v>0</v>
      </c>
      <c r="AK115" s="19">
        <f>SUM(H115:AJ115)</f>
        <v>5220053.4400000004</v>
      </c>
      <c r="AL115" s="15" t="str">
        <f>IF(ABS(AK115-F115)&lt;1,"ok","err")</f>
        <v>ok</v>
      </c>
    </row>
    <row r="116" spans="1:38" x14ac:dyDescent="0.3">
      <c r="A116" s="2">
        <v>550</v>
      </c>
      <c r="B116" s="2" t="s">
        <v>129</v>
      </c>
      <c r="C116" s="2" t="s">
        <v>156</v>
      </c>
      <c r="D116" s="2" t="s">
        <v>28</v>
      </c>
      <c r="F116" s="44">
        <v>0</v>
      </c>
      <c r="H116" s="19">
        <f>IF(VLOOKUP($D116,$C$5:$AJ$470,6,)=0,0,((VLOOKUP($D116,$C$5:$AJ$470,6,)/VLOOKUP($D116,$C$5:$AJ$470,4,))*$F116))</f>
        <v>0</v>
      </c>
      <c r="I116" s="19">
        <f>IF(VLOOKUP($D116,$C$5:$AJ$470,7,)=0,0,((VLOOKUP($D116,$C$5:$AJ$470,7,)/VLOOKUP($D116,$C$5:$AJ$470,4,))*$F116))</f>
        <v>0</v>
      </c>
      <c r="J116" s="19">
        <f>IF(VLOOKUP($D116,$C$5:$AJ$470,8,)=0,0,((VLOOKUP($D116,$C$5:$AJ$470,8,)/VLOOKUP($D116,$C$5:$AJ$470,4,))*$F116))</f>
        <v>0</v>
      </c>
      <c r="K116" s="19">
        <f>IF(VLOOKUP($D116,$C$5:$AJ$470,9,)=0,0,((VLOOKUP($D116,$C$5:$AJ$470,9,)/VLOOKUP($D116,$C$5:$AJ$470,4,))*$F116))</f>
        <v>0</v>
      </c>
      <c r="L116" s="19">
        <f>IF(VLOOKUP($D116,$C$5:$AJ$470,10,)=0,0,((VLOOKUP($D116,$C$5:$AJ$470,10,)/VLOOKUP($D116,$C$5:$AJ$470,4,))*$F116))</f>
        <v>0</v>
      </c>
      <c r="M116" s="19">
        <f>IF(VLOOKUP($D116,$C$5:$AJ$470,11,)=0,0,((VLOOKUP($D116,$C$5:$AJ$470,11,)/VLOOKUP($D116,$C$5:$AJ$470,4,))*$F116))</f>
        <v>0</v>
      </c>
      <c r="N116" s="19"/>
      <c r="O116" s="19">
        <f>IF(VLOOKUP($D116,$C$5:$AJ$470,13,)=0,0,((VLOOKUP($D116,$C$5:$AJ$470,13,)/VLOOKUP($D116,$C$5:$AJ$470,4,))*$F116))</f>
        <v>0</v>
      </c>
      <c r="P116" s="19">
        <f>IF(VLOOKUP($D116,$C$5:$AJ$470,14,)=0,0,((VLOOKUP($D116,$C$5:$AJ$470,14,)/VLOOKUP($D116,$C$5:$AJ$470,4,))*$F116))</f>
        <v>0</v>
      </c>
      <c r="Q116" s="19">
        <f>IF(VLOOKUP($D116,$C$5:$AJ$470,15,)=0,0,((VLOOKUP($D116,$C$5:$AJ$470,15,)/VLOOKUP($D116,$C$5:$AJ$470,4,))*$F116))</f>
        <v>0</v>
      </c>
      <c r="R116" s="19"/>
      <c r="S116" s="19">
        <f>IF(VLOOKUP($D116,$C$5:$AJ$470,17,)=0,0,((VLOOKUP($D116,$C$5:$AJ$470,17,)/VLOOKUP($D116,$C$5:$AJ$470,4,))*$F116))</f>
        <v>0</v>
      </c>
      <c r="T116" s="19">
        <f>IF(VLOOKUP($D116,$C$5:$AJ$470,18,)=0,0,((VLOOKUP($D116,$C$5:$AJ$470,18,)/VLOOKUP($D116,$C$5:$AJ$470,4,))*$F116))</f>
        <v>0</v>
      </c>
      <c r="U116" s="19">
        <f>IF(VLOOKUP($D116,$C$5:$AJ$470,19,)=0,0,((VLOOKUP($D116,$C$5:$AJ$470,19,)/VLOOKUP($D116,$C$5:$AJ$470,4,))*$F116))</f>
        <v>0</v>
      </c>
      <c r="V116" s="19">
        <f>IF(VLOOKUP($D116,$C$5:$AJ$470,20,)=0,0,((VLOOKUP($D116,$C$5:$AJ$470,20,)/VLOOKUP($D116,$C$5:$AJ$470,4,))*$F116))</f>
        <v>0</v>
      </c>
      <c r="W116" s="19">
        <f>IF(VLOOKUP($D116,$C$5:$AJ$470,21,)=0,0,((VLOOKUP($D116,$C$5:$AJ$470,21,)/VLOOKUP($D116,$C$5:$AJ$470,4,))*$F116))</f>
        <v>0</v>
      </c>
      <c r="X116" s="19">
        <f>IF(VLOOKUP($D116,$C$5:$AJ$470,22,)=0,0,((VLOOKUP($D116,$C$5:$AJ$470,22,)/VLOOKUP($D116,$C$5:$AJ$470,4,))*$F116))</f>
        <v>0</v>
      </c>
      <c r="Y116" s="19">
        <f>IF(VLOOKUP($D116,$C$5:$AJ$470,23,)=0,0,((VLOOKUP($D116,$C$5:$AJ$470,23,)/VLOOKUP($D116,$C$5:$AJ$470,4,))*$F116))</f>
        <v>0</v>
      </c>
      <c r="Z116" s="19">
        <f>IF(VLOOKUP($D116,$C$5:$AJ$470,24,)=0,0,((VLOOKUP($D116,$C$5:$AJ$470,24,)/VLOOKUP($D116,$C$5:$AJ$470,4,))*$F116))</f>
        <v>0</v>
      </c>
      <c r="AA116" s="19">
        <f>IF(VLOOKUP($D116,$C$5:$AJ$470,25,)=0,0,((VLOOKUP($D116,$C$5:$AJ$470,25,)/VLOOKUP($D116,$C$5:$AJ$470,4,))*$F116))</f>
        <v>0</v>
      </c>
      <c r="AB116" s="19">
        <f>IF(VLOOKUP($D116,$C$5:$AJ$470,26,)=0,0,((VLOOKUP($D116,$C$5:$AJ$470,26,)/VLOOKUP($D116,$C$5:$AJ$470,4,))*$F116))</f>
        <v>0</v>
      </c>
      <c r="AC116" s="19">
        <f>IF(VLOOKUP($D116,$C$5:$AJ$470,27,)=0,0,((VLOOKUP($D116,$C$5:$AJ$470,27,)/VLOOKUP($D116,$C$5:$AJ$470,4,))*$F116))</f>
        <v>0</v>
      </c>
      <c r="AD116" s="19">
        <f>IF(VLOOKUP($D116,$C$5:$AJ$470,28,)=0,0,((VLOOKUP($D116,$C$5:$AJ$470,28,)/VLOOKUP($D116,$C$5:$AJ$470,4,))*$F116))</f>
        <v>0</v>
      </c>
      <c r="AE116" s="19"/>
      <c r="AF116" s="19">
        <f>IF(VLOOKUP($D116,$C$5:$AJ$470,30,)=0,0,((VLOOKUP($D116,$C$5:$AJ$470,30,)/VLOOKUP($D116,$C$5:$AJ$470,4,))*$F116))</f>
        <v>0</v>
      </c>
      <c r="AG116" s="19"/>
      <c r="AH116" s="19">
        <f>IF(VLOOKUP($D116,$C$5:$AJ$470,32,)=0,0,((VLOOKUP($D116,$C$5:$AJ$470,32,)/VLOOKUP($D116,$C$5:$AJ$470,4,))*$F116))</f>
        <v>0</v>
      </c>
      <c r="AI116" s="19"/>
      <c r="AJ116" s="19">
        <f>IF(VLOOKUP($D116,$C$5:$AJ$470,34,)=0,0,((VLOOKUP($D116,$C$5:$AJ$470,34,)/VLOOKUP($D116,$C$5:$AJ$470,4,))*$F116))</f>
        <v>0</v>
      </c>
      <c r="AK116" s="19">
        <f>SUM(H116:AJ116)</f>
        <v>0</v>
      </c>
      <c r="AL116" s="15" t="str">
        <f>IF(ABS(AK116-F116)&lt;1,"ok","err")</f>
        <v>ok</v>
      </c>
    </row>
    <row r="117" spans="1:38" x14ac:dyDescent="0.3">
      <c r="F117" s="44"/>
      <c r="Y117" s="2"/>
      <c r="AK117" s="19"/>
      <c r="AL117" s="15"/>
    </row>
    <row r="118" spans="1:38" x14ac:dyDescent="0.3">
      <c r="B118" s="2" t="s">
        <v>157</v>
      </c>
      <c r="F118" s="44">
        <f>SUM(F112:F117)</f>
        <v>33556333.189999998</v>
      </c>
      <c r="H118" s="18">
        <f t="shared" ref="H118:M118" si="75">SUM(H112:H117)</f>
        <v>7304323.165145928</v>
      </c>
      <c r="I118" s="18">
        <f t="shared" si="75"/>
        <v>9011587.4165985025</v>
      </c>
      <c r="J118" s="18">
        <f t="shared" si="75"/>
        <v>8385419.5608109981</v>
      </c>
      <c r="K118" s="18">
        <f t="shared" si="75"/>
        <v>8759171.6491889991</v>
      </c>
      <c r="L118" s="18">
        <f t="shared" si="75"/>
        <v>95831.398255571083</v>
      </c>
      <c r="M118" s="18">
        <f t="shared" si="75"/>
        <v>0</v>
      </c>
      <c r="O118" s="18">
        <f>SUM(O112:O117)</f>
        <v>0</v>
      </c>
      <c r="P118" s="18">
        <f>SUM(P112:P117)</f>
        <v>0</v>
      </c>
      <c r="Q118" s="18">
        <f>SUM(Q112:Q117)</f>
        <v>0</v>
      </c>
      <c r="S118" s="18">
        <f t="shared" ref="S118:AD118" si="76">SUM(S112:S117)</f>
        <v>0</v>
      </c>
      <c r="T118" s="18">
        <f t="shared" si="76"/>
        <v>0</v>
      </c>
      <c r="U118" s="18">
        <f t="shared" si="76"/>
        <v>0</v>
      </c>
      <c r="V118" s="18">
        <f t="shared" si="76"/>
        <v>0</v>
      </c>
      <c r="W118" s="18">
        <f t="shared" si="76"/>
        <v>0</v>
      </c>
      <c r="X118" s="18">
        <f t="shared" si="76"/>
        <v>0</v>
      </c>
      <c r="Y118" s="18">
        <f t="shared" si="76"/>
        <v>0</v>
      </c>
      <c r="Z118" s="18">
        <f t="shared" si="76"/>
        <v>0</v>
      </c>
      <c r="AA118" s="18">
        <f t="shared" si="76"/>
        <v>0</v>
      </c>
      <c r="AB118" s="18">
        <f t="shared" si="76"/>
        <v>0</v>
      </c>
      <c r="AC118" s="18">
        <f t="shared" si="76"/>
        <v>0</v>
      </c>
      <c r="AD118" s="18">
        <f t="shared" si="76"/>
        <v>0</v>
      </c>
      <c r="AF118" s="18">
        <f>SUM(AF112:AF117)</f>
        <v>0</v>
      </c>
      <c r="AH118" s="18">
        <f>SUM(AH112:AH117)</f>
        <v>0</v>
      </c>
      <c r="AJ118" s="18">
        <f>SUM(AJ112:AJ117)</f>
        <v>0</v>
      </c>
      <c r="AK118" s="19">
        <f>SUM(H118:AJ118)</f>
        <v>33556333.189999998</v>
      </c>
      <c r="AL118" s="15" t="str">
        <f>IF(ABS(AK118-F118)&lt;1,"ok","err")</f>
        <v>ok</v>
      </c>
    </row>
    <row r="119" spans="1:38" x14ac:dyDescent="0.3">
      <c r="F119" s="44"/>
      <c r="Y119" s="2"/>
      <c r="AL119" s="15"/>
    </row>
    <row r="120" spans="1:38" x14ac:dyDescent="0.3">
      <c r="A120" s="3" t="s">
        <v>158</v>
      </c>
      <c r="F120" s="44"/>
      <c r="Y120" s="2"/>
      <c r="AL120" s="15"/>
    </row>
    <row r="121" spans="1:38" x14ac:dyDescent="0.3">
      <c r="A121" s="2">
        <v>551</v>
      </c>
      <c r="B121" s="2" t="s">
        <v>135</v>
      </c>
      <c r="C121" s="2" t="s">
        <v>159</v>
      </c>
      <c r="D121" s="2" t="s">
        <v>28</v>
      </c>
      <c r="F121" s="44">
        <v>620018.82999999996</v>
      </c>
      <c r="H121" s="19">
        <f>IF(VLOOKUP($D121,$C$5:$AJ$470,6,)=0,0,((VLOOKUP($D121,$C$5:$AJ$470,6,)/VLOOKUP($D121,$C$5:$AJ$470,4,))*$F121))</f>
        <v>275949.8600644996</v>
      </c>
      <c r="I121" s="19">
        <f>IF(VLOOKUP($D121,$C$5:$AJ$470,7,)=0,0,((VLOOKUP($D121,$C$5:$AJ$470,7,)/VLOOKUP($D121,$C$5:$AJ$470,4,))*$F121))</f>
        <v>340448.55770283844</v>
      </c>
      <c r="J121" s="19">
        <f>IF(VLOOKUP($D121,$C$5:$AJ$470,8,)=0,0,((VLOOKUP($D121,$C$5:$AJ$470,8,)/VLOOKUP($D121,$C$5:$AJ$470,4,))*$F121))</f>
        <v>0</v>
      </c>
      <c r="K121" s="19">
        <f>IF(VLOOKUP($D121,$C$5:$AJ$470,9,)=0,0,((VLOOKUP($D121,$C$5:$AJ$470,9,)/VLOOKUP($D121,$C$5:$AJ$470,4,))*$F121))</f>
        <v>0</v>
      </c>
      <c r="L121" s="19">
        <f>IF(VLOOKUP($D121,$C$5:$AJ$470,10,)=0,0,((VLOOKUP($D121,$C$5:$AJ$470,10,)/VLOOKUP($D121,$C$5:$AJ$470,4,))*$F121))</f>
        <v>3620.4122326619236</v>
      </c>
      <c r="M121" s="19">
        <f>IF(VLOOKUP($D121,$C$5:$AJ$470,11,)=0,0,((VLOOKUP($D121,$C$5:$AJ$470,11,)/VLOOKUP($D121,$C$5:$AJ$470,4,))*$F121))</f>
        <v>0</v>
      </c>
      <c r="N121" s="19"/>
      <c r="O121" s="19">
        <f>IF(VLOOKUP($D121,$C$5:$AJ$470,13,)=0,0,((VLOOKUP($D121,$C$5:$AJ$470,13,)/VLOOKUP($D121,$C$5:$AJ$470,4,))*$F121))</f>
        <v>0</v>
      </c>
      <c r="P121" s="19">
        <f>IF(VLOOKUP($D121,$C$5:$AJ$470,14,)=0,0,((VLOOKUP($D121,$C$5:$AJ$470,14,)/VLOOKUP($D121,$C$5:$AJ$470,4,))*$F121))</f>
        <v>0</v>
      </c>
      <c r="Q121" s="19">
        <f>IF(VLOOKUP($D121,$C$5:$AJ$470,15,)=0,0,((VLOOKUP($D121,$C$5:$AJ$470,15,)/VLOOKUP($D121,$C$5:$AJ$470,4,))*$F121))</f>
        <v>0</v>
      </c>
      <c r="R121" s="19"/>
      <c r="S121" s="19">
        <f>IF(VLOOKUP($D121,$C$5:$AJ$470,17,)=0,0,((VLOOKUP($D121,$C$5:$AJ$470,17,)/VLOOKUP($D121,$C$5:$AJ$470,4,))*$F121))</f>
        <v>0</v>
      </c>
      <c r="T121" s="19">
        <f>IF(VLOOKUP($D121,$C$5:$AJ$470,18,)=0,0,((VLOOKUP($D121,$C$5:$AJ$470,18,)/VLOOKUP($D121,$C$5:$AJ$470,4,))*$F121))</f>
        <v>0</v>
      </c>
      <c r="U121" s="19">
        <f>IF(VLOOKUP($D121,$C$5:$AJ$470,19,)=0,0,((VLOOKUP($D121,$C$5:$AJ$470,19,)/VLOOKUP($D121,$C$5:$AJ$470,4,))*$F121))</f>
        <v>0</v>
      </c>
      <c r="V121" s="19">
        <f>IF(VLOOKUP($D121,$C$5:$AJ$470,20,)=0,0,((VLOOKUP($D121,$C$5:$AJ$470,20,)/VLOOKUP($D121,$C$5:$AJ$470,4,))*$F121))</f>
        <v>0</v>
      </c>
      <c r="W121" s="19">
        <f>IF(VLOOKUP($D121,$C$5:$AJ$470,21,)=0,0,((VLOOKUP($D121,$C$5:$AJ$470,21,)/VLOOKUP($D121,$C$5:$AJ$470,4,))*$F121))</f>
        <v>0</v>
      </c>
      <c r="X121" s="19">
        <f>IF(VLOOKUP($D121,$C$5:$AJ$470,22,)=0,0,((VLOOKUP($D121,$C$5:$AJ$470,22,)/VLOOKUP($D121,$C$5:$AJ$470,4,))*$F121))</f>
        <v>0</v>
      </c>
      <c r="Y121" s="19">
        <f>IF(VLOOKUP($D121,$C$5:$AJ$470,23,)=0,0,((VLOOKUP($D121,$C$5:$AJ$470,23,)/VLOOKUP($D121,$C$5:$AJ$470,4,))*$F121))</f>
        <v>0</v>
      </c>
      <c r="Z121" s="19">
        <f>IF(VLOOKUP($D121,$C$5:$AJ$470,24,)=0,0,((VLOOKUP($D121,$C$5:$AJ$470,24,)/VLOOKUP($D121,$C$5:$AJ$470,4,))*$F121))</f>
        <v>0</v>
      </c>
      <c r="AA121" s="19">
        <f>IF(VLOOKUP($D121,$C$5:$AJ$470,25,)=0,0,((VLOOKUP($D121,$C$5:$AJ$470,25,)/VLOOKUP($D121,$C$5:$AJ$470,4,))*$F121))</f>
        <v>0</v>
      </c>
      <c r="AB121" s="19">
        <f>IF(VLOOKUP($D121,$C$5:$AJ$470,26,)=0,0,((VLOOKUP($D121,$C$5:$AJ$470,26,)/VLOOKUP($D121,$C$5:$AJ$470,4,))*$F121))</f>
        <v>0</v>
      </c>
      <c r="AC121" s="19">
        <f>IF(VLOOKUP($D121,$C$5:$AJ$470,27,)=0,0,((VLOOKUP($D121,$C$5:$AJ$470,27,)/VLOOKUP($D121,$C$5:$AJ$470,4,))*$F121))</f>
        <v>0</v>
      </c>
      <c r="AD121" s="19">
        <f>IF(VLOOKUP($D121,$C$5:$AJ$470,28,)=0,0,((VLOOKUP($D121,$C$5:$AJ$470,28,)/VLOOKUP($D121,$C$5:$AJ$470,4,))*$F121))</f>
        <v>0</v>
      </c>
      <c r="AE121" s="19"/>
      <c r="AF121" s="19">
        <f>IF(VLOOKUP($D121,$C$5:$AJ$470,30,)=0,0,((VLOOKUP($D121,$C$5:$AJ$470,30,)/VLOOKUP($D121,$C$5:$AJ$470,4,))*$F121))</f>
        <v>0</v>
      </c>
      <c r="AG121" s="19"/>
      <c r="AH121" s="19">
        <f>IF(VLOOKUP($D121,$C$5:$AJ$470,32,)=0,0,((VLOOKUP($D121,$C$5:$AJ$470,32,)/VLOOKUP($D121,$C$5:$AJ$470,4,))*$F121))</f>
        <v>0</v>
      </c>
      <c r="AI121" s="19"/>
      <c r="AJ121" s="19">
        <f>IF(VLOOKUP($D121,$C$5:$AJ$470,34,)=0,0,((VLOOKUP($D121,$C$5:$AJ$470,34,)/VLOOKUP($D121,$C$5:$AJ$470,4,))*$F121))</f>
        <v>0</v>
      </c>
      <c r="AK121" s="19">
        <f>SUM(H121:AJ121)</f>
        <v>620018.82999999996</v>
      </c>
      <c r="AL121" s="15" t="str">
        <f>IF(ABS(AK121-F121)&lt;1,"ok","err")</f>
        <v>ok</v>
      </c>
    </row>
    <row r="122" spans="1:38" x14ac:dyDescent="0.3">
      <c r="A122" s="2">
        <v>552</v>
      </c>
      <c r="B122" s="2" t="s">
        <v>137</v>
      </c>
      <c r="C122" s="2" t="s">
        <v>160</v>
      </c>
      <c r="D122" s="2" t="s">
        <v>28</v>
      </c>
      <c r="F122" s="44">
        <v>1650832.7000000002</v>
      </c>
      <c r="H122" s="19">
        <f>IF(VLOOKUP($D122,$C$5:$AJ$470,6,)=0,0,((VLOOKUP($D122,$C$5:$AJ$470,6,)/VLOOKUP($D122,$C$5:$AJ$470,4,))*$F122))</f>
        <v>734730.99608103861</v>
      </c>
      <c r="I122" s="19">
        <f>IF(VLOOKUP($D122,$C$5:$AJ$470,7,)=0,0,((VLOOKUP($D122,$C$5:$AJ$470,7,)/VLOOKUP($D122,$C$5:$AJ$470,4,))*$F122))</f>
        <v>906462.16619531158</v>
      </c>
      <c r="J122" s="19">
        <f>IF(VLOOKUP($D122,$C$5:$AJ$470,8,)=0,0,((VLOOKUP($D122,$C$5:$AJ$470,8,)/VLOOKUP($D122,$C$5:$AJ$470,4,))*$F122))</f>
        <v>0</v>
      </c>
      <c r="K122" s="19">
        <f>IF(VLOOKUP($D122,$C$5:$AJ$470,9,)=0,0,((VLOOKUP($D122,$C$5:$AJ$470,9,)/VLOOKUP($D122,$C$5:$AJ$470,4,))*$F122))</f>
        <v>0</v>
      </c>
      <c r="L122" s="19">
        <f>IF(VLOOKUP($D122,$C$5:$AJ$470,10,)=0,0,((VLOOKUP($D122,$C$5:$AJ$470,10,)/VLOOKUP($D122,$C$5:$AJ$470,4,))*$F122))</f>
        <v>9639.5377236499626</v>
      </c>
      <c r="M122" s="19">
        <f>IF(VLOOKUP($D122,$C$5:$AJ$470,11,)=0,0,((VLOOKUP($D122,$C$5:$AJ$470,11,)/VLOOKUP($D122,$C$5:$AJ$470,4,))*$F122))</f>
        <v>0</v>
      </c>
      <c r="N122" s="19"/>
      <c r="O122" s="19">
        <f>IF(VLOOKUP($D122,$C$5:$AJ$470,13,)=0,0,((VLOOKUP($D122,$C$5:$AJ$470,13,)/VLOOKUP($D122,$C$5:$AJ$470,4,))*$F122))</f>
        <v>0</v>
      </c>
      <c r="P122" s="19">
        <f>IF(VLOOKUP($D122,$C$5:$AJ$470,14,)=0,0,((VLOOKUP($D122,$C$5:$AJ$470,14,)/VLOOKUP($D122,$C$5:$AJ$470,4,))*$F122))</f>
        <v>0</v>
      </c>
      <c r="Q122" s="19">
        <f>IF(VLOOKUP($D122,$C$5:$AJ$470,15,)=0,0,((VLOOKUP($D122,$C$5:$AJ$470,15,)/VLOOKUP($D122,$C$5:$AJ$470,4,))*$F122))</f>
        <v>0</v>
      </c>
      <c r="R122" s="19"/>
      <c r="S122" s="19">
        <f>IF(VLOOKUP($D122,$C$5:$AJ$470,17,)=0,0,((VLOOKUP($D122,$C$5:$AJ$470,17,)/VLOOKUP($D122,$C$5:$AJ$470,4,))*$F122))</f>
        <v>0</v>
      </c>
      <c r="T122" s="19">
        <f>IF(VLOOKUP($D122,$C$5:$AJ$470,18,)=0,0,((VLOOKUP($D122,$C$5:$AJ$470,18,)/VLOOKUP($D122,$C$5:$AJ$470,4,))*$F122))</f>
        <v>0</v>
      </c>
      <c r="U122" s="19">
        <f>IF(VLOOKUP($D122,$C$5:$AJ$470,19,)=0,0,((VLOOKUP($D122,$C$5:$AJ$470,19,)/VLOOKUP($D122,$C$5:$AJ$470,4,))*$F122))</f>
        <v>0</v>
      </c>
      <c r="V122" s="19">
        <f>IF(VLOOKUP($D122,$C$5:$AJ$470,20,)=0,0,((VLOOKUP($D122,$C$5:$AJ$470,20,)/VLOOKUP($D122,$C$5:$AJ$470,4,))*$F122))</f>
        <v>0</v>
      </c>
      <c r="W122" s="19">
        <f>IF(VLOOKUP($D122,$C$5:$AJ$470,21,)=0,0,((VLOOKUP($D122,$C$5:$AJ$470,21,)/VLOOKUP($D122,$C$5:$AJ$470,4,))*$F122))</f>
        <v>0</v>
      </c>
      <c r="X122" s="19">
        <f>IF(VLOOKUP($D122,$C$5:$AJ$470,22,)=0,0,((VLOOKUP($D122,$C$5:$AJ$470,22,)/VLOOKUP($D122,$C$5:$AJ$470,4,))*$F122))</f>
        <v>0</v>
      </c>
      <c r="Y122" s="19">
        <f>IF(VLOOKUP($D122,$C$5:$AJ$470,23,)=0,0,((VLOOKUP($D122,$C$5:$AJ$470,23,)/VLOOKUP($D122,$C$5:$AJ$470,4,))*$F122))</f>
        <v>0</v>
      </c>
      <c r="Z122" s="19">
        <f>IF(VLOOKUP($D122,$C$5:$AJ$470,24,)=0,0,((VLOOKUP($D122,$C$5:$AJ$470,24,)/VLOOKUP($D122,$C$5:$AJ$470,4,))*$F122))</f>
        <v>0</v>
      </c>
      <c r="AA122" s="19">
        <f>IF(VLOOKUP($D122,$C$5:$AJ$470,25,)=0,0,((VLOOKUP($D122,$C$5:$AJ$470,25,)/VLOOKUP($D122,$C$5:$AJ$470,4,))*$F122))</f>
        <v>0</v>
      </c>
      <c r="AB122" s="19">
        <f>IF(VLOOKUP($D122,$C$5:$AJ$470,26,)=0,0,((VLOOKUP($D122,$C$5:$AJ$470,26,)/VLOOKUP($D122,$C$5:$AJ$470,4,))*$F122))</f>
        <v>0</v>
      </c>
      <c r="AC122" s="19">
        <f>IF(VLOOKUP($D122,$C$5:$AJ$470,27,)=0,0,((VLOOKUP($D122,$C$5:$AJ$470,27,)/VLOOKUP($D122,$C$5:$AJ$470,4,))*$F122))</f>
        <v>0</v>
      </c>
      <c r="AD122" s="19">
        <f>IF(VLOOKUP($D122,$C$5:$AJ$470,28,)=0,0,((VLOOKUP($D122,$C$5:$AJ$470,28,)/VLOOKUP($D122,$C$5:$AJ$470,4,))*$F122))</f>
        <v>0</v>
      </c>
      <c r="AE122" s="19"/>
      <c r="AF122" s="19">
        <f>IF(VLOOKUP($D122,$C$5:$AJ$470,30,)=0,0,((VLOOKUP($D122,$C$5:$AJ$470,30,)/VLOOKUP($D122,$C$5:$AJ$470,4,))*$F122))</f>
        <v>0</v>
      </c>
      <c r="AG122" s="19"/>
      <c r="AH122" s="19">
        <f>IF(VLOOKUP($D122,$C$5:$AJ$470,32,)=0,0,((VLOOKUP($D122,$C$5:$AJ$470,32,)/VLOOKUP($D122,$C$5:$AJ$470,4,))*$F122))</f>
        <v>0</v>
      </c>
      <c r="AI122" s="19"/>
      <c r="AJ122" s="19">
        <f>IF(VLOOKUP($D122,$C$5:$AJ$470,34,)=0,0,((VLOOKUP($D122,$C$5:$AJ$470,34,)/VLOOKUP($D122,$C$5:$AJ$470,4,))*$F122))</f>
        <v>0</v>
      </c>
      <c r="AK122" s="19">
        <f>SUM(H122:AJ122)</f>
        <v>1650832.7000000002</v>
      </c>
      <c r="AL122" s="15" t="str">
        <f>IF(ABS(AK122-F122)&lt;1,"ok","err")</f>
        <v>ok</v>
      </c>
    </row>
    <row r="123" spans="1:38" x14ac:dyDescent="0.3">
      <c r="A123" s="2">
        <v>553</v>
      </c>
      <c r="B123" s="2" t="s">
        <v>161</v>
      </c>
      <c r="C123" s="2" t="s">
        <v>162</v>
      </c>
      <c r="D123" s="2" t="s">
        <v>28</v>
      </c>
      <c r="F123" s="44">
        <v>12453758.130000001</v>
      </c>
      <c r="H123" s="19">
        <f>IF(VLOOKUP($D123,$C$5:$AJ$470,6,)=0,0,((VLOOKUP($D123,$C$5:$AJ$470,6,)/VLOOKUP($D123,$C$5:$AJ$470,4,))*$F123))</f>
        <v>5542755.5534896012</v>
      </c>
      <c r="I123" s="19">
        <f>IF(VLOOKUP($D123,$C$5:$AJ$470,7,)=0,0,((VLOOKUP($D123,$C$5:$AJ$470,7,)/VLOOKUP($D123,$C$5:$AJ$470,4,))*$F123))</f>
        <v>6838282.626575226</v>
      </c>
      <c r="J123" s="19">
        <f>IF(VLOOKUP($D123,$C$5:$AJ$470,8,)=0,0,((VLOOKUP($D123,$C$5:$AJ$470,8,)/VLOOKUP($D123,$C$5:$AJ$470,4,))*$F123))</f>
        <v>0</v>
      </c>
      <c r="K123" s="19">
        <f>IF(VLOOKUP($D123,$C$5:$AJ$470,9,)=0,0,((VLOOKUP($D123,$C$5:$AJ$470,9,)/VLOOKUP($D123,$C$5:$AJ$470,4,))*$F123))</f>
        <v>0</v>
      </c>
      <c r="L123" s="19">
        <f>IF(VLOOKUP($D123,$C$5:$AJ$470,10,)=0,0,((VLOOKUP($D123,$C$5:$AJ$470,10,)/VLOOKUP($D123,$C$5:$AJ$470,4,))*$F123))</f>
        <v>72719.949935173572</v>
      </c>
      <c r="M123" s="19">
        <f>IF(VLOOKUP($D123,$C$5:$AJ$470,11,)=0,0,((VLOOKUP($D123,$C$5:$AJ$470,11,)/VLOOKUP($D123,$C$5:$AJ$470,4,))*$F123))</f>
        <v>0</v>
      </c>
      <c r="N123" s="19"/>
      <c r="O123" s="19">
        <f>IF(VLOOKUP($D123,$C$5:$AJ$470,13,)=0,0,((VLOOKUP($D123,$C$5:$AJ$470,13,)/VLOOKUP($D123,$C$5:$AJ$470,4,))*$F123))</f>
        <v>0</v>
      </c>
      <c r="P123" s="19">
        <f>IF(VLOOKUP($D123,$C$5:$AJ$470,14,)=0,0,((VLOOKUP($D123,$C$5:$AJ$470,14,)/VLOOKUP($D123,$C$5:$AJ$470,4,))*$F123))</f>
        <v>0</v>
      </c>
      <c r="Q123" s="19">
        <f>IF(VLOOKUP($D123,$C$5:$AJ$470,15,)=0,0,((VLOOKUP($D123,$C$5:$AJ$470,15,)/VLOOKUP($D123,$C$5:$AJ$470,4,))*$F123))</f>
        <v>0</v>
      </c>
      <c r="R123" s="19"/>
      <c r="S123" s="19">
        <f>IF(VLOOKUP($D123,$C$5:$AJ$470,17,)=0,0,((VLOOKUP($D123,$C$5:$AJ$470,17,)/VLOOKUP($D123,$C$5:$AJ$470,4,))*$F123))</f>
        <v>0</v>
      </c>
      <c r="T123" s="19">
        <f>IF(VLOOKUP($D123,$C$5:$AJ$470,18,)=0,0,((VLOOKUP($D123,$C$5:$AJ$470,18,)/VLOOKUP($D123,$C$5:$AJ$470,4,))*$F123))</f>
        <v>0</v>
      </c>
      <c r="U123" s="19">
        <f>IF(VLOOKUP($D123,$C$5:$AJ$470,19,)=0,0,((VLOOKUP($D123,$C$5:$AJ$470,19,)/VLOOKUP($D123,$C$5:$AJ$470,4,))*$F123))</f>
        <v>0</v>
      </c>
      <c r="V123" s="19">
        <f>IF(VLOOKUP($D123,$C$5:$AJ$470,20,)=0,0,((VLOOKUP($D123,$C$5:$AJ$470,20,)/VLOOKUP($D123,$C$5:$AJ$470,4,))*$F123))</f>
        <v>0</v>
      </c>
      <c r="W123" s="19">
        <f>IF(VLOOKUP($D123,$C$5:$AJ$470,21,)=0,0,((VLOOKUP($D123,$C$5:$AJ$470,21,)/VLOOKUP($D123,$C$5:$AJ$470,4,))*$F123))</f>
        <v>0</v>
      </c>
      <c r="X123" s="19">
        <f>IF(VLOOKUP($D123,$C$5:$AJ$470,22,)=0,0,((VLOOKUP($D123,$C$5:$AJ$470,22,)/VLOOKUP($D123,$C$5:$AJ$470,4,))*$F123))</f>
        <v>0</v>
      </c>
      <c r="Y123" s="19">
        <f>IF(VLOOKUP($D123,$C$5:$AJ$470,23,)=0,0,((VLOOKUP($D123,$C$5:$AJ$470,23,)/VLOOKUP($D123,$C$5:$AJ$470,4,))*$F123))</f>
        <v>0</v>
      </c>
      <c r="Z123" s="19">
        <f>IF(VLOOKUP($D123,$C$5:$AJ$470,24,)=0,0,((VLOOKUP($D123,$C$5:$AJ$470,24,)/VLOOKUP($D123,$C$5:$AJ$470,4,))*$F123))</f>
        <v>0</v>
      </c>
      <c r="AA123" s="19">
        <f>IF(VLOOKUP($D123,$C$5:$AJ$470,25,)=0,0,((VLOOKUP($D123,$C$5:$AJ$470,25,)/VLOOKUP($D123,$C$5:$AJ$470,4,))*$F123))</f>
        <v>0</v>
      </c>
      <c r="AB123" s="19">
        <f>IF(VLOOKUP($D123,$C$5:$AJ$470,26,)=0,0,((VLOOKUP($D123,$C$5:$AJ$470,26,)/VLOOKUP($D123,$C$5:$AJ$470,4,))*$F123))</f>
        <v>0</v>
      </c>
      <c r="AC123" s="19">
        <f>IF(VLOOKUP($D123,$C$5:$AJ$470,27,)=0,0,((VLOOKUP($D123,$C$5:$AJ$470,27,)/VLOOKUP($D123,$C$5:$AJ$470,4,))*$F123))</f>
        <v>0</v>
      </c>
      <c r="AD123" s="19">
        <f>IF(VLOOKUP($D123,$C$5:$AJ$470,28,)=0,0,((VLOOKUP($D123,$C$5:$AJ$470,28,)/VLOOKUP($D123,$C$5:$AJ$470,4,))*$F123))</f>
        <v>0</v>
      </c>
      <c r="AE123" s="19"/>
      <c r="AF123" s="19">
        <f>IF(VLOOKUP($D123,$C$5:$AJ$470,30,)=0,0,((VLOOKUP($D123,$C$5:$AJ$470,30,)/VLOOKUP($D123,$C$5:$AJ$470,4,))*$F123))</f>
        <v>0</v>
      </c>
      <c r="AG123" s="19"/>
      <c r="AH123" s="19">
        <f>IF(VLOOKUP($D123,$C$5:$AJ$470,32,)=0,0,((VLOOKUP($D123,$C$5:$AJ$470,32,)/VLOOKUP($D123,$C$5:$AJ$470,4,))*$F123))</f>
        <v>0</v>
      </c>
      <c r="AI123" s="19"/>
      <c r="AJ123" s="19">
        <f>IF(VLOOKUP($D123,$C$5:$AJ$470,34,)=0,0,((VLOOKUP($D123,$C$5:$AJ$470,34,)/VLOOKUP($D123,$C$5:$AJ$470,4,))*$F123))</f>
        <v>0</v>
      </c>
      <c r="AK123" s="19">
        <f>SUM(H123:AJ123)</f>
        <v>12453758.130000001</v>
      </c>
      <c r="AL123" s="15" t="str">
        <f>IF(ABS(AK123-F123)&lt;1,"ok","err")</f>
        <v>ok</v>
      </c>
    </row>
    <row r="124" spans="1:38" x14ac:dyDescent="0.3">
      <c r="A124" s="2">
        <v>554</v>
      </c>
      <c r="B124" s="2" t="s">
        <v>163</v>
      </c>
      <c r="C124" s="2" t="s">
        <v>164</v>
      </c>
      <c r="D124" s="2" t="s">
        <v>28</v>
      </c>
      <c r="F124" s="44">
        <v>0</v>
      </c>
      <c r="H124" s="19">
        <f>IF(VLOOKUP($D124,$C$5:$AJ$470,6,)=0,0,((VLOOKUP($D124,$C$5:$AJ$470,6,)/VLOOKUP($D124,$C$5:$AJ$470,4,))*$F124))</f>
        <v>0</v>
      </c>
      <c r="I124" s="19">
        <f>IF(VLOOKUP($D124,$C$5:$AJ$470,7,)=0,0,((VLOOKUP($D124,$C$5:$AJ$470,7,)/VLOOKUP($D124,$C$5:$AJ$470,4,))*$F124))</f>
        <v>0</v>
      </c>
      <c r="J124" s="19">
        <f>IF(VLOOKUP($D124,$C$5:$AJ$470,8,)=0,0,((VLOOKUP($D124,$C$5:$AJ$470,8,)/VLOOKUP($D124,$C$5:$AJ$470,4,))*$F124))</f>
        <v>0</v>
      </c>
      <c r="K124" s="19">
        <f>IF(VLOOKUP($D124,$C$5:$AJ$470,9,)=0,0,((VLOOKUP($D124,$C$5:$AJ$470,9,)/VLOOKUP($D124,$C$5:$AJ$470,4,))*$F124))</f>
        <v>0</v>
      </c>
      <c r="L124" s="19">
        <f>IF(VLOOKUP($D124,$C$5:$AJ$470,10,)=0,0,((VLOOKUP($D124,$C$5:$AJ$470,10,)/VLOOKUP($D124,$C$5:$AJ$470,4,))*$F124))</f>
        <v>0</v>
      </c>
      <c r="M124" s="19">
        <f>IF(VLOOKUP($D124,$C$5:$AJ$470,11,)=0,0,((VLOOKUP($D124,$C$5:$AJ$470,11,)/VLOOKUP($D124,$C$5:$AJ$470,4,))*$F124))</f>
        <v>0</v>
      </c>
      <c r="N124" s="19"/>
      <c r="O124" s="19">
        <f>IF(VLOOKUP($D124,$C$5:$AJ$470,13,)=0,0,((VLOOKUP($D124,$C$5:$AJ$470,13,)/VLOOKUP($D124,$C$5:$AJ$470,4,))*$F124))</f>
        <v>0</v>
      </c>
      <c r="P124" s="19">
        <f>IF(VLOOKUP($D124,$C$5:$AJ$470,14,)=0,0,((VLOOKUP($D124,$C$5:$AJ$470,14,)/VLOOKUP($D124,$C$5:$AJ$470,4,))*$F124))</f>
        <v>0</v>
      </c>
      <c r="Q124" s="19">
        <f>IF(VLOOKUP($D124,$C$5:$AJ$470,15,)=0,0,((VLOOKUP($D124,$C$5:$AJ$470,15,)/VLOOKUP($D124,$C$5:$AJ$470,4,))*$F124))</f>
        <v>0</v>
      </c>
      <c r="R124" s="19"/>
      <c r="S124" s="19">
        <f>IF(VLOOKUP($D124,$C$5:$AJ$470,17,)=0,0,((VLOOKUP($D124,$C$5:$AJ$470,17,)/VLOOKUP($D124,$C$5:$AJ$470,4,))*$F124))</f>
        <v>0</v>
      </c>
      <c r="T124" s="19">
        <f>IF(VLOOKUP($D124,$C$5:$AJ$470,18,)=0,0,((VLOOKUP($D124,$C$5:$AJ$470,18,)/VLOOKUP($D124,$C$5:$AJ$470,4,))*$F124))</f>
        <v>0</v>
      </c>
      <c r="U124" s="19">
        <f>IF(VLOOKUP($D124,$C$5:$AJ$470,19,)=0,0,((VLOOKUP($D124,$C$5:$AJ$470,19,)/VLOOKUP($D124,$C$5:$AJ$470,4,))*$F124))</f>
        <v>0</v>
      </c>
      <c r="V124" s="19">
        <f>IF(VLOOKUP($D124,$C$5:$AJ$470,20,)=0,0,((VLOOKUP($D124,$C$5:$AJ$470,20,)/VLOOKUP($D124,$C$5:$AJ$470,4,))*$F124))</f>
        <v>0</v>
      </c>
      <c r="W124" s="19">
        <f>IF(VLOOKUP($D124,$C$5:$AJ$470,21,)=0,0,((VLOOKUP($D124,$C$5:$AJ$470,21,)/VLOOKUP($D124,$C$5:$AJ$470,4,))*$F124))</f>
        <v>0</v>
      </c>
      <c r="X124" s="19">
        <f>IF(VLOOKUP($D124,$C$5:$AJ$470,22,)=0,0,((VLOOKUP($D124,$C$5:$AJ$470,22,)/VLOOKUP($D124,$C$5:$AJ$470,4,))*$F124))</f>
        <v>0</v>
      </c>
      <c r="Y124" s="19">
        <f>IF(VLOOKUP($D124,$C$5:$AJ$470,23,)=0,0,((VLOOKUP($D124,$C$5:$AJ$470,23,)/VLOOKUP($D124,$C$5:$AJ$470,4,))*$F124))</f>
        <v>0</v>
      </c>
      <c r="Z124" s="19">
        <f>IF(VLOOKUP($D124,$C$5:$AJ$470,24,)=0,0,((VLOOKUP($D124,$C$5:$AJ$470,24,)/VLOOKUP($D124,$C$5:$AJ$470,4,))*$F124))</f>
        <v>0</v>
      </c>
      <c r="AA124" s="19">
        <f>IF(VLOOKUP($D124,$C$5:$AJ$470,25,)=0,0,((VLOOKUP($D124,$C$5:$AJ$470,25,)/VLOOKUP($D124,$C$5:$AJ$470,4,))*$F124))</f>
        <v>0</v>
      </c>
      <c r="AB124" s="19">
        <f>IF(VLOOKUP($D124,$C$5:$AJ$470,26,)=0,0,((VLOOKUP($D124,$C$5:$AJ$470,26,)/VLOOKUP($D124,$C$5:$AJ$470,4,))*$F124))</f>
        <v>0</v>
      </c>
      <c r="AC124" s="19">
        <f>IF(VLOOKUP($D124,$C$5:$AJ$470,27,)=0,0,((VLOOKUP($D124,$C$5:$AJ$470,27,)/VLOOKUP($D124,$C$5:$AJ$470,4,))*$F124))</f>
        <v>0</v>
      </c>
      <c r="AD124" s="19">
        <f>IF(VLOOKUP($D124,$C$5:$AJ$470,28,)=0,0,((VLOOKUP($D124,$C$5:$AJ$470,28,)/VLOOKUP($D124,$C$5:$AJ$470,4,))*$F124))</f>
        <v>0</v>
      </c>
      <c r="AE124" s="19"/>
      <c r="AF124" s="19">
        <f>IF(VLOOKUP($D124,$C$5:$AJ$470,30,)=0,0,((VLOOKUP($D124,$C$5:$AJ$470,30,)/VLOOKUP($D124,$C$5:$AJ$470,4,))*$F124))</f>
        <v>0</v>
      </c>
      <c r="AG124" s="19"/>
      <c r="AH124" s="19">
        <f>IF(VLOOKUP($D124,$C$5:$AJ$470,32,)=0,0,((VLOOKUP($D124,$C$5:$AJ$470,32,)/VLOOKUP($D124,$C$5:$AJ$470,4,))*$F124))</f>
        <v>0</v>
      </c>
      <c r="AI124" s="19"/>
      <c r="AJ124" s="19">
        <f>IF(VLOOKUP($D124,$C$5:$AJ$470,34,)=0,0,((VLOOKUP($D124,$C$5:$AJ$470,34,)/VLOOKUP($D124,$C$5:$AJ$470,4,))*$F124))</f>
        <v>0</v>
      </c>
      <c r="AK124" s="19">
        <f>SUM(H124:AJ124)</f>
        <v>0</v>
      </c>
      <c r="AL124" s="15" t="str">
        <f>IF(ABS(AK124-F124)&lt;1,"ok","err")</f>
        <v>ok</v>
      </c>
    </row>
    <row r="125" spans="1:38" x14ac:dyDescent="0.3">
      <c r="F125" s="44"/>
      <c r="Y125" s="2"/>
      <c r="AL125" s="15"/>
    </row>
    <row r="126" spans="1:38" x14ac:dyDescent="0.3">
      <c r="B126" s="2" t="s">
        <v>165</v>
      </c>
      <c r="F126" s="44">
        <f>SUM(F121:F125)</f>
        <v>14724609.66</v>
      </c>
      <c r="H126" s="18">
        <f t="shared" ref="H126:M126" si="77">SUM(H121:H125)</f>
        <v>6553436.4096351396</v>
      </c>
      <c r="I126" s="18">
        <f t="shared" si="77"/>
        <v>8085193.350473376</v>
      </c>
      <c r="J126" s="18">
        <f t="shared" si="77"/>
        <v>0</v>
      </c>
      <c r="K126" s="18">
        <f t="shared" si="77"/>
        <v>0</v>
      </c>
      <c r="L126" s="18">
        <f t="shared" si="77"/>
        <v>85979.89989148546</v>
      </c>
      <c r="M126" s="18">
        <f t="shared" si="77"/>
        <v>0</v>
      </c>
      <c r="O126" s="18">
        <f>SUM(O121:O125)</f>
        <v>0</v>
      </c>
      <c r="P126" s="18">
        <f>SUM(P121:P125)</f>
        <v>0</v>
      </c>
      <c r="Q126" s="18">
        <f>SUM(Q121:Q125)</f>
        <v>0</v>
      </c>
      <c r="S126" s="18">
        <f t="shared" ref="S126:AD126" si="78">SUM(S121:S125)</f>
        <v>0</v>
      </c>
      <c r="T126" s="18">
        <f t="shared" si="78"/>
        <v>0</v>
      </c>
      <c r="U126" s="18">
        <f t="shared" si="78"/>
        <v>0</v>
      </c>
      <c r="V126" s="18">
        <f t="shared" si="78"/>
        <v>0</v>
      </c>
      <c r="W126" s="18">
        <f t="shared" si="78"/>
        <v>0</v>
      </c>
      <c r="X126" s="18">
        <f t="shared" si="78"/>
        <v>0</v>
      </c>
      <c r="Y126" s="18">
        <f t="shared" si="78"/>
        <v>0</v>
      </c>
      <c r="Z126" s="18">
        <f t="shared" si="78"/>
        <v>0</v>
      </c>
      <c r="AA126" s="18">
        <f t="shared" si="78"/>
        <v>0</v>
      </c>
      <c r="AB126" s="18">
        <f t="shared" si="78"/>
        <v>0</v>
      </c>
      <c r="AC126" s="18">
        <f t="shared" si="78"/>
        <v>0</v>
      </c>
      <c r="AD126" s="18">
        <f t="shared" si="78"/>
        <v>0</v>
      </c>
      <c r="AF126" s="18">
        <f>SUM(AF121:AF125)</f>
        <v>0</v>
      </c>
      <c r="AH126" s="18">
        <f>SUM(AH121:AH125)</f>
        <v>0</v>
      </c>
      <c r="AJ126" s="18">
        <f>SUM(AJ121:AJ125)</f>
        <v>0</v>
      </c>
      <c r="AK126" s="19">
        <f>SUM(H126:AJ126)</f>
        <v>14724609.66</v>
      </c>
      <c r="AL126" s="15" t="str">
        <f>IF(ABS(AK126-F126)&lt;1,"ok","err")</f>
        <v>ok</v>
      </c>
    </row>
    <row r="127" spans="1:38" x14ac:dyDescent="0.3">
      <c r="F127" s="44"/>
      <c r="H127" s="18"/>
      <c r="I127" s="18"/>
      <c r="J127" s="18"/>
      <c r="K127" s="18"/>
      <c r="L127" s="18"/>
      <c r="M127" s="18"/>
      <c r="O127" s="18"/>
      <c r="P127" s="18"/>
      <c r="Q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F127" s="18"/>
      <c r="AH127" s="18"/>
      <c r="AJ127" s="18"/>
      <c r="AK127" s="19"/>
      <c r="AL127" s="15"/>
    </row>
    <row r="128" spans="1:38" x14ac:dyDescent="0.3">
      <c r="B128" s="2" t="s">
        <v>166</v>
      </c>
      <c r="F128" s="44">
        <f>F118+F126</f>
        <v>48280942.849999994</v>
      </c>
      <c r="H128" s="18">
        <f t="shared" ref="H128:M128" si="79">H118+H126</f>
        <v>13857759.574781068</v>
      </c>
      <c r="I128" s="18">
        <f t="shared" si="79"/>
        <v>17096780.76707188</v>
      </c>
      <c r="J128" s="18">
        <f t="shared" si="79"/>
        <v>8385419.5608109981</v>
      </c>
      <c r="K128" s="18">
        <f t="shared" si="79"/>
        <v>8759171.6491889991</v>
      </c>
      <c r="L128" s="18">
        <f t="shared" si="79"/>
        <v>181811.29814705654</v>
      </c>
      <c r="M128" s="18">
        <f t="shared" si="79"/>
        <v>0</v>
      </c>
      <c r="O128" s="18">
        <f>O118+O126</f>
        <v>0</v>
      </c>
      <c r="P128" s="18">
        <f>P118+P126</f>
        <v>0</v>
      </c>
      <c r="Q128" s="18">
        <f>Q118+Q126</f>
        <v>0</v>
      </c>
      <c r="S128" s="18">
        <f t="shared" ref="S128:AD128" si="80">S118+S126</f>
        <v>0</v>
      </c>
      <c r="T128" s="18">
        <f t="shared" si="80"/>
        <v>0</v>
      </c>
      <c r="U128" s="18">
        <f t="shared" si="80"/>
        <v>0</v>
      </c>
      <c r="V128" s="18">
        <f t="shared" si="80"/>
        <v>0</v>
      </c>
      <c r="W128" s="18">
        <f t="shared" si="80"/>
        <v>0</v>
      </c>
      <c r="X128" s="18">
        <f t="shared" si="80"/>
        <v>0</v>
      </c>
      <c r="Y128" s="18">
        <f t="shared" si="80"/>
        <v>0</v>
      </c>
      <c r="Z128" s="18">
        <f t="shared" si="80"/>
        <v>0</v>
      </c>
      <c r="AA128" s="18">
        <f t="shared" si="80"/>
        <v>0</v>
      </c>
      <c r="AB128" s="18">
        <f t="shared" si="80"/>
        <v>0</v>
      </c>
      <c r="AC128" s="18">
        <f t="shared" si="80"/>
        <v>0</v>
      </c>
      <c r="AD128" s="18">
        <f t="shared" si="80"/>
        <v>0</v>
      </c>
      <c r="AF128" s="18">
        <f>AF118+AF126</f>
        <v>0</v>
      </c>
      <c r="AH128" s="18">
        <f>AH118+AH126</f>
        <v>0</v>
      </c>
      <c r="AJ128" s="18">
        <f>AJ118+AJ126</f>
        <v>0</v>
      </c>
      <c r="AK128" s="19">
        <f>SUM(H128:AJ128)</f>
        <v>48280942.850000001</v>
      </c>
      <c r="AL128" s="15" t="str">
        <f>IF(ABS(AK128-F128)&lt;1,"ok","err")</f>
        <v>ok</v>
      </c>
    </row>
    <row r="129" spans="1:38" x14ac:dyDescent="0.3">
      <c r="F129" s="44"/>
      <c r="H129" s="18"/>
      <c r="I129" s="18"/>
      <c r="J129" s="18"/>
      <c r="K129" s="18"/>
      <c r="L129" s="18"/>
      <c r="M129" s="18"/>
      <c r="O129" s="18"/>
      <c r="P129" s="18"/>
      <c r="Q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F129" s="18"/>
      <c r="AH129" s="18"/>
      <c r="AJ129" s="18"/>
      <c r="AK129" s="19"/>
      <c r="AL129" s="15"/>
    </row>
    <row r="130" spans="1:38" x14ac:dyDescent="0.3">
      <c r="B130" s="2" t="s">
        <v>167</v>
      </c>
      <c r="F130" s="44">
        <f>F107+F128</f>
        <v>544602304.08000004</v>
      </c>
      <c r="G130" s="18"/>
      <c r="H130" s="18">
        <f t="shared" ref="H130:AJ130" si="81">H107+H128</f>
        <v>49403929.80117023</v>
      </c>
      <c r="I130" s="18">
        <f t="shared" si="81"/>
        <v>60951278.039167501</v>
      </c>
      <c r="J130" s="18">
        <f t="shared" si="81"/>
        <v>204546995.29675472</v>
      </c>
      <c r="K130" s="18">
        <f t="shared" si="81"/>
        <v>222919452.21561316</v>
      </c>
      <c r="L130" s="18">
        <f t="shared" si="81"/>
        <v>6780648.7272944171</v>
      </c>
      <c r="M130" s="18">
        <f t="shared" si="81"/>
        <v>0</v>
      </c>
      <c r="N130" s="18"/>
      <c r="O130" s="18">
        <f t="shared" si="81"/>
        <v>0</v>
      </c>
      <c r="P130" s="18">
        <f t="shared" si="81"/>
        <v>0</v>
      </c>
      <c r="Q130" s="18">
        <f t="shared" si="81"/>
        <v>0</v>
      </c>
      <c r="R130" s="18"/>
      <c r="S130" s="18">
        <f t="shared" si="81"/>
        <v>0</v>
      </c>
      <c r="T130" s="18">
        <f t="shared" si="81"/>
        <v>0</v>
      </c>
      <c r="U130" s="18">
        <f t="shared" si="81"/>
        <v>0</v>
      </c>
      <c r="V130" s="18">
        <f t="shared" si="81"/>
        <v>0</v>
      </c>
      <c r="W130" s="18">
        <f t="shared" si="81"/>
        <v>0</v>
      </c>
      <c r="X130" s="18">
        <f t="shared" si="81"/>
        <v>0</v>
      </c>
      <c r="Y130" s="18">
        <f t="shared" si="81"/>
        <v>0</v>
      </c>
      <c r="Z130" s="18">
        <f t="shared" si="81"/>
        <v>0</v>
      </c>
      <c r="AA130" s="18">
        <f t="shared" si="81"/>
        <v>0</v>
      </c>
      <c r="AB130" s="18">
        <f t="shared" si="81"/>
        <v>0</v>
      </c>
      <c r="AC130" s="18">
        <f t="shared" si="81"/>
        <v>0</v>
      </c>
      <c r="AD130" s="18">
        <f t="shared" si="81"/>
        <v>0</v>
      </c>
      <c r="AE130" s="18"/>
      <c r="AF130" s="18">
        <f t="shared" si="81"/>
        <v>0</v>
      </c>
      <c r="AG130" s="18"/>
      <c r="AH130" s="18">
        <f t="shared" si="81"/>
        <v>0</v>
      </c>
      <c r="AI130" s="18"/>
      <c r="AJ130" s="18">
        <f t="shared" si="81"/>
        <v>0</v>
      </c>
      <c r="AK130" s="19">
        <f>SUM(H130:AJ130)</f>
        <v>544602304.08000004</v>
      </c>
      <c r="AL130" s="15" t="str">
        <f>IF(ABS(AK130-F130)&lt;1,"ok","err")</f>
        <v>ok</v>
      </c>
    </row>
    <row r="131" spans="1:38" x14ac:dyDescent="0.3">
      <c r="F131" s="44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5"/>
    </row>
    <row r="132" spans="1:38" x14ac:dyDescent="0.3">
      <c r="A132" s="16" t="s">
        <v>147</v>
      </c>
      <c r="F132" s="44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5"/>
    </row>
    <row r="133" spans="1:38" x14ac:dyDescent="0.3">
      <c r="F133" s="43"/>
      <c r="Y133" s="2"/>
      <c r="AL133" s="15"/>
    </row>
    <row r="134" spans="1:38" x14ac:dyDescent="0.3">
      <c r="A134" s="3" t="s">
        <v>168</v>
      </c>
      <c r="Y134" s="2"/>
      <c r="AL134" s="15"/>
    </row>
    <row r="135" spans="1:38" x14ac:dyDescent="0.3">
      <c r="A135" s="2">
        <v>555</v>
      </c>
      <c r="B135" s="2" t="s">
        <v>169</v>
      </c>
      <c r="C135" s="2" t="s">
        <v>170</v>
      </c>
      <c r="D135" s="2" t="s">
        <v>171</v>
      </c>
      <c r="F135" s="44">
        <v>164814451.21000001</v>
      </c>
      <c r="G135" s="18"/>
      <c r="H135" s="19">
        <f t="shared" ref="H135:H141" si="82">IF(VLOOKUP($D135,$C$5:$AJ$470,6,)=0,0,((VLOOKUP($D135,$C$5:$AJ$470,6,)/VLOOKUP($D135,$C$5:$AJ$470,4,))*$F135))</f>
        <v>0</v>
      </c>
      <c r="I135" s="19">
        <f t="shared" ref="I135:I141" si="83">IF(VLOOKUP($D135,$C$5:$AJ$470,7,)=0,0,((VLOOKUP($D135,$C$5:$AJ$470,7,)/VLOOKUP($D135,$C$5:$AJ$470,4,))*$F135))</f>
        <v>0</v>
      </c>
      <c r="J135" s="19">
        <f t="shared" ref="J135:J141" si="84">IF(VLOOKUP($D135,$C$5:$AJ$470,8,)=0,0,((VLOOKUP($D135,$C$5:$AJ$470,8,)/VLOOKUP($D135,$C$5:$AJ$470,4,))*$F135))</f>
        <v>80610748.086811006</v>
      </c>
      <c r="K135" s="19">
        <f t="shared" ref="K135:K141" si="85">IF(VLOOKUP($D135,$C$5:$AJ$470,9,)=0,0,((VLOOKUP($D135,$C$5:$AJ$470,9,)/VLOOKUP($D135,$C$5:$AJ$470,4,))*$F135))</f>
        <v>84203703.123189002</v>
      </c>
      <c r="L135" s="19">
        <f t="shared" ref="L135:L141" si="86">IF(VLOOKUP($D135,$C$5:$AJ$470,10,)=0,0,((VLOOKUP($D135,$C$5:$AJ$470,10,)/VLOOKUP($D135,$C$5:$AJ$470,4,))*$F135))</f>
        <v>0</v>
      </c>
      <c r="M135" s="19">
        <f t="shared" ref="M135:M141" si="87">IF(VLOOKUP($D135,$C$5:$AJ$470,11,)=0,0,((VLOOKUP($D135,$C$5:$AJ$470,11,)/VLOOKUP($D135,$C$5:$AJ$470,4,))*$F135))</f>
        <v>0</v>
      </c>
      <c r="N135" s="19"/>
      <c r="O135" s="19">
        <f t="shared" ref="O135:O141" si="88">IF(VLOOKUP($D135,$C$5:$AJ$470,13,)=0,0,((VLOOKUP($D135,$C$5:$AJ$470,13,)/VLOOKUP($D135,$C$5:$AJ$470,4,))*$F135))</f>
        <v>0</v>
      </c>
      <c r="P135" s="19">
        <f t="shared" ref="P135:P141" si="89">IF(VLOOKUP($D135,$C$5:$AJ$470,14,)=0,0,((VLOOKUP($D135,$C$5:$AJ$470,14,)/VLOOKUP($D135,$C$5:$AJ$470,4,))*$F135))</f>
        <v>0</v>
      </c>
      <c r="Q135" s="19">
        <f t="shared" ref="Q135:Q141" si="90">IF(VLOOKUP($D135,$C$5:$AJ$470,15,)=0,0,((VLOOKUP($D135,$C$5:$AJ$470,15,)/VLOOKUP($D135,$C$5:$AJ$470,4,))*$F135))</f>
        <v>0</v>
      </c>
      <c r="R135" s="19"/>
      <c r="S135" s="19">
        <f t="shared" ref="S135:S141" si="91">IF(VLOOKUP($D135,$C$5:$AJ$470,17,)=0,0,((VLOOKUP($D135,$C$5:$AJ$470,17,)/VLOOKUP($D135,$C$5:$AJ$470,4,))*$F135))</f>
        <v>0</v>
      </c>
      <c r="T135" s="19">
        <f t="shared" ref="T135:T141" si="92">IF(VLOOKUP($D135,$C$5:$AJ$470,18,)=0,0,((VLOOKUP($D135,$C$5:$AJ$470,18,)/VLOOKUP($D135,$C$5:$AJ$470,4,))*$F135))</f>
        <v>0</v>
      </c>
      <c r="U135" s="19">
        <f t="shared" ref="U135:U141" si="93">IF(VLOOKUP($D135,$C$5:$AJ$470,19,)=0,0,((VLOOKUP($D135,$C$5:$AJ$470,19,)/VLOOKUP($D135,$C$5:$AJ$470,4,))*$F135))</f>
        <v>0</v>
      </c>
      <c r="V135" s="19">
        <f t="shared" ref="V135:V141" si="94">IF(VLOOKUP($D135,$C$5:$AJ$470,20,)=0,0,((VLOOKUP($D135,$C$5:$AJ$470,20,)/VLOOKUP($D135,$C$5:$AJ$470,4,))*$F135))</f>
        <v>0</v>
      </c>
      <c r="W135" s="19">
        <f t="shared" ref="W135:W141" si="95">IF(VLOOKUP($D135,$C$5:$AJ$470,21,)=0,0,((VLOOKUP($D135,$C$5:$AJ$470,21,)/VLOOKUP($D135,$C$5:$AJ$470,4,))*$F135))</f>
        <v>0</v>
      </c>
      <c r="X135" s="19">
        <f t="shared" ref="X135:X141" si="96">IF(VLOOKUP($D135,$C$5:$AJ$470,22,)=0,0,((VLOOKUP($D135,$C$5:$AJ$470,22,)/VLOOKUP($D135,$C$5:$AJ$470,4,))*$F135))</f>
        <v>0</v>
      </c>
      <c r="Y135" s="19">
        <f t="shared" ref="Y135:Y141" si="97">IF(VLOOKUP($D135,$C$5:$AJ$470,23,)=0,0,((VLOOKUP($D135,$C$5:$AJ$470,23,)/VLOOKUP($D135,$C$5:$AJ$470,4,))*$F135))</f>
        <v>0</v>
      </c>
      <c r="Z135" s="19">
        <f t="shared" ref="Z135:Z141" si="98">IF(VLOOKUP($D135,$C$5:$AJ$470,24,)=0,0,((VLOOKUP($D135,$C$5:$AJ$470,24,)/VLOOKUP($D135,$C$5:$AJ$470,4,))*$F135))</f>
        <v>0</v>
      </c>
      <c r="AA135" s="19">
        <f t="shared" ref="AA135:AA141" si="99">IF(VLOOKUP($D135,$C$5:$AJ$470,25,)=0,0,((VLOOKUP($D135,$C$5:$AJ$470,25,)/VLOOKUP($D135,$C$5:$AJ$470,4,))*$F135))</f>
        <v>0</v>
      </c>
      <c r="AB135" s="19">
        <f t="shared" ref="AB135:AB141" si="100">IF(VLOOKUP($D135,$C$5:$AJ$470,26,)=0,0,((VLOOKUP($D135,$C$5:$AJ$470,26,)/VLOOKUP($D135,$C$5:$AJ$470,4,))*$F135))</f>
        <v>0</v>
      </c>
      <c r="AC135" s="19">
        <f t="shared" ref="AC135:AC141" si="101">IF(VLOOKUP($D135,$C$5:$AJ$470,27,)=0,0,((VLOOKUP($D135,$C$5:$AJ$470,27,)/VLOOKUP($D135,$C$5:$AJ$470,4,))*$F135))</f>
        <v>0</v>
      </c>
      <c r="AD135" s="19">
        <f t="shared" ref="AD135:AD141" si="102">IF(VLOOKUP($D135,$C$5:$AJ$470,28,)=0,0,((VLOOKUP($D135,$C$5:$AJ$470,28,)/VLOOKUP($D135,$C$5:$AJ$470,4,))*$F135))</f>
        <v>0</v>
      </c>
      <c r="AE135" s="19"/>
      <c r="AF135" s="19">
        <f t="shared" ref="AF135:AF141" si="103">IF(VLOOKUP($D135,$C$5:$AJ$470,30,)=0,0,((VLOOKUP($D135,$C$5:$AJ$470,30,)/VLOOKUP($D135,$C$5:$AJ$470,4,))*$F135))</f>
        <v>0</v>
      </c>
      <c r="AG135" s="19"/>
      <c r="AH135" s="19">
        <f t="shared" ref="AH135:AH141" si="104">IF(VLOOKUP($D135,$C$5:$AJ$470,32,)=0,0,((VLOOKUP($D135,$C$5:$AJ$470,32,)/VLOOKUP($D135,$C$5:$AJ$470,4,))*$F135))</f>
        <v>0</v>
      </c>
      <c r="AI135" s="19"/>
      <c r="AJ135" s="19">
        <f t="shared" ref="AJ135:AJ141" si="105">IF(VLOOKUP($D135,$C$5:$AJ$470,34,)=0,0,((VLOOKUP($D135,$C$5:$AJ$470,34,)/VLOOKUP($D135,$C$5:$AJ$470,4,))*$F135))</f>
        <v>0</v>
      </c>
      <c r="AK135" s="19">
        <f t="shared" ref="AK135:AK141" si="106">SUM(H135:AJ135)</f>
        <v>164814451.21000001</v>
      </c>
      <c r="AL135" s="15" t="str">
        <f t="shared" ref="AL135:AL141" si="107">IF(ABS(AK135-F135)&lt;1,"ok","err")</f>
        <v>ok</v>
      </c>
    </row>
    <row r="136" spans="1:38" x14ac:dyDescent="0.3">
      <c r="A136" s="2">
        <v>555</v>
      </c>
      <c r="B136" s="2" t="s">
        <v>172</v>
      </c>
      <c r="C136" s="2" t="s">
        <v>173</v>
      </c>
      <c r="D136" s="2" t="s">
        <v>171</v>
      </c>
      <c r="F136" s="43">
        <v>0</v>
      </c>
      <c r="G136" s="18"/>
      <c r="H136" s="19">
        <f t="shared" si="82"/>
        <v>0</v>
      </c>
      <c r="I136" s="19">
        <f t="shared" si="83"/>
        <v>0</v>
      </c>
      <c r="J136" s="19">
        <f t="shared" si="84"/>
        <v>0</v>
      </c>
      <c r="K136" s="19">
        <f t="shared" si="85"/>
        <v>0</v>
      </c>
      <c r="L136" s="19">
        <f t="shared" si="86"/>
        <v>0</v>
      </c>
      <c r="M136" s="19">
        <f t="shared" si="87"/>
        <v>0</v>
      </c>
      <c r="N136" s="19"/>
      <c r="O136" s="19">
        <f t="shared" si="88"/>
        <v>0</v>
      </c>
      <c r="P136" s="19">
        <f t="shared" si="89"/>
        <v>0</v>
      </c>
      <c r="Q136" s="19">
        <f t="shared" si="90"/>
        <v>0</v>
      </c>
      <c r="R136" s="19"/>
      <c r="S136" s="19">
        <f t="shared" si="91"/>
        <v>0</v>
      </c>
      <c r="T136" s="19">
        <f t="shared" si="92"/>
        <v>0</v>
      </c>
      <c r="U136" s="19">
        <f t="shared" si="93"/>
        <v>0</v>
      </c>
      <c r="V136" s="19">
        <f t="shared" si="94"/>
        <v>0</v>
      </c>
      <c r="W136" s="19">
        <f t="shared" si="95"/>
        <v>0</v>
      </c>
      <c r="X136" s="19">
        <f t="shared" si="96"/>
        <v>0</v>
      </c>
      <c r="Y136" s="19">
        <f t="shared" si="97"/>
        <v>0</v>
      </c>
      <c r="Z136" s="19">
        <f t="shared" si="98"/>
        <v>0</v>
      </c>
      <c r="AA136" s="19">
        <f t="shared" si="99"/>
        <v>0</v>
      </c>
      <c r="AB136" s="19">
        <f t="shared" si="100"/>
        <v>0</v>
      </c>
      <c r="AC136" s="19">
        <f t="shared" si="101"/>
        <v>0</v>
      </c>
      <c r="AD136" s="19">
        <f t="shared" si="102"/>
        <v>0</v>
      </c>
      <c r="AE136" s="19"/>
      <c r="AF136" s="19">
        <f t="shared" si="103"/>
        <v>0</v>
      </c>
      <c r="AG136" s="19"/>
      <c r="AH136" s="19">
        <f t="shared" si="104"/>
        <v>0</v>
      </c>
      <c r="AI136" s="19"/>
      <c r="AJ136" s="19">
        <f t="shared" si="105"/>
        <v>0</v>
      </c>
      <c r="AK136" s="19">
        <f t="shared" si="106"/>
        <v>0</v>
      </c>
      <c r="AL136" s="15" t="str">
        <f t="shared" si="107"/>
        <v>ok</v>
      </c>
    </row>
    <row r="137" spans="1:38" x14ac:dyDescent="0.3">
      <c r="A137" s="2">
        <v>555</v>
      </c>
      <c r="B137" s="2" t="s">
        <v>174</v>
      </c>
      <c r="C137" s="2" t="s">
        <v>175</v>
      </c>
      <c r="D137" s="2" t="s">
        <v>171</v>
      </c>
      <c r="F137" s="43">
        <v>0</v>
      </c>
      <c r="G137" s="18"/>
      <c r="H137" s="19">
        <f t="shared" si="82"/>
        <v>0</v>
      </c>
      <c r="I137" s="19">
        <f t="shared" si="83"/>
        <v>0</v>
      </c>
      <c r="J137" s="19">
        <f t="shared" si="84"/>
        <v>0</v>
      </c>
      <c r="K137" s="19">
        <f t="shared" si="85"/>
        <v>0</v>
      </c>
      <c r="L137" s="19">
        <f t="shared" si="86"/>
        <v>0</v>
      </c>
      <c r="M137" s="19">
        <f t="shared" si="87"/>
        <v>0</v>
      </c>
      <c r="N137" s="19"/>
      <c r="O137" s="19">
        <f t="shared" si="88"/>
        <v>0</v>
      </c>
      <c r="P137" s="19">
        <f t="shared" si="89"/>
        <v>0</v>
      </c>
      <c r="Q137" s="19">
        <f t="shared" si="90"/>
        <v>0</v>
      </c>
      <c r="R137" s="19"/>
      <c r="S137" s="19">
        <f t="shared" si="91"/>
        <v>0</v>
      </c>
      <c r="T137" s="19">
        <f t="shared" si="92"/>
        <v>0</v>
      </c>
      <c r="U137" s="19">
        <f t="shared" si="93"/>
        <v>0</v>
      </c>
      <c r="V137" s="19">
        <f t="shared" si="94"/>
        <v>0</v>
      </c>
      <c r="W137" s="19">
        <f t="shared" si="95"/>
        <v>0</v>
      </c>
      <c r="X137" s="19">
        <f t="shared" si="96"/>
        <v>0</v>
      </c>
      <c r="Y137" s="19">
        <f t="shared" si="97"/>
        <v>0</v>
      </c>
      <c r="Z137" s="19">
        <f t="shared" si="98"/>
        <v>0</v>
      </c>
      <c r="AA137" s="19">
        <f t="shared" si="99"/>
        <v>0</v>
      </c>
      <c r="AB137" s="19">
        <f t="shared" si="100"/>
        <v>0</v>
      </c>
      <c r="AC137" s="19">
        <f t="shared" si="101"/>
        <v>0</v>
      </c>
      <c r="AD137" s="19">
        <f t="shared" si="102"/>
        <v>0</v>
      </c>
      <c r="AE137" s="19"/>
      <c r="AF137" s="19">
        <f t="shared" si="103"/>
        <v>0</v>
      </c>
      <c r="AG137" s="19"/>
      <c r="AH137" s="19">
        <f t="shared" si="104"/>
        <v>0</v>
      </c>
      <c r="AI137" s="19"/>
      <c r="AJ137" s="19">
        <f t="shared" si="105"/>
        <v>0</v>
      </c>
      <c r="AK137" s="19">
        <f t="shared" si="106"/>
        <v>0</v>
      </c>
      <c r="AL137" s="15" t="str">
        <f t="shared" si="107"/>
        <v>ok</v>
      </c>
    </row>
    <row r="138" spans="1:38" x14ac:dyDescent="0.3">
      <c r="A138" s="2">
        <v>555</v>
      </c>
      <c r="B138" s="2" t="s">
        <v>176</v>
      </c>
      <c r="C138" s="2" t="s">
        <v>177</v>
      </c>
      <c r="D138" s="2" t="s">
        <v>171</v>
      </c>
      <c r="F138" s="43">
        <v>0</v>
      </c>
      <c r="G138" s="18"/>
      <c r="H138" s="19">
        <f t="shared" si="82"/>
        <v>0</v>
      </c>
      <c r="I138" s="19">
        <f t="shared" si="83"/>
        <v>0</v>
      </c>
      <c r="J138" s="19">
        <f t="shared" si="84"/>
        <v>0</v>
      </c>
      <c r="K138" s="19">
        <f t="shared" si="85"/>
        <v>0</v>
      </c>
      <c r="L138" s="19">
        <f t="shared" si="86"/>
        <v>0</v>
      </c>
      <c r="M138" s="19">
        <f t="shared" si="87"/>
        <v>0</v>
      </c>
      <c r="N138" s="19"/>
      <c r="O138" s="19">
        <f t="shared" si="88"/>
        <v>0</v>
      </c>
      <c r="P138" s="19">
        <f t="shared" si="89"/>
        <v>0</v>
      </c>
      <c r="Q138" s="19">
        <f t="shared" si="90"/>
        <v>0</v>
      </c>
      <c r="R138" s="19"/>
      <c r="S138" s="19">
        <f t="shared" si="91"/>
        <v>0</v>
      </c>
      <c r="T138" s="19">
        <f t="shared" si="92"/>
        <v>0</v>
      </c>
      <c r="U138" s="19">
        <f t="shared" si="93"/>
        <v>0</v>
      </c>
      <c r="V138" s="19">
        <f t="shared" si="94"/>
        <v>0</v>
      </c>
      <c r="W138" s="19">
        <f t="shared" si="95"/>
        <v>0</v>
      </c>
      <c r="X138" s="19">
        <f t="shared" si="96"/>
        <v>0</v>
      </c>
      <c r="Y138" s="19">
        <f t="shared" si="97"/>
        <v>0</v>
      </c>
      <c r="Z138" s="19">
        <f t="shared" si="98"/>
        <v>0</v>
      </c>
      <c r="AA138" s="19">
        <f t="shared" si="99"/>
        <v>0</v>
      </c>
      <c r="AB138" s="19">
        <f t="shared" si="100"/>
        <v>0</v>
      </c>
      <c r="AC138" s="19">
        <f t="shared" si="101"/>
        <v>0</v>
      </c>
      <c r="AD138" s="19">
        <f t="shared" si="102"/>
        <v>0</v>
      </c>
      <c r="AE138" s="19"/>
      <c r="AF138" s="19">
        <f t="shared" si="103"/>
        <v>0</v>
      </c>
      <c r="AG138" s="19"/>
      <c r="AH138" s="19">
        <f t="shared" si="104"/>
        <v>0</v>
      </c>
      <c r="AI138" s="19"/>
      <c r="AJ138" s="19">
        <f t="shared" si="105"/>
        <v>0</v>
      </c>
      <c r="AK138" s="19">
        <f t="shared" si="106"/>
        <v>0</v>
      </c>
      <c r="AL138" s="15" t="str">
        <f t="shared" si="107"/>
        <v>ok</v>
      </c>
    </row>
    <row r="139" spans="1:38" x14ac:dyDescent="0.3">
      <c r="A139" s="2">
        <v>556</v>
      </c>
      <c r="B139" s="2" t="s">
        <v>178</v>
      </c>
      <c r="C139" s="2" t="s">
        <v>179</v>
      </c>
      <c r="D139" s="2" t="s">
        <v>28</v>
      </c>
      <c r="F139" s="43">
        <v>5820509.8700000001</v>
      </c>
      <c r="G139" s="18"/>
      <c r="H139" s="19">
        <f t="shared" si="82"/>
        <v>2590516.297917176</v>
      </c>
      <c r="I139" s="19">
        <f t="shared" si="83"/>
        <v>3196006.4669917133</v>
      </c>
      <c r="J139" s="19">
        <f t="shared" si="84"/>
        <v>0</v>
      </c>
      <c r="K139" s="19">
        <f t="shared" si="85"/>
        <v>0</v>
      </c>
      <c r="L139" s="19">
        <f t="shared" si="86"/>
        <v>33987.105091110643</v>
      </c>
      <c r="M139" s="19">
        <f t="shared" si="87"/>
        <v>0</v>
      </c>
      <c r="N139" s="19"/>
      <c r="O139" s="19">
        <f t="shared" si="88"/>
        <v>0</v>
      </c>
      <c r="P139" s="19">
        <f t="shared" si="89"/>
        <v>0</v>
      </c>
      <c r="Q139" s="19">
        <f t="shared" si="90"/>
        <v>0</v>
      </c>
      <c r="R139" s="19"/>
      <c r="S139" s="19">
        <f t="shared" si="91"/>
        <v>0</v>
      </c>
      <c r="T139" s="19">
        <f t="shared" si="92"/>
        <v>0</v>
      </c>
      <c r="U139" s="19">
        <f t="shared" si="93"/>
        <v>0</v>
      </c>
      <c r="V139" s="19">
        <f t="shared" si="94"/>
        <v>0</v>
      </c>
      <c r="W139" s="19">
        <f t="shared" si="95"/>
        <v>0</v>
      </c>
      <c r="X139" s="19">
        <f t="shared" si="96"/>
        <v>0</v>
      </c>
      <c r="Y139" s="19">
        <f t="shared" si="97"/>
        <v>0</v>
      </c>
      <c r="Z139" s="19">
        <f t="shared" si="98"/>
        <v>0</v>
      </c>
      <c r="AA139" s="19">
        <f t="shared" si="99"/>
        <v>0</v>
      </c>
      <c r="AB139" s="19">
        <f t="shared" si="100"/>
        <v>0</v>
      </c>
      <c r="AC139" s="19">
        <f t="shared" si="101"/>
        <v>0</v>
      </c>
      <c r="AD139" s="19">
        <f t="shared" si="102"/>
        <v>0</v>
      </c>
      <c r="AE139" s="19"/>
      <c r="AF139" s="19">
        <f t="shared" si="103"/>
        <v>0</v>
      </c>
      <c r="AG139" s="19"/>
      <c r="AH139" s="19">
        <f t="shared" si="104"/>
        <v>0</v>
      </c>
      <c r="AI139" s="19"/>
      <c r="AJ139" s="19">
        <f t="shared" si="105"/>
        <v>0</v>
      </c>
      <c r="AK139" s="19">
        <f t="shared" si="106"/>
        <v>5820509.8700000001</v>
      </c>
      <c r="AL139" s="15" t="str">
        <f t="shared" si="107"/>
        <v>ok</v>
      </c>
    </row>
    <row r="140" spans="1:38" x14ac:dyDescent="0.3">
      <c r="A140" s="2">
        <v>557</v>
      </c>
      <c r="B140" s="2" t="s">
        <v>180</v>
      </c>
      <c r="C140" s="2" t="s">
        <v>181</v>
      </c>
      <c r="D140" s="2" t="s">
        <v>28</v>
      </c>
      <c r="F140" s="43">
        <v>5846225.0600000005</v>
      </c>
      <c r="G140" s="18"/>
      <c r="H140" s="19">
        <f t="shared" si="82"/>
        <v>2601961.2778737238</v>
      </c>
      <c r="I140" s="19">
        <f t="shared" si="83"/>
        <v>3210126.5209690332</v>
      </c>
      <c r="J140" s="19">
        <f t="shared" si="84"/>
        <v>0</v>
      </c>
      <c r="K140" s="19">
        <f t="shared" si="85"/>
        <v>0</v>
      </c>
      <c r="L140" s="19">
        <f t="shared" si="86"/>
        <v>34137.261157243709</v>
      </c>
      <c r="M140" s="19">
        <f t="shared" si="87"/>
        <v>0</v>
      </c>
      <c r="N140" s="19"/>
      <c r="O140" s="19">
        <f t="shared" si="88"/>
        <v>0</v>
      </c>
      <c r="P140" s="19">
        <f t="shared" si="89"/>
        <v>0</v>
      </c>
      <c r="Q140" s="19">
        <f t="shared" si="90"/>
        <v>0</v>
      </c>
      <c r="R140" s="19"/>
      <c r="S140" s="19">
        <f t="shared" si="91"/>
        <v>0</v>
      </c>
      <c r="T140" s="19">
        <f t="shared" si="92"/>
        <v>0</v>
      </c>
      <c r="U140" s="19">
        <f t="shared" si="93"/>
        <v>0</v>
      </c>
      <c r="V140" s="19">
        <f t="shared" si="94"/>
        <v>0</v>
      </c>
      <c r="W140" s="19">
        <f t="shared" si="95"/>
        <v>0</v>
      </c>
      <c r="X140" s="19">
        <f t="shared" si="96"/>
        <v>0</v>
      </c>
      <c r="Y140" s="19">
        <f t="shared" si="97"/>
        <v>0</v>
      </c>
      <c r="Z140" s="19">
        <f t="shared" si="98"/>
        <v>0</v>
      </c>
      <c r="AA140" s="19">
        <f t="shared" si="99"/>
        <v>0</v>
      </c>
      <c r="AB140" s="19">
        <f t="shared" si="100"/>
        <v>0</v>
      </c>
      <c r="AC140" s="19">
        <f t="shared" si="101"/>
        <v>0</v>
      </c>
      <c r="AD140" s="19">
        <f t="shared" si="102"/>
        <v>0</v>
      </c>
      <c r="AE140" s="19"/>
      <c r="AF140" s="19">
        <f t="shared" si="103"/>
        <v>0</v>
      </c>
      <c r="AG140" s="19"/>
      <c r="AH140" s="19">
        <f t="shared" si="104"/>
        <v>0</v>
      </c>
      <c r="AI140" s="19"/>
      <c r="AJ140" s="19">
        <f t="shared" si="105"/>
        <v>0</v>
      </c>
      <c r="AK140" s="19">
        <f>SUM(H140:AJ140)</f>
        <v>5846225.0600000005</v>
      </c>
      <c r="AL140" s="15" t="str">
        <f>IF(ABS(AK140-F140)&lt;1,"ok","err")</f>
        <v>ok</v>
      </c>
    </row>
    <row r="141" spans="1:38" x14ac:dyDescent="0.3">
      <c r="A141" s="2">
        <v>559</v>
      </c>
      <c r="B141" s="2" t="s">
        <v>182</v>
      </c>
      <c r="C141" s="2" t="s">
        <v>183</v>
      </c>
      <c r="D141" s="2" t="s">
        <v>151</v>
      </c>
      <c r="F141" s="43">
        <v>265868.44</v>
      </c>
      <c r="G141" s="18"/>
      <c r="H141" s="19">
        <f t="shared" si="82"/>
        <v>0</v>
      </c>
      <c r="I141" s="19">
        <f t="shared" si="83"/>
        <v>0</v>
      </c>
      <c r="J141" s="19">
        <f t="shared" si="84"/>
        <v>130036.254004</v>
      </c>
      <c r="K141" s="19">
        <f t="shared" si="85"/>
        <v>135832.18599600001</v>
      </c>
      <c r="L141" s="19">
        <f t="shared" si="86"/>
        <v>0</v>
      </c>
      <c r="M141" s="19">
        <f t="shared" si="87"/>
        <v>0</v>
      </c>
      <c r="N141" s="19"/>
      <c r="O141" s="19">
        <f t="shared" si="88"/>
        <v>0</v>
      </c>
      <c r="P141" s="19">
        <f t="shared" si="89"/>
        <v>0</v>
      </c>
      <c r="Q141" s="19">
        <f t="shared" si="90"/>
        <v>0</v>
      </c>
      <c r="R141" s="19"/>
      <c r="S141" s="19">
        <f t="shared" si="91"/>
        <v>0</v>
      </c>
      <c r="T141" s="19">
        <f t="shared" si="92"/>
        <v>0</v>
      </c>
      <c r="U141" s="19">
        <f t="shared" si="93"/>
        <v>0</v>
      </c>
      <c r="V141" s="19">
        <f t="shared" si="94"/>
        <v>0</v>
      </c>
      <c r="W141" s="19">
        <f t="shared" si="95"/>
        <v>0</v>
      </c>
      <c r="X141" s="19">
        <f t="shared" si="96"/>
        <v>0</v>
      </c>
      <c r="Y141" s="19">
        <f t="shared" si="97"/>
        <v>0</v>
      </c>
      <c r="Z141" s="19">
        <f t="shared" si="98"/>
        <v>0</v>
      </c>
      <c r="AA141" s="19">
        <f t="shared" si="99"/>
        <v>0</v>
      </c>
      <c r="AB141" s="19">
        <f t="shared" si="100"/>
        <v>0</v>
      </c>
      <c r="AC141" s="19">
        <f t="shared" si="101"/>
        <v>0</v>
      </c>
      <c r="AD141" s="19">
        <f t="shared" si="102"/>
        <v>0</v>
      </c>
      <c r="AE141" s="19"/>
      <c r="AF141" s="19">
        <f t="shared" si="103"/>
        <v>0</v>
      </c>
      <c r="AG141" s="19"/>
      <c r="AH141" s="19">
        <f t="shared" si="104"/>
        <v>0</v>
      </c>
      <c r="AI141" s="19"/>
      <c r="AJ141" s="19">
        <f t="shared" si="105"/>
        <v>0</v>
      </c>
      <c r="AK141" s="19">
        <f t="shared" si="106"/>
        <v>265868.44</v>
      </c>
      <c r="AL141" s="15" t="str">
        <f t="shared" si="107"/>
        <v>ok</v>
      </c>
    </row>
    <row r="142" spans="1:38" x14ac:dyDescent="0.3">
      <c r="F142" s="43"/>
      <c r="G142" s="18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5"/>
    </row>
    <row r="143" spans="1:38" x14ac:dyDescent="0.3">
      <c r="B143" s="2" t="s">
        <v>184</v>
      </c>
      <c r="C143" s="2" t="s">
        <v>185</v>
      </c>
      <c r="F143" s="44">
        <f>SUM(F135:F142)</f>
        <v>176747054.58000001</v>
      </c>
      <c r="G143" s="18"/>
      <c r="H143" s="18">
        <f t="shared" ref="H143:M143" si="108">SUM(H135:H142)</f>
        <v>5192477.5757908998</v>
      </c>
      <c r="I143" s="18">
        <f t="shared" si="108"/>
        <v>6406132.9879607465</v>
      </c>
      <c r="J143" s="18">
        <f t="shared" si="108"/>
        <v>80740784.340815008</v>
      </c>
      <c r="K143" s="18">
        <f t="shared" si="108"/>
        <v>84339535.309184998</v>
      </c>
      <c r="L143" s="18">
        <f t="shared" si="108"/>
        <v>68124.366248354345</v>
      </c>
      <c r="M143" s="18">
        <f t="shared" si="108"/>
        <v>0</v>
      </c>
      <c r="N143" s="18"/>
      <c r="O143" s="18">
        <f>SUM(O135:O142)</f>
        <v>0</v>
      </c>
      <c r="P143" s="18">
        <f>SUM(P135:P142)</f>
        <v>0</v>
      </c>
      <c r="Q143" s="18">
        <f>SUM(Q135:Q142)</f>
        <v>0</v>
      </c>
      <c r="R143" s="18"/>
      <c r="S143" s="18">
        <f t="shared" ref="S143:AD143" si="109">SUM(S135:S142)</f>
        <v>0</v>
      </c>
      <c r="T143" s="18">
        <f t="shared" si="109"/>
        <v>0</v>
      </c>
      <c r="U143" s="18">
        <f t="shared" si="109"/>
        <v>0</v>
      </c>
      <c r="V143" s="18">
        <f t="shared" si="109"/>
        <v>0</v>
      </c>
      <c r="W143" s="18">
        <f t="shared" si="109"/>
        <v>0</v>
      </c>
      <c r="X143" s="18">
        <f t="shared" si="109"/>
        <v>0</v>
      </c>
      <c r="Y143" s="18">
        <f t="shared" si="109"/>
        <v>0</v>
      </c>
      <c r="Z143" s="18">
        <f t="shared" si="109"/>
        <v>0</v>
      </c>
      <c r="AA143" s="18">
        <f t="shared" si="109"/>
        <v>0</v>
      </c>
      <c r="AB143" s="18">
        <f t="shared" si="109"/>
        <v>0</v>
      </c>
      <c r="AC143" s="18">
        <f t="shared" si="109"/>
        <v>0</v>
      </c>
      <c r="AD143" s="18">
        <f t="shared" si="109"/>
        <v>0</v>
      </c>
      <c r="AE143" s="18"/>
      <c r="AF143" s="18">
        <f>SUM(AF135:AF142)</f>
        <v>0</v>
      </c>
      <c r="AG143" s="18"/>
      <c r="AH143" s="18">
        <f>SUM(AH135:AH142)</f>
        <v>0</v>
      </c>
      <c r="AI143" s="18"/>
      <c r="AJ143" s="18">
        <f>SUM(AJ135:AJ142)</f>
        <v>0</v>
      </c>
      <c r="AK143" s="19">
        <f>SUM(H143:AJ143)</f>
        <v>176747054.58000001</v>
      </c>
      <c r="AL143" s="15" t="str">
        <f>IF(ABS(AK143-F143)&lt;1,"ok","err")</f>
        <v>ok</v>
      </c>
    </row>
    <row r="144" spans="1:38" x14ac:dyDescent="0.3">
      <c r="F144" s="44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9"/>
      <c r="AL144" s="15"/>
    </row>
    <row r="145" spans="1:38" x14ac:dyDescent="0.3">
      <c r="B145" s="2" t="s">
        <v>186</v>
      </c>
      <c r="F145" s="44">
        <f>F130+F143</f>
        <v>721349358.66000009</v>
      </c>
      <c r="G145" s="18"/>
      <c r="H145" s="18">
        <f t="shared" ref="H145:M145" si="110">H130+H143</f>
        <v>54596407.376961127</v>
      </c>
      <c r="I145" s="18">
        <f t="shared" si="110"/>
        <v>67357411.027128249</v>
      </c>
      <c r="J145" s="18">
        <f t="shared" si="110"/>
        <v>285287779.63756973</v>
      </c>
      <c r="K145" s="18">
        <f t="shared" si="110"/>
        <v>307258987.52479815</v>
      </c>
      <c r="L145" s="18">
        <f t="shared" si="110"/>
        <v>6848773.0935427714</v>
      </c>
      <c r="M145" s="18">
        <f t="shared" si="110"/>
        <v>0</v>
      </c>
      <c r="N145" s="18"/>
      <c r="O145" s="18">
        <f>O130+O143</f>
        <v>0</v>
      </c>
      <c r="P145" s="18">
        <f>P130+P143</f>
        <v>0</v>
      </c>
      <c r="Q145" s="18">
        <f>Q130+Q143</f>
        <v>0</v>
      </c>
      <c r="R145" s="18"/>
      <c r="S145" s="18">
        <f t="shared" ref="S145:AD145" si="111">S130+S143</f>
        <v>0</v>
      </c>
      <c r="T145" s="18">
        <f t="shared" si="111"/>
        <v>0</v>
      </c>
      <c r="U145" s="18">
        <f t="shared" si="111"/>
        <v>0</v>
      </c>
      <c r="V145" s="18">
        <f t="shared" si="111"/>
        <v>0</v>
      </c>
      <c r="W145" s="18">
        <f t="shared" si="111"/>
        <v>0</v>
      </c>
      <c r="X145" s="18">
        <f t="shared" si="111"/>
        <v>0</v>
      </c>
      <c r="Y145" s="18">
        <f t="shared" si="111"/>
        <v>0</v>
      </c>
      <c r="Z145" s="18">
        <f t="shared" si="111"/>
        <v>0</v>
      </c>
      <c r="AA145" s="18">
        <f t="shared" si="111"/>
        <v>0</v>
      </c>
      <c r="AB145" s="18">
        <f t="shared" si="111"/>
        <v>0</v>
      </c>
      <c r="AC145" s="18">
        <f t="shared" si="111"/>
        <v>0</v>
      </c>
      <c r="AD145" s="18">
        <f t="shared" si="111"/>
        <v>0</v>
      </c>
      <c r="AE145" s="18"/>
      <c r="AF145" s="18">
        <f>AF130+AF143</f>
        <v>0</v>
      </c>
      <c r="AG145" s="18"/>
      <c r="AH145" s="18">
        <f>AH130+AH143</f>
        <v>0</v>
      </c>
      <c r="AI145" s="18"/>
      <c r="AJ145" s="18">
        <f>AJ130+AJ143</f>
        <v>0</v>
      </c>
      <c r="AK145" s="19">
        <f>SUM(H145:AJ145)</f>
        <v>721349358.66000009</v>
      </c>
      <c r="AL145" s="15" t="str">
        <f>IF(ABS(AK145-F145)&lt;1,"ok","err")</f>
        <v>ok</v>
      </c>
    </row>
    <row r="146" spans="1:38" x14ac:dyDescent="0.3">
      <c r="F146" s="44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9"/>
      <c r="AL146" s="15"/>
    </row>
    <row r="147" spans="1:38" x14ac:dyDescent="0.3">
      <c r="A147" s="3" t="s">
        <v>187</v>
      </c>
      <c r="F147" s="44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9"/>
      <c r="AL147" s="15"/>
    </row>
    <row r="148" spans="1:38" x14ac:dyDescent="0.3">
      <c r="A148" s="2">
        <v>560</v>
      </c>
      <c r="B148" s="2" t="s">
        <v>188</v>
      </c>
      <c r="C148" s="2" t="s">
        <v>189</v>
      </c>
      <c r="D148" s="2" t="s">
        <v>190</v>
      </c>
      <c r="F148" s="44">
        <v>16090432.539999999</v>
      </c>
      <c r="G148" s="18"/>
      <c r="H148" s="19">
        <f t="shared" ref="H148:H161" si="112">IF(VLOOKUP($D148,$C$5:$AJ$470,6,)=0,0,((VLOOKUP($D148,$C$5:$AJ$470,6,)/VLOOKUP($D148,$C$5:$AJ$470,4,))*$F148))</f>
        <v>0</v>
      </c>
      <c r="I148" s="19">
        <f t="shared" ref="I148:I161" si="113">IF(VLOOKUP($D148,$C$5:$AJ$470,7,)=0,0,((VLOOKUP($D148,$C$5:$AJ$470,7,)/VLOOKUP($D148,$C$5:$AJ$470,4,))*$F148))</f>
        <v>0</v>
      </c>
      <c r="J148" s="19">
        <f t="shared" ref="J148:J161" si="114">IF(VLOOKUP($D148,$C$5:$AJ$470,8,)=0,0,((VLOOKUP($D148,$C$5:$AJ$470,8,)/VLOOKUP($D148,$C$5:$AJ$470,4,))*$F148))</f>
        <v>0</v>
      </c>
      <c r="K148" s="19">
        <f t="shared" ref="K148:K161" si="115">IF(VLOOKUP($D148,$C$5:$AJ$470,9,)=0,0,((VLOOKUP($D148,$C$5:$AJ$470,9,)/VLOOKUP($D148,$C$5:$AJ$470,4,))*$F148))</f>
        <v>0</v>
      </c>
      <c r="L148" s="19">
        <f t="shared" ref="L148:L161" si="116">IF(VLOOKUP($D148,$C$5:$AJ$470,10,)=0,0,((VLOOKUP($D148,$C$5:$AJ$470,10,)/VLOOKUP($D148,$C$5:$AJ$470,4,))*$F148))</f>
        <v>38530.70198544758</v>
      </c>
      <c r="M148" s="19">
        <f t="shared" ref="M148:M161" si="117">IF(VLOOKUP($D148,$C$5:$AJ$470,11,)=0,0,((VLOOKUP($D148,$C$5:$AJ$470,11,)/VLOOKUP($D148,$C$5:$AJ$470,4,))*$F148))</f>
        <v>16051901.838014558</v>
      </c>
      <c r="N148" s="19"/>
      <c r="O148" s="19">
        <f t="shared" ref="O148:O161" si="118">IF(VLOOKUP($D148,$C$5:$AJ$470,13,)=0,0,((VLOOKUP($D148,$C$5:$AJ$470,13,)/VLOOKUP($D148,$C$5:$AJ$470,4,))*$F148))</f>
        <v>0</v>
      </c>
      <c r="P148" s="19">
        <f t="shared" ref="P148:P161" si="119">IF(VLOOKUP($D148,$C$5:$AJ$470,14,)=0,0,((VLOOKUP($D148,$C$5:$AJ$470,14,)/VLOOKUP($D148,$C$5:$AJ$470,4,))*$F148))</f>
        <v>0</v>
      </c>
      <c r="Q148" s="19">
        <f t="shared" ref="Q148:Q161" si="120">IF(VLOOKUP($D148,$C$5:$AJ$470,15,)=0,0,((VLOOKUP($D148,$C$5:$AJ$470,15,)/VLOOKUP($D148,$C$5:$AJ$470,4,))*$F148))</f>
        <v>0</v>
      </c>
      <c r="R148" s="19"/>
      <c r="S148" s="19">
        <f t="shared" ref="S148:S161" si="121">IF(VLOOKUP($D148,$C$5:$AJ$470,17,)=0,0,((VLOOKUP($D148,$C$5:$AJ$470,17,)/VLOOKUP($D148,$C$5:$AJ$470,4,))*$F148))</f>
        <v>0</v>
      </c>
      <c r="T148" s="19">
        <f t="shared" ref="T148:T161" si="122">IF(VLOOKUP($D148,$C$5:$AJ$470,18,)=0,0,((VLOOKUP($D148,$C$5:$AJ$470,18,)/VLOOKUP($D148,$C$5:$AJ$470,4,))*$F148))</f>
        <v>0</v>
      </c>
      <c r="U148" s="19">
        <f t="shared" ref="U148:U161" si="123">IF(VLOOKUP($D148,$C$5:$AJ$470,19,)=0,0,((VLOOKUP($D148,$C$5:$AJ$470,19,)/VLOOKUP($D148,$C$5:$AJ$470,4,))*$F148))</f>
        <v>0</v>
      </c>
      <c r="V148" s="19">
        <f t="shared" ref="V148:V161" si="124">IF(VLOOKUP($D148,$C$5:$AJ$470,20,)=0,0,((VLOOKUP($D148,$C$5:$AJ$470,20,)/VLOOKUP($D148,$C$5:$AJ$470,4,))*$F148))</f>
        <v>0</v>
      </c>
      <c r="W148" s="19">
        <f t="shared" ref="W148:W161" si="125">IF(VLOOKUP($D148,$C$5:$AJ$470,21,)=0,0,((VLOOKUP($D148,$C$5:$AJ$470,21,)/VLOOKUP($D148,$C$5:$AJ$470,4,))*$F148))</f>
        <v>0</v>
      </c>
      <c r="X148" s="19">
        <f t="shared" ref="X148:X161" si="126">IF(VLOOKUP($D148,$C$5:$AJ$470,22,)=0,0,((VLOOKUP($D148,$C$5:$AJ$470,22,)/VLOOKUP($D148,$C$5:$AJ$470,4,))*$F148))</f>
        <v>0</v>
      </c>
      <c r="Y148" s="19">
        <f t="shared" ref="Y148:Y161" si="127">IF(VLOOKUP($D148,$C$5:$AJ$470,23,)=0,0,((VLOOKUP($D148,$C$5:$AJ$470,23,)/VLOOKUP($D148,$C$5:$AJ$470,4,))*$F148))</f>
        <v>0</v>
      </c>
      <c r="Z148" s="19">
        <f t="shared" ref="Z148:Z161" si="128">IF(VLOOKUP($D148,$C$5:$AJ$470,24,)=0,0,((VLOOKUP($D148,$C$5:$AJ$470,24,)/VLOOKUP($D148,$C$5:$AJ$470,4,))*$F148))</f>
        <v>0</v>
      </c>
      <c r="AA148" s="19">
        <f t="shared" ref="AA148:AA161" si="129">IF(VLOOKUP($D148,$C$5:$AJ$470,25,)=0,0,((VLOOKUP($D148,$C$5:$AJ$470,25,)/VLOOKUP($D148,$C$5:$AJ$470,4,))*$F148))</f>
        <v>0</v>
      </c>
      <c r="AB148" s="19">
        <f t="shared" ref="AB148:AB161" si="130">IF(VLOOKUP($D148,$C$5:$AJ$470,26,)=0,0,((VLOOKUP($D148,$C$5:$AJ$470,26,)/VLOOKUP($D148,$C$5:$AJ$470,4,))*$F148))</f>
        <v>0</v>
      </c>
      <c r="AC148" s="19">
        <f t="shared" ref="AC148:AC161" si="131">IF(VLOOKUP($D148,$C$5:$AJ$470,27,)=0,0,((VLOOKUP($D148,$C$5:$AJ$470,27,)/VLOOKUP($D148,$C$5:$AJ$470,4,))*$F148))</f>
        <v>0</v>
      </c>
      <c r="AD148" s="19">
        <f t="shared" ref="AD148:AD161" si="132">IF(VLOOKUP($D148,$C$5:$AJ$470,28,)=0,0,((VLOOKUP($D148,$C$5:$AJ$470,28,)/VLOOKUP($D148,$C$5:$AJ$470,4,))*$F148))</f>
        <v>0</v>
      </c>
      <c r="AE148" s="19"/>
      <c r="AF148" s="19">
        <f t="shared" ref="AF148:AF161" si="133">IF(VLOOKUP($D148,$C$5:$AJ$470,30,)=0,0,((VLOOKUP($D148,$C$5:$AJ$470,30,)/VLOOKUP($D148,$C$5:$AJ$470,4,))*$F148))</f>
        <v>0</v>
      </c>
      <c r="AG148" s="19"/>
      <c r="AH148" s="19">
        <f t="shared" ref="AH148:AH161" si="134">IF(VLOOKUP($D148,$C$5:$AJ$470,32,)=0,0,((VLOOKUP($D148,$C$5:$AJ$470,32,)/VLOOKUP($D148,$C$5:$AJ$470,4,))*$F148))</f>
        <v>0</v>
      </c>
      <c r="AI148" s="19"/>
      <c r="AJ148" s="19">
        <f t="shared" ref="AJ148:AJ161" si="135">IF(VLOOKUP($D148,$C$5:$AJ$470,34,)=0,0,((VLOOKUP($D148,$C$5:$AJ$470,34,)/VLOOKUP($D148,$C$5:$AJ$470,4,))*$F148))</f>
        <v>0</v>
      </c>
      <c r="AK148" s="19">
        <f t="shared" ref="AK148:AK161" si="136">SUM(H148:AJ148)</f>
        <v>16090432.540000005</v>
      </c>
      <c r="AL148" s="15" t="str">
        <f t="shared" ref="AL148:AL161" si="137">IF(ABS(AK148-F148)&lt;1,"ok","err")</f>
        <v>ok</v>
      </c>
    </row>
    <row r="149" spans="1:38" x14ac:dyDescent="0.3">
      <c r="A149" s="2">
        <v>561</v>
      </c>
      <c r="B149" s="2" t="s">
        <v>191</v>
      </c>
      <c r="C149" s="2" t="s">
        <v>192</v>
      </c>
      <c r="D149" s="2" t="s">
        <v>190</v>
      </c>
      <c r="F149" s="43">
        <v>4214028.1900000004</v>
      </c>
      <c r="G149" s="18"/>
      <c r="H149" s="19">
        <f t="shared" si="112"/>
        <v>0</v>
      </c>
      <c r="I149" s="19">
        <f t="shared" si="113"/>
        <v>0</v>
      </c>
      <c r="J149" s="19">
        <f t="shared" si="114"/>
        <v>0</v>
      </c>
      <c r="K149" s="19">
        <f t="shared" si="115"/>
        <v>0</v>
      </c>
      <c r="L149" s="19">
        <f t="shared" si="116"/>
        <v>10091.056529619253</v>
      </c>
      <c r="M149" s="19">
        <f t="shared" si="117"/>
        <v>4203937.1334703825</v>
      </c>
      <c r="N149" s="19"/>
      <c r="O149" s="19">
        <f t="shared" si="118"/>
        <v>0</v>
      </c>
      <c r="P149" s="19">
        <f t="shared" si="119"/>
        <v>0</v>
      </c>
      <c r="Q149" s="19">
        <f t="shared" si="120"/>
        <v>0</v>
      </c>
      <c r="R149" s="19"/>
      <c r="S149" s="19">
        <f t="shared" si="121"/>
        <v>0</v>
      </c>
      <c r="T149" s="19">
        <f t="shared" si="122"/>
        <v>0</v>
      </c>
      <c r="U149" s="19">
        <f t="shared" si="123"/>
        <v>0</v>
      </c>
      <c r="V149" s="19">
        <f t="shared" si="124"/>
        <v>0</v>
      </c>
      <c r="W149" s="19">
        <f t="shared" si="125"/>
        <v>0</v>
      </c>
      <c r="X149" s="19">
        <f t="shared" si="126"/>
        <v>0</v>
      </c>
      <c r="Y149" s="19">
        <f t="shared" si="127"/>
        <v>0</v>
      </c>
      <c r="Z149" s="19">
        <f t="shared" si="128"/>
        <v>0</v>
      </c>
      <c r="AA149" s="19">
        <f t="shared" si="129"/>
        <v>0</v>
      </c>
      <c r="AB149" s="19">
        <f t="shared" si="130"/>
        <v>0</v>
      </c>
      <c r="AC149" s="19">
        <f t="shared" si="131"/>
        <v>0</v>
      </c>
      <c r="AD149" s="19">
        <f t="shared" si="132"/>
        <v>0</v>
      </c>
      <c r="AE149" s="19"/>
      <c r="AF149" s="19">
        <f t="shared" si="133"/>
        <v>0</v>
      </c>
      <c r="AG149" s="19"/>
      <c r="AH149" s="19">
        <f t="shared" si="134"/>
        <v>0</v>
      </c>
      <c r="AI149" s="19"/>
      <c r="AJ149" s="19">
        <f t="shared" si="135"/>
        <v>0</v>
      </c>
      <c r="AK149" s="19">
        <f t="shared" si="136"/>
        <v>4214028.1900000013</v>
      </c>
      <c r="AL149" s="15" t="str">
        <f t="shared" si="137"/>
        <v>ok</v>
      </c>
    </row>
    <row r="150" spans="1:38" x14ac:dyDescent="0.3">
      <c r="A150" s="2">
        <v>562</v>
      </c>
      <c r="B150" s="2" t="s">
        <v>193</v>
      </c>
      <c r="C150" s="2" t="s">
        <v>194</v>
      </c>
      <c r="D150" s="2" t="s">
        <v>30</v>
      </c>
      <c r="F150" s="43">
        <f>3036030.87</f>
        <v>3036030.87</v>
      </c>
      <c r="G150" s="18"/>
      <c r="H150" s="19">
        <f t="shared" si="112"/>
        <v>0</v>
      </c>
      <c r="I150" s="19">
        <f t="shared" si="113"/>
        <v>0</v>
      </c>
      <c r="J150" s="19">
        <f t="shared" si="114"/>
        <v>0</v>
      </c>
      <c r="K150" s="19">
        <f t="shared" si="115"/>
        <v>0</v>
      </c>
      <c r="L150" s="19">
        <f t="shared" si="116"/>
        <v>7270.1837181680348</v>
      </c>
      <c r="M150" s="19">
        <f t="shared" si="117"/>
        <v>3028760.6862818324</v>
      </c>
      <c r="N150" s="19"/>
      <c r="O150" s="19">
        <f t="shared" si="118"/>
        <v>0</v>
      </c>
      <c r="P150" s="19">
        <f t="shared" si="119"/>
        <v>0</v>
      </c>
      <c r="Q150" s="19">
        <f t="shared" si="120"/>
        <v>0</v>
      </c>
      <c r="R150" s="19"/>
      <c r="S150" s="19">
        <f t="shared" si="121"/>
        <v>0</v>
      </c>
      <c r="T150" s="19">
        <f t="shared" si="122"/>
        <v>0</v>
      </c>
      <c r="U150" s="19">
        <f t="shared" si="123"/>
        <v>0</v>
      </c>
      <c r="V150" s="19">
        <f t="shared" si="124"/>
        <v>0</v>
      </c>
      <c r="W150" s="19">
        <f t="shared" si="125"/>
        <v>0</v>
      </c>
      <c r="X150" s="19">
        <f t="shared" si="126"/>
        <v>0</v>
      </c>
      <c r="Y150" s="19">
        <f t="shared" si="127"/>
        <v>0</v>
      </c>
      <c r="Z150" s="19">
        <f t="shared" si="128"/>
        <v>0</v>
      </c>
      <c r="AA150" s="19">
        <f t="shared" si="129"/>
        <v>0</v>
      </c>
      <c r="AB150" s="19">
        <f t="shared" si="130"/>
        <v>0</v>
      </c>
      <c r="AC150" s="19">
        <f t="shared" si="131"/>
        <v>0</v>
      </c>
      <c r="AD150" s="19">
        <f t="shared" si="132"/>
        <v>0</v>
      </c>
      <c r="AE150" s="19"/>
      <c r="AF150" s="19">
        <f t="shared" si="133"/>
        <v>0</v>
      </c>
      <c r="AG150" s="19"/>
      <c r="AH150" s="19">
        <f t="shared" si="134"/>
        <v>0</v>
      </c>
      <c r="AI150" s="19"/>
      <c r="AJ150" s="19">
        <f t="shared" si="135"/>
        <v>0</v>
      </c>
      <c r="AK150" s="19">
        <f t="shared" si="136"/>
        <v>3036030.8700000006</v>
      </c>
      <c r="AL150" s="15" t="str">
        <f t="shared" si="137"/>
        <v>ok</v>
      </c>
    </row>
    <row r="151" spans="1:38" x14ac:dyDescent="0.3">
      <c r="A151" s="2">
        <v>563</v>
      </c>
      <c r="B151" s="2" t="s">
        <v>195</v>
      </c>
      <c r="C151" s="2" t="s">
        <v>196</v>
      </c>
      <c r="D151" s="2" t="s">
        <v>30</v>
      </c>
      <c r="F151" s="43">
        <v>9308655.2100000009</v>
      </c>
      <c r="G151" s="18"/>
      <c r="H151" s="19">
        <f t="shared" si="112"/>
        <v>0</v>
      </c>
      <c r="I151" s="19">
        <f t="shared" si="113"/>
        <v>0</v>
      </c>
      <c r="J151" s="19">
        <f t="shared" si="114"/>
        <v>0</v>
      </c>
      <c r="K151" s="19">
        <f t="shared" si="115"/>
        <v>0</v>
      </c>
      <c r="L151" s="19">
        <f t="shared" si="116"/>
        <v>22290.825239791469</v>
      </c>
      <c r="M151" s="19">
        <f t="shared" si="117"/>
        <v>9286364.3847602103</v>
      </c>
      <c r="N151" s="19"/>
      <c r="O151" s="19">
        <f t="shared" si="118"/>
        <v>0</v>
      </c>
      <c r="P151" s="19">
        <f t="shared" si="119"/>
        <v>0</v>
      </c>
      <c r="Q151" s="19">
        <f t="shared" si="120"/>
        <v>0</v>
      </c>
      <c r="R151" s="19"/>
      <c r="S151" s="19">
        <f t="shared" si="121"/>
        <v>0</v>
      </c>
      <c r="T151" s="19">
        <f t="shared" si="122"/>
        <v>0</v>
      </c>
      <c r="U151" s="19">
        <f t="shared" si="123"/>
        <v>0</v>
      </c>
      <c r="V151" s="19">
        <f t="shared" si="124"/>
        <v>0</v>
      </c>
      <c r="W151" s="19">
        <f t="shared" si="125"/>
        <v>0</v>
      </c>
      <c r="X151" s="19">
        <f t="shared" si="126"/>
        <v>0</v>
      </c>
      <c r="Y151" s="19">
        <f t="shared" si="127"/>
        <v>0</v>
      </c>
      <c r="Z151" s="19">
        <f t="shared" si="128"/>
        <v>0</v>
      </c>
      <c r="AA151" s="19">
        <f t="shared" si="129"/>
        <v>0</v>
      </c>
      <c r="AB151" s="19">
        <f t="shared" si="130"/>
        <v>0</v>
      </c>
      <c r="AC151" s="19">
        <f t="shared" si="131"/>
        <v>0</v>
      </c>
      <c r="AD151" s="19">
        <f t="shared" si="132"/>
        <v>0</v>
      </c>
      <c r="AE151" s="19"/>
      <c r="AF151" s="19">
        <f t="shared" si="133"/>
        <v>0</v>
      </c>
      <c r="AG151" s="19"/>
      <c r="AH151" s="19">
        <f t="shared" si="134"/>
        <v>0</v>
      </c>
      <c r="AI151" s="19"/>
      <c r="AJ151" s="19">
        <f t="shared" si="135"/>
        <v>0</v>
      </c>
      <c r="AK151" s="19">
        <f t="shared" si="136"/>
        <v>9308655.2100000009</v>
      </c>
      <c r="AL151" s="15" t="str">
        <f t="shared" si="137"/>
        <v>ok</v>
      </c>
    </row>
    <row r="152" spans="1:38" x14ac:dyDescent="0.3">
      <c r="A152" s="2">
        <v>565</v>
      </c>
      <c r="B152" s="2" t="s">
        <v>197</v>
      </c>
      <c r="C152" s="2" t="s">
        <v>198</v>
      </c>
      <c r="D152" s="2" t="s">
        <v>30</v>
      </c>
      <c r="F152" s="43">
        <v>22893970.629999999</v>
      </c>
      <c r="G152" s="18"/>
      <c r="H152" s="19">
        <f t="shared" si="112"/>
        <v>0</v>
      </c>
      <c r="I152" s="19">
        <f t="shared" si="113"/>
        <v>0</v>
      </c>
      <c r="J152" s="19">
        <f t="shared" si="114"/>
        <v>0</v>
      </c>
      <c r="K152" s="19">
        <f t="shared" si="115"/>
        <v>0</v>
      </c>
      <c r="L152" s="19">
        <f t="shared" si="116"/>
        <v>54822.687793831021</v>
      </c>
      <c r="M152" s="19">
        <f t="shared" si="117"/>
        <v>22839147.94220617</v>
      </c>
      <c r="N152" s="19"/>
      <c r="O152" s="19">
        <f t="shared" si="118"/>
        <v>0</v>
      </c>
      <c r="P152" s="19">
        <f t="shared" si="119"/>
        <v>0</v>
      </c>
      <c r="Q152" s="19">
        <f t="shared" si="120"/>
        <v>0</v>
      </c>
      <c r="R152" s="19"/>
      <c r="S152" s="19">
        <f t="shared" si="121"/>
        <v>0</v>
      </c>
      <c r="T152" s="19">
        <f t="shared" si="122"/>
        <v>0</v>
      </c>
      <c r="U152" s="19">
        <f t="shared" si="123"/>
        <v>0</v>
      </c>
      <c r="V152" s="19">
        <f t="shared" si="124"/>
        <v>0</v>
      </c>
      <c r="W152" s="19">
        <f t="shared" si="125"/>
        <v>0</v>
      </c>
      <c r="X152" s="19">
        <f t="shared" si="126"/>
        <v>0</v>
      </c>
      <c r="Y152" s="19">
        <f t="shared" si="127"/>
        <v>0</v>
      </c>
      <c r="Z152" s="19">
        <f t="shared" si="128"/>
        <v>0</v>
      </c>
      <c r="AA152" s="19">
        <f t="shared" si="129"/>
        <v>0</v>
      </c>
      <c r="AB152" s="19">
        <f t="shared" si="130"/>
        <v>0</v>
      </c>
      <c r="AC152" s="19">
        <f t="shared" si="131"/>
        <v>0</v>
      </c>
      <c r="AD152" s="19">
        <f t="shared" si="132"/>
        <v>0</v>
      </c>
      <c r="AE152" s="19"/>
      <c r="AF152" s="19">
        <f t="shared" si="133"/>
        <v>0</v>
      </c>
      <c r="AG152" s="19"/>
      <c r="AH152" s="19">
        <f t="shared" si="134"/>
        <v>0</v>
      </c>
      <c r="AI152" s="19"/>
      <c r="AJ152" s="19">
        <f t="shared" si="135"/>
        <v>0</v>
      </c>
      <c r="AK152" s="19">
        <f t="shared" si="136"/>
        <v>22893970.630000003</v>
      </c>
      <c r="AL152" s="15" t="str">
        <f t="shared" si="137"/>
        <v>ok</v>
      </c>
    </row>
    <row r="153" spans="1:38" x14ac:dyDescent="0.3">
      <c r="A153" s="2">
        <v>566</v>
      </c>
      <c r="B153" s="2" t="s">
        <v>199</v>
      </c>
      <c r="C153" s="2" t="s">
        <v>200</v>
      </c>
      <c r="D153" s="2" t="s">
        <v>30</v>
      </c>
      <c r="F153" s="43">
        <v>476071.98</v>
      </c>
      <c r="G153" s="18"/>
      <c r="H153" s="19">
        <f t="shared" si="112"/>
        <v>0</v>
      </c>
      <c r="I153" s="19">
        <f t="shared" si="113"/>
        <v>0</v>
      </c>
      <c r="J153" s="19">
        <f t="shared" si="114"/>
        <v>0</v>
      </c>
      <c r="K153" s="19">
        <f t="shared" si="115"/>
        <v>0</v>
      </c>
      <c r="L153" s="19">
        <f t="shared" si="116"/>
        <v>1140.0183021432908</v>
      </c>
      <c r="M153" s="19">
        <f t="shared" si="117"/>
        <v>474931.96169785672</v>
      </c>
      <c r="N153" s="19"/>
      <c r="O153" s="19">
        <f t="shared" si="118"/>
        <v>0</v>
      </c>
      <c r="P153" s="19">
        <f t="shared" si="119"/>
        <v>0</v>
      </c>
      <c r="Q153" s="19">
        <f t="shared" si="120"/>
        <v>0</v>
      </c>
      <c r="R153" s="19"/>
      <c r="S153" s="19">
        <f t="shared" si="121"/>
        <v>0</v>
      </c>
      <c r="T153" s="19">
        <f t="shared" si="122"/>
        <v>0</v>
      </c>
      <c r="U153" s="19">
        <f t="shared" si="123"/>
        <v>0</v>
      </c>
      <c r="V153" s="19">
        <f t="shared" si="124"/>
        <v>0</v>
      </c>
      <c r="W153" s="19">
        <f t="shared" si="125"/>
        <v>0</v>
      </c>
      <c r="X153" s="19">
        <f t="shared" si="126"/>
        <v>0</v>
      </c>
      <c r="Y153" s="19">
        <f t="shared" si="127"/>
        <v>0</v>
      </c>
      <c r="Z153" s="19">
        <f t="shared" si="128"/>
        <v>0</v>
      </c>
      <c r="AA153" s="19">
        <f t="shared" si="129"/>
        <v>0</v>
      </c>
      <c r="AB153" s="19">
        <f t="shared" si="130"/>
        <v>0</v>
      </c>
      <c r="AC153" s="19">
        <f t="shared" si="131"/>
        <v>0</v>
      </c>
      <c r="AD153" s="19">
        <f t="shared" si="132"/>
        <v>0</v>
      </c>
      <c r="AE153" s="19"/>
      <c r="AF153" s="19">
        <f t="shared" si="133"/>
        <v>0</v>
      </c>
      <c r="AG153" s="19"/>
      <c r="AH153" s="19">
        <f t="shared" si="134"/>
        <v>0</v>
      </c>
      <c r="AI153" s="19"/>
      <c r="AJ153" s="19">
        <f t="shared" si="135"/>
        <v>0</v>
      </c>
      <c r="AK153" s="19">
        <f t="shared" si="136"/>
        <v>476071.98000000004</v>
      </c>
      <c r="AL153" s="15" t="str">
        <f t="shared" si="137"/>
        <v>ok</v>
      </c>
    </row>
    <row r="154" spans="1:38" x14ac:dyDescent="0.3">
      <c r="A154" s="2">
        <v>567</v>
      </c>
      <c r="B154" s="2" t="s">
        <v>129</v>
      </c>
      <c r="C154" s="2" t="s">
        <v>201</v>
      </c>
      <c r="D154" s="2" t="s">
        <v>30</v>
      </c>
      <c r="F154" s="43">
        <v>0</v>
      </c>
      <c r="G154" s="18"/>
      <c r="H154" s="19">
        <f t="shared" si="112"/>
        <v>0</v>
      </c>
      <c r="I154" s="19">
        <f t="shared" si="113"/>
        <v>0</v>
      </c>
      <c r="J154" s="19">
        <f t="shared" si="114"/>
        <v>0</v>
      </c>
      <c r="K154" s="19">
        <f t="shared" si="115"/>
        <v>0</v>
      </c>
      <c r="L154" s="19">
        <f t="shared" si="116"/>
        <v>0</v>
      </c>
      <c r="M154" s="19">
        <f t="shared" si="117"/>
        <v>0</v>
      </c>
      <c r="N154" s="19"/>
      <c r="O154" s="19">
        <f t="shared" si="118"/>
        <v>0</v>
      </c>
      <c r="P154" s="19">
        <f t="shared" si="119"/>
        <v>0</v>
      </c>
      <c r="Q154" s="19">
        <f t="shared" si="120"/>
        <v>0</v>
      </c>
      <c r="R154" s="19"/>
      <c r="S154" s="19">
        <f t="shared" si="121"/>
        <v>0</v>
      </c>
      <c r="T154" s="19">
        <f t="shared" si="122"/>
        <v>0</v>
      </c>
      <c r="U154" s="19">
        <f t="shared" si="123"/>
        <v>0</v>
      </c>
      <c r="V154" s="19">
        <f t="shared" si="124"/>
        <v>0</v>
      </c>
      <c r="W154" s="19">
        <f t="shared" si="125"/>
        <v>0</v>
      </c>
      <c r="X154" s="19">
        <f t="shared" si="126"/>
        <v>0</v>
      </c>
      <c r="Y154" s="19">
        <f t="shared" si="127"/>
        <v>0</v>
      </c>
      <c r="Z154" s="19">
        <f t="shared" si="128"/>
        <v>0</v>
      </c>
      <c r="AA154" s="19">
        <f t="shared" si="129"/>
        <v>0</v>
      </c>
      <c r="AB154" s="19">
        <f t="shared" si="130"/>
        <v>0</v>
      </c>
      <c r="AC154" s="19">
        <f t="shared" si="131"/>
        <v>0</v>
      </c>
      <c r="AD154" s="19">
        <f t="shared" si="132"/>
        <v>0</v>
      </c>
      <c r="AE154" s="19"/>
      <c r="AF154" s="19">
        <f t="shared" si="133"/>
        <v>0</v>
      </c>
      <c r="AG154" s="19"/>
      <c r="AH154" s="19">
        <f t="shared" si="134"/>
        <v>0</v>
      </c>
      <c r="AI154" s="19"/>
      <c r="AJ154" s="19">
        <f t="shared" si="135"/>
        <v>0</v>
      </c>
      <c r="AK154" s="19">
        <f t="shared" si="136"/>
        <v>0</v>
      </c>
      <c r="AL154" s="15" t="str">
        <f t="shared" si="137"/>
        <v>ok</v>
      </c>
    </row>
    <row r="155" spans="1:38" x14ac:dyDescent="0.3">
      <c r="A155" s="2">
        <v>568</v>
      </c>
      <c r="B155" s="2" t="s">
        <v>202</v>
      </c>
      <c r="C155" s="2" t="s">
        <v>203</v>
      </c>
      <c r="D155" s="2" t="s">
        <v>190</v>
      </c>
      <c r="F155" s="43">
        <v>235142.62</v>
      </c>
      <c r="G155" s="18"/>
      <c r="H155" s="19">
        <f t="shared" si="112"/>
        <v>0</v>
      </c>
      <c r="I155" s="19">
        <f t="shared" si="113"/>
        <v>0</v>
      </c>
      <c r="J155" s="19">
        <f t="shared" si="114"/>
        <v>0</v>
      </c>
      <c r="K155" s="19">
        <f t="shared" si="115"/>
        <v>0</v>
      </c>
      <c r="L155" s="19">
        <f t="shared" si="116"/>
        <v>563.08058796891396</v>
      </c>
      <c r="M155" s="19">
        <f t="shared" si="117"/>
        <v>234579.53941203118</v>
      </c>
      <c r="N155" s="19"/>
      <c r="O155" s="19">
        <f t="shared" si="118"/>
        <v>0</v>
      </c>
      <c r="P155" s="19">
        <f t="shared" si="119"/>
        <v>0</v>
      </c>
      <c r="Q155" s="19">
        <f t="shared" si="120"/>
        <v>0</v>
      </c>
      <c r="R155" s="19"/>
      <c r="S155" s="19">
        <f t="shared" si="121"/>
        <v>0</v>
      </c>
      <c r="T155" s="19">
        <f t="shared" si="122"/>
        <v>0</v>
      </c>
      <c r="U155" s="19">
        <f t="shared" si="123"/>
        <v>0</v>
      </c>
      <c r="V155" s="19">
        <f t="shared" si="124"/>
        <v>0</v>
      </c>
      <c r="W155" s="19">
        <f t="shared" si="125"/>
        <v>0</v>
      </c>
      <c r="X155" s="19">
        <f t="shared" si="126"/>
        <v>0</v>
      </c>
      <c r="Y155" s="19">
        <f t="shared" si="127"/>
        <v>0</v>
      </c>
      <c r="Z155" s="19">
        <f t="shared" si="128"/>
        <v>0</v>
      </c>
      <c r="AA155" s="19">
        <f t="shared" si="129"/>
        <v>0</v>
      </c>
      <c r="AB155" s="19">
        <f t="shared" si="130"/>
        <v>0</v>
      </c>
      <c r="AC155" s="19">
        <f t="shared" si="131"/>
        <v>0</v>
      </c>
      <c r="AD155" s="19">
        <f t="shared" si="132"/>
        <v>0</v>
      </c>
      <c r="AE155" s="19"/>
      <c r="AF155" s="19">
        <f t="shared" si="133"/>
        <v>0</v>
      </c>
      <c r="AG155" s="19"/>
      <c r="AH155" s="19">
        <f t="shared" si="134"/>
        <v>0</v>
      </c>
      <c r="AI155" s="19"/>
      <c r="AJ155" s="19">
        <f t="shared" si="135"/>
        <v>0</v>
      </c>
      <c r="AK155" s="19">
        <f t="shared" si="136"/>
        <v>235142.62000000008</v>
      </c>
      <c r="AL155" s="15" t="str">
        <f t="shared" si="137"/>
        <v>ok</v>
      </c>
    </row>
    <row r="156" spans="1:38" x14ac:dyDescent="0.3">
      <c r="A156" s="2">
        <v>569</v>
      </c>
      <c r="B156" s="2" t="s">
        <v>204</v>
      </c>
      <c r="C156" s="2" t="s">
        <v>205</v>
      </c>
      <c r="D156" s="2" t="s">
        <v>30</v>
      </c>
      <c r="F156" s="43">
        <v>0</v>
      </c>
      <c r="G156" s="18"/>
      <c r="H156" s="19">
        <f t="shared" si="112"/>
        <v>0</v>
      </c>
      <c r="I156" s="19">
        <f t="shared" si="113"/>
        <v>0</v>
      </c>
      <c r="J156" s="19">
        <f t="shared" si="114"/>
        <v>0</v>
      </c>
      <c r="K156" s="19">
        <f t="shared" si="115"/>
        <v>0</v>
      </c>
      <c r="L156" s="19">
        <f t="shared" si="116"/>
        <v>0</v>
      </c>
      <c r="M156" s="19">
        <f t="shared" si="117"/>
        <v>0</v>
      </c>
      <c r="N156" s="19"/>
      <c r="O156" s="19">
        <f t="shared" si="118"/>
        <v>0</v>
      </c>
      <c r="P156" s="19">
        <f t="shared" si="119"/>
        <v>0</v>
      </c>
      <c r="Q156" s="19">
        <f t="shared" si="120"/>
        <v>0</v>
      </c>
      <c r="R156" s="19"/>
      <c r="S156" s="19">
        <f t="shared" si="121"/>
        <v>0</v>
      </c>
      <c r="T156" s="19">
        <f t="shared" si="122"/>
        <v>0</v>
      </c>
      <c r="U156" s="19">
        <f t="shared" si="123"/>
        <v>0</v>
      </c>
      <c r="V156" s="19">
        <f t="shared" si="124"/>
        <v>0</v>
      </c>
      <c r="W156" s="19">
        <f t="shared" si="125"/>
        <v>0</v>
      </c>
      <c r="X156" s="19">
        <f t="shared" si="126"/>
        <v>0</v>
      </c>
      <c r="Y156" s="19">
        <f t="shared" si="127"/>
        <v>0</v>
      </c>
      <c r="Z156" s="19">
        <f t="shared" si="128"/>
        <v>0</v>
      </c>
      <c r="AA156" s="19">
        <f t="shared" si="129"/>
        <v>0</v>
      </c>
      <c r="AB156" s="19">
        <f t="shared" si="130"/>
        <v>0</v>
      </c>
      <c r="AC156" s="19">
        <f t="shared" si="131"/>
        <v>0</v>
      </c>
      <c r="AD156" s="19">
        <f t="shared" si="132"/>
        <v>0</v>
      </c>
      <c r="AE156" s="19"/>
      <c r="AF156" s="19">
        <f t="shared" si="133"/>
        <v>0</v>
      </c>
      <c r="AG156" s="19"/>
      <c r="AH156" s="19">
        <f t="shared" si="134"/>
        <v>0</v>
      </c>
      <c r="AI156" s="19"/>
      <c r="AJ156" s="19">
        <f t="shared" si="135"/>
        <v>0</v>
      </c>
      <c r="AK156" s="19">
        <f t="shared" si="136"/>
        <v>0</v>
      </c>
      <c r="AL156" s="15" t="str">
        <f t="shared" si="137"/>
        <v>ok</v>
      </c>
    </row>
    <row r="157" spans="1:38" x14ac:dyDescent="0.3">
      <c r="A157" s="2">
        <v>570</v>
      </c>
      <c r="B157" s="2" t="s">
        <v>206</v>
      </c>
      <c r="C157" s="2" t="s">
        <v>207</v>
      </c>
      <c r="D157" s="2" t="s">
        <v>30</v>
      </c>
      <c r="F157" s="43">
        <v>2540484.1800000002</v>
      </c>
      <c r="G157" s="18"/>
      <c r="H157" s="19">
        <f t="shared" si="112"/>
        <v>0</v>
      </c>
      <c r="I157" s="19">
        <f t="shared" si="113"/>
        <v>0</v>
      </c>
      <c r="J157" s="19">
        <f t="shared" si="114"/>
        <v>0</v>
      </c>
      <c r="K157" s="19">
        <f t="shared" si="115"/>
        <v>0</v>
      </c>
      <c r="L157" s="19">
        <f t="shared" si="116"/>
        <v>6083.5306070848583</v>
      </c>
      <c r="M157" s="19">
        <f t="shared" si="117"/>
        <v>2534400.6493929154</v>
      </c>
      <c r="N157" s="19"/>
      <c r="O157" s="19">
        <f t="shared" si="118"/>
        <v>0</v>
      </c>
      <c r="P157" s="19">
        <f t="shared" si="119"/>
        <v>0</v>
      </c>
      <c r="Q157" s="19">
        <f t="shared" si="120"/>
        <v>0</v>
      </c>
      <c r="R157" s="19"/>
      <c r="S157" s="19">
        <f t="shared" si="121"/>
        <v>0</v>
      </c>
      <c r="T157" s="19">
        <f t="shared" si="122"/>
        <v>0</v>
      </c>
      <c r="U157" s="19">
        <f t="shared" si="123"/>
        <v>0</v>
      </c>
      <c r="V157" s="19">
        <f t="shared" si="124"/>
        <v>0</v>
      </c>
      <c r="W157" s="19">
        <f t="shared" si="125"/>
        <v>0</v>
      </c>
      <c r="X157" s="19">
        <f t="shared" si="126"/>
        <v>0</v>
      </c>
      <c r="Y157" s="19">
        <f t="shared" si="127"/>
        <v>0</v>
      </c>
      <c r="Z157" s="19">
        <f t="shared" si="128"/>
        <v>0</v>
      </c>
      <c r="AA157" s="19">
        <f t="shared" si="129"/>
        <v>0</v>
      </c>
      <c r="AB157" s="19">
        <f t="shared" si="130"/>
        <v>0</v>
      </c>
      <c r="AC157" s="19">
        <f t="shared" si="131"/>
        <v>0</v>
      </c>
      <c r="AD157" s="19">
        <f t="shared" si="132"/>
        <v>0</v>
      </c>
      <c r="AE157" s="19"/>
      <c r="AF157" s="19">
        <f t="shared" si="133"/>
        <v>0</v>
      </c>
      <c r="AG157" s="19"/>
      <c r="AH157" s="19">
        <f t="shared" si="134"/>
        <v>0</v>
      </c>
      <c r="AI157" s="19"/>
      <c r="AJ157" s="19">
        <f t="shared" si="135"/>
        <v>0</v>
      </c>
      <c r="AK157" s="19">
        <f t="shared" si="136"/>
        <v>2540484.1800000002</v>
      </c>
      <c r="AL157" s="15" t="str">
        <f t="shared" si="137"/>
        <v>ok</v>
      </c>
    </row>
    <row r="158" spans="1:38" x14ac:dyDescent="0.3">
      <c r="A158" s="2">
        <v>571</v>
      </c>
      <c r="B158" s="2" t="s">
        <v>208</v>
      </c>
      <c r="C158" s="2" t="s">
        <v>209</v>
      </c>
      <c r="D158" s="2" t="s">
        <v>30</v>
      </c>
      <c r="F158" s="43">
        <v>9642556.8699999992</v>
      </c>
      <c r="G158" s="18"/>
      <c r="H158" s="19">
        <f t="shared" si="112"/>
        <v>0</v>
      </c>
      <c r="I158" s="19">
        <f t="shared" si="113"/>
        <v>0</v>
      </c>
      <c r="J158" s="19">
        <f t="shared" si="114"/>
        <v>0</v>
      </c>
      <c r="K158" s="19">
        <f t="shared" si="115"/>
        <v>0</v>
      </c>
      <c r="L158" s="19">
        <f t="shared" si="116"/>
        <v>23090.397614363952</v>
      </c>
      <c r="M158" s="19">
        <f t="shared" si="117"/>
        <v>9619466.4723856356</v>
      </c>
      <c r="N158" s="19"/>
      <c r="O158" s="19">
        <f t="shared" si="118"/>
        <v>0</v>
      </c>
      <c r="P158" s="19">
        <f t="shared" si="119"/>
        <v>0</v>
      </c>
      <c r="Q158" s="19">
        <f t="shared" si="120"/>
        <v>0</v>
      </c>
      <c r="R158" s="19"/>
      <c r="S158" s="19">
        <f t="shared" si="121"/>
        <v>0</v>
      </c>
      <c r="T158" s="19">
        <f t="shared" si="122"/>
        <v>0</v>
      </c>
      <c r="U158" s="19">
        <f t="shared" si="123"/>
        <v>0</v>
      </c>
      <c r="V158" s="19">
        <f t="shared" si="124"/>
        <v>0</v>
      </c>
      <c r="W158" s="19">
        <f t="shared" si="125"/>
        <v>0</v>
      </c>
      <c r="X158" s="19">
        <f t="shared" si="126"/>
        <v>0</v>
      </c>
      <c r="Y158" s="19">
        <f t="shared" si="127"/>
        <v>0</v>
      </c>
      <c r="Z158" s="19">
        <f t="shared" si="128"/>
        <v>0</v>
      </c>
      <c r="AA158" s="19">
        <f t="shared" si="129"/>
        <v>0</v>
      </c>
      <c r="AB158" s="19">
        <f t="shared" si="130"/>
        <v>0</v>
      </c>
      <c r="AC158" s="19">
        <f t="shared" si="131"/>
        <v>0</v>
      </c>
      <c r="AD158" s="19">
        <f t="shared" si="132"/>
        <v>0</v>
      </c>
      <c r="AE158" s="19"/>
      <c r="AF158" s="19">
        <f t="shared" si="133"/>
        <v>0</v>
      </c>
      <c r="AG158" s="19"/>
      <c r="AH158" s="19">
        <f t="shared" si="134"/>
        <v>0</v>
      </c>
      <c r="AI158" s="19"/>
      <c r="AJ158" s="19">
        <f t="shared" si="135"/>
        <v>0</v>
      </c>
      <c r="AK158" s="19">
        <f t="shared" si="136"/>
        <v>9642556.8699999992</v>
      </c>
      <c r="AL158" s="15" t="str">
        <f t="shared" si="137"/>
        <v>ok</v>
      </c>
    </row>
    <row r="159" spans="1:38" x14ac:dyDescent="0.3">
      <c r="A159" s="2">
        <v>572</v>
      </c>
      <c r="B159" s="2" t="s">
        <v>210</v>
      </c>
      <c r="C159" s="2" t="s">
        <v>211</v>
      </c>
      <c r="D159" s="2" t="s">
        <v>30</v>
      </c>
      <c r="F159" s="43">
        <v>0</v>
      </c>
      <c r="G159" s="18"/>
      <c r="H159" s="19">
        <f t="shared" si="112"/>
        <v>0</v>
      </c>
      <c r="I159" s="19">
        <f t="shared" si="113"/>
        <v>0</v>
      </c>
      <c r="J159" s="19">
        <f t="shared" si="114"/>
        <v>0</v>
      </c>
      <c r="K159" s="19">
        <f t="shared" si="115"/>
        <v>0</v>
      </c>
      <c r="L159" s="19">
        <f t="shared" si="116"/>
        <v>0</v>
      </c>
      <c r="M159" s="19">
        <f t="shared" si="117"/>
        <v>0</v>
      </c>
      <c r="N159" s="19"/>
      <c r="O159" s="19">
        <f t="shared" si="118"/>
        <v>0</v>
      </c>
      <c r="P159" s="19">
        <f t="shared" si="119"/>
        <v>0</v>
      </c>
      <c r="Q159" s="19">
        <f t="shared" si="120"/>
        <v>0</v>
      </c>
      <c r="R159" s="19"/>
      <c r="S159" s="19">
        <f t="shared" si="121"/>
        <v>0</v>
      </c>
      <c r="T159" s="19">
        <f t="shared" si="122"/>
        <v>0</v>
      </c>
      <c r="U159" s="19">
        <f t="shared" si="123"/>
        <v>0</v>
      </c>
      <c r="V159" s="19">
        <f t="shared" si="124"/>
        <v>0</v>
      </c>
      <c r="W159" s="19">
        <f t="shared" si="125"/>
        <v>0</v>
      </c>
      <c r="X159" s="19">
        <f t="shared" si="126"/>
        <v>0</v>
      </c>
      <c r="Y159" s="19">
        <f t="shared" si="127"/>
        <v>0</v>
      </c>
      <c r="Z159" s="19">
        <f t="shared" si="128"/>
        <v>0</v>
      </c>
      <c r="AA159" s="19">
        <f t="shared" si="129"/>
        <v>0</v>
      </c>
      <c r="AB159" s="19">
        <f t="shared" si="130"/>
        <v>0</v>
      </c>
      <c r="AC159" s="19">
        <f t="shared" si="131"/>
        <v>0</v>
      </c>
      <c r="AD159" s="19">
        <f t="shared" si="132"/>
        <v>0</v>
      </c>
      <c r="AE159" s="19"/>
      <c r="AF159" s="19">
        <f t="shared" si="133"/>
        <v>0</v>
      </c>
      <c r="AG159" s="19"/>
      <c r="AH159" s="19">
        <f t="shared" si="134"/>
        <v>0</v>
      </c>
      <c r="AI159" s="19"/>
      <c r="AJ159" s="19">
        <f t="shared" si="135"/>
        <v>0</v>
      </c>
      <c r="AK159" s="19">
        <f t="shared" si="136"/>
        <v>0</v>
      </c>
      <c r="AL159" s="15" t="str">
        <f t="shared" si="137"/>
        <v>ok</v>
      </c>
    </row>
    <row r="160" spans="1:38" x14ac:dyDescent="0.3">
      <c r="A160" s="2">
        <v>573</v>
      </c>
      <c r="B160" s="2" t="s">
        <v>212</v>
      </c>
      <c r="C160" s="2" t="s">
        <v>213</v>
      </c>
      <c r="D160" s="2" t="s">
        <v>30</v>
      </c>
      <c r="F160" s="43">
        <v>430433.93</v>
      </c>
      <c r="G160" s="18"/>
      <c r="H160" s="19">
        <f t="shared" si="112"/>
        <v>0</v>
      </c>
      <c r="I160" s="19">
        <f t="shared" si="113"/>
        <v>0</v>
      </c>
      <c r="J160" s="19">
        <f t="shared" si="114"/>
        <v>0</v>
      </c>
      <c r="K160" s="19">
        <f t="shared" si="115"/>
        <v>0</v>
      </c>
      <c r="L160" s="19">
        <f t="shared" si="116"/>
        <v>1030.731861311107</v>
      </c>
      <c r="M160" s="19">
        <f t="shared" si="117"/>
        <v>429403.19813868892</v>
      </c>
      <c r="N160" s="19"/>
      <c r="O160" s="19">
        <f t="shared" si="118"/>
        <v>0</v>
      </c>
      <c r="P160" s="19">
        <f t="shared" si="119"/>
        <v>0</v>
      </c>
      <c r="Q160" s="19">
        <f t="shared" si="120"/>
        <v>0</v>
      </c>
      <c r="R160" s="19"/>
      <c r="S160" s="19">
        <f t="shared" si="121"/>
        <v>0</v>
      </c>
      <c r="T160" s="19">
        <f t="shared" si="122"/>
        <v>0</v>
      </c>
      <c r="U160" s="19">
        <f t="shared" si="123"/>
        <v>0</v>
      </c>
      <c r="V160" s="19">
        <f t="shared" si="124"/>
        <v>0</v>
      </c>
      <c r="W160" s="19">
        <f t="shared" si="125"/>
        <v>0</v>
      </c>
      <c r="X160" s="19">
        <f t="shared" si="126"/>
        <v>0</v>
      </c>
      <c r="Y160" s="19">
        <f t="shared" si="127"/>
        <v>0</v>
      </c>
      <c r="Z160" s="19">
        <f t="shared" si="128"/>
        <v>0</v>
      </c>
      <c r="AA160" s="19">
        <f t="shared" si="129"/>
        <v>0</v>
      </c>
      <c r="AB160" s="19">
        <f t="shared" si="130"/>
        <v>0</v>
      </c>
      <c r="AC160" s="19">
        <f t="shared" si="131"/>
        <v>0</v>
      </c>
      <c r="AD160" s="19">
        <f t="shared" si="132"/>
        <v>0</v>
      </c>
      <c r="AE160" s="19"/>
      <c r="AF160" s="19">
        <f t="shared" si="133"/>
        <v>0</v>
      </c>
      <c r="AG160" s="19"/>
      <c r="AH160" s="19">
        <f t="shared" si="134"/>
        <v>0</v>
      </c>
      <c r="AI160" s="19"/>
      <c r="AJ160" s="19">
        <f t="shared" si="135"/>
        <v>0</v>
      </c>
      <c r="AK160" s="19">
        <f>SUM(H160:AJ160)</f>
        <v>430433.93000000005</v>
      </c>
      <c r="AL160" s="15" t="str">
        <f>IF(ABS(AK160-F160)&lt;1,"ok","err")</f>
        <v>ok</v>
      </c>
    </row>
    <row r="161" spans="1:38" x14ac:dyDescent="0.3">
      <c r="A161" s="2">
        <v>575</v>
      </c>
      <c r="B161" s="2" t="s">
        <v>214</v>
      </c>
      <c r="C161" s="2" t="s">
        <v>215</v>
      </c>
      <c r="D161" s="2" t="s">
        <v>190</v>
      </c>
      <c r="F161" s="43">
        <v>6057711.4900000002</v>
      </c>
      <c r="G161" s="18"/>
      <c r="H161" s="19">
        <f t="shared" si="112"/>
        <v>0</v>
      </c>
      <c r="I161" s="19">
        <f t="shared" si="113"/>
        <v>0</v>
      </c>
      <c r="J161" s="19">
        <f t="shared" si="114"/>
        <v>0</v>
      </c>
      <c r="K161" s="19">
        <f t="shared" si="115"/>
        <v>0</v>
      </c>
      <c r="L161" s="19">
        <f t="shared" si="116"/>
        <v>14506.003835184138</v>
      </c>
      <c r="M161" s="19">
        <f t="shared" si="117"/>
        <v>6043205.4861648185</v>
      </c>
      <c r="N161" s="19"/>
      <c r="O161" s="19">
        <f t="shared" si="118"/>
        <v>0</v>
      </c>
      <c r="P161" s="19">
        <f t="shared" si="119"/>
        <v>0</v>
      </c>
      <c r="Q161" s="19">
        <f t="shared" si="120"/>
        <v>0</v>
      </c>
      <c r="R161" s="19"/>
      <c r="S161" s="19">
        <f t="shared" si="121"/>
        <v>0</v>
      </c>
      <c r="T161" s="19">
        <f t="shared" si="122"/>
        <v>0</v>
      </c>
      <c r="U161" s="19">
        <f t="shared" si="123"/>
        <v>0</v>
      </c>
      <c r="V161" s="19">
        <f t="shared" si="124"/>
        <v>0</v>
      </c>
      <c r="W161" s="19">
        <f t="shared" si="125"/>
        <v>0</v>
      </c>
      <c r="X161" s="19">
        <f t="shared" si="126"/>
        <v>0</v>
      </c>
      <c r="Y161" s="19">
        <f t="shared" si="127"/>
        <v>0</v>
      </c>
      <c r="Z161" s="19">
        <f t="shared" si="128"/>
        <v>0</v>
      </c>
      <c r="AA161" s="19">
        <f t="shared" si="129"/>
        <v>0</v>
      </c>
      <c r="AB161" s="19">
        <f t="shared" si="130"/>
        <v>0</v>
      </c>
      <c r="AC161" s="19">
        <f t="shared" si="131"/>
        <v>0</v>
      </c>
      <c r="AD161" s="19">
        <f t="shared" si="132"/>
        <v>0</v>
      </c>
      <c r="AE161" s="19"/>
      <c r="AF161" s="19">
        <f t="shared" si="133"/>
        <v>0</v>
      </c>
      <c r="AG161" s="19"/>
      <c r="AH161" s="19">
        <f t="shared" si="134"/>
        <v>0</v>
      </c>
      <c r="AI161" s="19"/>
      <c r="AJ161" s="19">
        <f t="shared" si="135"/>
        <v>0</v>
      </c>
      <c r="AK161" s="19">
        <f t="shared" si="136"/>
        <v>6057711.490000003</v>
      </c>
      <c r="AL161" s="15" t="str">
        <f t="shared" si="137"/>
        <v>ok</v>
      </c>
    </row>
    <row r="162" spans="1:38" x14ac:dyDescent="0.3">
      <c r="F162" s="44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9"/>
      <c r="AL162" s="15"/>
    </row>
    <row r="163" spans="1:38" x14ac:dyDescent="0.3">
      <c r="A163" s="2" t="s">
        <v>216</v>
      </c>
      <c r="F163" s="20">
        <f>SUM(F148:F161)</f>
        <v>74925518.50999999</v>
      </c>
      <c r="G163" s="20">
        <f>SUM(G148:G158)</f>
        <v>0</v>
      </c>
      <c r="H163" s="20">
        <f>SUM(H148:H161)</f>
        <v>0</v>
      </c>
      <c r="I163" s="20">
        <f t="shared" ref="I163:AJ163" si="138">SUM(I148:I161)</f>
        <v>0</v>
      </c>
      <c r="J163" s="20">
        <f t="shared" si="138"/>
        <v>0</v>
      </c>
      <c r="K163" s="20">
        <f t="shared" si="138"/>
        <v>0</v>
      </c>
      <c r="L163" s="20">
        <f t="shared" si="138"/>
        <v>179419.2180749136</v>
      </c>
      <c r="M163" s="20">
        <f t="shared" si="138"/>
        <v>74746099.291925088</v>
      </c>
      <c r="N163" s="20"/>
      <c r="O163" s="20">
        <f t="shared" si="138"/>
        <v>0</v>
      </c>
      <c r="P163" s="20">
        <f>SUM(P148:P161)</f>
        <v>0</v>
      </c>
      <c r="Q163" s="20">
        <f>SUM(Q148:Q161)</f>
        <v>0</v>
      </c>
      <c r="R163" s="20"/>
      <c r="S163" s="20">
        <f t="shared" si="138"/>
        <v>0</v>
      </c>
      <c r="T163" s="20">
        <f t="shared" si="138"/>
        <v>0</v>
      </c>
      <c r="U163" s="20">
        <f t="shared" si="138"/>
        <v>0</v>
      </c>
      <c r="V163" s="20">
        <f t="shared" si="138"/>
        <v>0</v>
      </c>
      <c r="W163" s="20">
        <f t="shared" si="138"/>
        <v>0</v>
      </c>
      <c r="X163" s="20">
        <f t="shared" si="138"/>
        <v>0</v>
      </c>
      <c r="Y163" s="20">
        <f t="shared" si="138"/>
        <v>0</v>
      </c>
      <c r="Z163" s="20">
        <f t="shared" si="138"/>
        <v>0</v>
      </c>
      <c r="AA163" s="20">
        <f t="shared" si="138"/>
        <v>0</v>
      </c>
      <c r="AB163" s="20">
        <f t="shared" si="138"/>
        <v>0</v>
      </c>
      <c r="AC163" s="20">
        <f t="shared" si="138"/>
        <v>0</v>
      </c>
      <c r="AD163" s="20">
        <f t="shared" si="138"/>
        <v>0</v>
      </c>
      <c r="AE163" s="20"/>
      <c r="AF163" s="20">
        <f t="shared" si="138"/>
        <v>0</v>
      </c>
      <c r="AG163" s="20"/>
      <c r="AH163" s="20">
        <f t="shared" si="138"/>
        <v>0</v>
      </c>
      <c r="AI163" s="20"/>
      <c r="AJ163" s="20">
        <f t="shared" si="138"/>
        <v>0</v>
      </c>
      <c r="AK163" s="18">
        <f>SUM(H163:AJ163)</f>
        <v>74925518.510000005</v>
      </c>
      <c r="AL163" s="15" t="str">
        <f>IF(ABS(AK163-F163)&lt;1,"ok","err")</f>
        <v>ok</v>
      </c>
    </row>
    <row r="164" spans="1:38" x14ac:dyDescent="0.3">
      <c r="Y164" s="2"/>
      <c r="AL164" s="15"/>
    </row>
    <row r="165" spans="1:38" x14ac:dyDescent="0.3">
      <c r="A165" s="3" t="s">
        <v>217</v>
      </c>
      <c r="Y165" s="2"/>
      <c r="AL165" s="15"/>
    </row>
    <row r="166" spans="1:38" x14ac:dyDescent="0.3">
      <c r="A166" s="2">
        <v>580</v>
      </c>
      <c r="B166" s="2" t="s">
        <v>218</v>
      </c>
      <c r="C166" s="2" t="s">
        <v>219</v>
      </c>
      <c r="D166" s="2" t="s">
        <v>220</v>
      </c>
      <c r="F166" s="44">
        <v>0</v>
      </c>
      <c r="H166" s="19">
        <f t="shared" ref="H166:H177" si="139">IF(VLOOKUP($D166,$C$5:$AJ$470,6,)=0,0,((VLOOKUP($D166,$C$5:$AJ$470,6,)/VLOOKUP($D166,$C$5:$AJ$470,4,))*$F166))</f>
        <v>0</v>
      </c>
      <c r="I166" s="19">
        <f t="shared" ref="I166:I177" si="140">IF(VLOOKUP($D166,$C$5:$AJ$470,7,)=0,0,((VLOOKUP($D166,$C$5:$AJ$470,7,)/VLOOKUP($D166,$C$5:$AJ$470,4,))*$F166))</f>
        <v>0</v>
      </c>
      <c r="J166" s="19">
        <f t="shared" ref="J166:J177" si="141">IF(VLOOKUP($D166,$C$5:$AJ$470,8,)=0,0,((VLOOKUP($D166,$C$5:$AJ$470,8,)/VLOOKUP($D166,$C$5:$AJ$470,4,))*$F166))</f>
        <v>0</v>
      </c>
      <c r="K166" s="19">
        <f t="shared" ref="K166:K177" si="142">IF(VLOOKUP($D166,$C$5:$AJ$470,9,)=0,0,((VLOOKUP($D166,$C$5:$AJ$470,9,)/VLOOKUP($D166,$C$5:$AJ$470,4,))*$F166))</f>
        <v>0</v>
      </c>
      <c r="L166" s="19">
        <f t="shared" ref="L166:L177" si="143">IF(VLOOKUP($D166,$C$5:$AJ$470,10,)=0,0,((VLOOKUP($D166,$C$5:$AJ$470,10,)/VLOOKUP($D166,$C$5:$AJ$470,4,))*$F166))</f>
        <v>0</v>
      </c>
      <c r="M166" s="19">
        <f t="shared" ref="M166:M177" si="144">IF(VLOOKUP($D166,$C$5:$AJ$470,11,)=0,0,((VLOOKUP($D166,$C$5:$AJ$470,11,)/VLOOKUP($D166,$C$5:$AJ$470,4,))*$F166))</f>
        <v>0</v>
      </c>
      <c r="N166" s="19"/>
      <c r="O166" s="19">
        <f t="shared" ref="O166:O177" si="145">IF(VLOOKUP($D166,$C$5:$AJ$470,13,)=0,0,((VLOOKUP($D166,$C$5:$AJ$470,13,)/VLOOKUP($D166,$C$5:$AJ$470,4,))*$F166))</f>
        <v>0</v>
      </c>
      <c r="P166" s="19">
        <f t="shared" ref="P166:P177" si="146">IF(VLOOKUP($D166,$C$5:$AJ$470,14,)=0,0,((VLOOKUP($D166,$C$5:$AJ$470,14,)/VLOOKUP($D166,$C$5:$AJ$470,4,))*$F166))</f>
        <v>0</v>
      </c>
      <c r="Q166" s="19">
        <f t="shared" ref="Q166:Q177" si="147">IF(VLOOKUP($D166,$C$5:$AJ$470,15,)=0,0,((VLOOKUP($D166,$C$5:$AJ$470,15,)/VLOOKUP($D166,$C$5:$AJ$470,4,))*$F166))</f>
        <v>0</v>
      </c>
      <c r="R166" s="19"/>
      <c r="S166" s="19">
        <f t="shared" ref="S166:S177" si="148">IF(VLOOKUP($D166,$C$5:$AJ$470,17,)=0,0,((VLOOKUP($D166,$C$5:$AJ$470,17,)/VLOOKUP($D166,$C$5:$AJ$470,4,))*$F166))</f>
        <v>0</v>
      </c>
      <c r="T166" s="19">
        <f t="shared" ref="T166:T177" si="149">IF(VLOOKUP($D166,$C$5:$AJ$470,18,)=0,0,((VLOOKUP($D166,$C$5:$AJ$470,18,)/VLOOKUP($D166,$C$5:$AJ$470,4,))*$F166))</f>
        <v>0</v>
      </c>
      <c r="U166" s="19">
        <f t="shared" ref="U166:U177" si="150">IF(VLOOKUP($D166,$C$5:$AJ$470,19,)=0,0,((VLOOKUP($D166,$C$5:$AJ$470,19,)/VLOOKUP($D166,$C$5:$AJ$470,4,))*$F166))</f>
        <v>0</v>
      </c>
      <c r="V166" s="19">
        <f t="shared" ref="V166:V177" si="151">IF(VLOOKUP($D166,$C$5:$AJ$470,20,)=0,0,((VLOOKUP($D166,$C$5:$AJ$470,20,)/VLOOKUP($D166,$C$5:$AJ$470,4,))*$F166))</f>
        <v>0</v>
      </c>
      <c r="W166" s="19">
        <f t="shared" ref="W166:W177" si="152">IF(VLOOKUP($D166,$C$5:$AJ$470,21,)=0,0,((VLOOKUP($D166,$C$5:$AJ$470,21,)/VLOOKUP($D166,$C$5:$AJ$470,4,))*$F166))</f>
        <v>0</v>
      </c>
      <c r="X166" s="19">
        <f t="shared" ref="X166:X177" si="153">IF(VLOOKUP($D166,$C$5:$AJ$470,22,)=0,0,((VLOOKUP($D166,$C$5:$AJ$470,22,)/VLOOKUP($D166,$C$5:$AJ$470,4,))*$F166))</f>
        <v>0</v>
      </c>
      <c r="Y166" s="19">
        <f t="shared" ref="Y166:Y177" si="154">IF(VLOOKUP($D166,$C$5:$AJ$470,23,)=0,0,((VLOOKUP($D166,$C$5:$AJ$470,23,)/VLOOKUP($D166,$C$5:$AJ$470,4,))*$F166))</f>
        <v>0</v>
      </c>
      <c r="Z166" s="19">
        <f t="shared" ref="Z166:Z177" si="155">IF(VLOOKUP($D166,$C$5:$AJ$470,24,)=0,0,((VLOOKUP($D166,$C$5:$AJ$470,24,)/VLOOKUP($D166,$C$5:$AJ$470,4,))*$F166))</f>
        <v>0</v>
      </c>
      <c r="AA166" s="19">
        <f t="shared" ref="AA166:AA177" si="156">IF(VLOOKUP($D166,$C$5:$AJ$470,25,)=0,0,((VLOOKUP($D166,$C$5:$AJ$470,25,)/VLOOKUP($D166,$C$5:$AJ$470,4,))*$F166))</f>
        <v>0</v>
      </c>
      <c r="AB166" s="19">
        <f t="shared" ref="AB166:AB177" si="157">IF(VLOOKUP($D166,$C$5:$AJ$470,26,)=0,0,((VLOOKUP($D166,$C$5:$AJ$470,26,)/VLOOKUP($D166,$C$5:$AJ$470,4,))*$F166))</f>
        <v>0</v>
      </c>
      <c r="AC166" s="19">
        <f t="shared" ref="AC166:AC177" si="158">IF(VLOOKUP($D166,$C$5:$AJ$470,27,)=0,0,((VLOOKUP($D166,$C$5:$AJ$470,27,)/VLOOKUP($D166,$C$5:$AJ$470,4,))*$F166))</f>
        <v>0</v>
      </c>
      <c r="AD166" s="19">
        <f t="shared" ref="AD166:AD177" si="159">IF(VLOOKUP($D166,$C$5:$AJ$470,28,)=0,0,((VLOOKUP($D166,$C$5:$AJ$470,28,)/VLOOKUP($D166,$C$5:$AJ$470,4,))*$F166))</f>
        <v>0</v>
      </c>
      <c r="AE166" s="19"/>
      <c r="AF166" s="19">
        <f t="shared" ref="AF166:AF177" si="160">IF(VLOOKUP($D166,$C$5:$AJ$470,30,)=0,0,((VLOOKUP($D166,$C$5:$AJ$470,30,)/VLOOKUP($D166,$C$5:$AJ$470,4,))*$F166))</f>
        <v>0</v>
      </c>
      <c r="AG166" s="19"/>
      <c r="AH166" s="19">
        <f t="shared" ref="AH166:AH177" si="161">IF(VLOOKUP($D166,$C$5:$AJ$470,32,)=0,0,((VLOOKUP($D166,$C$5:$AJ$470,32,)/VLOOKUP($D166,$C$5:$AJ$470,4,))*$F166))</f>
        <v>0</v>
      </c>
      <c r="AI166" s="19"/>
      <c r="AJ166" s="19">
        <f t="shared" ref="AJ166:AJ177" si="162">IF(VLOOKUP($D166,$C$5:$AJ$470,34,)=0,0,((VLOOKUP($D166,$C$5:$AJ$470,34,)/VLOOKUP($D166,$C$5:$AJ$470,4,))*$F166))</f>
        <v>0</v>
      </c>
      <c r="AK166" s="19">
        <f t="shared" ref="AK166:AK177" si="163">SUM(H166:AJ166)</f>
        <v>0</v>
      </c>
      <c r="AL166" s="15" t="str">
        <f t="shared" ref="AL166:AL177" si="164">IF(ABS(AK166-F166)&lt;1,"ok","err")</f>
        <v>ok</v>
      </c>
    </row>
    <row r="167" spans="1:38" x14ac:dyDescent="0.3">
      <c r="A167" s="2">
        <v>581</v>
      </c>
      <c r="B167" s="2" t="s">
        <v>191</v>
      </c>
      <c r="C167" s="2" t="s">
        <v>221</v>
      </c>
      <c r="D167" s="2" t="s">
        <v>222</v>
      </c>
      <c r="F167" s="43">
        <v>113353.3</v>
      </c>
      <c r="H167" s="19">
        <f t="shared" si="139"/>
        <v>0</v>
      </c>
      <c r="I167" s="19">
        <f t="shared" si="140"/>
        <v>0</v>
      </c>
      <c r="J167" s="19">
        <f t="shared" si="141"/>
        <v>0</v>
      </c>
      <c r="K167" s="19">
        <f t="shared" si="142"/>
        <v>0</v>
      </c>
      <c r="L167" s="19">
        <f t="shared" si="143"/>
        <v>0</v>
      </c>
      <c r="M167" s="19">
        <f t="shared" si="144"/>
        <v>0</v>
      </c>
      <c r="N167" s="19"/>
      <c r="O167" s="19">
        <f t="shared" si="145"/>
        <v>0</v>
      </c>
      <c r="P167" s="19">
        <f t="shared" si="146"/>
        <v>113353.3</v>
      </c>
      <c r="Q167" s="19">
        <f t="shared" si="147"/>
        <v>0</v>
      </c>
      <c r="R167" s="19"/>
      <c r="S167" s="19">
        <f t="shared" si="148"/>
        <v>0</v>
      </c>
      <c r="T167" s="19">
        <f t="shared" si="149"/>
        <v>0</v>
      </c>
      <c r="U167" s="19">
        <f t="shared" si="150"/>
        <v>0</v>
      </c>
      <c r="V167" s="19">
        <f t="shared" si="151"/>
        <v>0</v>
      </c>
      <c r="W167" s="19">
        <f t="shared" si="152"/>
        <v>0</v>
      </c>
      <c r="X167" s="19">
        <f t="shared" si="153"/>
        <v>0</v>
      </c>
      <c r="Y167" s="19">
        <f t="shared" si="154"/>
        <v>0</v>
      </c>
      <c r="Z167" s="19">
        <f t="shared" si="155"/>
        <v>0</v>
      </c>
      <c r="AA167" s="19">
        <f t="shared" si="156"/>
        <v>0</v>
      </c>
      <c r="AB167" s="19">
        <f t="shared" si="157"/>
        <v>0</v>
      </c>
      <c r="AC167" s="19">
        <f t="shared" si="158"/>
        <v>0</v>
      </c>
      <c r="AD167" s="19">
        <f t="shared" si="159"/>
        <v>0</v>
      </c>
      <c r="AE167" s="19"/>
      <c r="AF167" s="19">
        <f t="shared" si="160"/>
        <v>0</v>
      </c>
      <c r="AG167" s="19"/>
      <c r="AH167" s="19">
        <f t="shared" si="161"/>
        <v>0</v>
      </c>
      <c r="AI167" s="19"/>
      <c r="AJ167" s="19">
        <f t="shared" si="162"/>
        <v>0</v>
      </c>
      <c r="AK167" s="19">
        <f t="shared" si="163"/>
        <v>113353.3</v>
      </c>
      <c r="AL167" s="15" t="str">
        <f t="shared" si="164"/>
        <v>ok</v>
      </c>
    </row>
    <row r="168" spans="1:38" x14ac:dyDescent="0.3">
      <c r="A168" s="2">
        <v>582</v>
      </c>
      <c r="B168" s="2" t="s">
        <v>193</v>
      </c>
      <c r="C168" s="2" t="s">
        <v>223</v>
      </c>
      <c r="D168" s="2" t="s">
        <v>33</v>
      </c>
      <c r="F168" s="43">
        <v>2185464.54</v>
      </c>
      <c r="H168" s="19">
        <f t="shared" si="139"/>
        <v>0</v>
      </c>
      <c r="I168" s="19">
        <f t="shared" si="140"/>
        <v>0</v>
      </c>
      <c r="J168" s="19">
        <f t="shared" si="141"/>
        <v>0</v>
      </c>
      <c r="K168" s="19">
        <f t="shared" si="142"/>
        <v>0</v>
      </c>
      <c r="L168" s="19">
        <f t="shared" si="143"/>
        <v>0</v>
      </c>
      <c r="M168" s="19">
        <f t="shared" si="144"/>
        <v>0</v>
      </c>
      <c r="N168" s="19"/>
      <c r="O168" s="19">
        <f t="shared" si="145"/>
        <v>2156592.7503498057</v>
      </c>
      <c r="P168" s="19">
        <f t="shared" si="146"/>
        <v>28871.789650194332</v>
      </c>
      <c r="Q168" s="19">
        <f t="shared" si="147"/>
        <v>0</v>
      </c>
      <c r="R168" s="19"/>
      <c r="S168" s="19">
        <f t="shared" si="148"/>
        <v>0</v>
      </c>
      <c r="T168" s="19">
        <f t="shared" si="149"/>
        <v>0</v>
      </c>
      <c r="U168" s="19">
        <f t="shared" si="150"/>
        <v>0</v>
      </c>
      <c r="V168" s="19">
        <f t="shared" si="151"/>
        <v>0</v>
      </c>
      <c r="W168" s="19">
        <f t="shared" si="152"/>
        <v>0</v>
      </c>
      <c r="X168" s="19">
        <f t="shared" si="153"/>
        <v>0</v>
      </c>
      <c r="Y168" s="19">
        <f t="shared" si="154"/>
        <v>0</v>
      </c>
      <c r="Z168" s="19">
        <f t="shared" si="155"/>
        <v>0</v>
      </c>
      <c r="AA168" s="19">
        <f t="shared" si="156"/>
        <v>0</v>
      </c>
      <c r="AB168" s="19">
        <f t="shared" si="157"/>
        <v>0</v>
      </c>
      <c r="AC168" s="19">
        <f t="shared" si="158"/>
        <v>0</v>
      </c>
      <c r="AD168" s="19">
        <f t="shared" si="159"/>
        <v>0</v>
      </c>
      <c r="AE168" s="19"/>
      <c r="AF168" s="19">
        <f t="shared" si="160"/>
        <v>0</v>
      </c>
      <c r="AG168" s="19"/>
      <c r="AH168" s="19">
        <f t="shared" si="161"/>
        <v>0</v>
      </c>
      <c r="AI168" s="19"/>
      <c r="AJ168" s="19">
        <f t="shared" si="162"/>
        <v>0</v>
      </c>
      <c r="AK168" s="19">
        <f t="shared" si="163"/>
        <v>2185464.54</v>
      </c>
      <c r="AL168" s="15" t="str">
        <f t="shared" si="164"/>
        <v>ok</v>
      </c>
    </row>
    <row r="169" spans="1:38" x14ac:dyDescent="0.3">
      <c r="A169" s="2">
        <v>583</v>
      </c>
      <c r="B169" s="2" t="s">
        <v>195</v>
      </c>
      <c r="C169" s="2" t="s">
        <v>224</v>
      </c>
      <c r="D169" s="2" t="s">
        <v>33</v>
      </c>
      <c r="F169" s="43">
        <v>0</v>
      </c>
      <c r="H169" s="19">
        <f t="shared" si="139"/>
        <v>0</v>
      </c>
      <c r="I169" s="19">
        <f t="shared" si="140"/>
        <v>0</v>
      </c>
      <c r="J169" s="19">
        <f t="shared" si="141"/>
        <v>0</v>
      </c>
      <c r="K169" s="19">
        <f t="shared" si="142"/>
        <v>0</v>
      </c>
      <c r="L169" s="19">
        <f t="shared" si="143"/>
        <v>0</v>
      </c>
      <c r="M169" s="19">
        <f t="shared" si="144"/>
        <v>0</v>
      </c>
      <c r="N169" s="19"/>
      <c r="O169" s="19">
        <f t="shared" si="145"/>
        <v>0</v>
      </c>
      <c r="P169" s="19">
        <f t="shared" si="146"/>
        <v>0</v>
      </c>
      <c r="Q169" s="19">
        <f t="shared" si="147"/>
        <v>0</v>
      </c>
      <c r="R169" s="19"/>
      <c r="S169" s="19">
        <f t="shared" si="148"/>
        <v>0</v>
      </c>
      <c r="T169" s="19">
        <f t="shared" si="149"/>
        <v>0</v>
      </c>
      <c r="U169" s="19">
        <f t="shared" si="150"/>
        <v>0</v>
      </c>
      <c r="V169" s="19">
        <f t="shared" si="151"/>
        <v>0</v>
      </c>
      <c r="W169" s="19">
        <f t="shared" si="152"/>
        <v>0</v>
      </c>
      <c r="X169" s="19">
        <f t="shared" si="153"/>
        <v>0</v>
      </c>
      <c r="Y169" s="19">
        <f t="shared" si="154"/>
        <v>0</v>
      </c>
      <c r="Z169" s="19">
        <f t="shared" si="155"/>
        <v>0</v>
      </c>
      <c r="AA169" s="19">
        <f t="shared" si="156"/>
        <v>0</v>
      </c>
      <c r="AB169" s="19">
        <f t="shared" si="157"/>
        <v>0</v>
      </c>
      <c r="AC169" s="19">
        <f t="shared" si="158"/>
        <v>0</v>
      </c>
      <c r="AD169" s="19">
        <f t="shared" si="159"/>
        <v>0</v>
      </c>
      <c r="AE169" s="19"/>
      <c r="AF169" s="19">
        <f t="shared" si="160"/>
        <v>0</v>
      </c>
      <c r="AG169" s="19"/>
      <c r="AH169" s="19">
        <f t="shared" si="161"/>
        <v>0</v>
      </c>
      <c r="AI169" s="19"/>
      <c r="AJ169" s="19">
        <f t="shared" si="162"/>
        <v>0</v>
      </c>
      <c r="AK169" s="19">
        <f t="shared" si="163"/>
        <v>0</v>
      </c>
      <c r="AL169" s="15" t="str">
        <f t="shared" si="164"/>
        <v>ok</v>
      </c>
    </row>
    <row r="170" spans="1:38" x14ac:dyDescent="0.3">
      <c r="A170" s="2">
        <v>584</v>
      </c>
      <c r="B170" s="2" t="s">
        <v>225</v>
      </c>
      <c r="C170" s="2" t="s">
        <v>226</v>
      </c>
      <c r="D170" s="2" t="s">
        <v>33</v>
      </c>
      <c r="F170" s="43">
        <v>0</v>
      </c>
      <c r="H170" s="19">
        <f t="shared" si="139"/>
        <v>0</v>
      </c>
      <c r="I170" s="19">
        <f t="shared" si="140"/>
        <v>0</v>
      </c>
      <c r="J170" s="19">
        <f t="shared" si="141"/>
        <v>0</v>
      </c>
      <c r="K170" s="19">
        <f t="shared" si="142"/>
        <v>0</v>
      </c>
      <c r="L170" s="19">
        <f t="shared" si="143"/>
        <v>0</v>
      </c>
      <c r="M170" s="19">
        <f t="shared" si="144"/>
        <v>0</v>
      </c>
      <c r="N170" s="19"/>
      <c r="O170" s="19">
        <f t="shared" si="145"/>
        <v>0</v>
      </c>
      <c r="P170" s="19">
        <f t="shared" si="146"/>
        <v>0</v>
      </c>
      <c r="Q170" s="19">
        <f t="shared" si="147"/>
        <v>0</v>
      </c>
      <c r="R170" s="19"/>
      <c r="S170" s="19">
        <f t="shared" si="148"/>
        <v>0</v>
      </c>
      <c r="T170" s="19">
        <f t="shared" si="149"/>
        <v>0</v>
      </c>
      <c r="U170" s="19">
        <f t="shared" si="150"/>
        <v>0</v>
      </c>
      <c r="V170" s="19">
        <f t="shared" si="151"/>
        <v>0</v>
      </c>
      <c r="W170" s="19">
        <f t="shared" si="152"/>
        <v>0</v>
      </c>
      <c r="X170" s="19">
        <f t="shared" si="153"/>
        <v>0</v>
      </c>
      <c r="Y170" s="19">
        <f t="shared" si="154"/>
        <v>0</v>
      </c>
      <c r="Z170" s="19">
        <f t="shared" si="155"/>
        <v>0</v>
      </c>
      <c r="AA170" s="19">
        <f t="shared" si="156"/>
        <v>0</v>
      </c>
      <c r="AB170" s="19">
        <f t="shared" si="157"/>
        <v>0</v>
      </c>
      <c r="AC170" s="19">
        <f t="shared" si="158"/>
        <v>0</v>
      </c>
      <c r="AD170" s="19">
        <f t="shared" si="159"/>
        <v>0</v>
      </c>
      <c r="AE170" s="19"/>
      <c r="AF170" s="19">
        <f t="shared" si="160"/>
        <v>0</v>
      </c>
      <c r="AG170" s="19"/>
      <c r="AH170" s="19">
        <f t="shared" si="161"/>
        <v>0</v>
      </c>
      <c r="AI170" s="19"/>
      <c r="AJ170" s="19">
        <f t="shared" si="162"/>
        <v>0</v>
      </c>
      <c r="AK170" s="19">
        <f t="shared" si="163"/>
        <v>0</v>
      </c>
      <c r="AL170" s="15" t="str">
        <f t="shared" si="164"/>
        <v>ok</v>
      </c>
    </row>
    <row r="171" spans="1:38" x14ac:dyDescent="0.3">
      <c r="A171" s="2">
        <v>585</v>
      </c>
      <c r="B171" s="2" t="s">
        <v>227</v>
      </c>
      <c r="C171" s="2" t="s">
        <v>228</v>
      </c>
      <c r="D171" s="2" t="s">
        <v>33</v>
      </c>
      <c r="F171" s="43">
        <v>0</v>
      </c>
      <c r="H171" s="19">
        <f t="shared" si="139"/>
        <v>0</v>
      </c>
      <c r="I171" s="19">
        <f t="shared" si="140"/>
        <v>0</v>
      </c>
      <c r="J171" s="19">
        <f t="shared" si="141"/>
        <v>0</v>
      </c>
      <c r="K171" s="19">
        <f t="shared" si="142"/>
        <v>0</v>
      </c>
      <c r="L171" s="19">
        <f t="shared" si="143"/>
        <v>0</v>
      </c>
      <c r="M171" s="19">
        <f t="shared" si="144"/>
        <v>0</v>
      </c>
      <c r="N171" s="19"/>
      <c r="O171" s="19">
        <f t="shared" si="145"/>
        <v>0</v>
      </c>
      <c r="P171" s="19">
        <f t="shared" si="146"/>
        <v>0</v>
      </c>
      <c r="Q171" s="19">
        <f t="shared" si="147"/>
        <v>0</v>
      </c>
      <c r="R171" s="19"/>
      <c r="S171" s="19">
        <f t="shared" si="148"/>
        <v>0</v>
      </c>
      <c r="T171" s="19">
        <f t="shared" si="149"/>
        <v>0</v>
      </c>
      <c r="U171" s="19">
        <f t="shared" si="150"/>
        <v>0</v>
      </c>
      <c r="V171" s="19">
        <f t="shared" si="151"/>
        <v>0</v>
      </c>
      <c r="W171" s="19">
        <f t="shared" si="152"/>
        <v>0</v>
      </c>
      <c r="X171" s="19">
        <f t="shared" si="153"/>
        <v>0</v>
      </c>
      <c r="Y171" s="19">
        <f t="shared" si="154"/>
        <v>0</v>
      </c>
      <c r="Z171" s="19">
        <f t="shared" si="155"/>
        <v>0</v>
      </c>
      <c r="AA171" s="19">
        <f t="shared" si="156"/>
        <v>0</v>
      </c>
      <c r="AB171" s="19">
        <f t="shared" si="157"/>
        <v>0</v>
      </c>
      <c r="AC171" s="19">
        <f t="shared" si="158"/>
        <v>0</v>
      </c>
      <c r="AD171" s="19">
        <f t="shared" si="159"/>
        <v>0</v>
      </c>
      <c r="AE171" s="19"/>
      <c r="AF171" s="19">
        <f t="shared" si="160"/>
        <v>0</v>
      </c>
      <c r="AG171" s="19"/>
      <c r="AH171" s="19">
        <f t="shared" si="161"/>
        <v>0</v>
      </c>
      <c r="AI171" s="19"/>
      <c r="AJ171" s="19">
        <f t="shared" si="162"/>
        <v>0</v>
      </c>
      <c r="AK171" s="19">
        <f t="shared" si="163"/>
        <v>0</v>
      </c>
      <c r="AL171" s="15" t="str">
        <f t="shared" si="164"/>
        <v>ok</v>
      </c>
    </row>
    <row r="172" spans="1:38" x14ac:dyDescent="0.3">
      <c r="A172" s="2">
        <v>586</v>
      </c>
      <c r="B172" s="2" t="s">
        <v>229</v>
      </c>
      <c r="C172" s="2" t="s">
        <v>230</v>
      </c>
      <c r="D172" s="2" t="s">
        <v>33</v>
      </c>
      <c r="F172" s="43">
        <v>0</v>
      </c>
      <c r="H172" s="19">
        <f t="shared" si="139"/>
        <v>0</v>
      </c>
      <c r="I172" s="19">
        <f t="shared" si="140"/>
        <v>0</v>
      </c>
      <c r="J172" s="19">
        <f t="shared" si="141"/>
        <v>0</v>
      </c>
      <c r="K172" s="19">
        <f t="shared" si="142"/>
        <v>0</v>
      </c>
      <c r="L172" s="19">
        <f t="shared" si="143"/>
        <v>0</v>
      </c>
      <c r="M172" s="19">
        <f t="shared" si="144"/>
        <v>0</v>
      </c>
      <c r="N172" s="19"/>
      <c r="O172" s="19">
        <f t="shared" si="145"/>
        <v>0</v>
      </c>
      <c r="P172" s="19">
        <f t="shared" si="146"/>
        <v>0</v>
      </c>
      <c r="Q172" s="19">
        <f t="shared" si="147"/>
        <v>0</v>
      </c>
      <c r="R172" s="19"/>
      <c r="S172" s="19">
        <f t="shared" si="148"/>
        <v>0</v>
      </c>
      <c r="T172" s="19">
        <f t="shared" si="149"/>
        <v>0</v>
      </c>
      <c r="U172" s="19">
        <f t="shared" si="150"/>
        <v>0</v>
      </c>
      <c r="V172" s="19">
        <f t="shared" si="151"/>
        <v>0</v>
      </c>
      <c r="W172" s="19">
        <f t="shared" si="152"/>
        <v>0</v>
      </c>
      <c r="X172" s="19">
        <f t="shared" si="153"/>
        <v>0</v>
      </c>
      <c r="Y172" s="19">
        <f t="shared" si="154"/>
        <v>0</v>
      </c>
      <c r="Z172" s="19">
        <f t="shared" si="155"/>
        <v>0</v>
      </c>
      <c r="AA172" s="19">
        <f t="shared" si="156"/>
        <v>0</v>
      </c>
      <c r="AB172" s="19">
        <f t="shared" si="157"/>
        <v>0</v>
      </c>
      <c r="AC172" s="19">
        <f t="shared" si="158"/>
        <v>0</v>
      </c>
      <c r="AD172" s="19">
        <f t="shared" si="159"/>
        <v>0</v>
      </c>
      <c r="AE172" s="19"/>
      <c r="AF172" s="19">
        <f t="shared" si="160"/>
        <v>0</v>
      </c>
      <c r="AG172" s="19"/>
      <c r="AH172" s="19">
        <f t="shared" si="161"/>
        <v>0</v>
      </c>
      <c r="AI172" s="19"/>
      <c r="AJ172" s="19">
        <f t="shared" si="162"/>
        <v>0</v>
      </c>
      <c r="AK172" s="19">
        <f t="shared" si="163"/>
        <v>0</v>
      </c>
      <c r="AL172" s="15" t="str">
        <f t="shared" si="164"/>
        <v>ok</v>
      </c>
    </row>
    <row r="173" spans="1:38" x14ac:dyDescent="0.3">
      <c r="A173" s="2">
        <v>586</v>
      </c>
      <c r="B173" s="2" t="s">
        <v>231</v>
      </c>
      <c r="C173" s="2" t="s">
        <v>232</v>
      </c>
      <c r="D173" s="2" t="s">
        <v>33</v>
      </c>
      <c r="F173" s="43">
        <v>0</v>
      </c>
      <c r="H173" s="19">
        <f t="shared" si="139"/>
        <v>0</v>
      </c>
      <c r="I173" s="19">
        <f t="shared" si="140"/>
        <v>0</v>
      </c>
      <c r="J173" s="19">
        <f t="shared" si="141"/>
        <v>0</v>
      </c>
      <c r="K173" s="19">
        <f t="shared" si="142"/>
        <v>0</v>
      </c>
      <c r="L173" s="19">
        <f t="shared" si="143"/>
        <v>0</v>
      </c>
      <c r="M173" s="19">
        <f t="shared" si="144"/>
        <v>0</v>
      </c>
      <c r="N173" s="19"/>
      <c r="O173" s="19">
        <f t="shared" si="145"/>
        <v>0</v>
      </c>
      <c r="P173" s="19">
        <f t="shared" si="146"/>
        <v>0</v>
      </c>
      <c r="Q173" s="19">
        <f t="shared" si="147"/>
        <v>0</v>
      </c>
      <c r="R173" s="19"/>
      <c r="S173" s="19">
        <f t="shared" si="148"/>
        <v>0</v>
      </c>
      <c r="T173" s="19">
        <f t="shared" si="149"/>
        <v>0</v>
      </c>
      <c r="U173" s="19">
        <f t="shared" si="150"/>
        <v>0</v>
      </c>
      <c r="V173" s="19">
        <f t="shared" si="151"/>
        <v>0</v>
      </c>
      <c r="W173" s="19">
        <f t="shared" si="152"/>
        <v>0</v>
      </c>
      <c r="X173" s="19">
        <f t="shared" si="153"/>
        <v>0</v>
      </c>
      <c r="Y173" s="19">
        <f t="shared" si="154"/>
        <v>0</v>
      </c>
      <c r="Z173" s="19">
        <f t="shared" si="155"/>
        <v>0</v>
      </c>
      <c r="AA173" s="19">
        <f t="shared" si="156"/>
        <v>0</v>
      </c>
      <c r="AB173" s="19">
        <f t="shared" si="157"/>
        <v>0</v>
      </c>
      <c r="AC173" s="19">
        <f t="shared" si="158"/>
        <v>0</v>
      </c>
      <c r="AD173" s="19">
        <f t="shared" si="159"/>
        <v>0</v>
      </c>
      <c r="AE173" s="19"/>
      <c r="AF173" s="19">
        <f t="shared" si="160"/>
        <v>0</v>
      </c>
      <c r="AG173" s="19"/>
      <c r="AH173" s="19">
        <f t="shared" si="161"/>
        <v>0</v>
      </c>
      <c r="AI173" s="19"/>
      <c r="AJ173" s="19">
        <f t="shared" si="162"/>
        <v>0</v>
      </c>
      <c r="AK173" s="19">
        <f t="shared" si="163"/>
        <v>0</v>
      </c>
      <c r="AL173" s="15" t="str">
        <f t="shared" si="164"/>
        <v>ok</v>
      </c>
    </row>
    <row r="174" spans="1:38" x14ac:dyDescent="0.3">
      <c r="A174" s="2">
        <v>587</v>
      </c>
      <c r="B174" s="2" t="s">
        <v>233</v>
      </c>
      <c r="C174" s="2" t="s">
        <v>234</v>
      </c>
      <c r="D174" s="2" t="s">
        <v>33</v>
      </c>
      <c r="F174" s="43">
        <v>0</v>
      </c>
      <c r="H174" s="19">
        <f t="shared" si="139"/>
        <v>0</v>
      </c>
      <c r="I174" s="19">
        <f t="shared" si="140"/>
        <v>0</v>
      </c>
      <c r="J174" s="19">
        <f t="shared" si="141"/>
        <v>0</v>
      </c>
      <c r="K174" s="19">
        <f t="shared" si="142"/>
        <v>0</v>
      </c>
      <c r="L174" s="19">
        <f t="shared" si="143"/>
        <v>0</v>
      </c>
      <c r="M174" s="19">
        <f t="shared" si="144"/>
        <v>0</v>
      </c>
      <c r="N174" s="19"/>
      <c r="O174" s="19">
        <f t="shared" si="145"/>
        <v>0</v>
      </c>
      <c r="P174" s="19">
        <f t="shared" si="146"/>
        <v>0</v>
      </c>
      <c r="Q174" s="19">
        <f t="shared" si="147"/>
        <v>0</v>
      </c>
      <c r="R174" s="19"/>
      <c r="S174" s="19">
        <f t="shared" si="148"/>
        <v>0</v>
      </c>
      <c r="T174" s="19">
        <f t="shared" si="149"/>
        <v>0</v>
      </c>
      <c r="U174" s="19">
        <f t="shared" si="150"/>
        <v>0</v>
      </c>
      <c r="V174" s="19">
        <f t="shared" si="151"/>
        <v>0</v>
      </c>
      <c r="W174" s="19">
        <f t="shared" si="152"/>
        <v>0</v>
      </c>
      <c r="X174" s="19">
        <f t="shared" si="153"/>
        <v>0</v>
      </c>
      <c r="Y174" s="19">
        <f t="shared" si="154"/>
        <v>0</v>
      </c>
      <c r="Z174" s="19">
        <f t="shared" si="155"/>
        <v>0</v>
      </c>
      <c r="AA174" s="19">
        <f t="shared" si="156"/>
        <v>0</v>
      </c>
      <c r="AB174" s="19">
        <f t="shared" si="157"/>
        <v>0</v>
      </c>
      <c r="AC174" s="19">
        <f t="shared" si="158"/>
        <v>0</v>
      </c>
      <c r="AD174" s="19">
        <f t="shared" si="159"/>
        <v>0</v>
      </c>
      <c r="AE174" s="19"/>
      <c r="AF174" s="19">
        <f t="shared" si="160"/>
        <v>0</v>
      </c>
      <c r="AG174" s="19"/>
      <c r="AH174" s="19">
        <f t="shared" si="161"/>
        <v>0</v>
      </c>
      <c r="AI174" s="19"/>
      <c r="AJ174" s="19">
        <f t="shared" si="162"/>
        <v>0</v>
      </c>
      <c r="AK174" s="19">
        <f t="shared" si="163"/>
        <v>0</v>
      </c>
      <c r="AL174" s="15" t="str">
        <f t="shared" si="164"/>
        <v>ok</v>
      </c>
    </row>
    <row r="175" spans="1:38" x14ac:dyDescent="0.3">
      <c r="A175" s="2">
        <v>588</v>
      </c>
      <c r="B175" s="2" t="s">
        <v>235</v>
      </c>
      <c r="C175" s="2" t="s">
        <v>236</v>
      </c>
      <c r="D175" s="2" t="s">
        <v>33</v>
      </c>
      <c r="F175" s="43">
        <v>0</v>
      </c>
      <c r="H175" s="19">
        <f t="shared" si="139"/>
        <v>0</v>
      </c>
      <c r="I175" s="19">
        <f t="shared" si="140"/>
        <v>0</v>
      </c>
      <c r="J175" s="19">
        <f t="shared" si="141"/>
        <v>0</v>
      </c>
      <c r="K175" s="19">
        <f t="shared" si="142"/>
        <v>0</v>
      </c>
      <c r="L175" s="19">
        <f t="shared" si="143"/>
        <v>0</v>
      </c>
      <c r="M175" s="19">
        <f t="shared" si="144"/>
        <v>0</v>
      </c>
      <c r="N175" s="19"/>
      <c r="O175" s="19">
        <f t="shared" si="145"/>
        <v>0</v>
      </c>
      <c r="P175" s="19">
        <f t="shared" si="146"/>
        <v>0</v>
      </c>
      <c r="Q175" s="19">
        <f t="shared" si="147"/>
        <v>0</v>
      </c>
      <c r="R175" s="19"/>
      <c r="S175" s="19">
        <f t="shared" si="148"/>
        <v>0</v>
      </c>
      <c r="T175" s="19">
        <f t="shared" si="149"/>
        <v>0</v>
      </c>
      <c r="U175" s="19">
        <f t="shared" si="150"/>
        <v>0</v>
      </c>
      <c r="V175" s="19">
        <f t="shared" si="151"/>
        <v>0</v>
      </c>
      <c r="W175" s="19">
        <f t="shared" si="152"/>
        <v>0</v>
      </c>
      <c r="X175" s="19">
        <f t="shared" si="153"/>
        <v>0</v>
      </c>
      <c r="Y175" s="19">
        <f t="shared" si="154"/>
        <v>0</v>
      </c>
      <c r="Z175" s="19">
        <f t="shared" si="155"/>
        <v>0</v>
      </c>
      <c r="AA175" s="19">
        <f t="shared" si="156"/>
        <v>0</v>
      </c>
      <c r="AB175" s="19">
        <f t="shared" si="157"/>
        <v>0</v>
      </c>
      <c r="AC175" s="19">
        <f t="shared" si="158"/>
        <v>0</v>
      </c>
      <c r="AD175" s="19">
        <f t="shared" si="159"/>
        <v>0</v>
      </c>
      <c r="AE175" s="19"/>
      <c r="AF175" s="19">
        <f t="shared" si="160"/>
        <v>0</v>
      </c>
      <c r="AG175" s="19"/>
      <c r="AH175" s="19">
        <f t="shared" si="161"/>
        <v>0</v>
      </c>
      <c r="AI175" s="19"/>
      <c r="AJ175" s="19">
        <f t="shared" si="162"/>
        <v>0</v>
      </c>
      <c r="AK175" s="19">
        <f t="shared" si="163"/>
        <v>0</v>
      </c>
      <c r="AL175" s="15" t="str">
        <f t="shared" si="164"/>
        <v>ok</v>
      </c>
    </row>
    <row r="176" spans="1:38" x14ac:dyDescent="0.3">
      <c r="A176" s="2">
        <v>588</v>
      </c>
      <c r="B176" s="2" t="s">
        <v>237</v>
      </c>
      <c r="C176" s="2" t="s">
        <v>238</v>
      </c>
      <c r="D176" s="2" t="s">
        <v>33</v>
      </c>
      <c r="F176" s="43">
        <v>0</v>
      </c>
      <c r="H176" s="19">
        <f t="shared" si="139"/>
        <v>0</v>
      </c>
      <c r="I176" s="19">
        <f t="shared" si="140"/>
        <v>0</v>
      </c>
      <c r="J176" s="19">
        <f t="shared" si="141"/>
        <v>0</v>
      </c>
      <c r="K176" s="19">
        <f t="shared" si="142"/>
        <v>0</v>
      </c>
      <c r="L176" s="19">
        <f t="shared" si="143"/>
        <v>0</v>
      </c>
      <c r="M176" s="19">
        <f t="shared" si="144"/>
        <v>0</v>
      </c>
      <c r="N176" s="19"/>
      <c r="O176" s="19">
        <f t="shared" si="145"/>
        <v>0</v>
      </c>
      <c r="P176" s="19">
        <f t="shared" si="146"/>
        <v>0</v>
      </c>
      <c r="Q176" s="19">
        <f t="shared" si="147"/>
        <v>0</v>
      </c>
      <c r="R176" s="19"/>
      <c r="S176" s="19">
        <f t="shared" si="148"/>
        <v>0</v>
      </c>
      <c r="T176" s="19">
        <f t="shared" si="149"/>
        <v>0</v>
      </c>
      <c r="U176" s="19">
        <f t="shared" si="150"/>
        <v>0</v>
      </c>
      <c r="V176" s="19">
        <f t="shared" si="151"/>
        <v>0</v>
      </c>
      <c r="W176" s="19">
        <f t="shared" si="152"/>
        <v>0</v>
      </c>
      <c r="X176" s="19">
        <f t="shared" si="153"/>
        <v>0</v>
      </c>
      <c r="Y176" s="19">
        <f t="shared" si="154"/>
        <v>0</v>
      </c>
      <c r="Z176" s="19">
        <f t="shared" si="155"/>
        <v>0</v>
      </c>
      <c r="AA176" s="19">
        <f t="shared" si="156"/>
        <v>0</v>
      </c>
      <c r="AB176" s="19">
        <f t="shared" si="157"/>
        <v>0</v>
      </c>
      <c r="AC176" s="19">
        <f t="shared" si="158"/>
        <v>0</v>
      </c>
      <c r="AD176" s="19">
        <f t="shared" si="159"/>
        <v>0</v>
      </c>
      <c r="AE176" s="19"/>
      <c r="AF176" s="19">
        <f t="shared" si="160"/>
        <v>0</v>
      </c>
      <c r="AG176" s="19"/>
      <c r="AH176" s="19">
        <f t="shared" si="161"/>
        <v>0</v>
      </c>
      <c r="AI176" s="19"/>
      <c r="AJ176" s="19">
        <f t="shared" si="162"/>
        <v>0</v>
      </c>
      <c r="AK176" s="19">
        <f t="shared" si="163"/>
        <v>0</v>
      </c>
      <c r="AL176" s="15" t="str">
        <f t="shared" si="164"/>
        <v>ok</v>
      </c>
    </row>
    <row r="177" spans="1:38" x14ac:dyDescent="0.3">
      <c r="A177" s="2">
        <v>589</v>
      </c>
      <c r="B177" s="2" t="s">
        <v>129</v>
      </c>
      <c r="C177" s="2" t="s">
        <v>239</v>
      </c>
      <c r="D177" s="2" t="s">
        <v>33</v>
      </c>
      <c r="F177" s="43">
        <v>0</v>
      </c>
      <c r="H177" s="19">
        <f t="shared" si="139"/>
        <v>0</v>
      </c>
      <c r="I177" s="19">
        <f t="shared" si="140"/>
        <v>0</v>
      </c>
      <c r="J177" s="19">
        <f t="shared" si="141"/>
        <v>0</v>
      </c>
      <c r="K177" s="19">
        <f t="shared" si="142"/>
        <v>0</v>
      </c>
      <c r="L177" s="19">
        <f t="shared" si="143"/>
        <v>0</v>
      </c>
      <c r="M177" s="19">
        <f t="shared" si="144"/>
        <v>0</v>
      </c>
      <c r="N177" s="19"/>
      <c r="O177" s="19">
        <f t="shared" si="145"/>
        <v>0</v>
      </c>
      <c r="P177" s="19">
        <f t="shared" si="146"/>
        <v>0</v>
      </c>
      <c r="Q177" s="19">
        <f t="shared" si="147"/>
        <v>0</v>
      </c>
      <c r="R177" s="19"/>
      <c r="S177" s="19">
        <f t="shared" si="148"/>
        <v>0</v>
      </c>
      <c r="T177" s="19">
        <f t="shared" si="149"/>
        <v>0</v>
      </c>
      <c r="U177" s="19">
        <f t="shared" si="150"/>
        <v>0</v>
      </c>
      <c r="V177" s="19">
        <f t="shared" si="151"/>
        <v>0</v>
      </c>
      <c r="W177" s="19">
        <f t="shared" si="152"/>
        <v>0</v>
      </c>
      <c r="X177" s="19">
        <f t="shared" si="153"/>
        <v>0</v>
      </c>
      <c r="Y177" s="19">
        <f t="shared" si="154"/>
        <v>0</v>
      </c>
      <c r="Z177" s="19">
        <f t="shared" si="155"/>
        <v>0</v>
      </c>
      <c r="AA177" s="19">
        <f t="shared" si="156"/>
        <v>0</v>
      </c>
      <c r="AB177" s="19">
        <f t="shared" si="157"/>
        <v>0</v>
      </c>
      <c r="AC177" s="19">
        <f t="shared" si="158"/>
        <v>0</v>
      </c>
      <c r="AD177" s="19">
        <f t="shared" si="159"/>
        <v>0</v>
      </c>
      <c r="AE177" s="19"/>
      <c r="AF177" s="19">
        <f t="shared" si="160"/>
        <v>0</v>
      </c>
      <c r="AG177" s="19"/>
      <c r="AH177" s="19">
        <f t="shared" si="161"/>
        <v>0</v>
      </c>
      <c r="AI177" s="19"/>
      <c r="AJ177" s="19">
        <f t="shared" si="162"/>
        <v>0</v>
      </c>
      <c r="AK177" s="19">
        <f t="shared" si="163"/>
        <v>0</v>
      </c>
      <c r="AL177" s="15" t="str">
        <f t="shared" si="164"/>
        <v>ok</v>
      </c>
    </row>
    <row r="178" spans="1:38" x14ac:dyDescent="0.3">
      <c r="F178" s="43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L178" s="15"/>
    </row>
    <row r="179" spans="1:38" x14ac:dyDescent="0.3">
      <c r="A179" s="2" t="s">
        <v>240</v>
      </c>
      <c r="C179" s="2" t="s">
        <v>241</v>
      </c>
      <c r="F179" s="44">
        <f t="shared" ref="F179:M179" si="165">SUM(F166:F178)</f>
        <v>2298817.84</v>
      </c>
      <c r="G179" s="18">
        <f t="shared" si="165"/>
        <v>0</v>
      </c>
      <c r="H179" s="18">
        <f t="shared" si="165"/>
        <v>0</v>
      </c>
      <c r="I179" s="18">
        <f t="shared" si="165"/>
        <v>0</v>
      </c>
      <c r="J179" s="18">
        <f t="shared" si="165"/>
        <v>0</v>
      </c>
      <c r="K179" s="18">
        <f t="shared" si="165"/>
        <v>0</v>
      </c>
      <c r="L179" s="18">
        <f t="shared" si="165"/>
        <v>0</v>
      </c>
      <c r="M179" s="18">
        <f t="shared" si="165"/>
        <v>0</v>
      </c>
      <c r="N179" s="18"/>
      <c r="O179" s="18">
        <f>SUM(O166:O178)</f>
        <v>2156592.7503498057</v>
      </c>
      <c r="P179" s="18">
        <f>SUM(P166:P178)</f>
        <v>142225.08965019434</v>
      </c>
      <c r="Q179" s="18">
        <f>SUM(Q166:Q178)</f>
        <v>0</v>
      </c>
      <c r="R179" s="18"/>
      <c r="S179" s="18">
        <f t="shared" ref="S179:AD179" si="166">SUM(S166:S178)</f>
        <v>0</v>
      </c>
      <c r="T179" s="18">
        <f t="shared" si="166"/>
        <v>0</v>
      </c>
      <c r="U179" s="18">
        <f t="shared" si="166"/>
        <v>0</v>
      </c>
      <c r="V179" s="18">
        <f t="shared" si="166"/>
        <v>0</v>
      </c>
      <c r="W179" s="18">
        <f t="shared" si="166"/>
        <v>0</v>
      </c>
      <c r="X179" s="18">
        <f t="shared" si="166"/>
        <v>0</v>
      </c>
      <c r="Y179" s="18">
        <f t="shared" si="166"/>
        <v>0</v>
      </c>
      <c r="Z179" s="18">
        <f t="shared" si="166"/>
        <v>0</v>
      </c>
      <c r="AA179" s="18">
        <f t="shared" si="166"/>
        <v>0</v>
      </c>
      <c r="AB179" s="18">
        <f t="shared" si="166"/>
        <v>0</v>
      </c>
      <c r="AC179" s="18">
        <f t="shared" si="166"/>
        <v>0</v>
      </c>
      <c r="AD179" s="18">
        <f t="shared" si="166"/>
        <v>0</v>
      </c>
      <c r="AE179" s="18"/>
      <c r="AF179" s="18">
        <f>SUM(AF166:AF178)</f>
        <v>0</v>
      </c>
      <c r="AG179" s="18"/>
      <c r="AH179" s="18">
        <f>SUM(AH166:AH178)</f>
        <v>0</v>
      </c>
      <c r="AI179" s="18"/>
      <c r="AJ179" s="18">
        <f>SUM(AJ166:AJ178)</f>
        <v>0</v>
      </c>
      <c r="AK179" s="19">
        <f>SUM(H179:AJ179)</f>
        <v>2298817.84</v>
      </c>
      <c r="AL179" s="15" t="str">
        <f>IF(ABS(AK179-F179)&lt;1,"ok","err")</f>
        <v>ok</v>
      </c>
    </row>
    <row r="180" spans="1:38" x14ac:dyDescent="0.3">
      <c r="F180" s="44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9"/>
      <c r="AL180" s="15"/>
    </row>
    <row r="181" spans="1:38" x14ac:dyDescent="0.3">
      <c r="A181" s="16" t="s">
        <v>147</v>
      </c>
      <c r="F181" s="43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L181" s="15"/>
    </row>
    <row r="182" spans="1:38" x14ac:dyDescent="0.3">
      <c r="A182" s="16"/>
      <c r="F182" s="43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L182" s="15"/>
    </row>
    <row r="183" spans="1:38" x14ac:dyDescent="0.3">
      <c r="A183" s="3" t="s">
        <v>242</v>
      </c>
      <c r="F183" s="43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L183" s="15"/>
    </row>
    <row r="184" spans="1:38" x14ac:dyDescent="0.3">
      <c r="A184" s="2">
        <v>590</v>
      </c>
      <c r="B184" s="2" t="s">
        <v>243</v>
      </c>
      <c r="C184" s="2" t="s">
        <v>244</v>
      </c>
      <c r="D184" s="2" t="s">
        <v>245</v>
      </c>
      <c r="F184" s="44">
        <v>0</v>
      </c>
      <c r="H184" s="19">
        <f t="shared" ref="H184:H192" si="167">IF(VLOOKUP($D184,$C$5:$AJ$470,6,)=0,0,((VLOOKUP($D184,$C$5:$AJ$470,6,)/VLOOKUP($D184,$C$5:$AJ$470,4,))*$F184))</f>
        <v>0</v>
      </c>
      <c r="I184" s="19">
        <f t="shared" ref="I184:I192" si="168">IF(VLOOKUP($D184,$C$5:$AJ$470,7,)=0,0,((VLOOKUP($D184,$C$5:$AJ$470,7,)/VLOOKUP($D184,$C$5:$AJ$470,4,))*$F184))</f>
        <v>0</v>
      </c>
      <c r="J184" s="19">
        <f t="shared" ref="J184:J192" si="169">IF(VLOOKUP($D184,$C$5:$AJ$470,8,)=0,0,((VLOOKUP($D184,$C$5:$AJ$470,8,)/VLOOKUP($D184,$C$5:$AJ$470,4,))*$F184))</f>
        <v>0</v>
      </c>
      <c r="K184" s="19">
        <f t="shared" ref="K184:K192" si="170">IF(VLOOKUP($D184,$C$5:$AJ$470,9,)=0,0,((VLOOKUP($D184,$C$5:$AJ$470,9,)/VLOOKUP($D184,$C$5:$AJ$470,4,))*$F184))</f>
        <v>0</v>
      </c>
      <c r="L184" s="19">
        <f t="shared" ref="L184:L192" si="171">IF(VLOOKUP($D184,$C$5:$AJ$470,10,)=0,0,((VLOOKUP($D184,$C$5:$AJ$470,10,)/VLOOKUP($D184,$C$5:$AJ$470,4,))*$F184))</f>
        <v>0</v>
      </c>
      <c r="M184" s="19">
        <f t="shared" ref="M184:M192" si="172">IF(VLOOKUP($D184,$C$5:$AJ$470,11,)=0,0,((VLOOKUP($D184,$C$5:$AJ$470,11,)/VLOOKUP($D184,$C$5:$AJ$470,4,))*$F184))</f>
        <v>0</v>
      </c>
      <c r="N184" s="19"/>
      <c r="O184" s="19">
        <f t="shared" ref="O184:O192" si="173">IF(VLOOKUP($D184,$C$5:$AJ$470,13,)=0,0,((VLOOKUP($D184,$C$5:$AJ$470,13,)/VLOOKUP($D184,$C$5:$AJ$470,4,))*$F184))</f>
        <v>0</v>
      </c>
      <c r="P184" s="19">
        <f t="shared" ref="P184:P192" si="174">IF(VLOOKUP($D184,$C$5:$AJ$470,14,)=0,0,((VLOOKUP($D184,$C$5:$AJ$470,14,)/VLOOKUP($D184,$C$5:$AJ$470,4,))*$F184))</f>
        <v>0</v>
      </c>
      <c r="Q184" s="19">
        <f t="shared" ref="Q184:Q192" si="175">IF(VLOOKUP($D184,$C$5:$AJ$470,15,)=0,0,((VLOOKUP($D184,$C$5:$AJ$470,15,)/VLOOKUP($D184,$C$5:$AJ$470,4,))*$F184))</f>
        <v>0</v>
      </c>
      <c r="R184" s="19"/>
      <c r="S184" s="19">
        <f t="shared" ref="S184:S192" si="176">IF(VLOOKUP($D184,$C$5:$AJ$470,17,)=0,0,((VLOOKUP($D184,$C$5:$AJ$470,17,)/VLOOKUP($D184,$C$5:$AJ$470,4,))*$F184))</f>
        <v>0</v>
      </c>
      <c r="T184" s="19">
        <f t="shared" ref="T184:T192" si="177">IF(VLOOKUP($D184,$C$5:$AJ$470,18,)=0,0,((VLOOKUP($D184,$C$5:$AJ$470,18,)/VLOOKUP($D184,$C$5:$AJ$470,4,))*$F184))</f>
        <v>0</v>
      </c>
      <c r="U184" s="19">
        <f t="shared" ref="U184:U192" si="178">IF(VLOOKUP($D184,$C$5:$AJ$470,19,)=0,0,((VLOOKUP($D184,$C$5:$AJ$470,19,)/VLOOKUP($D184,$C$5:$AJ$470,4,))*$F184))</f>
        <v>0</v>
      </c>
      <c r="V184" s="19">
        <f t="shared" ref="V184:V192" si="179">IF(VLOOKUP($D184,$C$5:$AJ$470,20,)=0,0,((VLOOKUP($D184,$C$5:$AJ$470,20,)/VLOOKUP($D184,$C$5:$AJ$470,4,))*$F184))</f>
        <v>0</v>
      </c>
      <c r="W184" s="19">
        <f t="shared" ref="W184:W192" si="180">IF(VLOOKUP($D184,$C$5:$AJ$470,21,)=0,0,((VLOOKUP($D184,$C$5:$AJ$470,21,)/VLOOKUP($D184,$C$5:$AJ$470,4,))*$F184))</f>
        <v>0</v>
      </c>
      <c r="X184" s="19">
        <f t="shared" ref="X184:X192" si="181">IF(VLOOKUP($D184,$C$5:$AJ$470,22,)=0,0,((VLOOKUP($D184,$C$5:$AJ$470,22,)/VLOOKUP($D184,$C$5:$AJ$470,4,))*$F184))</f>
        <v>0</v>
      </c>
      <c r="Y184" s="19">
        <f t="shared" ref="Y184:Y192" si="182">IF(VLOOKUP($D184,$C$5:$AJ$470,23,)=0,0,((VLOOKUP($D184,$C$5:$AJ$470,23,)/VLOOKUP($D184,$C$5:$AJ$470,4,))*$F184))</f>
        <v>0</v>
      </c>
      <c r="Z184" s="19">
        <f t="shared" ref="Z184:Z192" si="183">IF(VLOOKUP($D184,$C$5:$AJ$470,24,)=0,0,((VLOOKUP($D184,$C$5:$AJ$470,24,)/VLOOKUP($D184,$C$5:$AJ$470,4,))*$F184))</f>
        <v>0</v>
      </c>
      <c r="AA184" s="19">
        <f t="shared" ref="AA184:AA192" si="184">IF(VLOOKUP($D184,$C$5:$AJ$470,25,)=0,0,((VLOOKUP($D184,$C$5:$AJ$470,25,)/VLOOKUP($D184,$C$5:$AJ$470,4,))*$F184))</f>
        <v>0</v>
      </c>
      <c r="AB184" s="19">
        <f t="shared" ref="AB184:AB192" si="185">IF(VLOOKUP($D184,$C$5:$AJ$470,26,)=0,0,((VLOOKUP($D184,$C$5:$AJ$470,26,)/VLOOKUP($D184,$C$5:$AJ$470,4,))*$F184))</f>
        <v>0</v>
      </c>
      <c r="AC184" s="19">
        <f t="shared" ref="AC184:AC192" si="186">IF(VLOOKUP($D184,$C$5:$AJ$470,27,)=0,0,((VLOOKUP($D184,$C$5:$AJ$470,27,)/VLOOKUP($D184,$C$5:$AJ$470,4,))*$F184))</f>
        <v>0</v>
      </c>
      <c r="AD184" s="19">
        <f t="shared" ref="AD184:AD192" si="187">IF(VLOOKUP($D184,$C$5:$AJ$470,28,)=0,0,((VLOOKUP($D184,$C$5:$AJ$470,28,)/VLOOKUP($D184,$C$5:$AJ$470,4,))*$F184))</f>
        <v>0</v>
      </c>
      <c r="AE184" s="19"/>
      <c r="AF184" s="19">
        <f t="shared" ref="AF184:AF192" si="188">IF(VLOOKUP($D184,$C$5:$AJ$470,30,)=0,0,((VLOOKUP($D184,$C$5:$AJ$470,30,)/VLOOKUP($D184,$C$5:$AJ$470,4,))*$F184))</f>
        <v>0</v>
      </c>
      <c r="AG184" s="19"/>
      <c r="AH184" s="19">
        <f t="shared" ref="AH184:AH192" si="189">IF(VLOOKUP($D184,$C$5:$AJ$470,32,)=0,0,((VLOOKUP($D184,$C$5:$AJ$470,32,)/VLOOKUP($D184,$C$5:$AJ$470,4,))*$F184))</f>
        <v>0</v>
      </c>
      <c r="AI184" s="19"/>
      <c r="AJ184" s="19">
        <f t="shared" ref="AJ184:AJ192" si="190">IF(VLOOKUP($D184,$C$5:$AJ$470,34,)=0,0,((VLOOKUP($D184,$C$5:$AJ$470,34,)/VLOOKUP($D184,$C$5:$AJ$470,4,))*$F184))</f>
        <v>0</v>
      </c>
      <c r="AK184" s="19">
        <f t="shared" ref="AK184:AK192" si="191">SUM(H184:AJ184)</f>
        <v>0</v>
      </c>
      <c r="AL184" s="15" t="str">
        <f>IF(ABS(AK184-F184)&lt;1,"ok","err")</f>
        <v>ok</v>
      </c>
    </row>
    <row r="185" spans="1:38" x14ac:dyDescent="0.3">
      <c r="A185" s="2">
        <v>591</v>
      </c>
      <c r="B185" s="2" t="s">
        <v>204</v>
      </c>
      <c r="C185" s="2" t="s">
        <v>246</v>
      </c>
      <c r="D185" s="2" t="s">
        <v>33</v>
      </c>
      <c r="F185" s="44">
        <v>0</v>
      </c>
      <c r="H185" s="19">
        <f t="shared" si="167"/>
        <v>0</v>
      </c>
      <c r="I185" s="19">
        <f t="shared" si="168"/>
        <v>0</v>
      </c>
      <c r="J185" s="19">
        <f t="shared" si="169"/>
        <v>0</v>
      </c>
      <c r="K185" s="19">
        <f t="shared" si="170"/>
        <v>0</v>
      </c>
      <c r="L185" s="19">
        <f t="shared" si="171"/>
        <v>0</v>
      </c>
      <c r="M185" s="19">
        <f t="shared" si="172"/>
        <v>0</v>
      </c>
      <c r="N185" s="19"/>
      <c r="O185" s="19">
        <f t="shared" si="173"/>
        <v>0</v>
      </c>
      <c r="P185" s="19">
        <f t="shared" si="174"/>
        <v>0</v>
      </c>
      <c r="Q185" s="19">
        <f t="shared" si="175"/>
        <v>0</v>
      </c>
      <c r="R185" s="19"/>
      <c r="S185" s="19">
        <f t="shared" si="176"/>
        <v>0</v>
      </c>
      <c r="T185" s="19">
        <f t="shared" si="177"/>
        <v>0</v>
      </c>
      <c r="U185" s="19">
        <f t="shared" si="178"/>
        <v>0</v>
      </c>
      <c r="V185" s="19">
        <f t="shared" si="179"/>
        <v>0</v>
      </c>
      <c r="W185" s="19">
        <f t="shared" si="180"/>
        <v>0</v>
      </c>
      <c r="X185" s="19">
        <f t="shared" si="181"/>
        <v>0</v>
      </c>
      <c r="Y185" s="19">
        <f t="shared" si="182"/>
        <v>0</v>
      </c>
      <c r="Z185" s="19">
        <f t="shared" si="183"/>
        <v>0</v>
      </c>
      <c r="AA185" s="19">
        <f t="shared" si="184"/>
        <v>0</v>
      </c>
      <c r="AB185" s="19">
        <f t="shared" si="185"/>
        <v>0</v>
      </c>
      <c r="AC185" s="19">
        <f t="shared" si="186"/>
        <v>0</v>
      </c>
      <c r="AD185" s="19">
        <f t="shared" si="187"/>
        <v>0</v>
      </c>
      <c r="AE185" s="19"/>
      <c r="AF185" s="19">
        <f t="shared" si="188"/>
        <v>0</v>
      </c>
      <c r="AG185" s="19"/>
      <c r="AH185" s="19">
        <f t="shared" si="189"/>
        <v>0</v>
      </c>
      <c r="AI185" s="19"/>
      <c r="AJ185" s="19">
        <f t="shared" si="190"/>
        <v>0</v>
      </c>
      <c r="AK185" s="19"/>
      <c r="AL185" s="15"/>
    </row>
    <row r="186" spans="1:38" x14ac:dyDescent="0.3">
      <c r="A186" s="2">
        <v>592</v>
      </c>
      <c r="B186" s="2" t="s">
        <v>247</v>
      </c>
      <c r="C186" s="2" t="s">
        <v>248</v>
      </c>
      <c r="D186" s="2" t="s">
        <v>33</v>
      </c>
      <c r="F186" s="43">
        <v>2720381.51</v>
      </c>
      <c r="H186" s="19">
        <f t="shared" si="167"/>
        <v>0</v>
      </c>
      <c r="I186" s="19">
        <f t="shared" si="168"/>
        <v>0</v>
      </c>
      <c r="J186" s="19">
        <f t="shared" si="169"/>
        <v>0</v>
      </c>
      <c r="K186" s="19">
        <f t="shared" si="170"/>
        <v>0</v>
      </c>
      <c r="L186" s="19">
        <f t="shared" si="171"/>
        <v>0</v>
      </c>
      <c r="M186" s="19">
        <f t="shared" si="172"/>
        <v>0</v>
      </c>
      <c r="N186" s="19"/>
      <c r="O186" s="19">
        <f t="shared" si="173"/>
        <v>2684443.0258528274</v>
      </c>
      <c r="P186" s="19">
        <f t="shared" si="174"/>
        <v>35938.484147172676</v>
      </c>
      <c r="Q186" s="19">
        <f t="shared" si="175"/>
        <v>0</v>
      </c>
      <c r="R186" s="19"/>
      <c r="S186" s="19">
        <f t="shared" si="176"/>
        <v>0</v>
      </c>
      <c r="T186" s="19">
        <f t="shared" si="177"/>
        <v>0</v>
      </c>
      <c r="U186" s="19">
        <f t="shared" si="178"/>
        <v>0</v>
      </c>
      <c r="V186" s="19">
        <f t="shared" si="179"/>
        <v>0</v>
      </c>
      <c r="W186" s="19">
        <f t="shared" si="180"/>
        <v>0</v>
      </c>
      <c r="X186" s="19">
        <f t="shared" si="181"/>
        <v>0</v>
      </c>
      <c r="Y186" s="19">
        <f t="shared" si="182"/>
        <v>0</v>
      </c>
      <c r="Z186" s="19">
        <f t="shared" si="183"/>
        <v>0</v>
      </c>
      <c r="AA186" s="19">
        <f t="shared" si="184"/>
        <v>0</v>
      </c>
      <c r="AB186" s="19">
        <f t="shared" si="185"/>
        <v>0</v>
      </c>
      <c r="AC186" s="19">
        <f t="shared" si="186"/>
        <v>0</v>
      </c>
      <c r="AD186" s="19">
        <f t="shared" si="187"/>
        <v>0</v>
      </c>
      <c r="AE186" s="19"/>
      <c r="AF186" s="19">
        <f t="shared" si="188"/>
        <v>0</v>
      </c>
      <c r="AG186" s="19"/>
      <c r="AH186" s="19">
        <f t="shared" si="189"/>
        <v>0</v>
      </c>
      <c r="AI186" s="19"/>
      <c r="AJ186" s="19">
        <f t="shared" si="190"/>
        <v>0</v>
      </c>
      <c r="AK186" s="19">
        <f t="shared" si="191"/>
        <v>2720381.5100000002</v>
      </c>
      <c r="AL186" s="15" t="str">
        <f t="shared" ref="AL186:AL192" si="192">IF(ABS(AK186-F186)&lt;1,"ok","err")</f>
        <v>ok</v>
      </c>
    </row>
    <row r="187" spans="1:38" x14ac:dyDescent="0.3">
      <c r="A187" s="2">
        <v>593</v>
      </c>
      <c r="B187" s="2" t="s">
        <v>249</v>
      </c>
      <c r="C187" s="2" t="s">
        <v>250</v>
      </c>
      <c r="D187" s="2" t="s">
        <v>33</v>
      </c>
      <c r="F187" s="43">
        <v>0</v>
      </c>
      <c r="H187" s="19">
        <f t="shared" si="167"/>
        <v>0</v>
      </c>
      <c r="I187" s="19">
        <f t="shared" si="168"/>
        <v>0</v>
      </c>
      <c r="J187" s="19">
        <f t="shared" si="169"/>
        <v>0</v>
      </c>
      <c r="K187" s="19">
        <f t="shared" si="170"/>
        <v>0</v>
      </c>
      <c r="L187" s="19">
        <f t="shared" si="171"/>
        <v>0</v>
      </c>
      <c r="M187" s="19">
        <f t="shared" si="172"/>
        <v>0</v>
      </c>
      <c r="N187" s="19"/>
      <c r="O187" s="19">
        <f t="shared" si="173"/>
        <v>0</v>
      </c>
      <c r="P187" s="19">
        <f t="shared" si="174"/>
        <v>0</v>
      </c>
      <c r="Q187" s="19">
        <f t="shared" si="175"/>
        <v>0</v>
      </c>
      <c r="R187" s="19"/>
      <c r="S187" s="19">
        <f t="shared" si="176"/>
        <v>0</v>
      </c>
      <c r="T187" s="19">
        <f t="shared" si="177"/>
        <v>0</v>
      </c>
      <c r="U187" s="19">
        <f t="shared" si="178"/>
        <v>0</v>
      </c>
      <c r="V187" s="19">
        <f t="shared" si="179"/>
        <v>0</v>
      </c>
      <c r="W187" s="19">
        <f t="shared" si="180"/>
        <v>0</v>
      </c>
      <c r="X187" s="19">
        <f t="shared" si="181"/>
        <v>0</v>
      </c>
      <c r="Y187" s="19">
        <f t="shared" si="182"/>
        <v>0</v>
      </c>
      <c r="Z187" s="19">
        <f t="shared" si="183"/>
        <v>0</v>
      </c>
      <c r="AA187" s="19">
        <f t="shared" si="184"/>
        <v>0</v>
      </c>
      <c r="AB187" s="19">
        <f t="shared" si="185"/>
        <v>0</v>
      </c>
      <c r="AC187" s="19">
        <f t="shared" si="186"/>
        <v>0</v>
      </c>
      <c r="AD187" s="19">
        <f t="shared" si="187"/>
        <v>0</v>
      </c>
      <c r="AE187" s="19"/>
      <c r="AF187" s="19">
        <f t="shared" si="188"/>
        <v>0</v>
      </c>
      <c r="AG187" s="19"/>
      <c r="AH187" s="19">
        <f t="shared" si="189"/>
        <v>0</v>
      </c>
      <c r="AI187" s="19"/>
      <c r="AJ187" s="19">
        <f t="shared" si="190"/>
        <v>0</v>
      </c>
      <c r="AK187" s="19">
        <f t="shared" si="191"/>
        <v>0</v>
      </c>
      <c r="AL187" s="15" t="str">
        <f t="shared" si="192"/>
        <v>ok</v>
      </c>
    </row>
    <row r="188" spans="1:38" x14ac:dyDescent="0.3">
      <c r="A188" s="2">
        <v>594</v>
      </c>
      <c r="B188" s="2" t="s">
        <v>251</v>
      </c>
      <c r="C188" s="2" t="s">
        <v>252</v>
      </c>
      <c r="D188" s="2" t="s">
        <v>33</v>
      </c>
      <c r="F188" s="43">
        <v>0</v>
      </c>
      <c r="H188" s="19">
        <f t="shared" si="167"/>
        <v>0</v>
      </c>
      <c r="I188" s="19">
        <f t="shared" si="168"/>
        <v>0</v>
      </c>
      <c r="J188" s="19">
        <f t="shared" si="169"/>
        <v>0</v>
      </c>
      <c r="K188" s="19">
        <f t="shared" si="170"/>
        <v>0</v>
      </c>
      <c r="L188" s="19">
        <f t="shared" si="171"/>
        <v>0</v>
      </c>
      <c r="M188" s="19">
        <f t="shared" si="172"/>
        <v>0</v>
      </c>
      <c r="N188" s="19"/>
      <c r="O188" s="19">
        <f t="shared" si="173"/>
        <v>0</v>
      </c>
      <c r="P188" s="19">
        <f t="shared" si="174"/>
        <v>0</v>
      </c>
      <c r="Q188" s="19">
        <f t="shared" si="175"/>
        <v>0</v>
      </c>
      <c r="R188" s="19"/>
      <c r="S188" s="19">
        <f t="shared" si="176"/>
        <v>0</v>
      </c>
      <c r="T188" s="19">
        <f t="shared" si="177"/>
        <v>0</v>
      </c>
      <c r="U188" s="19">
        <f t="shared" si="178"/>
        <v>0</v>
      </c>
      <c r="V188" s="19">
        <f t="shared" si="179"/>
        <v>0</v>
      </c>
      <c r="W188" s="19">
        <f t="shared" si="180"/>
        <v>0</v>
      </c>
      <c r="X188" s="19">
        <f t="shared" si="181"/>
        <v>0</v>
      </c>
      <c r="Y188" s="19">
        <f t="shared" si="182"/>
        <v>0</v>
      </c>
      <c r="Z188" s="19">
        <f t="shared" si="183"/>
        <v>0</v>
      </c>
      <c r="AA188" s="19">
        <f t="shared" si="184"/>
        <v>0</v>
      </c>
      <c r="AB188" s="19">
        <f t="shared" si="185"/>
        <v>0</v>
      </c>
      <c r="AC188" s="19">
        <f t="shared" si="186"/>
        <v>0</v>
      </c>
      <c r="AD188" s="19">
        <f t="shared" si="187"/>
        <v>0</v>
      </c>
      <c r="AE188" s="19"/>
      <c r="AF188" s="19">
        <f t="shared" si="188"/>
        <v>0</v>
      </c>
      <c r="AG188" s="19"/>
      <c r="AH188" s="19">
        <f t="shared" si="189"/>
        <v>0</v>
      </c>
      <c r="AI188" s="19"/>
      <c r="AJ188" s="19">
        <f t="shared" si="190"/>
        <v>0</v>
      </c>
      <c r="AK188" s="19">
        <f t="shared" si="191"/>
        <v>0</v>
      </c>
      <c r="AL188" s="15" t="str">
        <f t="shared" si="192"/>
        <v>ok</v>
      </c>
    </row>
    <row r="189" spans="1:38" x14ac:dyDescent="0.3">
      <c r="A189" s="2">
        <v>595</v>
      </c>
      <c r="B189" s="2" t="s">
        <v>253</v>
      </c>
      <c r="C189" s="2" t="s">
        <v>254</v>
      </c>
      <c r="D189" s="2" t="s">
        <v>33</v>
      </c>
      <c r="F189" s="43">
        <v>0</v>
      </c>
      <c r="H189" s="19">
        <f t="shared" si="167"/>
        <v>0</v>
      </c>
      <c r="I189" s="19">
        <f t="shared" si="168"/>
        <v>0</v>
      </c>
      <c r="J189" s="19">
        <f t="shared" si="169"/>
        <v>0</v>
      </c>
      <c r="K189" s="19">
        <f t="shared" si="170"/>
        <v>0</v>
      </c>
      <c r="L189" s="19">
        <f t="shared" si="171"/>
        <v>0</v>
      </c>
      <c r="M189" s="19">
        <f t="shared" si="172"/>
        <v>0</v>
      </c>
      <c r="N189" s="19"/>
      <c r="O189" s="19">
        <f t="shared" si="173"/>
        <v>0</v>
      </c>
      <c r="P189" s="19">
        <f t="shared" si="174"/>
        <v>0</v>
      </c>
      <c r="Q189" s="19">
        <f t="shared" si="175"/>
        <v>0</v>
      </c>
      <c r="R189" s="19"/>
      <c r="S189" s="19">
        <f t="shared" si="176"/>
        <v>0</v>
      </c>
      <c r="T189" s="19">
        <f t="shared" si="177"/>
        <v>0</v>
      </c>
      <c r="U189" s="19">
        <f t="shared" si="178"/>
        <v>0</v>
      </c>
      <c r="V189" s="19">
        <f t="shared" si="179"/>
        <v>0</v>
      </c>
      <c r="W189" s="19">
        <f t="shared" si="180"/>
        <v>0</v>
      </c>
      <c r="X189" s="19">
        <f t="shared" si="181"/>
        <v>0</v>
      </c>
      <c r="Y189" s="19">
        <f t="shared" si="182"/>
        <v>0</v>
      </c>
      <c r="Z189" s="19">
        <f t="shared" si="183"/>
        <v>0</v>
      </c>
      <c r="AA189" s="19">
        <f t="shared" si="184"/>
        <v>0</v>
      </c>
      <c r="AB189" s="19">
        <f t="shared" si="185"/>
        <v>0</v>
      </c>
      <c r="AC189" s="19">
        <f t="shared" si="186"/>
        <v>0</v>
      </c>
      <c r="AD189" s="19">
        <f t="shared" si="187"/>
        <v>0</v>
      </c>
      <c r="AE189" s="19"/>
      <c r="AF189" s="19">
        <f t="shared" si="188"/>
        <v>0</v>
      </c>
      <c r="AG189" s="19"/>
      <c r="AH189" s="19">
        <f t="shared" si="189"/>
        <v>0</v>
      </c>
      <c r="AI189" s="19"/>
      <c r="AJ189" s="19">
        <f t="shared" si="190"/>
        <v>0</v>
      </c>
      <c r="AK189" s="19">
        <f t="shared" si="191"/>
        <v>0</v>
      </c>
      <c r="AL189" s="15" t="str">
        <f t="shared" si="192"/>
        <v>ok</v>
      </c>
    </row>
    <row r="190" spans="1:38" x14ac:dyDescent="0.3">
      <c r="A190" s="2">
        <v>596</v>
      </c>
      <c r="B190" s="2" t="s">
        <v>255</v>
      </c>
      <c r="C190" s="2" t="s">
        <v>256</v>
      </c>
      <c r="D190" s="2" t="s">
        <v>33</v>
      </c>
      <c r="F190" s="43">
        <v>0</v>
      </c>
      <c r="H190" s="19">
        <f t="shared" si="167"/>
        <v>0</v>
      </c>
      <c r="I190" s="19">
        <f t="shared" si="168"/>
        <v>0</v>
      </c>
      <c r="J190" s="19">
        <f t="shared" si="169"/>
        <v>0</v>
      </c>
      <c r="K190" s="19">
        <f t="shared" si="170"/>
        <v>0</v>
      </c>
      <c r="L190" s="19">
        <f t="shared" si="171"/>
        <v>0</v>
      </c>
      <c r="M190" s="19">
        <f t="shared" si="172"/>
        <v>0</v>
      </c>
      <c r="N190" s="19"/>
      <c r="O190" s="19">
        <f t="shared" si="173"/>
        <v>0</v>
      </c>
      <c r="P190" s="19">
        <f t="shared" si="174"/>
        <v>0</v>
      </c>
      <c r="Q190" s="19">
        <f t="shared" si="175"/>
        <v>0</v>
      </c>
      <c r="R190" s="19"/>
      <c r="S190" s="19">
        <f t="shared" si="176"/>
        <v>0</v>
      </c>
      <c r="T190" s="19">
        <f t="shared" si="177"/>
        <v>0</v>
      </c>
      <c r="U190" s="19">
        <f t="shared" si="178"/>
        <v>0</v>
      </c>
      <c r="V190" s="19">
        <f t="shared" si="179"/>
        <v>0</v>
      </c>
      <c r="W190" s="19">
        <f t="shared" si="180"/>
        <v>0</v>
      </c>
      <c r="X190" s="19">
        <f t="shared" si="181"/>
        <v>0</v>
      </c>
      <c r="Y190" s="19">
        <f t="shared" si="182"/>
        <v>0</v>
      </c>
      <c r="Z190" s="19">
        <f t="shared" si="183"/>
        <v>0</v>
      </c>
      <c r="AA190" s="19">
        <f t="shared" si="184"/>
        <v>0</v>
      </c>
      <c r="AB190" s="19">
        <f t="shared" si="185"/>
        <v>0</v>
      </c>
      <c r="AC190" s="19">
        <f t="shared" si="186"/>
        <v>0</v>
      </c>
      <c r="AD190" s="19">
        <f t="shared" si="187"/>
        <v>0</v>
      </c>
      <c r="AE190" s="19"/>
      <c r="AF190" s="19">
        <f t="shared" si="188"/>
        <v>0</v>
      </c>
      <c r="AG190" s="19"/>
      <c r="AH190" s="19">
        <f t="shared" si="189"/>
        <v>0</v>
      </c>
      <c r="AI190" s="19"/>
      <c r="AJ190" s="19">
        <f t="shared" si="190"/>
        <v>0</v>
      </c>
      <c r="AK190" s="19">
        <f t="shared" si="191"/>
        <v>0</v>
      </c>
      <c r="AL190" s="15" t="str">
        <f t="shared" si="192"/>
        <v>ok</v>
      </c>
    </row>
    <row r="191" spans="1:38" x14ac:dyDescent="0.3">
      <c r="A191" s="2">
        <v>597</v>
      </c>
      <c r="B191" s="2" t="s">
        <v>257</v>
      </c>
      <c r="C191" s="2" t="s">
        <v>258</v>
      </c>
      <c r="D191" s="2" t="s">
        <v>33</v>
      </c>
      <c r="F191" s="43">
        <v>0</v>
      </c>
      <c r="H191" s="19">
        <f t="shared" si="167"/>
        <v>0</v>
      </c>
      <c r="I191" s="19">
        <f t="shared" si="168"/>
        <v>0</v>
      </c>
      <c r="J191" s="19">
        <f t="shared" si="169"/>
        <v>0</v>
      </c>
      <c r="K191" s="19">
        <f t="shared" si="170"/>
        <v>0</v>
      </c>
      <c r="L191" s="19">
        <f t="shared" si="171"/>
        <v>0</v>
      </c>
      <c r="M191" s="19">
        <f t="shared" si="172"/>
        <v>0</v>
      </c>
      <c r="N191" s="19"/>
      <c r="O191" s="19">
        <f t="shared" si="173"/>
        <v>0</v>
      </c>
      <c r="P191" s="19">
        <f t="shared" si="174"/>
        <v>0</v>
      </c>
      <c r="Q191" s="19">
        <f t="shared" si="175"/>
        <v>0</v>
      </c>
      <c r="R191" s="19"/>
      <c r="S191" s="19">
        <f t="shared" si="176"/>
        <v>0</v>
      </c>
      <c r="T191" s="19">
        <f t="shared" si="177"/>
        <v>0</v>
      </c>
      <c r="U191" s="19">
        <f t="shared" si="178"/>
        <v>0</v>
      </c>
      <c r="V191" s="19">
        <f t="shared" si="179"/>
        <v>0</v>
      </c>
      <c r="W191" s="19">
        <f t="shared" si="180"/>
        <v>0</v>
      </c>
      <c r="X191" s="19">
        <f t="shared" si="181"/>
        <v>0</v>
      </c>
      <c r="Y191" s="19">
        <f t="shared" si="182"/>
        <v>0</v>
      </c>
      <c r="Z191" s="19">
        <f t="shared" si="183"/>
        <v>0</v>
      </c>
      <c r="AA191" s="19">
        <f t="shared" si="184"/>
        <v>0</v>
      </c>
      <c r="AB191" s="19">
        <f t="shared" si="185"/>
        <v>0</v>
      </c>
      <c r="AC191" s="19">
        <f t="shared" si="186"/>
        <v>0</v>
      </c>
      <c r="AD191" s="19">
        <f t="shared" si="187"/>
        <v>0</v>
      </c>
      <c r="AE191" s="19"/>
      <c r="AF191" s="19">
        <f t="shared" si="188"/>
        <v>0</v>
      </c>
      <c r="AG191" s="19"/>
      <c r="AH191" s="19">
        <f t="shared" si="189"/>
        <v>0</v>
      </c>
      <c r="AI191" s="19"/>
      <c r="AJ191" s="19">
        <f t="shared" si="190"/>
        <v>0</v>
      </c>
      <c r="AK191" s="19">
        <f t="shared" si="191"/>
        <v>0</v>
      </c>
      <c r="AL191" s="15" t="str">
        <f t="shared" si="192"/>
        <v>ok</v>
      </c>
    </row>
    <row r="192" spans="1:38" x14ac:dyDescent="0.3">
      <c r="A192" s="2">
        <v>598</v>
      </c>
      <c r="B192" s="2" t="s">
        <v>259</v>
      </c>
      <c r="C192" s="2" t="s">
        <v>260</v>
      </c>
      <c r="D192" s="2" t="s">
        <v>33</v>
      </c>
      <c r="F192" s="43">
        <v>0</v>
      </c>
      <c r="H192" s="19">
        <f t="shared" si="167"/>
        <v>0</v>
      </c>
      <c r="I192" s="19">
        <f t="shared" si="168"/>
        <v>0</v>
      </c>
      <c r="J192" s="19">
        <f t="shared" si="169"/>
        <v>0</v>
      </c>
      <c r="K192" s="19">
        <f t="shared" si="170"/>
        <v>0</v>
      </c>
      <c r="L192" s="19">
        <f t="shared" si="171"/>
        <v>0</v>
      </c>
      <c r="M192" s="19">
        <f t="shared" si="172"/>
        <v>0</v>
      </c>
      <c r="N192" s="19"/>
      <c r="O192" s="19">
        <f t="shared" si="173"/>
        <v>0</v>
      </c>
      <c r="P192" s="19">
        <f t="shared" si="174"/>
        <v>0</v>
      </c>
      <c r="Q192" s="19">
        <f t="shared" si="175"/>
        <v>0</v>
      </c>
      <c r="R192" s="19"/>
      <c r="S192" s="19">
        <f t="shared" si="176"/>
        <v>0</v>
      </c>
      <c r="T192" s="19">
        <f t="shared" si="177"/>
        <v>0</v>
      </c>
      <c r="U192" s="19">
        <f t="shared" si="178"/>
        <v>0</v>
      </c>
      <c r="V192" s="19">
        <f t="shared" si="179"/>
        <v>0</v>
      </c>
      <c r="W192" s="19">
        <f t="shared" si="180"/>
        <v>0</v>
      </c>
      <c r="X192" s="19">
        <f t="shared" si="181"/>
        <v>0</v>
      </c>
      <c r="Y192" s="19">
        <f t="shared" si="182"/>
        <v>0</v>
      </c>
      <c r="Z192" s="19">
        <f t="shared" si="183"/>
        <v>0</v>
      </c>
      <c r="AA192" s="19">
        <f t="shared" si="184"/>
        <v>0</v>
      </c>
      <c r="AB192" s="19">
        <f t="shared" si="185"/>
        <v>0</v>
      </c>
      <c r="AC192" s="19">
        <f t="shared" si="186"/>
        <v>0</v>
      </c>
      <c r="AD192" s="19">
        <f t="shared" si="187"/>
        <v>0</v>
      </c>
      <c r="AE192" s="19"/>
      <c r="AF192" s="19">
        <f t="shared" si="188"/>
        <v>0</v>
      </c>
      <c r="AG192" s="19"/>
      <c r="AH192" s="19">
        <f t="shared" si="189"/>
        <v>0</v>
      </c>
      <c r="AI192" s="19"/>
      <c r="AJ192" s="19">
        <f t="shared" si="190"/>
        <v>0</v>
      </c>
      <c r="AK192" s="19">
        <f t="shared" si="191"/>
        <v>0</v>
      </c>
      <c r="AL192" s="15" t="str">
        <f t="shared" si="192"/>
        <v>ok</v>
      </c>
    </row>
    <row r="193" spans="1:38" x14ac:dyDescent="0.3">
      <c r="F193" s="43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5"/>
    </row>
    <row r="194" spans="1:38" x14ac:dyDescent="0.3">
      <c r="A194" s="2" t="s">
        <v>261</v>
      </c>
      <c r="C194" s="2" t="s">
        <v>262</v>
      </c>
      <c r="F194" s="44">
        <f t="shared" ref="F194:M194" si="193">SUM(F184:F193)</f>
        <v>2720381.51</v>
      </c>
      <c r="G194" s="18">
        <f t="shared" si="193"/>
        <v>0</v>
      </c>
      <c r="H194" s="18">
        <f t="shared" si="193"/>
        <v>0</v>
      </c>
      <c r="I194" s="18">
        <f t="shared" si="193"/>
        <v>0</v>
      </c>
      <c r="J194" s="18">
        <f t="shared" si="193"/>
        <v>0</v>
      </c>
      <c r="K194" s="18">
        <f t="shared" si="193"/>
        <v>0</v>
      </c>
      <c r="L194" s="18">
        <f t="shared" si="193"/>
        <v>0</v>
      </c>
      <c r="M194" s="18">
        <f t="shared" si="193"/>
        <v>0</v>
      </c>
      <c r="N194" s="18"/>
      <c r="O194" s="18">
        <f>SUM(O184:O193)</f>
        <v>2684443.0258528274</v>
      </c>
      <c r="P194" s="18">
        <f>SUM(P184:P193)</f>
        <v>35938.484147172676</v>
      </c>
      <c r="Q194" s="18">
        <f>SUM(Q184:Q193)</f>
        <v>0</v>
      </c>
      <c r="R194" s="18"/>
      <c r="S194" s="18">
        <f t="shared" ref="S194:AD194" si="194">SUM(S184:S193)</f>
        <v>0</v>
      </c>
      <c r="T194" s="18">
        <f t="shared" si="194"/>
        <v>0</v>
      </c>
      <c r="U194" s="18">
        <f t="shared" si="194"/>
        <v>0</v>
      </c>
      <c r="V194" s="18">
        <f t="shared" si="194"/>
        <v>0</v>
      </c>
      <c r="W194" s="18">
        <f t="shared" si="194"/>
        <v>0</v>
      </c>
      <c r="X194" s="18">
        <f t="shared" si="194"/>
        <v>0</v>
      </c>
      <c r="Y194" s="18">
        <f t="shared" si="194"/>
        <v>0</v>
      </c>
      <c r="Z194" s="18">
        <f t="shared" si="194"/>
        <v>0</v>
      </c>
      <c r="AA194" s="18">
        <f t="shared" si="194"/>
        <v>0</v>
      </c>
      <c r="AB194" s="18">
        <f t="shared" si="194"/>
        <v>0</v>
      </c>
      <c r="AC194" s="18">
        <f t="shared" si="194"/>
        <v>0</v>
      </c>
      <c r="AD194" s="18">
        <f t="shared" si="194"/>
        <v>0</v>
      </c>
      <c r="AE194" s="18"/>
      <c r="AF194" s="18">
        <f>SUM(AF184:AF193)</f>
        <v>0</v>
      </c>
      <c r="AG194" s="18"/>
      <c r="AH194" s="18">
        <f>SUM(AH184:AH193)</f>
        <v>0</v>
      </c>
      <c r="AI194" s="18"/>
      <c r="AJ194" s="18">
        <f>SUM(AJ184:AJ193)</f>
        <v>0</v>
      </c>
      <c r="AK194" s="19">
        <f>SUM(H194:AJ194)</f>
        <v>2720381.5100000002</v>
      </c>
      <c r="AL194" s="15" t="str">
        <f>IF(ABS(AK194-F194)&lt;1,"ok","err")</f>
        <v>ok</v>
      </c>
    </row>
    <row r="195" spans="1:38" x14ac:dyDescent="0.3">
      <c r="F195" s="43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L195" s="15"/>
    </row>
    <row r="196" spans="1:38" x14ac:dyDescent="0.3">
      <c r="A196" s="2" t="s">
        <v>263</v>
      </c>
      <c r="F196" s="43">
        <f t="shared" ref="F196:M196" si="195">F179+F194</f>
        <v>5019199.3499999996</v>
      </c>
      <c r="G196" s="19">
        <f t="shared" si="195"/>
        <v>0</v>
      </c>
      <c r="H196" s="19">
        <f t="shared" si="195"/>
        <v>0</v>
      </c>
      <c r="I196" s="19">
        <f t="shared" si="195"/>
        <v>0</v>
      </c>
      <c r="J196" s="19">
        <f t="shared" si="195"/>
        <v>0</v>
      </c>
      <c r="K196" s="19">
        <f t="shared" si="195"/>
        <v>0</v>
      </c>
      <c r="L196" s="19">
        <f t="shared" si="195"/>
        <v>0</v>
      </c>
      <c r="M196" s="19">
        <f t="shared" si="195"/>
        <v>0</v>
      </c>
      <c r="N196" s="19"/>
      <c r="O196" s="19">
        <f>O179+O194</f>
        <v>4841035.776202633</v>
      </c>
      <c r="P196" s="19">
        <f>P179+P194</f>
        <v>178163.57379736702</v>
      </c>
      <c r="Q196" s="19">
        <f>Q179+Q194</f>
        <v>0</v>
      </c>
      <c r="R196" s="19"/>
      <c r="S196" s="19">
        <f t="shared" ref="S196:AD196" si="196">S179+S194</f>
        <v>0</v>
      </c>
      <c r="T196" s="19">
        <f t="shared" si="196"/>
        <v>0</v>
      </c>
      <c r="U196" s="19">
        <f t="shared" si="196"/>
        <v>0</v>
      </c>
      <c r="V196" s="19">
        <f t="shared" si="196"/>
        <v>0</v>
      </c>
      <c r="W196" s="19">
        <f t="shared" si="196"/>
        <v>0</v>
      </c>
      <c r="X196" s="19">
        <f t="shared" si="196"/>
        <v>0</v>
      </c>
      <c r="Y196" s="19">
        <f t="shared" si="196"/>
        <v>0</v>
      </c>
      <c r="Z196" s="19">
        <f t="shared" si="196"/>
        <v>0</v>
      </c>
      <c r="AA196" s="19">
        <f t="shared" si="196"/>
        <v>0</v>
      </c>
      <c r="AB196" s="19">
        <f t="shared" si="196"/>
        <v>0</v>
      </c>
      <c r="AC196" s="19">
        <f t="shared" si="196"/>
        <v>0</v>
      </c>
      <c r="AD196" s="19">
        <f t="shared" si="196"/>
        <v>0</v>
      </c>
      <c r="AE196" s="19"/>
      <c r="AF196" s="19">
        <f>AF179+AF194</f>
        <v>0</v>
      </c>
      <c r="AG196" s="19"/>
      <c r="AH196" s="19">
        <f>AH179+AH194</f>
        <v>0</v>
      </c>
      <c r="AI196" s="19"/>
      <c r="AJ196" s="19">
        <f>AJ179+AJ194</f>
        <v>0</v>
      </c>
      <c r="AK196" s="19">
        <f>SUM(H196:AJ196)</f>
        <v>5019199.3499999996</v>
      </c>
      <c r="AL196" s="15" t="str">
        <f>IF(ABS(AK196-F196)&lt;1,"ok","err")</f>
        <v>ok</v>
      </c>
    </row>
    <row r="197" spans="1:38" x14ac:dyDescent="0.3">
      <c r="F197" s="43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L197" s="15"/>
    </row>
    <row r="198" spans="1:38" x14ac:dyDescent="0.3">
      <c r="A198" s="2" t="s">
        <v>264</v>
      </c>
      <c r="F198" s="43">
        <f t="shared" ref="F198:M198" si="197">F196+F163</f>
        <v>79944717.859999985</v>
      </c>
      <c r="G198" s="19">
        <f t="shared" si="197"/>
        <v>0</v>
      </c>
      <c r="H198" s="19">
        <f t="shared" si="197"/>
        <v>0</v>
      </c>
      <c r="I198" s="19">
        <f t="shared" si="197"/>
        <v>0</v>
      </c>
      <c r="J198" s="19">
        <f t="shared" si="197"/>
        <v>0</v>
      </c>
      <c r="K198" s="19">
        <f t="shared" si="197"/>
        <v>0</v>
      </c>
      <c r="L198" s="19">
        <f t="shared" si="197"/>
        <v>179419.2180749136</v>
      </c>
      <c r="M198" s="19">
        <f t="shared" si="197"/>
        <v>74746099.291925088</v>
      </c>
      <c r="N198" s="19"/>
      <c r="O198" s="19">
        <f>O196+O163</f>
        <v>4841035.776202633</v>
      </c>
      <c r="P198" s="19">
        <f>P196+P163</f>
        <v>178163.57379736702</v>
      </c>
      <c r="Q198" s="19">
        <f>Q196+Q163</f>
        <v>0</v>
      </c>
      <c r="R198" s="19"/>
      <c r="S198" s="19">
        <f t="shared" ref="S198:AD198" si="198">S196+S163</f>
        <v>0</v>
      </c>
      <c r="T198" s="19">
        <f t="shared" si="198"/>
        <v>0</v>
      </c>
      <c r="U198" s="19">
        <f t="shared" si="198"/>
        <v>0</v>
      </c>
      <c r="V198" s="19">
        <f t="shared" si="198"/>
        <v>0</v>
      </c>
      <c r="W198" s="19">
        <f t="shared" si="198"/>
        <v>0</v>
      </c>
      <c r="X198" s="19">
        <f t="shared" si="198"/>
        <v>0</v>
      </c>
      <c r="Y198" s="19">
        <f t="shared" si="198"/>
        <v>0</v>
      </c>
      <c r="Z198" s="19">
        <f t="shared" si="198"/>
        <v>0</v>
      </c>
      <c r="AA198" s="19">
        <f t="shared" si="198"/>
        <v>0</v>
      </c>
      <c r="AB198" s="19">
        <f t="shared" si="198"/>
        <v>0</v>
      </c>
      <c r="AC198" s="19">
        <f t="shared" si="198"/>
        <v>0</v>
      </c>
      <c r="AD198" s="19">
        <f t="shared" si="198"/>
        <v>0</v>
      </c>
      <c r="AE198" s="19"/>
      <c r="AF198" s="19">
        <f>AF196+AF163</f>
        <v>0</v>
      </c>
      <c r="AG198" s="19"/>
      <c r="AH198" s="19">
        <f>AH196+AH163</f>
        <v>0</v>
      </c>
      <c r="AI198" s="19"/>
      <c r="AJ198" s="19">
        <f>AJ196+AJ163</f>
        <v>0</v>
      </c>
      <c r="AK198" s="19">
        <f>SUM(H198:AJ198)</f>
        <v>79944717.859999999</v>
      </c>
      <c r="AL198" s="15" t="str">
        <f>IF(ABS(AK198-F198)&lt;1,"ok","err")</f>
        <v>ok</v>
      </c>
    </row>
    <row r="199" spans="1:38" x14ac:dyDescent="0.3">
      <c r="F199" s="43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L199" s="15"/>
    </row>
    <row r="200" spans="1:38" x14ac:dyDescent="0.3">
      <c r="A200" s="2" t="s">
        <v>265</v>
      </c>
      <c r="C200" s="2" t="s">
        <v>266</v>
      </c>
      <c r="F200" s="44">
        <f>F145+F163+F196</f>
        <v>801294076.5200001</v>
      </c>
      <c r="G200" s="18">
        <f>G198+G143</f>
        <v>0</v>
      </c>
      <c r="H200" s="18">
        <f t="shared" ref="H200:M200" si="199">H145+H163+H196</f>
        <v>54596407.376961127</v>
      </c>
      <c r="I200" s="18">
        <f t="shared" si="199"/>
        <v>67357411.027128249</v>
      </c>
      <c r="J200" s="18">
        <f t="shared" si="199"/>
        <v>285287779.63756973</v>
      </c>
      <c r="K200" s="18">
        <f t="shared" si="199"/>
        <v>307258987.52479815</v>
      </c>
      <c r="L200" s="18">
        <f t="shared" si="199"/>
        <v>7028192.3116176855</v>
      </c>
      <c r="M200" s="18">
        <f t="shared" si="199"/>
        <v>74746099.291925088</v>
      </c>
      <c r="N200" s="18"/>
      <c r="O200" s="18">
        <f>O145+O163+O196</f>
        <v>4841035.776202633</v>
      </c>
      <c r="P200" s="18">
        <f>P145+P163+P196</f>
        <v>178163.57379736702</v>
      </c>
      <c r="Q200" s="18">
        <f>Q145+Q163+Q196</f>
        <v>0</v>
      </c>
      <c r="R200" s="18"/>
      <c r="S200" s="18">
        <f t="shared" ref="S200:AD200" si="200">S145+S163+S196</f>
        <v>0</v>
      </c>
      <c r="T200" s="18">
        <f t="shared" si="200"/>
        <v>0</v>
      </c>
      <c r="U200" s="18">
        <f t="shared" si="200"/>
        <v>0</v>
      </c>
      <c r="V200" s="18">
        <f t="shared" si="200"/>
        <v>0</v>
      </c>
      <c r="W200" s="18">
        <f t="shared" si="200"/>
        <v>0</v>
      </c>
      <c r="X200" s="18">
        <f t="shared" si="200"/>
        <v>0</v>
      </c>
      <c r="Y200" s="18">
        <f t="shared" si="200"/>
        <v>0</v>
      </c>
      <c r="Z200" s="18">
        <f t="shared" si="200"/>
        <v>0</v>
      </c>
      <c r="AA200" s="18">
        <f t="shared" si="200"/>
        <v>0</v>
      </c>
      <c r="AB200" s="18">
        <f t="shared" si="200"/>
        <v>0</v>
      </c>
      <c r="AC200" s="18">
        <f t="shared" si="200"/>
        <v>0</v>
      </c>
      <c r="AD200" s="18">
        <f t="shared" si="200"/>
        <v>0</v>
      </c>
      <c r="AE200" s="18"/>
      <c r="AF200" s="18">
        <f>AF145+AF163+AF196</f>
        <v>0</v>
      </c>
      <c r="AG200" s="18"/>
      <c r="AH200" s="18">
        <f>AH145+AH163+AH196</f>
        <v>0</v>
      </c>
      <c r="AI200" s="18"/>
      <c r="AJ200" s="18">
        <f>AJ145+AJ163+AJ196</f>
        <v>0</v>
      </c>
      <c r="AK200" s="19">
        <f>SUM(H200:AJ200)</f>
        <v>801294076.5200001</v>
      </c>
      <c r="AL200" s="15" t="str">
        <f>IF(ABS(AK200-F200)&lt;1,"ok","err")</f>
        <v>ok</v>
      </c>
    </row>
    <row r="201" spans="1:38" x14ac:dyDescent="0.3">
      <c r="A201" s="3"/>
      <c r="F201" s="43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L201" s="15"/>
    </row>
    <row r="202" spans="1:38" x14ac:dyDescent="0.3">
      <c r="A202" s="3" t="s">
        <v>267</v>
      </c>
      <c r="F202" s="43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L202" s="15"/>
    </row>
    <row r="203" spans="1:38" x14ac:dyDescent="0.3">
      <c r="A203" s="2">
        <v>901</v>
      </c>
      <c r="B203" s="2" t="s">
        <v>268</v>
      </c>
      <c r="C203" s="2" t="s">
        <v>269</v>
      </c>
      <c r="D203" s="2" t="s">
        <v>270</v>
      </c>
      <c r="F203" s="44">
        <v>0</v>
      </c>
      <c r="H203" s="19">
        <f>IF(VLOOKUP($D203,$C$5:$AJ$470,6,)=0,0,((VLOOKUP($D203,$C$5:$AJ$470,6,)/VLOOKUP($D203,$C$5:$AJ$470,4,))*$F203))</f>
        <v>0</v>
      </c>
      <c r="I203" s="19">
        <f>IF(VLOOKUP($D203,$C$5:$AJ$470,7,)=0,0,((VLOOKUP($D203,$C$5:$AJ$470,7,)/VLOOKUP($D203,$C$5:$AJ$470,4,))*$F203))</f>
        <v>0</v>
      </c>
      <c r="J203" s="19">
        <f>IF(VLOOKUP($D203,$C$5:$AJ$470,8,)=0,0,((VLOOKUP($D203,$C$5:$AJ$470,8,)/VLOOKUP($D203,$C$5:$AJ$470,4,))*$F203))</f>
        <v>0</v>
      </c>
      <c r="K203" s="19">
        <f>IF(VLOOKUP($D203,$C$5:$AJ$470,9,)=0,0,((VLOOKUP($D203,$C$5:$AJ$470,9,)/VLOOKUP($D203,$C$5:$AJ$470,4,))*$F203))</f>
        <v>0</v>
      </c>
      <c r="L203" s="19">
        <f>IF(VLOOKUP($D203,$C$5:$AJ$470,10,)=0,0,((VLOOKUP($D203,$C$5:$AJ$470,10,)/VLOOKUP($D203,$C$5:$AJ$470,4,))*$F203))</f>
        <v>0</v>
      </c>
      <c r="M203" s="19">
        <f>IF(VLOOKUP($D203,$C$5:$AJ$470,11,)=0,0,((VLOOKUP($D203,$C$5:$AJ$470,11,)/VLOOKUP($D203,$C$5:$AJ$470,4,))*$F203))</f>
        <v>0</v>
      </c>
      <c r="N203" s="19"/>
      <c r="O203" s="19">
        <f>IF(VLOOKUP($D203,$C$5:$AJ$470,13,)=0,0,((VLOOKUP($D203,$C$5:$AJ$470,13,)/VLOOKUP($D203,$C$5:$AJ$470,4,))*$F203))</f>
        <v>0</v>
      </c>
      <c r="P203" s="19">
        <f>IF(VLOOKUP($D203,$C$5:$AJ$470,14,)=0,0,((VLOOKUP($D203,$C$5:$AJ$470,14,)/VLOOKUP($D203,$C$5:$AJ$470,4,))*$F203))</f>
        <v>0</v>
      </c>
      <c r="Q203" s="19">
        <f>IF(VLOOKUP($D203,$C$5:$AJ$470,15,)=0,0,((VLOOKUP($D203,$C$5:$AJ$470,15,)/VLOOKUP($D203,$C$5:$AJ$470,4,))*$F203))</f>
        <v>0</v>
      </c>
      <c r="R203" s="19"/>
      <c r="S203" s="19">
        <f>IF(VLOOKUP($D203,$C$5:$AJ$470,17,)=0,0,((VLOOKUP($D203,$C$5:$AJ$470,17,)/VLOOKUP($D203,$C$5:$AJ$470,4,))*$F203))</f>
        <v>0</v>
      </c>
      <c r="T203" s="19">
        <f>IF(VLOOKUP($D203,$C$5:$AJ$470,18,)=0,0,((VLOOKUP($D203,$C$5:$AJ$470,18,)/VLOOKUP($D203,$C$5:$AJ$470,4,))*$F203))</f>
        <v>0</v>
      </c>
      <c r="U203" s="19">
        <f>IF(VLOOKUP($D203,$C$5:$AJ$470,19,)=0,0,((VLOOKUP($D203,$C$5:$AJ$470,19,)/VLOOKUP($D203,$C$5:$AJ$470,4,))*$F203))</f>
        <v>0</v>
      </c>
      <c r="V203" s="19">
        <f>IF(VLOOKUP($D203,$C$5:$AJ$470,20,)=0,0,((VLOOKUP($D203,$C$5:$AJ$470,20,)/VLOOKUP($D203,$C$5:$AJ$470,4,))*$F203))</f>
        <v>0</v>
      </c>
      <c r="W203" s="19">
        <f>IF(VLOOKUP($D203,$C$5:$AJ$470,21,)=0,0,((VLOOKUP($D203,$C$5:$AJ$470,21,)/VLOOKUP($D203,$C$5:$AJ$470,4,))*$F203))</f>
        <v>0</v>
      </c>
      <c r="X203" s="19">
        <f>IF(VLOOKUP($D203,$C$5:$AJ$470,22,)=0,0,((VLOOKUP($D203,$C$5:$AJ$470,22,)/VLOOKUP($D203,$C$5:$AJ$470,4,))*$F203))</f>
        <v>0</v>
      </c>
      <c r="Y203" s="19">
        <f>IF(VLOOKUP($D203,$C$5:$AJ$470,23,)=0,0,((VLOOKUP($D203,$C$5:$AJ$470,23,)/VLOOKUP($D203,$C$5:$AJ$470,4,))*$F203))</f>
        <v>0</v>
      </c>
      <c r="Z203" s="19">
        <f>IF(VLOOKUP($D203,$C$5:$AJ$470,24,)=0,0,((VLOOKUP($D203,$C$5:$AJ$470,24,)/VLOOKUP($D203,$C$5:$AJ$470,4,))*$F203))</f>
        <v>0</v>
      </c>
      <c r="AA203" s="19">
        <f>IF(VLOOKUP($D203,$C$5:$AJ$470,25,)=0,0,((VLOOKUP($D203,$C$5:$AJ$470,25,)/VLOOKUP($D203,$C$5:$AJ$470,4,))*$F203))</f>
        <v>0</v>
      </c>
      <c r="AB203" s="19">
        <f>IF(VLOOKUP($D203,$C$5:$AJ$470,26,)=0,0,((VLOOKUP($D203,$C$5:$AJ$470,26,)/VLOOKUP($D203,$C$5:$AJ$470,4,))*$F203))</f>
        <v>0</v>
      </c>
      <c r="AC203" s="19">
        <f>IF(VLOOKUP($D203,$C$5:$AJ$470,27,)=0,0,((VLOOKUP($D203,$C$5:$AJ$470,27,)/VLOOKUP($D203,$C$5:$AJ$470,4,))*$F203))</f>
        <v>0</v>
      </c>
      <c r="AD203" s="19">
        <f>IF(VLOOKUP($D203,$C$5:$AJ$470,28,)=0,0,((VLOOKUP($D203,$C$5:$AJ$470,28,)/VLOOKUP($D203,$C$5:$AJ$470,4,))*$F203))</f>
        <v>0</v>
      </c>
      <c r="AE203" s="19"/>
      <c r="AF203" s="19">
        <f>IF(VLOOKUP($D203,$C$5:$AJ$470,30,)=0,0,((VLOOKUP($D203,$C$5:$AJ$470,30,)/VLOOKUP($D203,$C$5:$AJ$470,4,))*$F203))</f>
        <v>0</v>
      </c>
      <c r="AG203" s="19"/>
      <c r="AH203" s="19">
        <f>IF(VLOOKUP($D203,$C$5:$AJ$470,32,)=0,0,((VLOOKUP($D203,$C$5:$AJ$470,32,)/VLOOKUP($D203,$C$5:$AJ$470,4,))*$F203))</f>
        <v>0</v>
      </c>
      <c r="AI203" s="19"/>
      <c r="AJ203" s="19">
        <f>IF(VLOOKUP($D203,$C$5:$AJ$470,34,)=0,0,((VLOOKUP($D203,$C$5:$AJ$470,34,)/VLOOKUP($D203,$C$5:$AJ$470,4,))*$F203))</f>
        <v>0</v>
      </c>
      <c r="AK203" s="19">
        <f>SUM(H203:AJ203)</f>
        <v>0</v>
      </c>
      <c r="AL203" s="15" t="str">
        <f>IF(ABS(AK203-F203)&lt;1,"ok","err")</f>
        <v>ok</v>
      </c>
    </row>
    <row r="204" spans="1:38" x14ac:dyDescent="0.3">
      <c r="A204" s="2">
        <v>902</v>
      </c>
      <c r="B204" s="2" t="s">
        <v>271</v>
      </c>
      <c r="C204" s="2" t="s">
        <v>272</v>
      </c>
      <c r="D204" s="2" t="s">
        <v>270</v>
      </c>
      <c r="F204" s="43">
        <v>0</v>
      </c>
      <c r="H204" s="19">
        <f>IF(VLOOKUP($D204,$C$5:$AJ$470,6,)=0,0,((VLOOKUP($D204,$C$5:$AJ$470,6,)/VLOOKUP($D204,$C$5:$AJ$470,4,))*$F204))</f>
        <v>0</v>
      </c>
      <c r="I204" s="19">
        <f>IF(VLOOKUP($D204,$C$5:$AJ$470,7,)=0,0,((VLOOKUP($D204,$C$5:$AJ$470,7,)/VLOOKUP($D204,$C$5:$AJ$470,4,))*$F204))</f>
        <v>0</v>
      </c>
      <c r="J204" s="19">
        <f>IF(VLOOKUP($D204,$C$5:$AJ$470,8,)=0,0,((VLOOKUP($D204,$C$5:$AJ$470,8,)/VLOOKUP($D204,$C$5:$AJ$470,4,))*$F204))</f>
        <v>0</v>
      </c>
      <c r="K204" s="19">
        <f>IF(VLOOKUP($D204,$C$5:$AJ$470,9,)=0,0,((VLOOKUP($D204,$C$5:$AJ$470,9,)/VLOOKUP($D204,$C$5:$AJ$470,4,))*$F204))</f>
        <v>0</v>
      </c>
      <c r="L204" s="19">
        <f>IF(VLOOKUP($D204,$C$5:$AJ$470,10,)=0,0,((VLOOKUP($D204,$C$5:$AJ$470,10,)/VLOOKUP($D204,$C$5:$AJ$470,4,))*$F204))</f>
        <v>0</v>
      </c>
      <c r="M204" s="19">
        <f>IF(VLOOKUP($D204,$C$5:$AJ$470,11,)=0,0,((VLOOKUP($D204,$C$5:$AJ$470,11,)/VLOOKUP($D204,$C$5:$AJ$470,4,))*$F204))</f>
        <v>0</v>
      </c>
      <c r="N204" s="19"/>
      <c r="O204" s="19">
        <f>IF(VLOOKUP($D204,$C$5:$AJ$470,13,)=0,0,((VLOOKUP($D204,$C$5:$AJ$470,13,)/VLOOKUP($D204,$C$5:$AJ$470,4,))*$F204))</f>
        <v>0</v>
      </c>
      <c r="P204" s="19">
        <f>IF(VLOOKUP($D204,$C$5:$AJ$470,14,)=0,0,((VLOOKUP($D204,$C$5:$AJ$470,14,)/VLOOKUP($D204,$C$5:$AJ$470,4,))*$F204))</f>
        <v>0</v>
      </c>
      <c r="Q204" s="19">
        <f>IF(VLOOKUP($D204,$C$5:$AJ$470,15,)=0,0,((VLOOKUP($D204,$C$5:$AJ$470,15,)/VLOOKUP($D204,$C$5:$AJ$470,4,))*$F204))</f>
        <v>0</v>
      </c>
      <c r="R204" s="19"/>
      <c r="S204" s="19">
        <f>IF(VLOOKUP($D204,$C$5:$AJ$470,17,)=0,0,((VLOOKUP($D204,$C$5:$AJ$470,17,)/VLOOKUP($D204,$C$5:$AJ$470,4,))*$F204))</f>
        <v>0</v>
      </c>
      <c r="T204" s="19">
        <f>IF(VLOOKUP($D204,$C$5:$AJ$470,18,)=0,0,((VLOOKUP($D204,$C$5:$AJ$470,18,)/VLOOKUP($D204,$C$5:$AJ$470,4,))*$F204))</f>
        <v>0</v>
      </c>
      <c r="U204" s="19">
        <f>IF(VLOOKUP($D204,$C$5:$AJ$470,19,)=0,0,((VLOOKUP($D204,$C$5:$AJ$470,19,)/VLOOKUP($D204,$C$5:$AJ$470,4,))*$F204))</f>
        <v>0</v>
      </c>
      <c r="V204" s="19">
        <f>IF(VLOOKUP($D204,$C$5:$AJ$470,20,)=0,0,((VLOOKUP($D204,$C$5:$AJ$470,20,)/VLOOKUP($D204,$C$5:$AJ$470,4,))*$F204))</f>
        <v>0</v>
      </c>
      <c r="W204" s="19">
        <f>IF(VLOOKUP($D204,$C$5:$AJ$470,21,)=0,0,((VLOOKUP($D204,$C$5:$AJ$470,21,)/VLOOKUP($D204,$C$5:$AJ$470,4,))*$F204))</f>
        <v>0</v>
      </c>
      <c r="X204" s="19">
        <f>IF(VLOOKUP($D204,$C$5:$AJ$470,22,)=0,0,((VLOOKUP($D204,$C$5:$AJ$470,22,)/VLOOKUP($D204,$C$5:$AJ$470,4,))*$F204))</f>
        <v>0</v>
      </c>
      <c r="Y204" s="19">
        <f>IF(VLOOKUP($D204,$C$5:$AJ$470,23,)=0,0,((VLOOKUP($D204,$C$5:$AJ$470,23,)/VLOOKUP($D204,$C$5:$AJ$470,4,))*$F204))</f>
        <v>0</v>
      </c>
      <c r="Z204" s="19">
        <f>IF(VLOOKUP($D204,$C$5:$AJ$470,24,)=0,0,((VLOOKUP($D204,$C$5:$AJ$470,24,)/VLOOKUP($D204,$C$5:$AJ$470,4,))*$F204))</f>
        <v>0</v>
      </c>
      <c r="AA204" s="19">
        <f>IF(VLOOKUP($D204,$C$5:$AJ$470,25,)=0,0,((VLOOKUP($D204,$C$5:$AJ$470,25,)/VLOOKUP($D204,$C$5:$AJ$470,4,))*$F204))</f>
        <v>0</v>
      </c>
      <c r="AB204" s="19">
        <f>IF(VLOOKUP($D204,$C$5:$AJ$470,26,)=0,0,((VLOOKUP($D204,$C$5:$AJ$470,26,)/VLOOKUP($D204,$C$5:$AJ$470,4,))*$F204))</f>
        <v>0</v>
      </c>
      <c r="AC204" s="19">
        <f>IF(VLOOKUP($D204,$C$5:$AJ$470,27,)=0,0,((VLOOKUP($D204,$C$5:$AJ$470,27,)/VLOOKUP($D204,$C$5:$AJ$470,4,))*$F204))</f>
        <v>0</v>
      </c>
      <c r="AD204" s="19">
        <f>IF(VLOOKUP($D204,$C$5:$AJ$470,28,)=0,0,((VLOOKUP($D204,$C$5:$AJ$470,28,)/VLOOKUP($D204,$C$5:$AJ$470,4,))*$F204))</f>
        <v>0</v>
      </c>
      <c r="AE204" s="19"/>
      <c r="AF204" s="19">
        <f>IF(VLOOKUP($D204,$C$5:$AJ$470,30,)=0,0,((VLOOKUP($D204,$C$5:$AJ$470,30,)/VLOOKUP($D204,$C$5:$AJ$470,4,))*$F204))</f>
        <v>0</v>
      </c>
      <c r="AG204" s="19"/>
      <c r="AH204" s="19">
        <f>IF(VLOOKUP($D204,$C$5:$AJ$470,32,)=0,0,((VLOOKUP($D204,$C$5:$AJ$470,32,)/VLOOKUP($D204,$C$5:$AJ$470,4,))*$F204))</f>
        <v>0</v>
      </c>
      <c r="AI204" s="19"/>
      <c r="AJ204" s="19">
        <f>IF(VLOOKUP($D204,$C$5:$AJ$470,34,)=0,0,((VLOOKUP($D204,$C$5:$AJ$470,34,)/VLOOKUP($D204,$C$5:$AJ$470,4,))*$F204))</f>
        <v>0</v>
      </c>
      <c r="AK204" s="19">
        <f>SUM(H204:AJ204)</f>
        <v>0</v>
      </c>
      <c r="AL204" s="15" t="str">
        <f>IF(ABS(AK204-F204)&lt;1,"ok","err")</f>
        <v>ok</v>
      </c>
    </row>
    <row r="205" spans="1:38" x14ac:dyDescent="0.3">
      <c r="A205" s="2">
        <v>903</v>
      </c>
      <c r="B205" s="2" t="s">
        <v>273</v>
      </c>
      <c r="C205" s="2" t="s">
        <v>274</v>
      </c>
      <c r="D205" s="2" t="s">
        <v>270</v>
      </c>
      <c r="F205" s="43">
        <v>0</v>
      </c>
      <c r="H205" s="19">
        <f>IF(VLOOKUP($D205,$C$5:$AJ$470,6,)=0,0,((VLOOKUP($D205,$C$5:$AJ$470,6,)/VLOOKUP($D205,$C$5:$AJ$470,4,))*$F205))</f>
        <v>0</v>
      </c>
      <c r="I205" s="19">
        <f>IF(VLOOKUP($D205,$C$5:$AJ$470,7,)=0,0,((VLOOKUP($D205,$C$5:$AJ$470,7,)/VLOOKUP($D205,$C$5:$AJ$470,4,))*$F205))</f>
        <v>0</v>
      </c>
      <c r="J205" s="19">
        <f>IF(VLOOKUP($D205,$C$5:$AJ$470,8,)=0,0,((VLOOKUP($D205,$C$5:$AJ$470,8,)/VLOOKUP($D205,$C$5:$AJ$470,4,))*$F205))</f>
        <v>0</v>
      </c>
      <c r="K205" s="19">
        <f>IF(VLOOKUP($D205,$C$5:$AJ$470,9,)=0,0,((VLOOKUP($D205,$C$5:$AJ$470,9,)/VLOOKUP($D205,$C$5:$AJ$470,4,))*$F205))</f>
        <v>0</v>
      </c>
      <c r="L205" s="19">
        <f>IF(VLOOKUP($D205,$C$5:$AJ$470,10,)=0,0,((VLOOKUP($D205,$C$5:$AJ$470,10,)/VLOOKUP($D205,$C$5:$AJ$470,4,))*$F205))</f>
        <v>0</v>
      </c>
      <c r="M205" s="19">
        <f>IF(VLOOKUP($D205,$C$5:$AJ$470,11,)=0,0,((VLOOKUP($D205,$C$5:$AJ$470,11,)/VLOOKUP($D205,$C$5:$AJ$470,4,))*$F205))</f>
        <v>0</v>
      </c>
      <c r="N205" s="19"/>
      <c r="O205" s="19">
        <f>IF(VLOOKUP($D205,$C$5:$AJ$470,13,)=0,0,((VLOOKUP($D205,$C$5:$AJ$470,13,)/VLOOKUP($D205,$C$5:$AJ$470,4,))*$F205))</f>
        <v>0</v>
      </c>
      <c r="P205" s="19">
        <f>IF(VLOOKUP($D205,$C$5:$AJ$470,14,)=0,0,((VLOOKUP($D205,$C$5:$AJ$470,14,)/VLOOKUP($D205,$C$5:$AJ$470,4,))*$F205))</f>
        <v>0</v>
      </c>
      <c r="Q205" s="19">
        <f>IF(VLOOKUP($D205,$C$5:$AJ$470,15,)=0,0,((VLOOKUP($D205,$C$5:$AJ$470,15,)/VLOOKUP($D205,$C$5:$AJ$470,4,))*$F205))</f>
        <v>0</v>
      </c>
      <c r="R205" s="19"/>
      <c r="S205" s="19">
        <f>IF(VLOOKUP($D205,$C$5:$AJ$470,17,)=0,0,((VLOOKUP($D205,$C$5:$AJ$470,17,)/VLOOKUP($D205,$C$5:$AJ$470,4,))*$F205))</f>
        <v>0</v>
      </c>
      <c r="T205" s="19">
        <f>IF(VLOOKUP($D205,$C$5:$AJ$470,18,)=0,0,((VLOOKUP($D205,$C$5:$AJ$470,18,)/VLOOKUP($D205,$C$5:$AJ$470,4,))*$F205))</f>
        <v>0</v>
      </c>
      <c r="U205" s="19">
        <f>IF(VLOOKUP($D205,$C$5:$AJ$470,19,)=0,0,((VLOOKUP($D205,$C$5:$AJ$470,19,)/VLOOKUP($D205,$C$5:$AJ$470,4,))*$F205))</f>
        <v>0</v>
      </c>
      <c r="V205" s="19">
        <f>IF(VLOOKUP($D205,$C$5:$AJ$470,20,)=0,0,((VLOOKUP($D205,$C$5:$AJ$470,20,)/VLOOKUP($D205,$C$5:$AJ$470,4,))*$F205))</f>
        <v>0</v>
      </c>
      <c r="W205" s="19">
        <f>IF(VLOOKUP($D205,$C$5:$AJ$470,21,)=0,0,((VLOOKUP($D205,$C$5:$AJ$470,21,)/VLOOKUP($D205,$C$5:$AJ$470,4,))*$F205))</f>
        <v>0</v>
      </c>
      <c r="X205" s="19">
        <f>IF(VLOOKUP($D205,$C$5:$AJ$470,22,)=0,0,((VLOOKUP($D205,$C$5:$AJ$470,22,)/VLOOKUP($D205,$C$5:$AJ$470,4,))*$F205))</f>
        <v>0</v>
      </c>
      <c r="Y205" s="19">
        <f>IF(VLOOKUP($D205,$C$5:$AJ$470,23,)=0,0,((VLOOKUP($D205,$C$5:$AJ$470,23,)/VLOOKUP($D205,$C$5:$AJ$470,4,))*$F205))</f>
        <v>0</v>
      </c>
      <c r="Z205" s="19">
        <f>IF(VLOOKUP($D205,$C$5:$AJ$470,24,)=0,0,((VLOOKUP($D205,$C$5:$AJ$470,24,)/VLOOKUP($D205,$C$5:$AJ$470,4,))*$F205))</f>
        <v>0</v>
      </c>
      <c r="AA205" s="19">
        <f>IF(VLOOKUP($D205,$C$5:$AJ$470,25,)=0,0,((VLOOKUP($D205,$C$5:$AJ$470,25,)/VLOOKUP($D205,$C$5:$AJ$470,4,))*$F205))</f>
        <v>0</v>
      </c>
      <c r="AB205" s="19">
        <f>IF(VLOOKUP($D205,$C$5:$AJ$470,26,)=0,0,((VLOOKUP($D205,$C$5:$AJ$470,26,)/VLOOKUP($D205,$C$5:$AJ$470,4,))*$F205))</f>
        <v>0</v>
      </c>
      <c r="AC205" s="19">
        <f>IF(VLOOKUP($D205,$C$5:$AJ$470,27,)=0,0,((VLOOKUP($D205,$C$5:$AJ$470,27,)/VLOOKUP($D205,$C$5:$AJ$470,4,))*$F205))</f>
        <v>0</v>
      </c>
      <c r="AD205" s="19">
        <f>IF(VLOOKUP($D205,$C$5:$AJ$470,28,)=0,0,((VLOOKUP($D205,$C$5:$AJ$470,28,)/VLOOKUP($D205,$C$5:$AJ$470,4,))*$F205))</f>
        <v>0</v>
      </c>
      <c r="AE205" s="19"/>
      <c r="AF205" s="19">
        <f>IF(VLOOKUP($D205,$C$5:$AJ$470,30,)=0,0,((VLOOKUP($D205,$C$5:$AJ$470,30,)/VLOOKUP($D205,$C$5:$AJ$470,4,))*$F205))</f>
        <v>0</v>
      </c>
      <c r="AG205" s="19"/>
      <c r="AH205" s="19">
        <f>IF(VLOOKUP($D205,$C$5:$AJ$470,32,)=0,0,((VLOOKUP($D205,$C$5:$AJ$470,32,)/VLOOKUP($D205,$C$5:$AJ$470,4,))*$F205))</f>
        <v>0</v>
      </c>
      <c r="AI205" s="19"/>
      <c r="AJ205" s="19">
        <f>IF(VLOOKUP($D205,$C$5:$AJ$470,34,)=0,0,((VLOOKUP($D205,$C$5:$AJ$470,34,)/VLOOKUP($D205,$C$5:$AJ$470,4,))*$F205))</f>
        <v>0</v>
      </c>
      <c r="AK205" s="19">
        <f>SUM(H205:AJ205)</f>
        <v>0</v>
      </c>
      <c r="AL205" s="15" t="str">
        <f>IF(ABS(AK205-F205)&lt;1,"ok","err")</f>
        <v>ok</v>
      </c>
    </row>
    <row r="206" spans="1:38" x14ac:dyDescent="0.3">
      <c r="A206" s="2">
        <v>904</v>
      </c>
      <c r="B206" s="2" t="s">
        <v>275</v>
      </c>
      <c r="C206" s="2" t="s">
        <v>276</v>
      </c>
      <c r="D206" s="2" t="s">
        <v>270</v>
      </c>
      <c r="F206" s="43">
        <v>0</v>
      </c>
      <c r="H206" s="19">
        <f>IF(VLOOKUP($D206,$C$5:$AJ$470,6,)=0,0,((VLOOKUP($D206,$C$5:$AJ$470,6,)/VLOOKUP($D206,$C$5:$AJ$470,4,))*$F206))</f>
        <v>0</v>
      </c>
      <c r="I206" s="19">
        <f>IF(VLOOKUP($D206,$C$5:$AJ$470,7,)=0,0,((VLOOKUP($D206,$C$5:$AJ$470,7,)/VLOOKUP($D206,$C$5:$AJ$470,4,))*$F206))</f>
        <v>0</v>
      </c>
      <c r="J206" s="19">
        <f>IF(VLOOKUP($D206,$C$5:$AJ$470,8,)=0,0,((VLOOKUP($D206,$C$5:$AJ$470,8,)/VLOOKUP($D206,$C$5:$AJ$470,4,))*$F206))</f>
        <v>0</v>
      </c>
      <c r="K206" s="19">
        <f>IF(VLOOKUP($D206,$C$5:$AJ$470,9,)=0,0,((VLOOKUP($D206,$C$5:$AJ$470,9,)/VLOOKUP($D206,$C$5:$AJ$470,4,))*$F206))</f>
        <v>0</v>
      </c>
      <c r="L206" s="19">
        <f>IF(VLOOKUP($D206,$C$5:$AJ$470,10,)=0,0,((VLOOKUP($D206,$C$5:$AJ$470,10,)/VLOOKUP($D206,$C$5:$AJ$470,4,))*$F206))</f>
        <v>0</v>
      </c>
      <c r="M206" s="19">
        <f>IF(VLOOKUP($D206,$C$5:$AJ$470,11,)=0,0,((VLOOKUP($D206,$C$5:$AJ$470,11,)/VLOOKUP($D206,$C$5:$AJ$470,4,))*$F206))</f>
        <v>0</v>
      </c>
      <c r="N206" s="19"/>
      <c r="O206" s="19">
        <f>IF(VLOOKUP($D206,$C$5:$AJ$470,13,)=0,0,((VLOOKUP($D206,$C$5:$AJ$470,13,)/VLOOKUP($D206,$C$5:$AJ$470,4,))*$F206))</f>
        <v>0</v>
      </c>
      <c r="P206" s="19">
        <f>IF(VLOOKUP($D206,$C$5:$AJ$470,14,)=0,0,((VLOOKUP($D206,$C$5:$AJ$470,14,)/VLOOKUP($D206,$C$5:$AJ$470,4,))*$F206))</f>
        <v>0</v>
      </c>
      <c r="Q206" s="19">
        <f>IF(VLOOKUP($D206,$C$5:$AJ$470,15,)=0,0,((VLOOKUP($D206,$C$5:$AJ$470,15,)/VLOOKUP($D206,$C$5:$AJ$470,4,))*$F206))</f>
        <v>0</v>
      </c>
      <c r="R206" s="19"/>
      <c r="S206" s="19">
        <f>IF(VLOOKUP($D206,$C$5:$AJ$470,17,)=0,0,((VLOOKUP($D206,$C$5:$AJ$470,17,)/VLOOKUP($D206,$C$5:$AJ$470,4,))*$F206))</f>
        <v>0</v>
      </c>
      <c r="T206" s="19">
        <f>IF(VLOOKUP($D206,$C$5:$AJ$470,18,)=0,0,((VLOOKUP($D206,$C$5:$AJ$470,18,)/VLOOKUP($D206,$C$5:$AJ$470,4,))*$F206))</f>
        <v>0</v>
      </c>
      <c r="U206" s="19">
        <f>IF(VLOOKUP($D206,$C$5:$AJ$470,19,)=0,0,((VLOOKUP($D206,$C$5:$AJ$470,19,)/VLOOKUP($D206,$C$5:$AJ$470,4,))*$F206))</f>
        <v>0</v>
      </c>
      <c r="V206" s="19">
        <f>IF(VLOOKUP($D206,$C$5:$AJ$470,20,)=0,0,((VLOOKUP($D206,$C$5:$AJ$470,20,)/VLOOKUP($D206,$C$5:$AJ$470,4,))*$F206))</f>
        <v>0</v>
      </c>
      <c r="W206" s="19">
        <f>IF(VLOOKUP($D206,$C$5:$AJ$470,21,)=0,0,((VLOOKUP($D206,$C$5:$AJ$470,21,)/VLOOKUP($D206,$C$5:$AJ$470,4,))*$F206))</f>
        <v>0</v>
      </c>
      <c r="X206" s="19">
        <f>IF(VLOOKUP($D206,$C$5:$AJ$470,22,)=0,0,((VLOOKUP($D206,$C$5:$AJ$470,22,)/VLOOKUP($D206,$C$5:$AJ$470,4,))*$F206))</f>
        <v>0</v>
      </c>
      <c r="Y206" s="19">
        <f>IF(VLOOKUP($D206,$C$5:$AJ$470,23,)=0,0,((VLOOKUP($D206,$C$5:$AJ$470,23,)/VLOOKUP($D206,$C$5:$AJ$470,4,))*$F206))</f>
        <v>0</v>
      </c>
      <c r="Z206" s="19">
        <f>IF(VLOOKUP($D206,$C$5:$AJ$470,24,)=0,0,((VLOOKUP($D206,$C$5:$AJ$470,24,)/VLOOKUP($D206,$C$5:$AJ$470,4,))*$F206))</f>
        <v>0</v>
      </c>
      <c r="AA206" s="19">
        <f>IF(VLOOKUP($D206,$C$5:$AJ$470,25,)=0,0,((VLOOKUP($D206,$C$5:$AJ$470,25,)/VLOOKUP($D206,$C$5:$AJ$470,4,))*$F206))</f>
        <v>0</v>
      </c>
      <c r="AB206" s="19">
        <f>IF(VLOOKUP($D206,$C$5:$AJ$470,26,)=0,0,((VLOOKUP($D206,$C$5:$AJ$470,26,)/VLOOKUP($D206,$C$5:$AJ$470,4,))*$F206))</f>
        <v>0</v>
      </c>
      <c r="AC206" s="19">
        <f>IF(VLOOKUP($D206,$C$5:$AJ$470,27,)=0,0,((VLOOKUP($D206,$C$5:$AJ$470,27,)/VLOOKUP($D206,$C$5:$AJ$470,4,))*$F206))</f>
        <v>0</v>
      </c>
      <c r="AD206" s="19">
        <f>IF(VLOOKUP($D206,$C$5:$AJ$470,28,)=0,0,((VLOOKUP($D206,$C$5:$AJ$470,28,)/VLOOKUP($D206,$C$5:$AJ$470,4,))*$F206))</f>
        <v>0</v>
      </c>
      <c r="AE206" s="19"/>
      <c r="AF206" s="19">
        <f>IF(VLOOKUP($D206,$C$5:$AJ$470,30,)=0,0,((VLOOKUP($D206,$C$5:$AJ$470,30,)/VLOOKUP($D206,$C$5:$AJ$470,4,))*$F206))</f>
        <v>0</v>
      </c>
      <c r="AG206" s="19"/>
      <c r="AH206" s="19">
        <f>IF(VLOOKUP($D206,$C$5:$AJ$470,32,)=0,0,((VLOOKUP($D206,$C$5:$AJ$470,32,)/VLOOKUP($D206,$C$5:$AJ$470,4,))*$F206))</f>
        <v>0</v>
      </c>
      <c r="AI206" s="19"/>
      <c r="AJ206" s="19">
        <f>IF(VLOOKUP($D206,$C$5:$AJ$470,34,)=0,0,((VLOOKUP($D206,$C$5:$AJ$470,34,)/VLOOKUP($D206,$C$5:$AJ$470,4,))*$F206))</f>
        <v>0</v>
      </c>
      <c r="AK206" s="19">
        <f>SUM(H206:AJ206)</f>
        <v>0</v>
      </c>
      <c r="AL206" s="15" t="str">
        <f>IF(ABS(AK206-F206)&lt;1,"ok","err")</f>
        <v>ok</v>
      </c>
    </row>
    <row r="207" spans="1:38" x14ac:dyDescent="0.3">
      <c r="A207" s="2">
        <v>905</v>
      </c>
      <c r="B207" s="2" t="s">
        <v>277</v>
      </c>
      <c r="C207" s="2" t="s">
        <v>274</v>
      </c>
      <c r="D207" s="2" t="s">
        <v>270</v>
      </c>
      <c r="F207" s="43">
        <v>0</v>
      </c>
      <c r="H207" s="19">
        <f>IF(VLOOKUP($D207,$C$5:$AJ$470,6,)=0,0,((VLOOKUP($D207,$C$5:$AJ$470,6,)/VLOOKUP($D207,$C$5:$AJ$470,4,))*$F207))</f>
        <v>0</v>
      </c>
      <c r="I207" s="19">
        <f>IF(VLOOKUP($D207,$C$5:$AJ$470,7,)=0,0,((VLOOKUP($D207,$C$5:$AJ$470,7,)/VLOOKUP($D207,$C$5:$AJ$470,4,))*$F207))</f>
        <v>0</v>
      </c>
      <c r="J207" s="19">
        <f>IF(VLOOKUP($D207,$C$5:$AJ$470,8,)=0,0,((VLOOKUP($D207,$C$5:$AJ$470,8,)/VLOOKUP($D207,$C$5:$AJ$470,4,))*$F207))</f>
        <v>0</v>
      </c>
      <c r="K207" s="19">
        <f>IF(VLOOKUP($D207,$C$5:$AJ$470,9,)=0,0,((VLOOKUP($D207,$C$5:$AJ$470,9,)/VLOOKUP($D207,$C$5:$AJ$470,4,))*$F207))</f>
        <v>0</v>
      </c>
      <c r="L207" s="19">
        <f>IF(VLOOKUP($D207,$C$5:$AJ$470,10,)=0,0,((VLOOKUP($D207,$C$5:$AJ$470,10,)/VLOOKUP($D207,$C$5:$AJ$470,4,))*$F207))</f>
        <v>0</v>
      </c>
      <c r="M207" s="19">
        <f>IF(VLOOKUP($D207,$C$5:$AJ$470,11,)=0,0,((VLOOKUP($D207,$C$5:$AJ$470,11,)/VLOOKUP($D207,$C$5:$AJ$470,4,))*$F207))</f>
        <v>0</v>
      </c>
      <c r="N207" s="19"/>
      <c r="O207" s="19">
        <f>IF(VLOOKUP($D207,$C$5:$AJ$470,13,)=0,0,((VLOOKUP($D207,$C$5:$AJ$470,13,)/VLOOKUP($D207,$C$5:$AJ$470,4,))*$F207))</f>
        <v>0</v>
      </c>
      <c r="P207" s="19">
        <f>IF(VLOOKUP($D207,$C$5:$AJ$470,14,)=0,0,((VLOOKUP($D207,$C$5:$AJ$470,14,)/VLOOKUP($D207,$C$5:$AJ$470,4,))*$F207))</f>
        <v>0</v>
      </c>
      <c r="Q207" s="19">
        <f>IF(VLOOKUP($D207,$C$5:$AJ$470,15,)=0,0,((VLOOKUP($D207,$C$5:$AJ$470,15,)/VLOOKUP($D207,$C$5:$AJ$470,4,))*$F207))</f>
        <v>0</v>
      </c>
      <c r="R207" s="19"/>
      <c r="S207" s="19">
        <f>IF(VLOOKUP($D207,$C$5:$AJ$470,17,)=0,0,((VLOOKUP($D207,$C$5:$AJ$470,17,)/VLOOKUP($D207,$C$5:$AJ$470,4,))*$F207))</f>
        <v>0</v>
      </c>
      <c r="T207" s="19">
        <f>IF(VLOOKUP($D207,$C$5:$AJ$470,18,)=0,0,((VLOOKUP($D207,$C$5:$AJ$470,18,)/VLOOKUP($D207,$C$5:$AJ$470,4,))*$F207))</f>
        <v>0</v>
      </c>
      <c r="U207" s="19">
        <f>IF(VLOOKUP($D207,$C$5:$AJ$470,19,)=0,0,((VLOOKUP($D207,$C$5:$AJ$470,19,)/VLOOKUP($D207,$C$5:$AJ$470,4,))*$F207))</f>
        <v>0</v>
      </c>
      <c r="V207" s="19">
        <f>IF(VLOOKUP($D207,$C$5:$AJ$470,20,)=0,0,((VLOOKUP($D207,$C$5:$AJ$470,20,)/VLOOKUP($D207,$C$5:$AJ$470,4,))*$F207))</f>
        <v>0</v>
      </c>
      <c r="W207" s="19">
        <f>IF(VLOOKUP($D207,$C$5:$AJ$470,21,)=0,0,((VLOOKUP($D207,$C$5:$AJ$470,21,)/VLOOKUP($D207,$C$5:$AJ$470,4,))*$F207))</f>
        <v>0</v>
      </c>
      <c r="X207" s="19">
        <f>IF(VLOOKUP($D207,$C$5:$AJ$470,22,)=0,0,((VLOOKUP($D207,$C$5:$AJ$470,22,)/VLOOKUP($D207,$C$5:$AJ$470,4,))*$F207))</f>
        <v>0</v>
      </c>
      <c r="Y207" s="19">
        <f>IF(VLOOKUP($D207,$C$5:$AJ$470,23,)=0,0,((VLOOKUP($D207,$C$5:$AJ$470,23,)/VLOOKUP($D207,$C$5:$AJ$470,4,))*$F207))</f>
        <v>0</v>
      </c>
      <c r="Z207" s="19">
        <f>IF(VLOOKUP($D207,$C$5:$AJ$470,24,)=0,0,((VLOOKUP($D207,$C$5:$AJ$470,24,)/VLOOKUP($D207,$C$5:$AJ$470,4,))*$F207))</f>
        <v>0</v>
      </c>
      <c r="AA207" s="19">
        <f>IF(VLOOKUP($D207,$C$5:$AJ$470,25,)=0,0,((VLOOKUP($D207,$C$5:$AJ$470,25,)/VLOOKUP($D207,$C$5:$AJ$470,4,))*$F207))</f>
        <v>0</v>
      </c>
      <c r="AB207" s="19">
        <f>IF(VLOOKUP($D207,$C$5:$AJ$470,26,)=0,0,((VLOOKUP($D207,$C$5:$AJ$470,26,)/VLOOKUP($D207,$C$5:$AJ$470,4,))*$F207))</f>
        <v>0</v>
      </c>
      <c r="AC207" s="19">
        <f>IF(VLOOKUP($D207,$C$5:$AJ$470,27,)=0,0,((VLOOKUP($D207,$C$5:$AJ$470,27,)/VLOOKUP($D207,$C$5:$AJ$470,4,))*$F207))</f>
        <v>0</v>
      </c>
      <c r="AD207" s="19">
        <f>IF(VLOOKUP($D207,$C$5:$AJ$470,28,)=0,0,((VLOOKUP($D207,$C$5:$AJ$470,28,)/VLOOKUP($D207,$C$5:$AJ$470,4,))*$F207))</f>
        <v>0</v>
      </c>
      <c r="AE207" s="19"/>
      <c r="AF207" s="19">
        <f>IF(VLOOKUP($D207,$C$5:$AJ$470,30,)=0,0,((VLOOKUP($D207,$C$5:$AJ$470,30,)/VLOOKUP($D207,$C$5:$AJ$470,4,))*$F207))</f>
        <v>0</v>
      </c>
      <c r="AG207" s="19"/>
      <c r="AH207" s="19">
        <f>IF(VLOOKUP($D207,$C$5:$AJ$470,32,)=0,0,((VLOOKUP($D207,$C$5:$AJ$470,32,)/VLOOKUP($D207,$C$5:$AJ$470,4,))*$F207))</f>
        <v>0</v>
      </c>
      <c r="AI207" s="19"/>
      <c r="AJ207" s="19">
        <f>IF(VLOOKUP($D207,$C$5:$AJ$470,34,)=0,0,((VLOOKUP($D207,$C$5:$AJ$470,34,)/VLOOKUP($D207,$C$5:$AJ$470,4,))*$F207))</f>
        <v>0</v>
      </c>
      <c r="AK207" s="19">
        <f>SUM(H207:AJ207)</f>
        <v>0</v>
      </c>
      <c r="AL207" s="15" t="str">
        <f>IF(ABS(AK207-F207)&lt;1,"ok","err")</f>
        <v>ok</v>
      </c>
    </row>
    <row r="208" spans="1:38" x14ac:dyDescent="0.3">
      <c r="A208" s="3"/>
      <c r="F208" s="43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5"/>
    </row>
    <row r="209" spans="1:38" x14ac:dyDescent="0.3">
      <c r="A209" s="2" t="s">
        <v>278</v>
      </c>
      <c r="C209" s="2" t="s">
        <v>279</v>
      </c>
      <c r="F209" s="44">
        <f t="shared" ref="F209:M209" si="201">SUM(F203:F208)</f>
        <v>0</v>
      </c>
      <c r="G209" s="18">
        <f t="shared" si="201"/>
        <v>0</v>
      </c>
      <c r="H209" s="18">
        <f t="shared" si="201"/>
        <v>0</v>
      </c>
      <c r="I209" s="18">
        <f t="shared" si="201"/>
        <v>0</v>
      </c>
      <c r="J209" s="18">
        <f t="shared" si="201"/>
        <v>0</v>
      </c>
      <c r="K209" s="18">
        <f t="shared" si="201"/>
        <v>0</v>
      </c>
      <c r="L209" s="18">
        <f t="shared" si="201"/>
        <v>0</v>
      </c>
      <c r="M209" s="18">
        <f t="shared" si="201"/>
        <v>0</v>
      </c>
      <c r="N209" s="18"/>
      <c r="O209" s="18">
        <f>SUM(O203:O208)</f>
        <v>0</v>
      </c>
      <c r="P209" s="18">
        <f>SUM(P203:P208)</f>
        <v>0</v>
      </c>
      <c r="Q209" s="18">
        <f>SUM(Q203:Q208)</f>
        <v>0</v>
      </c>
      <c r="R209" s="18"/>
      <c r="S209" s="18">
        <f t="shared" ref="S209:AD209" si="202">SUM(S203:S208)</f>
        <v>0</v>
      </c>
      <c r="T209" s="18">
        <f t="shared" si="202"/>
        <v>0</v>
      </c>
      <c r="U209" s="18">
        <f t="shared" si="202"/>
        <v>0</v>
      </c>
      <c r="V209" s="18">
        <f t="shared" si="202"/>
        <v>0</v>
      </c>
      <c r="W209" s="18">
        <f t="shared" si="202"/>
        <v>0</v>
      </c>
      <c r="X209" s="18">
        <f t="shared" si="202"/>
        <v>0</v>
      </c>
      <c r="Y209" s="18">
        <f t="shared" si="202"/>
        <v>0</v>
      </c>
      <c r="Z209" s="18">
        <f t="shared" si="202"/>
        <v>0</v>
      </c>
      <c r="AA209" s="18">
        <f t="shared" si="202"/>
        <v>0</v>
      </c>
      <c r="AB209" s="18">
        <f t="shared" si="202"/>
        <v>0</v>
      </c>
      <c r="AC209" s="18">
        <f t="shared" si="202"/>
        <v>0</v>
      </c>
      <c r="AD209" s="18">
        <f t="shared" si="202"/>
        <v>0</v>
      </c>
      <c r="AE209" s="18"/>
      <c r="AF209" s="18">
        <f>SUM(AF203:AF208)</f>
        <v>0</v>
      </c>
      <c r="AG209" s="18"/>
      <c r="AH209" s="18">
        <f>SUM(AH203:AH208)</f>
        <v>0</v>
      </c>
      <c r="AI209" s="18"/>
      <c r="AJ209" s="18">
        <f>SUM(AJ203:AJ208)</f>
        <v>0</v>
      </c>
      <c r="AK209" s="19">
        <f>SUM(H209:AJ209)</f>
        <v>0</v>
      </c>
      <c r="AL209" s="15" t="str">
        <f>IF(ABS(AK209-F209)&lt;1,"ok","err")</f>
        <v>ok</v>
      </c>
    </row>
    <row r="210" spans="1:38" x14ac:dyDescent="0.3">
      <c r="F210" s="43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L210" s="15"/>
    </row>
    <row r="211" spans="1:38" x14ac:dyDescent="0.3">
      <c r="A211" s="3" t="s">
        <v>280</v>
      </c>
      <c r="F211" s="43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L211" s="15"/>
    </row>
    <row r="212" spans="1:38" x14ac:dyDescent="0.3">
      <c r="A212" s="2">
        <v>907</v>
      </c>
      <c r="B212" s="2" t="s">
        <v>281</v>
      </c>
      <c r="C212" s="2" t="s">
        <v>282</v>
      </c>
      <c r="D212" s="2" t="s">
        <v>62</v>
      </c>
      <c r="F212" s="44">
        <v>0</v>
      </c>
      <c r="H212" s="19">
        <f t="shared" ref="H212:H222" si="203">IF(VLOOKUP($D212,$C$5:$AJ$470,6,)=0,0,((VLOOKUP($D212,$C$5:$AJ$470,6,)/VLOOKUP($D212,$C$5:$AJ$470,4,))*$F212))</f>
        <v>0</v>
      </c>
      <c r="I212" s="19">
        <f t="shared" ref="I212:I222" si="204">IF(VLOOKUP($D212,$C$5:$AJ$470,7,)=0,0,((VLOOKUP($D212,$C$5:$AJ$470,7,)/VLOOKUP($D212,$C$5:$AJ$470,4,))*$F212))</f>
        <v>0</v>
      </c>
      <c r="J212" s="19">
        <f t="shared" ref="J212:J222" si="205">IF(VLOOKUP($D212,$C$5:$AJ$470,8,)=0,0,((VLOOKUP($D212,$C$5:$AJ$470,8,)/VLOOKUP($D212,$C$5:$AJ$470,4,))*$F212))</f>
        <v>0</v>
      </c>
      <c r="K212" s="19">
        <f t="shared" ref="K212:K222" si="206">IF(VLOOKUP($D212,$C$5:$AJ$470,9,)=0,0,((VLOOKUP($D212,$C$5:$AJ$470,9,)/VLOOKUP($D212,$C$5:$AJ$470,4,))*$F212))</f>
        <v>0</v>
      </c>
      <c r="L212" s="19">
        <f t="shared" ref="L212:L222" si="207">IF(VLOOKUP($D212,$C$5:$AJ$470,10,)=0,0,((VLOOKUP($D212,$C$5:$AJ$470,10,)/VLOOKUP($D212,$C$5:$AJ$470,4,))*$F212))</f>
        <v>0</v>
      </c>
      <c r="M212" s="19">
        <f t="shared" ref="M212:M222" si="208">IF(VLOOKUP($D212,$C$5:$AJ$470,11,)=0,0,((VLOOKUP($D212,$C$5:$AJ$470,11,)/VLOOKUP($D212,$C$5:$AJ$470,4,))*$F212))</f>
        <v>0</v>
      </c>
      <c r="N212" s="19"/>
      <c r="O212" s="19">
        <f t="shared" ref="O212:O222" si="209">IF(VLOOKUP($D212,$C$5:$AJ$470,13,)=0,0,((VLOOKUP($D212,$C$5:$AJ$470,13,)/VLOOKUP($D212,$C$5:$AJ$470,4,))*$F212))</f>
        <v>0</v>
      </c>
      <c r="P212" s="19">
        <f t="shared" ref="P212:P222" si="210">IF(VLOOKUP($D212,$C$5:$AJ$470,14,)=0,0,((VLOOKUP($D212,$C$5:$AJ$470,14,)/VLOOKUP($D212,$C$5:$AJ$470,4,))*$F212))</f>
        <v>0</v>
      </c>
      <c r="Q212" s="19">
        <f t="shared" ref="Q212:Q222" si="211">IF(VLOOKUP($D212,$C$5:$AJ$470,15,)=0,0,((VLOOKUP($D212,$C$5:$AJ$470,15,)/VLOOKUP($D212,$C$5:$AJ$470,4,))*$F212))</f>
        <v>0</v>
      </c>
      <c r="R212" s="19"/>
      <c r="S212" s="19">
        <f t="shared" ref="S212:S222" si="212">IF(VLOOKUP($D212,$C$5:$AJ$470,17,)=0,0,((VLOOKUP($D212,$C$5:$AJ$470,17,)/VLOOKUP($D212,$C$5:$AJ$470,4,))*$F212))</f>
        <v>0</v>
      </c>
      <c r="T212" s="19">
        <f t="shared" ref="T212:T222" si="213">IF(VLOOKUP($D212,$C$5:$AJ$470,18,)=0,0,((VLOOKUP($D212,$C$5:$AJ$470,18,)/VLOOKUP($D212,$C$5:$AJ$470,4,))*$F212))</f>
        <v>0</v>
      </c>
      <c r="U212" s="19">
        <f t="shared" ref="U212:U222" si="214">IF(VLOOKUP($D212,$C$5:$AJ$470,19,)=0,0,((VLOOKUP($D212,$C$5:$AJ$470,19,)/VLOOKUP($D212,$C$5:$AJ$470,4,))*$F212))</f>
        <v>0</v>
      </c>
      <c r="V212" s="19">
        <f t="shared" ref="V212:V222" si="215">IF(VLOOKUP($D212,$C$5:$AJ$470,20,)=0,0,((VLOOKUP($D212,$C$5:$AJ$470,20,)/VLOOKUP($D212,$C$5:$AJ$470,4,))*$F212))</f>
        <v>0</v>
      </c>
      <c r="W212" s="19">
        <f t="shared" ref="W212:W222" si="216">IF(VLOOKUP($D212,$C$5:$AJ$470,21,)=0,0,((VLOOKUP($D212,$C$5:$AJ$470,21,)/VLOOKUP($D212,$C$5:$AJ$470,4,))*$F212))</f>
        <v>0</v>
      </c>
      <c r="X212" s="19">
        <f t="shared" ref="X212:X222" si="217">IF(VLOOKUP($D212,$C$5:$AJ$470,22,)=0,0,((VLOOKUP($D212,$C$5:$AJ$470,22,)/VLOOKUP($D212,$C$5:$AJ$470,4,))*$F212))</f>
        <v>0</v>
      </c>
      <c r="Y212" s="19">
        <f t="shared" ref="Y212:Y222" si="218">IF(VLOOKUP($D212,$C$5:$AJ$470,23,)=0,0,((VLOOKUP($D212,$C$5:$AJ$470,23,)/VLOOKUP($D212,$C$5:$AJ$470,4,))*$F212))</f>
        <v>0</v>
      </c>
      <c r="Z212" s="19">
        <f t="shared" ref="Z212:Z222" si="219">IF(VLOOKUP($D212,$C$5:$AJ$470,24,)=0,0,((VLOOKUP($D212,$C$5:$AJ$470,24,)/VLOOKUP($D212,$C$5:$AJ$470,4,))*$F212))</f>
        <v>0</v>
      </c>
      <c r="AA212" s="19">
        <f t="shared" ref="AA212:AA222" si="220">IF(VLOOKUP($D212,$C$5:$AJ$470,25,)=0,0,((VLOOKUP($D212,$C$5:$AJ$470,25,)/VLOOKUP($D212,$C$5:$AJ$470,4,))*$F212))</f>
        <v>0</v>
      </c>
      <c r="AB212" s="19">
        <f t="shared" ref="AB212:AB222" si="221">IF(VLOOKUP($D212,$C$5:$AJ$470,26,)=0,0,((VLOOKUP($D212,$C$5:$AJ$470,26,)/VLOOKUP($D212,$C$5:$AJ$470,4,))*$F212))</f>
        <v>0</v>
      </c>
      <c r="AC212" s="19">
        <f t="shared" ref="AC212:AC222" si="222">IF(VLOOKUP($D212,$C$5:$AJ$470,27,)=0,0,((VLOOKUP($D212,$C$5:$AJ$470,27,)/VLOOKUP($D212,$C$5:$AJ$470,4,))*$F212))</f>
        <v>0</v>
      </c>
      <c r="AD212" s="19">
        <f t="shared" ref="AD212:AD222" si="223">IF(VLOOKUP($D212,$C$5:$AJ$470,28,)=0,0,((VLOOKUP($D212,$C$5:$AJ$470,28,)/VLOOKUP($D212,$C$5:$AJ$470,4,))*$F212))</f>
        <v>0</v>
      </c>
      <c r="AE212" s="19"/>
      <c r="AF212" s="19">
        <f t="shared" ref="AF212:AF222" si="224">IF(VLOOKUP($D212,$C$5:$AJ$470,30,)=0,0,((VLOOKUP($D212,$C$5:$AJ$470,30,)/VLOOKUP($D212,$C$5:$AJ$470,4,))*$F212))</f>
        <v>0</v>
      </c>
      <c r="AG212" s="19"/>
      <c r="AH212" s="19">
        <f t="shared" ref="AH212:AH222" si="225">IF(VLOOKUP($D212,$C$5:$AJ$470,32,)=0,0,((VLOOKUP($D212,$C$5:$AJ$470,32,)/VLOOKUP($D212,$C$5:$AJ$470,4,))*$F212))</f>
        <v>0</v>
      </c>
      <c r="AI212" s="19"/>
      <c r="AJ212" s="19">
        <f t="shared" ref="AJ212:AJ222" si="226">IF(VLOOKUP($D212,$C$5:$AJ$470,34,)=0,0,((VLOOKUP($D212,$C$5:$AJ$470,34,)/VLOOKUP($D212,$C$5:$AJ$470,4,))*$F212))</f>
        <v>0</v>
      </c>
      <c r="AK212" s="19">
        <f t="shared" ref="AK212:AK222" si="227">SUM(H212:AJ212)</f>
        <v>0</v>
      </c>
      <c r="AL212" s="15" t="str">
        <f t="shared" ref="AL212:AL222" si="228">IF(ABS(AK212-F212)&lt;1,"ok","err")</f>
        <v>ok</v>
      </c>
    </row>
    <row r="213" spans="1:38" x14ac:dyDescent="0.3">
      <c r="A213" s="2">
        <v>908</v>
      </c>
      <c r="B213" s="2" t="s">
        <v>283</v>
      </c>
      <c r="C213" s="2" t="s">
        <v>284</v>
      </c>
      <c r="D213" s="2" t="s">
        <v>62</v>
      </c>
      <c r="F213" s="43">
        <v>6139491.1399999997</v>
      </c>
      <c r="H213" s="19">
        <f t="shared" si="203"/>
        <v>2070669.4094216069</v>
      </c>
      <c r="I213" s="19">
        <f t="shared" si="204"/>
        <v>2554654.0003760108</v>
      </c>
      <c r="J213" s="19">
        <f t="shared" si="205"/>
        <v>0</v>
      </c>
      <c r="K213" s="19">
        <f t="shared" si="206"/>
        <v>0</v>
      </c>
      <c r="L213" s="19">
        <f t="shared" si="207"/>
        <v>29659.874212652554</v>
      </c>
      <c r="M213" s="19">
        <f t="shared" si="208"/>
        <v>1038612.1307760045</v>
      </c>
      <c r="N213" s="19"/>
      <c r="O213" s="19">
        <f t="shared" si="209"/>
        <v>440005.07480569254</v>
      </c>
      <c r="P213" s="19">
        <f t="shared" si="210"/>
        <v>5890.6504080324803</v>
      </c>
      <c r="Q213" s="19">
        <f t="shared" si="211"/>
        <v>0</v>
      </c>
      <c r="R213" s="19"/>
      <c r="S213" s="19">
        <f t="shared" si="212"/>
        <v>0</v>
      </c>
      <c r="T213" s="19">
        <f t="shared" si="213"/>
        <v>0</v>
      </c>
      <c r="U213" s="19">
        <f t="shared" si="214"/>
        <v>0</v>
      </c>
      <c r="V213" s="19">
        <f t="shared" si="215"/>
        <v>0</v>
      </c>
      <c r="W213" s="19">
        <f t="shared" si="216"/>
        <v>0</v>
      </c>
      <c r="X213" s="19">
        <f t="shared" si="217"/>
        <v>0</v>
      </c>
      <c r="Y213" s="19">
        <f t="shared" si="218"/>
        <v>0</v>
      </c>
      <c r="Z213" s="19">
        <f t="shared" si="219"/>
        <v>0</v>
      </c>
      <c r="AA213" s="19">
        <f t="shared" si="220"/>
        <v>0</v>
      </c>
      <c r="AB213" s="19">
        <f t="shared" si="221"/>
        <v>0</v>
      </c>
      <c r="AC213" s="19">
        <f t="shared" si="222"/>
        <v>0</v>
      </c>
      <c r="AD213" s="19">
        <f t="shared" si="223"/>
        <v>0</v>
      </c>
      <c r="AE213" s="19"/>
      <c r="AF213" s="19">
        <f t="shared" si="224"/>
        <v>0</v>
      </c>
      <c r="AG213" s="19"/>
      <c r="AH213" s="19">
        <f t="shared" si="225"/>
        <v>0</v>
      </c>
      <c r="AI213" s="19"/>
      <c r="AJ213" s="19">
        <f t="shared" si="226"/>
        <v>0</v>
      </c>
      <c r="AK213" s="19">
        <f t="shared" si="227"/>
        <v>6139491.1400000006</v>
      </c>
      <c r="AL213" s="15" t="str">
        <f t="shared" si="228"/>
        <v>ok</v>
      </c>
    </row>
    <row r="214" spans="1:38" x14ac:dyDescent="0.3">
      <c r="A214" s="2">
        <v>908</v>
      </c>
      <c r="B214" s="2" t="s">
        <v>285</v>
      </c>
      <c r="C214" s="2" t="s">
        <v>286</v>
      </c>
      <c r="D214" s="2" t="s">
        <v>62</v>
      </c>
      <c r="F214" s="43">
        <v>0</v>
      </c>
      <c r="H214" s="19">
        <f t="shared" si="203"/>
        <v>0</v>
      </c>
      <c r="I214" s="19">
        <f t="shared" si="204"/>
        <v>0</v>
      </c>
      <c r="J214" s="19">
        <f t="shared" si="205"/>
        <v>0</v>
      </c>
      <c r="K214" s="19">
        <f t="shared" si="206"/>
        <v>0</v>
      </c>
      <c r="L214" s="19">
        <f t="shared" si="207"/>
        <v>0</v>
      </c>
      <c r="M214" s="19">
        <f t="shared" si="208"/>
        <v>0</v>
      </c>
      <c r="N214" s="19"/>
      <c r="O214" s="19">
        <f t="shared" si="209"/>
        <v>0</v>
      </c>
      <c r="P214" s="19">
        <f t="shared" si="210"/>
        <v>0</v>
      </c>
      <c r="Q214" s="19">
        <f t="shared" si="211"/>
        <v>0</v>
      </c>
      <c r="R214" s="19"/>
      <c r="S214" s="19">
        <f t="shared" si="212"/>
        <v>0</v>
      </c>
      <c r="T214" s="19">
        <f t="shared" si="213"/>
        <v>0</v>
      </c>
      <c r="U214" s="19">
        <f t="shared" si="214"/>
        <v>0</v>
      </c>
      <c r="V214" s="19">
        <f t="shared" si="215"/>
        <v>0</v>
      </c>
      <c r="W214" s="19">
        <f t="shared" si="216"/>
        <v>0</v>
      </c>
      <c r="X214" s="19">
        <f t="shared" si="217"/>
        <v>0</v>
      </c>
      <c r="Y214" s="19">
        <f t="shared" si="218"/>
        <v>0</v>
      </c>
      <c r="Z214" s="19">
        <f t="shared" si="219"/>
        <v>0</v>
      </c>
      <c r="AA214" s="19">
        <f t="shared" si="220"/>
        <v>0</v>
      </c>
      <c r="AB214" s="19">
        <f t="shared" si="221"/>
        <v>0</v>
      </c>
      <c r="AC214" s="19">
        <f t="shared" si="222"/>
        <v>0</v>
      </c>
      <c r="AD214" s="19">
        <f t="shared" si="223"/>
        <v>0</v>
      </c>
      <c r="AE214" s="19"/>
      <c r="AF214" s="19">
        <f t="shared" si="224"/>
        <v>0</v>
      </c>
      <c r="AG214" s="19"/>
      <c r="AH214" s="19">
        <f t="shared" si="225"/>
        <v>0</v>
      </c>
      <c r="AI214" s="19"/>
      <c r="AJ214" s="19">
        <f t="shared" si="226"/>
        <v>0</v>
      </c>
      <c r="AK214" s="19">
        <f t="shared" si="227"/>
        <v>0</v>
      </c>
      <c r="AL214" s="15" t="str">
        <f t="shared" si="228"/>
        <v>ok</v>
      </c>
    </row>
    <row r="215" spans="1:38" x14ac:dyDescent="0.3">
      <c r="A215" s="2">
        <v>909</v>
      </c>
      <c r="B215" s="2" t="s">
        <v>287</v>
      </c>
      <c r="C215" s="2" t="s">
        <v>288</v>
      </c>
      <c r="D215" s="2" t="s">
        <v>62</v>
      </c>
      <c r="F215" s="43">
        <v>41576.910000000003</v>
      </c>
      <c r="H215" s="19">
        <f t="shared" si="203"/>
        <v>14022.666327241464</v>
      </c>
      <c r="I215" s="19">
        <f t="shared" si="204"/>
        <v>17300.231734640696</v>
      </c>
      <c r="J215" s="19">
        <f t="shared" si="205"/>
        <v>0</v>
      </c>
      <c r="K215" s="19">
        <f t="shared" si="206"/>
        <v>0</v>
      </c>
      <c r="L215" s="19">
        <f t="shared" si="207"/>
        <v>200.85800152336017</v>
      </c>
      <c r="M215" s="19">
        <f t="shared" si="208"/>
        <v>7033.5280402704802</v>
      </c>
      <c r="N215" s="19"/>
      <c r="O215" s="19">
        <f t="shared" si="209"/>
        <v>2979.7341469474859</v>
      </c>
      <c r="P215" s="19">
        <f t="shared" si="210"/>
        <v>39.891749376517502</v>
      </c>
      <c r="Q215" s="19">
        <f t="shared" si="211"/>
        <v>0</v>
      </c>
      <c r="R215" s="19"/>
      <c r="S215" s="19">
        <f t="shared" si="212"/>
        <v>0</v>
      </c>
      <c r="T215" s="19">
        <f t="shared" si="213"/>
        <v>0</v>
      </c>
      <c r="U215" s="19">
        <f t="shared" si="214"/>
        <v>0</v>
      </c>
      <c r="V215" s="19">
        <f t="shared" si="215"/>
        <v>0</v>
      </c>
      <c r="W215" s="19">
        <f t="shared" si="216"/>
        <v>0</v>
      </c>
      <c r="X215" s="19">
        <f t="shared" si="217"/>
        <v>0</v>
      </c>
      <c r="Y215" s="19">
        <f t="shared" si="218"/>
        <v>0</v>
      </c>
      <c r="Z215" s="19">
        <f t="shared" si="219"/>
        <v>0</v>
      </c>
      <c r="AA215" s="19">
        <f t="shared" si="220"/>
        <v>0</v>
      </c>
      <c r="AB215" s="19">
        <f t="shared" si="221"/>
        <v>0</v>
      </c>
      <c r="AC215" s="19">
        <f t="shared" si="222"/>
        <v>0</v>
      </c>
      <c r="AD215" s="19">
        <f t="shared" si="223"/>
        <v>0</v>
      </c>
      <c r="AE215" s="19"/>
      <c r="AF215" s="19">
        <f t="shared" si="224"/>
        <v>0</v>
      </c>
      <c r="AG215" s="19"/>
      <c r="AH215" s="19">
        <f t="shared" si="225"/>
        <v>0</v>
      </c>
      <c r="AI215" s="19"/>
      <c r="AJ215" s="19">
        <f t="shared" si="226"/>
        <v>0</v>
      </c>
      <c r="AK215" s="19">
        <f t="shared" si="227"/>
        <v>41576.910000000003</v>
      </c>
      <c r="AL215" s="15" t="str">
        <f t="shared" si="228"/>
        <v>ok</v>
      </c>
    </row>
    <row r="216" spans="1:38" x14ac:dyDescent="0.3">
      <c r="A216" s="2">
        <v>909</v>
      </c>
      <c r="B216" s="2" t="s">
        <v>289</v>
      </c>
      <c r="C216" s="2" t="s">
        <v>290</v>
      </c>
      <c r="D216" s="2" t="s">
        <v>62</v>
      </c>
      <c r="F216" s="43">
        <v>0</v>
      </c>
      <c r="H216" s="19">
        <f t="shared" si="203"/>
        <v>0</v>
      </c>
      <c r="I216" s="19">
        <f t="shared" si="204"/>
        <v>0</v>
      </c>
      <c r="J216" s="19">
        <f t="shared" si="205"/>
        <v>0</v>
      </c>
      <c r="K216" s="19">
        <f t="shared" si="206"/>
        <v>0</v>
      </c>
      <c r="L216" s="19">
        <f t="shared" si="207"/>
        <v>0</v>
      </c>
      <c r="M216" s="19">
        <f t="shared" si="208"/>
        <v>0</v>
      </c>
      <c r="N216" s="19"/>
      <c r="O216" s="19">
        <f t="shared" si="209"/>
        <v>0</v>
      </c>
      <c r="P216" s="19">
        <f t="shared" si="210"/>
        <v>0</v>
      </c>
      <c r="Q216" s="19">
        <f t="shared" si="211"/>
        <v>0</v>
      </c>
      <c r="R216" s="19"/>
      <c r="S216" s="19">
        <f t="shared" si="212"/>
        <v>0</v>
      </c>
      <c r="T216" s="19">
        <f t="shared" si="213"/>
        <v>0</v>
      </c>
      <c r="U216" s="19">
        <f t="shared" si="214"/>
        <v>0</v>
      </c>
      <c r="V216" s="19">
        <f t="shared" si="215"/>
        <v>0</v>
      </c>
      <c r="W216" s="19">
        <f t="shared" si="216"/>
        <v>0</v>
      </c>
      <c r="X216" s="19">
        <f t="shared" si="217"/>
        <v>0</v>
      </c>
      <c r="Y216" s="19">
        <f t="shared" si="218"/>
        <v>0</v>
      </c>
      <c r="Z216" s="19">
        <f t="shared" si="219"/>
        <v>0</v>
      </c>
      <c r="AA216" s="19">
        <f t="shared" si="220"/>
        <v>0</v>
      </c>
      <c r="AB216" s="19">
        <f t="shared" si="221"/>
        <v>0</v>
      </c>
      <c r="AC216" s="19">
        <f t="shared" si="222"/>
        <v>0</v>
      </c>
      <c r="AD216" s="19">
        <f t="shared" si="223"/>
        <v>0</v>
      </c>
      <c r="AE216" s="19"/>
      <c r="AF216" s="19">
        <f t="shared" si="224"/>
        <v>0</v>
      </c>
      <c r="AG216" s="19"/>
      <c r="AH216" s="19">
        <f t="shared" si="225"/>
        <v>0</v>
      </c>
      <c r="AI216" s="19"/>
      <c r="AJ216" s="19">
        <f t="shared" si="226"/>
        <v>0</v>
      </c>
      <c r="AK216" s="19">
        <f t="shared" si="227"/>
        <v>0</v>
      </c>
      <c r="AL216" s="15" t="str">
        <f t="shared" si="228"/>
        <v>ok</v>
      </c>
    </row>
    <row r="217" spans="1:38" x14ac:dyDescent="0.3">
      <c r="A217" s="2">
        <v>910</v>
      </c>
      <c r="B217" s="2" t="s">
        <v>291</v>
      </c>
      <c r="C217" s="2" t="s">
        <v>292</v>
      </c>
      <c r="D217" s="2" t="s">
        <v>62</v>
      </c>
      <c r="F217" s="43">
        <v>0</v>
      </c>
      <c r="H217" s="19">
        <f t="shared" si="203"/>
        <v>0</v>
      </c>
      <c r="I217" s="19">
        <f t="shared" si="204"/>
        <v>0</v>
      </c>
      <c r="J217" s="19">
        <f t="shared" si="205"/>
        <v>0</v>
      </c>
      <c r="K217" s="19">
        <f t="shared" si="206"/>
        <v>0</v>
      </c>
      <c r="L217" s="19">
        <f t="shared" si="207"/>
        <v>0</v>
      </c>
      <c r="M217" s="19">
        <f t="shared" si="208"/>
        <v>0</v>
      </c>
      <c r="N217" s="19"/>
      <c r="O217" s="19">
        <f t="shared" si="209"/>
        <v>0</v>
      </c>
      <c r="P217" s="19">
        <f t="shared" si="210"/>
        <v>0</v>
      </c>
      <c r="Q217" s="19">
        <f t="shared" si="211"/>
        <v>0</v>
      </c>
      <c r="R217" s="19"/>
      <c r="S217" s="19">
        <f t="shared" si="212"/>
        <v>0</v>
      </c>
      <c r="T217" s="19">
        <f t="shared" si="213"/>
        <v>0</v>
      </c>
      <c r="U217" s="19">
        <f t="shared" si="214"/>
        <v>0</v>
      </c>
      <c r="V217" s="19">
        <f t="shared" si="215"/>
        <v>0</v>
      </c>
      <c r="W217" s="19">
        <f t="shared" si="216"/>
        <v>0</v>
      </c>
      <c r="X217" s="19">
        <f t="shared" si="217"/>
        <v>0</v>
      </c>
      <c r="Y217" s="19">
        <f t="shared" si="218"/>
        <v>0</v>
      </c>
      <c r="Z217" s="19">
        <f t="shared" si="219"/>
        <v>0</v>
      </c>
      <c r="AA217" s="19">
        <f t="shared" si="220"/>
        <v>0</v>
      </c>
      <c r="AB217" s="19">
        <f t="shared" si="221"/>
        <v>0</v>
      </c>
      <c r="AC217" s="19">
        <f t="shared" si="222"/>
        <v>0</v>
      </c>
      <c r="AD217" s="19">
        <f t="shared" si="223"/>
        <v>0</v>
      </c>
      <c r="AE217" s="19"/>
      <c r="AF217" s="19">
        <f t="shared" si="224"/>
        <v>0</v>
      </c>
      <c r="AG217" s="19"/>
      <c r="AH217" s="19">
        <f t="shared" si="225"/>
        <v>0</v>
      </c>
      <c r="AI217" s="19"/>
      <c r="AJ217" s="19">
        <f t="shared" si="226"/>
        <v>0</v>
      </c>
      <c r="AK217" s="19">
        <f t="shared" si="227"/>
        <v>0</v>
      </c>
      <c r="AL217" s="15" t="str">
        <f t="shared" si="228"/>
        <v>ok</v>
      </c>
    </row>
    <row r="218" spans="1:38" x14ac:dyDescent="0.3">
      <c r="A218" s="2">
        <v>911</v>
      </c>
      <c r="B218" s="2" t="s">
        <v>293</v>
      </c>
      <c r="C218" s="2" t="s">
        <v>294</v>
      </c>
      <c r="D218" s="2" t="s">
        <v>62</v>
      </c>
      <c r="F218" s="43">
        <v>0</v>
      </c>
      <c r="H218" s="19">
        <f t="shared" si="203"/>
        <v>0</v>
      </c>
      <c r="I218" s="19">
        <f t="shared" si="204"/>
        <v>0</v>
      </c>
      <c r="J218" s="19">
        <f t="shared" si="205"/>
        <v>0</v>
      </c>
      <c r="K218" s="19">
        <f t="shared" si="206"/>
        <v>0</v>
      </c>
      <c r="L218" s="19">
        <f t="shared" si="207"/>
        <v>0</v>
      </c>
      <c r="M218" s="19">
        <f t="shared" si="208"/>
        <v>0</v>
      </c>
      <c r="N218" s="19"/>
      <c r="O218" s="19">
        <f t="shared" si="209"/>
        <v>0</v>
      </c>
      <c r="P218" s="19">
        <f t="shared" si="210"/>
        <v>0</v>
      </c>
      <c r="Q218" s="19">
        <f t="shared" si="211"/>
        <v>0</v>
      </c>
      <c r="R218" s="19"/>
      <c r="S218" s="19">
        <f t="shared" si="212"/>
        <v>0</v>
      </c>
      <c r="T218" s="19">
        <f t="shared" si="213"/>
        <v>0</v>
      </c>
      <c r="U218" s="19">
        <f t="shared" si="214"/>
        <v>0</v>
      </c>
      <c r="V218" s="19">
        <f t="shared" si="215"/>
        <v>0</v>
      </c>
      <c r="W218" s="19">
        <f t="shared" si="216"/>
        <v>0</v>
      </c>
      <c r="X218" s="19">
        <f t="shared" si="217"/>
        <v>0</v>
      </c>
      <c r="Y218" s="19">
        <f t="shared" si="218"/>
        <v>0</v>
      </c>
      <c r="Z218" s="19">
        <f t="shared" si="219"/>
        <v>0</v>
      </c>
      <c r="AA218" s="19">
        <f t="shared" si="220"/>
        <v>0</v>
      </c>
      <c r="AB218" s="19">
        <f t="shared" si="221"/>
        <v>0</v>
      </c>
      <c r="AC218" s="19">
        <f t="shared" si="222"/>
        <v>0</v>
      </c>
      <c r="AD218" s="19">
        <f t="shared" si="223"/>
        <v>0</v>
      </c>
      <c r="AE218" s="19"/>
      <c r="AF218" s="19">
        <f t="shared" si="224"/>
        <v>0</v>
      </c>
      <c r="AG218" s="19"/>
      <c r="AH218" s="19">
        <f t="shared" si="225"/>
        <v>0</v>
      </c>
      <c r="AI218" s="19"/>
      <c r="AJ218" s="19">
        <f t="shared" si="226"/>
        <v>0</v>
      </c>
      <c r="AK218" s="19">
        <f t="shared" si="227"/>
        <v>0</v>
      </c>
      <c r="AL218" s="15" t="str">
        <f t="shared" si="228"/>
        <v>ok</v>
      </c>
    </row>
    <row r="219" spans="1:38" x14ac:dyDescent="0.3">
      <c r="A219" s="2">
        <v>912</v>
      </c>
      <c r="B219" s="2" t="s">
        <v>293</v>
      </c>
      <c r="C219" s="2" t="s">
        <v>295</v>
      </c>
      <c r="D219" s="2" t="s">
        <v>62</v>
      </c>
      <c r="F219" s="43">
        <v>0</v>
      </c>
      <c r="H219" s="19">
        <f t="shared" si="203"/>
        <v>0</v>
      </c>
      <c r="I219" s="19">
        <f t="shared" si="204"/>
        <v>0</v>
      </c>
      <c r="J219" s="19">
        <f t="shared" si="205"/>
        <v>0</v>
      </c>
      <c r="K219" s="19">
        <f t="shared" si="206"/>
        <v>0</v>
      </c>
      <c r="L219" s="19">
        <f t="shared" si="207"/>
        <v>0</v>
      </c>
      <c r="M219" s="19">
        <f t="shared" si="208"/>
        <v>0</v>
      </c>
      <c r="N219" s="19"/>
      <c r="O219" s="19">
        <f t="shared" si="209"/>
        <v>0</v>
      </c>
      <c r="P219" s="19">
        <f t="shared" si="210"/>
        <v>0</v>
      </c>
      <c r="Q219" s="19">
        <f t="shared" si="211"/>
        <v>0</v>
      </c>
      <c r="R219" s="19"/>
      <c r="S219" s="19">
        <f t="shared" si="212"/>
        <v>0</v>
      </c>
      <c r="T219" s="19">
        <f t="shared" si="213"/>
        <v>0</v>
      </c>
      <c r="U219" s="19">
        <f t="shared" si="214"/>
        <v>0</v>
      </c>
      <c r="V219" s="19">
        <f t="shared" si="215"/>
        <v>0</v>
      </c>
      <c r="W219" s="19">
        <f t="shared" si="216"/>
        <v>0</v>
      </c>
      <c r="X219" s="19">
        <f t="shared" si="217"/>
        <v>0</v>
      </c>
      <c r="Y219" s="19">
        <f t="shared" si="218"/>
        <v>0</v>
      </c>
      <c r="Z219" s="19">
        <f t="shared" si="219"/>
        <v>0</v>
      </c>
      <c r="AA219" s="19">
        <f t="shared" si="220"/>
        <v>0</v>
      </c>
      <c r="AB219" s="19">
        <f t="shared" si="221"/>
        <v>0</v>
      </c>
      <c r="AC219" s="19">
        <f t="shared" si="222"/>
        <v>0</v>
      </c>
      <c r="AD219" s="19">
        <f t="shared" si="223"/>
        <v>0</v>
      </c>
      <c r="AE219" s="19"/>
      <c r="AF219" s="19">
        <f t="shared" si="224"/>
        <v>0</v>
      </c>
      <c r="AG219" s="19"/>
      <c r="AH219" s="19">
        <f t="shared" si="225"/>
        <v>0</v>
      </c>
      <c r="AI219" s="19"/>
      <c r="AJ219" s="19">
        <f t="shared" si="226"/>
        <v>0</v>
      </c>
      <c r="AK219" s="19">
        <f t="shared" si="227"/>
        <v>0</v>
      </c>
      <c r="AL219" s="15" t="str">
        <f t="shared" si="228"/>
        <v>ok</v>
      </c>
    </row>
    <row r="220" spans="1:38" x14ac:dyDescent="0.3">
      <c r="A220" s="2">
        <v>913</v>
      </c>
      <c r="B220" s="2" t="s">
        <v>296</v>
      </c>
      <c r="C220" s="2" t="s">
        <v>297</v>
      </c>
      <c r="D220" s="2" t="s">
        <v>62</v>
      </c>
      <c r="F220" s="43">
        <v>54386.270000000004</v>
      </c>
      <c r="H220" s="19">
        <f t="shared" si="203"/>
        <v>18342.88591896951</v>
      </c>
      <c r="I220" s="19">
        <f t="shared" si="204"/>
        <v>22630.23091862135</v>
      </c>
      <c r="J220" s="19">
        <f t="shared" si="205"/>
        <v>0</v>
      </c>
      <c r="K220" s="19">
        <f t="shared" si="206"/>
        <v>0</v>
      </c>
      <c r="L220" s="19">
        <f t="shared" si="207"/>
        <v>262.7400040673989</v>
      </c>
      <c r="M220" s="19">
        <f t="shared" si="208"/>
        <v>9200.4758182058558</v>
      </c>
      <c r="N220" s="19"/>
      <c r="O220" s="19">
        <f t="shared" si="209"/>
        <v>3897.7554090504959</v>
      </c>
      <c r="P220" s="19">
        <f t="shared" si="210"/>
        <v>52.181931085393614</v>
      </c>
      <c r="Q220" s="19">
        <f t="shared" si="211"/>
        <v>0</v>
      </c>
      <c r="R220" s="19"/>
      <c r="S220" s="19">
        <f t="shared" si="212"/>
        <v>0</v>
      </c>
      <c r="T220" s="19">
        <f t="shared" si="213"/>
        <v>0</v>
      </c>
      <c r="U220" s="19">
        <f t="shared" si="214"/>
        <v>0</v>
      </c>
      <c r="V220" s="19">
        <f t="shared" si="215"/>
        <v>0</v>
      </c>
      <c r="W220" s="19">
        <f t="shared" si="216"/>
        <v>0</v>
      </c>
      <c r="X220" s="19">
        <f t="shared" si="217"/>
        <v>0</v>
      </c>
      <c r="Y220" s="19">
        <f t="shared" si="218"/>
        <v>0</v>
      </c>
      <c r="Z220" s="19">
        <f t="shared" si="219"/>
        <v>0</v>
      </c>
      <c r="AA220" s="19">
        <f t="shared" si="220"/>
        <v>0</v>
      </c>
      <c r="AB220" s="19">
        <f t="shared" si="221"/>
        <v>0</v>
      </c>
      <c r="AC220" s="19">
        <f t="shared" si="222"/>
        <v>0</v>
      </c>
      <c r="AD220" s="19">
        <f t="shared" si="223"/>
        <v>0</v>
      </c>
      <c r="AE220" s="19"/>
      <c r="AF220" s="19">
        <f t="shared" si="224"/>
        <v>0</v>
      </c>
      <c r="AG220" s="19"/>
      <c r="AH220" s="19">
        <f t="shared" si="225"/>
        <v>0</v>
      </c>
      <c r="AI220" s="19"/>
      <c r="AJ220" s="19">
        <f t="shared" si="226"/>
        <v>0</v>
      </c>
      <c r="AK220" s="19">
        <f t="shared" si="227"/>
        <v>54386.270000000004</v>
      </c>
      <c r="AL220" s="15" t="str">
        <f t="shared" si="228"/>
        <v>ok</v>
      </c>
    </row>
    <row r="221" spans="1:38" x14ac:dyDescent="0.3">
      <c r="A221" s="2">
        <v>915</v>
      </c>
      <c r="B221" s="2" t="s">
        <v>298</v>
      </c>
      <c r="C221" s="2" t="s">
        <v>299</v>
      </c>
      <c r="D221" s="2" t="s">
        <v>62</v>
      </c>
      <c r="F221" s="43">
        <v>0</v>
      </c>
      <c r="H221" s="19">
        <f t="shared" si="203"/>
        <v>0</v>
      </c>
      <c r="I221" s="19">
        <f t="shared" si="204"/>
        <v>0</v>
      </c>
      <c r="J221" s="19">
        <f t="shared" si="205"/>
        <v>0</v>
      </c>
      <c r="K221" s="19">
        <f t="shared" si="206"/>
        <v>0</v>
      </c>
      <c r="L221" s="19">
        <f t="shared" si="207"/>
        <v>0</v>
      </c>
      <c r="M221" s="19">
        <f t="shared" si="208"/>
        <v>0</v>
      </c>
      <c r="N221" s="19"/>
      <c r="O221" s="19">
        <f t="shared" si="209"/>
        <v>0</v>
      </c>
      <c r="P221" s="19">
        <f t="shared" si="210"/>
        <v>0</v>
      </c>
      <c r="Q221" s="19">
        <f t="shared" si="211"/>
        <v>0</v>
      </c>
      <c r="R221" s="19"/>
      <c r="S221" s="19">
        <f t="shared" si="212"/>
        <v>0</v>
      </c>
      <c r="T221" s="19">
        <f t="shared" si="213"/>
        <v>0</v>
      </c>
      <c r="U221" s="19">
        <f t="shared" si="214"/>
        <v>0</v>
      </c>
      <c r="V221" s="19">
        <f t="shared" si="215"/>
        <v>0</v>
      </c>
      <c r="W221" s="19">
        <f t="shared" si="216"/>
        <v>0</v>
      </c>
      <c r="X221" s="19">
        <f t="shared" si="217"/>
        <v>0</v>
      </c>
      <c r="Y221" s="19">
        <f t="shared" si="218"/>
        <v>0</v>
      </c>
      <c r="Z221" s="19">
        <f t="shared" si="219"/>
        <v>0</v>
      </c>
      <c r="AA221" s="19">
        <f t="shared" si="220"/>
        <v>0</v>
      </c>
      <c r="AB221" s="19">
        <f t="shared" si="221"/>
        <v>0</v>
      </c>
      <c r="AC221" s="19">
        <f t="shared" si="222"/>
        <v>0</v>
      </c>
      <c r="AD221" s="19">
        <f t="shared" si="223"/>
        <v>0</v>
      </c>
      <c r="AE221" s="19"/>
      <c r="AF221" s="19">
        <f t="shared" si="224"/>
        <v>0</v>
      </c>
      <c r="AG221" s="19"/>
      <c r="AH221" s="19">
        <f t="shared" si="225"/>
        <v>0</v>
      </c>
      <c r="AI221" s="19"/>
      <c r="AJ221" s="19">
        <f t="shared" si="226"/>
        <v>0</v>
      </c>
      <c r="AK221" s="19">
        <f t="shared" si="227"/>
        <v>0</v>
      </c>
      <c r="AL221" s="15" t="str">
        <f t="shared" si="228"/>
        <v>ok</v>
      </c>
    </row>
    <row r="222" spans="1:38" x14ac:dyDescent="0.3">
      <c r="A222" s="2">
        <v>916</v>
      </c>
      <c r="B222" s="2" t="s">
        <v>300</v>
      </c>
      <c r="C222" s="2" t="s">
        <v>301</v>
      </c>
      <c r="D222" s="2" t="s">
        <v>62</v>
      </c>
      <c r="F222" s="43">
        <v>0</v>
      </c>
      <c r="H222" s="19">
        <f t="shared" si="203"/>
        <v>0</v>
      </c>
      <c r="I222" s="19">
        <f t="shared" si="204"/>
        <v>0</v>
      </c>
      <c r="J222" s="19">
        <f t="shared" si="205"/>
        <v>0</v>
      </c>
      <c r="K222" s="19">
        <f t="shared" si="206"/>
        <v>0</v>
      </c>
      <c r="L222" s="19">
        <f t="shared" si="207"/>
        <v>0</v>
      </c>
      <c r="M222" s="19">
        <f t="shared" si="208"/>
        <v>0</v>
      </c>
      <c r="N222" s="19"/>
      <c r="O222" s="19">
        <f t="shared" si="209"/>
        <v>0</v>
      </c>
      <c r="P222" s="19">
        <f t="shared" si="210"/>
        <v>0</v>
      </c>
      <c r="Q222" s="19">
        <f t="shared" si="211"/>
        <v>0</v>
      </c>
      <c r="R222" s="19"/>
      <c r="S222" s="19">
        <f t="shared" si="212"/>
        <v>0</v>
      </c>
      <c r="T222" s="19">
        <f t="shared" si="213"/>
        <v>0</v>
      </c>
      <c r="U222" s="19">
        <f t="shared" si="214"/>
        <v>0</v>
      </c>
      <c r="V222" s="19">
        <f t="shared" si="215"/>
        <v>0</v>
      </c>
      <c r="W222" s="19">
        <f t="shared" si="216"/>
        <v>0</v>
      </c>
      <c r="X222" s="19">
        <f t="shared" si="217"/>
        <v>0</v>
      </c>
      <c r="Y222" s="19">
        <f t="shared" si="218"/>
        <v>0</v>
      </c>
      <c r="Z222" s="19">
        <f t="shared" si="219"/>
        <v>0</v>
      </c>
      <c r="AA222" s="19">
        <f t="shared" si="220"/>
        <v>0</v>
      </c>
      <c r="AB222" s="19">
        <f t="shared" si="221"/>
        <v>0</v>
      </c>
      <c r="AC222" s="19">
        <f t="shared" si="222"/>
        <v>0</v>
      </c>
      <c r="AD222" s="19">
        <f t="shared" si="223"/>
        <v>0</v>
      </c>
      <c r="AE222" s="19"/>
      <c r="AF222" s="19">
        <f t="shared" si="224"/>
        <v>0</v>
      </c>
      <c r="AG222" s="19"/>
      <c r="AH222" s="19">
        <f t="shared" si="225"/>
        <v>0</v>
      </c>
      <c r="AI222" s="19"/>
      <c r="AJ222" s="19">
        <f t="shared" si="226"/>
        <v>0</v>
      </c>
      <c r="AK222" s="19">
        <f t="shared" si="227"/>
        <v>0</v>
      </c>
      <c r="AL222" s="15" t="str">
        <f t="shared" si="228"/>
        <v>ok</v>
      </c>
    </row>
    <row r="223" spans="1:38" x14ac:dyDescent="0.3">
      <c r="F223" s="43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5"/>
    </row>
    <row r="224" spans="1:38" x14ac:dyDescent="0.3">
      <c r="A224" s="2" t="s">
        <v>302</v>
      </c>
      <c r="C224" s="2" t="s">
        <v>303</v>
      </c>
      <c r="F224" s="44">
        <f t="shared" ref="F224:M224" si="229">SUM(F212:F223)</f>
        <v>6235454.3199999994</v>
      </c>
      <c r="G224" s="18">
        <f t="shared" si="229"/>
        <v>0</v>
      </c>
      <c r="H224" s="18">
        <f t="shared" si="229"/>
        <v>2103034.961667818</v>
      </c>
      <c r="I224" s="18">
        <f t="shared" si="229"/>
        <v>2594584.4630292729</v>
      </c>
      <c r="J224" s="18">
        <f t="shared" si="229"/>
        <v>0</v>
      </c>
      <c r="K224" s="18">
        <f t="shared" si="229"/>
        <v>0</v>
      </c>
      <c r="L224" s="18">
        <f t="shared" si="229"/>
        <v>30123.472218243314</v>
      </c>
      <c r="M224" s="18">
        <f t="shared" si="229"/>
        <v>1054846.1346344808</v>
      </c>
      <c r="N224" s="18"/>
      <c r="O224" s="18">
        <f>SUM(O212:O223)</f>
        <v>446882.56436169054</v>
      </c>
      <c r="P224" s="18">
        <f>SUM(P212:P223)</f>
        <v>5982.7240884943913</v>
      </c>
      <c r="Q224" s="18">
        <f>SUM(Q212:Q223)</f>
        <v>0</v>
      </c>
      <c r="R224" s="18"/>
      <c r="S224" s="18">
        <f t="shared" ref="S224:AD224" si="230">SUM(S212:S223)</f>
        <v>0</v>
      </c>
      <c r="T224" s="18">
        <f t="shared" si="230"/>
        <v>0</v>
      </c>
      <c r="U224" s="18">
        <f t="shared" si="230"/>
        <v>0</v>
      </c>
      <c r="V224" s="18">
        <f t="shared" si="230"/>
        <v>0</v>
      </c>
      <c r="W224" s="18">
        <f t="shared" si="230"/>
        <v>0</v>
      </c>
      <c r="X224" s="18">
        <f t="shared" si="230"/>
        <v>0</v>
      </c>
      <c r="Y224" s="18">
        <f t="shared" si="230"/>
        <v>0</v>
      </c>
      <c r="Z224" s="18">
        <f t="shared" si="230"/>
        <v>0</v>
      </c>
      <c r="AA224" s="18">
        <f t="shared" si="230"/>
        <v>0</v>
      </c>
      <c r="AB224" s="18">
        <f t="shared" si="230"/>
        <v>0</v>
      </c>
      <c r="AC224" s="18">
        <f t="shared" si="230"/>
        <v>0</v>
      </c>
      <c r="AD224" s="18">
        <f t="shared" si="230"/>
        <v>0</v>
      </c>
      <c r="AE224" s="18"/>
      <c r="AF224" s="18">
        <f>SUM(AF212:AF223)</f>
        <v>0</v>
      </c>
      <c r="AG224" s="18"/>
      <c r="AH224" s="18">
        <f>SUM(AH212:AH223)</f>
        <v>0</v>
      </c>
      <c r="AI224" s="18"/>
      <c r="AJ224" s="18">
        <f>SUM(AJ212:AJ223)</f>
        <v>0</v>
      </c>
      <c r="AK224" s="19">
        <f>SUM(H224:AJ224)</f>
        <v>6235454.3200000003</v>
      </c>
      <c r="AL224" s="15" t="str">
        <f>IF(ABS(AK224-F224)&lt;1,"ok","err")</f>
        <v>ok</v>
      </c>
    </row>
    <row r="225" spans="1:38" x14ac:dyDescent="0.3">
      <c r="F225" s="43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L225" s="15"/>
    </row>
    <row r="226" spans="1:38" x14ac:dyDescent="0.3">
      <c r="A226" s="2" t="s">
        <v>304</v>
      </c>
      <c r="C226" s="2" t="s">
        <v>98</v>
      </c>
      <c r="F226" s="43">
        <f>F200+F209+F224</f>
        <v>807529530.84000015</v>
      </c>
      <c r="G226" s="19">
        <f>G198+G209+G224</f>
        <v>0</v>
      </c>
      <c r="H226" s="19">
        <f t="shared" ref="H226:M226" si="231">H200+H209+H224</f>
        <v>56699442.338628948</v>
      </c>
      <c r="I226" s="19">
        <f t="shared" si="231"/>
        <v>69951995.490157515</v>
      </c>
      <c r="J226" s="19">
        <f t="shared" si="231"/>
        <v>285287779.63756973</v>
      </c>
      <c r="K226" s="19">
        <f t="shared" si="231"/>
        <v>307258987.52479815</v>
      </c>
      <c r="L226" s="19">
        <f t="shared" si="231"/>
        <v>7058315.7838359289</v>
      </c>
      <c r="M226" s="19">
        <f t="shared" si="231"/>
        <v>75800945.426559567</v>
      </c>
      <c r="N226" s="19"/>
      <c r="O226" s="19">
        <f>O200+O209+O224</f>
        <v>5287918.3405643236</v>
      </c>
      <c r="P226" s="19">
        <f>P200+P209+P224</f>
        <v>184146.29788586142</v>
      </c>
      <c r="Q226" s="19">
        <f>Q200+Q209+Q224</f>
        <v>0</v>
      </c>
      <c r="R226" s="19"/>
      <c r="S226" s="19">
        <f t="shared" ref="S226:AD226" si="232">S200+S209+S224</f>
        <v>0</v>
      </c>
      <c r="T226" s="19">
        <f t="shared" si="232"/>
        <v>0</v>
      </c>
      <c r="U226" s="19">
        <f t="shared" si="232"/>
        <v>0</v>
      </c>
      <c r="V226" s="19">
        <f t="shared" si="232"/>
        <v>0</v>
      </c>
      <c r="W226" s="19">
        <f t="shared" si="232"/>
        <v>0</v>
      </c>
      <c r="X226" s="19">
        <f t="shared" si="232"/>
        <v>0</v>
      </c>
      <c r="Y226" s="19">
        <f t="shared" si="232"/>
        <v>0</v>
      </c>
      <c r="Z226" s="19">
        <f t="shared" si="232"/>
        <v>0</v>
      </c>
      <c r="AA226" s="19">
        <f t="shared" si="232"/>
        <v>0</v>
      </c>
      <c r="AB226" s="19">
        <f t="shared" si="232"/>
        <v>0</v>
      </c>
      <c r="AC226" s="19">
        <f t="shared" si="232"/>
        <v>0</v>
      </c>
      <c r="AD226" s="19">
        <f t="shared" si="232"/>
        <v>0</v>
      </c>
      <c r="AE226" s="19"/>
      <c r="AF226" s="19">
        <f>AF200+AF209+AF224</f>
        <v>0</v>
      </c>
      <c r="AG226" s="19"/>
      <c r="AH226" s="19">
        <f>AH200+AH209+AH224</f>
        <v>0</v>
      </c>
      <c r="AI226" s="19"/>
      <c r="AJ226" s="19">
        <f>AJ200+AJ209+AJ224</f>
        <v>0</v>
      </c>
      <c r="AK226" s="19">
        <f>AK200+AK209+AK224</f>
        <v>807529530.84000015</v>
      </c>
      <c r="AL226" s="15" t="str">
        <f>IF(ABS(AK226-F226)&lt;1,"ok","err")</f>
        <v>ok</v>
      </c>
    </row>
    <row r="227" spans="1:38" x14ac:dyDescent="0.3">
      <c r="F227" s="43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L227" s="15"/>
    </row>
    <row r="228" spans="1:38" x14ac:dyDescent="0.3">
      <c r="A228" s="16" t="s">
        <v>147</v>
      </c>
      <c r="F228" s="43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L228" s="15"/>
    </row>
    <row r="229" spans="1:38" x14ac:dyDescent="0.3">
      <c r="F229" s="43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L229" s="15"/>
    </row>
    <row r="230" spans="1:38" x14ac:dyDescent="0.3">
      <c r="A230" s="3" t="s">
        <v>305</v>
      </c>
      <c r="F230" s="43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L230" s="15"/>
    </row>
    <row r="231" spans="1:38" x14ac:dyDescent="0.3">
      <c r="A231" s="2">
        <v>920</v>
      </c>
      <c r="B231" s="2" t="s">
        <v>306</v>
      </c>
      <c r="C231" s="2" t="s">
        <v>307</v>
      </c>
      <c r="D231" s="2" t="s">
        <v>308</v>
      </c>
      <c r="F231" s="44">
        <v>19939026.010000002</v>
      </c>
      <c r="H231" s="19">
        <f t="shared" ref="H231:H243" si="233">IF(VLOOKUP($D231,$C$5:$AJ$470,6,)=0,0,((VLOOKUP($D231,$C$5:$AJ$470,6,)/VLOOKUP($D231,$C$5:$AJ$470,4,))*$F231))</f>
        <v>4758509.2063567964</v>
      </c>
      <c r="I231" s="19">
        <f t="shared" ref="I231:I243" si="234">IF(VLOOKUP($D231,$C$5:$AJ$470,7,)=0,0,((VLOOKUP($D231,$C$5:$AJ$470,7,)/VLOOKUP($D231,$C$5:$AJ$470,4,))*$F231))</f>
        <v>5870731.7182229748</v>
      </c>
      <c r="J231" s="19">
        <f t="shared" ref="J231:J243" si="235">IF(VLOOKUP($D231,$C$5:$AJ$470,8,)=0,0,((VLOOKUP($D231,$C$5:$AJ$470,8,)/VLOOKUP($D231,$C$5:$AJ$470,4,))*$F231))</f>
        <v>2043920.5341840147</v>
      </c>
      <c r="K231" s="19">
        <f t="shared" ref="K231:K243" si="236">IF(VLOOKUP($D231,$C$5:$AJ$470,9,)=0,0,((VLOOKUP($D231,$C$5:$AJ$470,9,)/VLOOKUP($D231,$C$5:$AJ$470,4,))*$F231))</f>
        <v>2231459.4150974555</v>
      </c>
      <c r="L231" s="19">
        <f t="shared" ref="L231:L243" si="237">IF(VLOOKUP($D231,$C$5:$AJ$470,10,)=0,0,((VLOOKUP($D231,$C$5:$AJ$470,10,)/VLOOKUP($D231,$C$5:$AJ$470,4,))*$F231))</f>
        <v>137045.7415552669</v>
      </c>
      <c r="M231" s="19">
        <f t="shared" ref="M231:M243" si="238">IF(VLOOKUP($D231,$C$5:$AJ$470,11,)=0,0,((VLOOKUP($D231,$C$5:$AJ$470,11,)/VLOOKUP($D231,$C$5:$AJ$470,4,))*$F231))</f>
        <v>4464762.5854335092</v>
      </c>
      <c r="N231" s="19"/>
      <c r="O231" s="19">
        <f t="shared" ref="O231:O243" si="239">IF(VLOOKUP($D231,$C$5:$AJ$470,13,)=0,0,((VLOOKUP($D231,$C$5:$AJ$470,13,)/VLOOKUP($D231,$C$5:$AJ$470,4,))*$F231))</f>
        <v>416836.94420894049</v>
      </c>
      <c r="P231" s="19">
        <f t="shared" ref="P231:P243" si="240">IF(VLOOKUP($D231,$C$5:$AJ$470,14,)=0,0,((VLOOKUP($D231,$C$5:$AJ$470,14,)/VLOOKUP($D231,$C$5:$AJ$470,4,))*$F231))</f>
        <v>15759.864941044812</v>
      </c>
      <c r="Q231" s="19">
        <f t="shared" ref="Q231:Q243" si="241">IF(VLOOKUP($D231,$C$5:$AJ$470,15,)=0,0,((VLOOKUP($D231,$C$5:$AJ$470,15,)/VLOOKUP($D231,$C$5:$AJ$470,4,))*$F231))</f>
        <v>0</v>
      </c>
      <c r="R231" s="19"/>
      <c r="S231" s="19">
        <f t="shared" ref="S231:S243" si="242">IF(VLOOKUP($D231,$C$5:$AJ$470,17,)=0,0,((VLOOKUP($D231,$C$5:$AJ$470,17,)/VLOOKUP($D231,$C$5:$AJ$470,4,))*$F231))</f>
        <v>0</v>
      </c>
      <c r="T231" s="19">
        <f t="shared" ref="T231:T243" si="243">IF(VLOOKUP($D231,$C$5:$AJ$470,18,)=0,0,((VLOOKUP($D231,$C$5:$AJ$470,18,)/VLOOKUP($D231,$C$5:$AJ$470,4,))*$F231))</f>
        <v>0</v>
      </c>
      <c r="U231" s="19">
        <f t="shared" ref="U231:U243" si="244">IF(VLOOKUP($D231,$C$5:$AJ$470,19,)=0,0,((VLOOKUP($D231,$C$5:$AJ$470,19,)/VLOOKUP($D231,$C$5:$AJ$470,4,))*$F231))</f>
        <v>0</v>
      </c>
      <c r="V231" s="19">
        <f t="shared" ref="V231:V243" si="245">IF(VLOOKUP($D231,$C$5:$AJ$470,20,)=0,0,((VLOOKUP($D231,$C$5:$AJ$470,20,)/VLOOKUP($D231,$C$5:$AJ$470,4,))*$F231))</f>
        <v>0</v>
      </c>
      <c r="W231" s="19">
        <f t="shared" ref="W231:W243" si="246">IF(VLOOKUP($D231,$C$5:$AJ$470,21,)=0,0,((VLOOKUP($D231,$C$5:$AJ$470,21,)/VLOOKUP($D231,$C$5:$AJ$470,4,))*$F231))</f>
        <v>0</v>
      </c>
      <c r="X231" s="19">
        <f t="shared" ref="X231:X243" si="247">IF(VLOOKUP($D231,$C$5:$AJ$470,22,)=0,0,((VLOOKUP($D231,$C$5:$AJ$470,22,)/VLOOKUP($D231,$C$5:$AJ$470,4,))*$F231))</f>
        <v>0</v>
      </c>
      <c r="Y231" s="19">
        <f t="shared" ref="Y231:Y243" si="248">IF(VLOOKUP($D231,$C$5:$AJ$470,23,)=0,0,((VLOOKUP($D231,$C$5:$AJ$470,23,)/VLOOKUP($D231,$C$5:$AJ$470,4,))*$F231))</f>
        <v>0</v>
      </c>
      <c r="Z231" s="19">
        <f t="shared" ref="Z231:Z243" si="249">IF(VLOOKUP($D231,$C$5:$AJ$470,24,)=0,0,((VLOOKUP($D231,$C$5:$AJ$470,24,)/VLOOKUP($D231,$C$5:$AJ$470,4,))*$F231))</f>
        <v>0</v>
      </c>
      <c r="AA231" s="19">
        <f t="shared" ref="AA231:AA243" si="250">IF(VLOOKUP($D231,$C$5:$AJ$470,25,)=0,0,((VLOOKUP($D231,$C$5:$AJ$470,25,)/VLOOKUP($D231,$C$5:$AJ$470,4,))*$F231))</f>
        <v>0</v>
      </c>
      <c r="AB231" s="19">
        <f t="shared" ref="AB231:AB243" si="251">IF(VLOOKUP($D231,$C$5:$AJ$470,26,)=0,0,((VLOOKUP($D231,$C$5:$AJ$470,26,)/VLOOKUP($D231,$C$5:$AJ$470,4,))*$F231))</f>
        <v>0</v>
      </c>
      <c r="AC231" s="19">
        <f t="shared" ref="AC231:AC243" si="252">IF(VLOOKUP($D231,$C$5:$AJ$470,27,)=0,0,((VLOOKUP($D231,$C$5:$AJ$470,27,)/VLOOKUP($D231,$C$5:$AJ$470,4,))*$F231))</f>
        <v>0</v>
      </c>
      <c r="AD231" s="19">
        <f t="shared" ref="AD231:AD243" si="253">IF(VLOOKUP($D231,$C$5:$AJ$470,28,)=0,0,((VLOOKUP($D231,$C$5:$AJ$470,28,)/VLOOKUP($D231,$C$5:$AJ$470,4,))*$F231))</f>
        <v>0</v>
      </c>
      <c r="AE231" s="19"/>
      <c r="AF231" s="19">
        <f t="shared" ref="AF231:AF243" si="254">IF(VLOOKUP($D231,$C$5:$AJ$470,30,)=0,0,((VLOOKUP($D231,$C$5:$AJ$470,30,)/VLOOKUP($D231,$C$5:$AJ$470,4,))*$F231))</f>
        <v>0</v>
      </c>
      <c r="AG231" s="19"/>
      <c r="AH231" s="19">
        <f t="shared" ref="AH231:AH243" si="255">IF(VLOOKUP($D231,$C$5:$AJ$470,32,)=0,0,((VLOOKUP($D231,$C$5:$AJ$470,32,)/VLOOKUP($D231,$C$5:$AJ$470,4,))*$F231))</f>
        <v>0</v>
      </c>
      <c r="AI231" s="19"/>
      <c r="AJ231" s="19">
        <f t="shared" ref="AJ231:AJ243" si="256">IF(VLOOKUP($D231,$C$5:$AJ$470,34,)=0,0,((VLOOKUP($D231,$C$5:$AJ$470,34,)/VLOOKUP($D231,$C$5:$AJ$470,4,))*$F231))</f>
        <v>0</v>
      </c>
      <c r="AK231" s="19">
        <f t="shared" ref="AK231:AK242" si="257">SUM(H231:AJ231)</f>
        <v>19939026.010000005</v>
      </c>
      <c r="AL231" s="15" t="str">
        <f t="shared" ref="AL231:AL242" si="258">IF(ABS(AK231-F231)&lt;1,"ok","err")</f>
        <v>ok</v>
      </c>
    </row>
    <row r="232" spans="1:38" x14ac:dyDescent="0.3">
      <c r="A232" s="2">
        <v>921</v>
      </c>
      <c r="B232" s="2" t="s">
        <v>309</v>
      </c>
      <c r="C232" s="2" t="s">
        <v>310</v>
      </c>
      <c r="D232" s="2" t="s">
        <v>308</v>
      </c>
      <c r="F232" s="43">
        <v>8813219.3729999997</v>
      </c>
      <c r="H232" s="19">
        <f t="shared" si="233"/>
        <v>2103301.610772239</v>
      </c>
      <c r="I232" s="19">
        <f t="shared" si="234"/>
        <v>2594913.4369341391</v>
      </c>
      <c r="J232" s="19">
        <f t="shared" si="235"/>
        <v>903430.2899102876</v>
      </c>
      <c r="K232" s="19">
        <f t="shared" si="236"/>
        <v>986324.07306840864</v>
      </c>
      <c r="L232" s="19">
        <f t="shared" si="237"/>
        <v>60575.385370191878</v>
      </c>
      <c r="M232" s="19">
        <f t="shared" si="238"/>
        <v>1973463.1016607096</v>
      </c>
      <c r="N232" s="19"/>
      <c r="O232" s="19">
        <f t="shared" si="239"/>
        <v>184245.48070913291</v>
      </c>
      <c r="P232" s="19">
        <f t="shared" si="240"/>
        <v>6965.9945748914561</v>
      </c>
      <c r="Q232" s="19">
        <f t="shared" si="241"/>
        <v>0</v>
      </c>
      <c r="R232" s="19"/>
      <c r="S232" s="19">
        <f t="shared" si="242"/>
        <v>0</v>
      </c>
      <c r="T232" s="19">
        <f t="shared" si="243"/>
        <v>0</v>
      </c>
      <c r="U232" s="19">
        <f t="shared" si="244"/>
        <v>0</v>
      </c>
      <c r="V232" s="19">
        <f t="shared" si="245"/>
        <v>0</v>
      </c>
      <c r="W232" s="19">
        <f t="shared" si="246"/>
        <v>0</v>
      </c>
      <c r="X232" s="19">
        <f t="shared" si="247"/>
        <v>0</v>
      </c>
      <c r="Y232" s="19">
        <f t="shared" si="248"/>
        <v>0</v>
      </c>
      <c r="Z232" s="19">
        <f t="shared" si="249"/>
        <v>0</v>
      </c>
      <c r="AA232" s="19">
        <f t="shared" si="250"/>
        <v>0</v>
      </c>
      <c r="AB232" s="19">
        <f t="shared" si="251"/>
        <v>0</v>
      </c>
      <c r="AC232" s="19">
        <f t="shared" si="252"/>
        <v>0</v>
      </c>
      <c r="AD232" s="19">
        <f t="shared" si="253"/>
        <v>0</v>
      </c>
      <c r="AE232" s="19"/>
      <c r="AF232" s="19">
        <f t="shared" si="254"/>
        <v>0</v>
      </c>
      <c r="AG232" s="19"/>
      <c r="AH232" s="19">
        <f t="shared" si="255"/>
        <v>0</v>
      </c>
      <c r="AI232" s="19"/>
      <c r="AJ232" s="19">
        <f t="shared" si="256"/>
        <v>0</v>
      </c>
      <c r="AK232" s="19">
        <f t="shared" si="257"/>
        <v>8813219.3730000015</v>
      </c>
      <c r="AL232" s="15" t="str">
        <f t="shared" si="258"/>
        <v>ok</v>
      </c>
    </row>
    <row r="233" spans="1:38" x14ac:dyDescent="0.3">
      <c r="A233" s="2">
        <v>922</v>
      </c>
      <c r="B233" s="2" t="s">
        <v>311</v>
      </c>
      <c r="C233" s="2" t="s">
        <v>312</v>
      </c>
      <c r="D233" s="2" t="s">
        <v>308</v>
      </c>
      <c r="F233" s="43">
        <v>0</v>
      </c>
      <c r="H233" s="19">
        <f t="shared" si="233"/>
        <v>0</v>
      </c>
      <c r="I233" s="19">
        <f t="shared" si="234"/>
        <v>0</v>
      </c>
      <c r="J233" s="19">
        <f t="shared" si="235"/>
        <v>0</v>
      </c>
      <c r="K233" s="19">
        <f t="shared" si="236"/>
        <v>0</v>
      </c>
      <c r="L233" s="19">
        <f t="shared" si="237"/>
        <v>0</v>
      </c>
      <c r="M233" s="19">
        <f t="shared" si="238"/>
        <v>0</v>
      </c>
      <c r="N233" s="19"/>
      <c r="O233" s="19">
        <f t="shared" si="239"/>
        <v>0</v>
      </c>
      <c r="P233" s="19">
        <f t="shared" si="240"/>
        <v>0</v>
      </c>
      <c r="Q233" s="19">
        <f t="shared" si="241"/>
        <v>0</v>
      </c>
      <c r="R233" s="19"/>
      <c r="S233" s="19">
        <f t="shared" si="242"/>
        <v>0</v>
      </c>
      <c r="T233" s="19">
        <f t="shared" si="243"/>
        <v>0</v>
      </c>
      <c r="U233" s="19">
        <f t="shared" si="244"/>
        <v>0</v>
      </c>
      <c r="V233" s="19">
        <f t="shared" si="245"/>
        <v>0</v>
      </c>
      <c r="W233" s="19">
        <f t="shared" si="246"/>
        <v>0</v>
      </c>
      <c r="X233" s="19">
        <f t="shared" si="247"/>
        <v>0</v>
      </c>
      <c r="Y233" s="19">
        <f t="shared" si="248"/>
        <v>0</v>
      </c>
      <c r="Z233" s="19">
        <f t="shared" si="249"/>
        <v>0</v>
      </c>
      <c r="AA233" s="19">
        <f t="shared" si="250"/>
        <v>0</v>
      </c>
      <c r="AB233" s="19">
        <f t="shared" si="251"/>
        <v>0</v>
      </c>
      <c r="AC233" s="19">
        <f t="shared" si="252"/>
        <v>0</v>
      </c>
      <c r="AD233" s="19">
        <f t="shared" si="253"/>
        <v>0</v>
      </c>
      <c r="AE233" s="19"/>
      <c r="AF233" s="19">
        <f t="shared" si="254"/>
        <v>0</v>
      </c>
      <c r="AG233" s="19"/>
      <c r="AH233" s="19">
        <f t="shared" si="255"/>
        <v>0</v>
      </c>
      <c r="AI233" s="19"/>
      <c r="AJ233" s="19">
        <f t="shared" si="256"/>
        <v>0</v>
      </c>
      <c r="AK233" s="19">
        <f>SUM(H233:AJ233)</f>
        <v>0</v>
      </c>
      <c r="AL233" s="15" t="str">
        <f t="shared" si="258"/>
        <v>ok</v>
      </c>
    </row>
    <row r="234" spans="1:38" x14ac:dyDescent="0.3">
      <c r="A234" s="2">
        <v>923</v>
      </c>
      <c r="B234" s="2" t="s">
        <v>313</v>
      </c>
      <c r="C234" s="2" t="s">
        <v>314</v>
      </c>
      <c r="D234" s="2" t="s">
        <v>308</v>
      </c>
      <c r="F234" s="43">
        <v>5363914.22</v>
      </c>
      <c r="H234" s="19">
        <f t="shared" si="233"/>
        <v>1280114.4441647746</v>
      </c>
      <c r="I234" s="19">
        <f t="shared" si="234"/>
        <v>1579319.9391679436</v>
      </c>
      <c r="J234" s="19">
        <f t="shared" si="235"/>
        <v>549847.03928673151</v>
      </c>
      <c r="K234" s="19">
        <f t="shared" si="236"/>
        <v>600297.97252840444</v>
      </c>
      <c r="L234" s="19">
        <f t="shared" si="237"/>
        <v>36867.477957552503</v>
      </c>
      <c r="M234" s="19">
        <f t="shared" si="238"/>
        <v>1201091.9444570583</v>
      </c>
      <c r="N234" s="19"/>
      <c r="O234" s="19">
        <f t="shared" si="239"/>
        <v>112135.74882455767</v>
      </c>
      <c r="P234" s="19">
        <f t="shared" si="240"/>
        <v>4239.6536129775441</v>
      </c>
      <c r="Q234" s="19">
        <f t="shared" si="241"/>
        <v>0</v>
      </c>
      <c r="R234" s="19"/>
      <c r="S234" s="19">
        <f t="shared" si="242"/>
        <v>0</v>
      </c>
      <c r="T234" s="19">
        <f t="shared" si="243"/>
        <v>0</v>
      </c>
      <c r="U234" s="19">
        <f t="shared" si="244"/>
        <v>0</v>
      </c>
      <c r="V234" s="19">
        <f t="shared" si="245"/>
        <v>0</v>
      </c>
      <c r="W234" s="19">
        <f t="shared" si="246"/>
        <v>0</v>
      </c>
      <c r="X234" s="19">
        <f t="shared" si="247"/>
        <v>0</v>
      </c>
      <c r="Y234" s="19">
        <f t="shared" si="248"/>
        <v>0</v>
      </c>
      <c r="Z234" s="19">
        <f t="shared" si="249"/>
        <v>0</v>
      </c>
      <c r="AA234" s="19">
        <f t="shared" si="250"/>
        <v>0</v>
      </c>
      <c r="AB234" s="19">
        <f t="shared" si="251"/>
        <v>0</v>
      </c>
      <c r="AC234" s="19">
        <f t="shared" si="252"/>
        <v>0</v>
      </c>
      <c r="AD234" s="19">
        <f t="shared" si="253"/>
        <v>0</v>
      </c>
      <c r="AE234" s="19"/>
      <c r="AF234" s="19">
        <f t="shared" si="254"/>
        <v>0</v>
      </c>
      <c r="AG234" s="19"/>
      <c r="AH234" s="19">
        <f t="shared" si="255"/>
        <v>0</v>
      </c>
      <c r="AI234" s="19"/>
      <c r="AJ234" s="19">
        <f t="shared" si="256"/>
        <v>0</v>
      </c>
      <c r="AK234" s="19">
        <f t="shared" si="257"/>
        <v>5363914.22</v>
      </c>
      <c r="AL234" s="15" t="str">
        <f t="shared" si="258"/>
        <v>ok</v>
      </c>
    </row>
    <row r="235" spans="1:38" x14ac:dyDescent="0.3">
      <c r="A235" s="2">
        <v>924</v>
      </c>
      <c r="B235" s="2" t="s">
        <v>315</v>
      </c>
      <c r="C235" s="2" t="s">
        <v>316</v>
      </c>
      <c r="D235" s="2" t="s">
        <v>62</v>
      </c>
      <c r="F235" s="43">
        <v>0</v>
      </c>
      <c r="H235" s="19">
        <f t="shared" si="233"/>
        <v>0</v>
      </c>
      <c r="I235" s="19">
        <f t="shared" si="234"/>
        <v>0</v>
      </c>
      <c r="J235" s="19">
        <f t="shared" si="235"/>
        <v>0</v>
      </c>
      <c r="K235" s="19">
        <f t="shared" si="236"/>
        <v>0</v>
      </c>
      <c r="L235" s="19">
        <f t="shared" si="237"/>
        <v>0</v>
      </c>
      <c r="M235" s="19">
        <f t="shared" si="238"/>
        <v>0</v>
      </c>
      <c r="N235" s="19"/>
      <c r="O235" s="19">
        <f t="shared" si="239"/>
        <v>0</v>
      </c>
      <c r="P235" s="19">
        <f t="shared" si="240"/>
        <v>0</v>
      </c>
      <c r="Q235" s="19">
        <f t="shared" si="241"/>
        <v>0</v>
      </c>
      <c r="R235" s="19"/>
      <c r="S235" s="19">
        <f t="shared" si="242"/>
        <v>0</v>
      </c>
      <c r="T235" s="19">
        <f t="shared" si="243"/>
        <v>0</v>
      </c>
      <c r="U235" s="19">
        <f t="shared" si="244"/>
        <v>0</v>
      </c>
      <c r="V235" s="19">
        <f t="shared" si="245"/>
        <v>0</v>
      </c>
      <c r="W235" s="19">
        <f t="shared" si="246"/>
        <v>0</v>
      </c>
      <c r="X235" s="19">
        <f t="shared" si="247"/>
        <v>0</v>
      </c>
      <c r="Y235" s="19">
        <f t="shared" si="248"/>
        <v>0</v>
      </c>
      <c r="Z235" s="19">
        <f t="shared" si="249"/>
        <v>0</v>
      </c>
      <c r="AA235" s="19">
        <f t="shared" si="250"/>
        <v>0</v>
      </c>
      <c r="AB235" s="19">
        <f t="shared" si="251"/>
        <v>0</v>
      </c>
      <c r="AC235" s="19">
        <f t="shared" si="252"/>
        <v>0</v>
      </c>
      <c r="AD235" s="19">
        <f t="shared" si="253"/>
        <v>0</v>
      </c>
      <c r="AE235" s="19"/>
      <c r="AF235" s="19">
        <f t="shared" si="254"/>
        <v>0</v>
      </c>
      <c r="AG235" s="19"/>
      <c r="AH235" s="19">
        <f t="shared" si="255"/>
        <v>0</v>
      </c>
      <c r="AI235" s="19"/>
      <c r="AJ235" s="19">
        <f t="shared" si="256"/>
        <v>0</v>
      </c>
      <c r="AK235" s="19">
        <f t="shared" si="257"/>
        <v>0</v>
      </c>
      <c r="AL235" s="15" t="str">
        <f t="shared" si="258"/>
        <v>ok</v>
      </c>
    </row>
    <row r="236" spans="1:38" x14ac:dyDescent="0.3">
      <c r="A236" s="2">
        <v>925</v>
      </c>
      <c r="B236" s="2" t="s">
        <v>317</v>
      </c>
      <c r="C236" s="2" t="s">
        <v>318</v>
      </c>
      <c r="D236" s="2" t="s">
        <v>308</v>
      </c>
      <c r="F236" s="43">
        <v>1986805.53</v>
      </c>
      <c r="H236" s="19">
        <f t="shared" si="233"/>
        <v>474157.18305417837</v>
      </c>
      <c r="I236" s="19">
        <f t="shared" si="234"/>
        <v>584983.55120565929</v>
      </c>
      <c r="J236" s="19">
        <f t="shared" si="235"/>
        <v>203664.54300028039</v>
      </c>
      <c r="K236" s="19">
        <f t="shared" si="236"/>
        <v>222351.67874612697</v>
      </c>
      <c r="L236" s="19">
        <f t="shared" si="237"/>
        <v>13655.794272418178</v>
      </c>
      <c r="M236" s="19">
        <f t="shared" si="238"/>
        <v>444887.07675227075</v>
      </c>
      <c r="N236" s="19"/>
      <c r="O236" s="19">
        <f t="shared" si="239"/>
        <v>41535.326020803179</v>
      </c>
      <c r="P236" s="19">
        <f t="shared" si="240"/>
        <v>1570.3769482630289</v>
      </c>
      <c r="Q236" s="19">
        <f t="shared" si="241"/>
        <v>0</v>
      </c>
      <c r="R236" s="19"/>
      <c r="S236" s="19">
        <f t="shared" si="242"/>
        <v>0</v>
      </c>
      <c r="T236" s="19">
        <f t="shared" si="243"/>
        <v>0</v>
      </c>
      <c r="U236" s="19">
        <f t="shared" si="244"/>
        <v>0</v>
      </c>
      <c r="V236" s="19">
        <f t="shared" si="245"/>
        <v>0</v>
      </c>
      <c r="W236" s="19">
        <f t="shared" si="246"/>
        <v>0</v>
      </c>
      <c r="X236" s="19">
        <f t="shared" si="247"/>
        <v>0</v>
      </c>
      <c r="Y236" s="19">
        <f t="shared" si="248"/>
        <v>0</v>
      </c>
      <c r="Z236" s="19">
        <f t="shared" si="249"/>
        <v>0</v>
      </c>
      <c r="AA236" s="19">
        <f t="shared" si="250"/>
        <v>0</v>
      </c>
      <c r="AB236" s="19">
        <f t="shared" si="251"/>
        <v>0</v>
      </c>
      <c r="AC236" s="19">
        <f t="shared" si="252"/>
        <v>0</v>
      </c>
      <c r="AD236" s="19">
        <f t="shared" si="253"/>
        <v>0</v>
      </c>
      <c r="AE236" s="19"/>
      <c r="AF236" s="19">
        <f t="shared" si="254"/>
        <v>0</v>
      </c>
      <c r="AG236" s="19"/>
      <c r="AH236" s="19">
        <f t="shared" si="255"/>
        <v>0</v>
      </c>
      <c r="AI236" s="19"/>
      <c r="AJ236" s="19">
        <f t="shared" si="256"/>
        <v>0</v>
      </c>
      <c r="AK236" s="19">
        <f t="shared" si="257"/>
        <v>1986805.5300000003</v>
      </c>
      <c r="AL236" s="15" t="str">
        <f t="shared" si="258"/>
        <v>ok</v>
      </c>
    </row>
    <row r="237" spans="1:38" x14ac:dyDescent="0.3">
      <c r="A237" s="2">
        <v>926</v>
      </c>
      <c r="B237" s="2" t="s">
        <v>319</v>
      </c>
      <c r="C237" s="2" t="s">
        <v>320</v>
      </c>
      <c r="D237" s="2" t="s">
        <v>308</v>
      </c>
      <c r="F237" s="43">
        <v>2459669.92</v>
      </c>
      <c r="H237" s="19">
        <f t="shared" si="233"/>
        <v>587007.70805197838</v>
      </c>
      <c r="I237" s="19">
        <f t="shared" si="234"/>
        <v>724211.01253696415</v>
      </c>
      <c r="J237" s="19">
        <f t="shared" si="235"/>
        <v>252137.18334493271</v>
      </c>
      <c r="K237" s="19">
        <f t="shared" si="236"/>
        <v>275271.90135883697</v>
      </c>
      <c r="L237" s="19">
        <f t="shared" si="237"/>
        <v>16905.90543382234</v>
      </c>
      <c r="M237" s="19">
        <f t="shared" si="238"/>
        <v>550771.24759376503</v>
      </c>
      <c r="N237" s="19"/>
      <c r="O237" s="19">
        <f t="shared" si="239"/>
        <v>51420.831323518047</v>
      </c>
      <c r="P237" s="19">
        <f t="shared" si="240"/>
        <v>1944.1303561823527</v>
      </c>
      <c r="Q237" s="19">
        <f t="shared" si="241"/>
        <v>0</v>
      </c>
      <c r="R237" s="19"/>
      <c r="S237" s="19">
        <f t="shared" si="242"/>
        <v>0</v>
      </c>
      <c r="T237" s="19">
        <f t="shared" si="243"/>
        <v>0</v>
      </c>
      <c r="U237" s="19">
        <f t="shared" si="244"/>
        <v>0</v>
      </c>
      <c r="V237" s="19">
        <f t="shared" si="245"/>
        <v>0</v>
      </c>
      <c r="W237" s="19">
        <f t="shared" si="246"/>
        <v>0</v>
      </c>
      <c r="X237" s="19">
        <f t="shared" si="247"/>
        <v>0</v>
      </c>
      <c r="Y237" s="19">
        <f t="shared" si="248"/>
        <v>0</v>
      </c>
      <c r="Z237" s="19">
        <f t="shared" si="249"/>
        <v>0</v>
      </c>
      <c r="AA237" s="19">
        <f t="shared" si="250"/>
        <v>0</v>
      </c>
      <c r="AB237" s="19">
        <f t="shared" si="251"/>
        <v>0</v>
      </c>
      <c r="AC237" s="19">
        <f t="shared" si="252"/>
        <v>0</v>
      </c>
      <c r="AD237" s="19">
        <f t="shared" si="253"/>
        <v>0</v>
      </c>
      <c r="AE237" s="19"/>
      <c r="AF237" s="19">
        <f t="shared" si="254"/>
        <v>0</v>
      </c>
      <c r="AG237" s="19"/>
      <c r="AH237" s="19">
        <f t="shared" si="255"/>
        <v>0</v>
      </c>
      <c r="AI237" s="19"/>
      <c r="AJ237" s="19">
        <f t="shared" si="256"/>
        <v>0</v>
      </c>
      <c r="AK237" s="19">
        <f t="shared" si="257"/>
        <v>2459669.92</v>
      </c>
      <c r="AL237" s="15" t="str">
        <f t="shared" si="258"/>
        <v>ok</v>
      </c>
    </row>
    <row r="238" spans="1:38" x14ac:dyDescent="0.3">
      <c r="A238" s="2">
        <v>927</v>
      </c>
      <c r="B238" s="2" t="s">
        <v>321</v>
      </c>
      <c r="C238" s="2" t="s">
        <v>322</v>
      </c>
      <c r="D238" s="2" t="s">
        <v>62</v>
      </c>
      <c r="F238" s="43">
        <v>0</v>
      </c>
      <c r="H238" s="19">
        <f t="shared" si="233"/>
        <v>0</v>
      </c>
      <c r="I238" s="19">
        <f t="shared" si="234"/>
        <v>0</v>
      </c>
      <c r="J238" s="19">
        <f t="shared" si="235"/>
        <v>0</v>
      </c>
      <c r="K238" s="19">
        <f t="shared" si="236"/>
        <v>0</v>
      </c>
      <c r="L238" s="19">
        <f t="shared" si="237"/>
        <v>0</v>
      </c>
      <c r="M238" s="19">
        <f t="shared" si="238"/>
        <v>0</v>
      </c>
      <c r="N238" s="19"/>
      <c r="O238" s="19">
        <f t="shared" si="239"/>
        <v>0</v>
      </c>
      <c r="P238" s="19">
        <f t="shared" si="240"/>
        <v>0</v>
      </c>
      <c r="Q238" s="19">
        <f t="shared" si="241"/>
        <v>0</v>
      </c>
      <c r="R238" s="19"/>
      <c r="S238" s="19">
        <f t="shared" si="242"/>
        <v>0</v>
      </c>
      <c r="T238" s="19">
        <f t="shared" si="243"/>
        <v>0</v>
      </c>
      <c r="U238" s="19">
        <f t="shared" si="244"/>
        <v>0</v>
      </c>
      <c r="V238" s="19">
        <f t="shared" si="245"/>
        <v>0</v>
      </c>
      <c r="W238" s="19">
        <f t="shared" si="246"/>
        <v>0</v>
      </c>
      <c r="X238" s="19">
        <f t="shared" si="247"/>
        <v>0</v>
      </c>
      <c r="Y238" s="19">
        <f t="shared" si="248"/>
        <v>0</v>
      </c>
      <c r="Z238" s="19">
        <f t="shared" si="249"/>
        <v>0</v>
      </c>
      <c r="AA238" s="19">
        <f t="shared" si="250"/>
        <v>0</v>
      </c>
      <c r="AB238" s="19">
        <f t="shared" si="251"/>
        <v>0</v>
      </c>
      <c r="AC238" s="19">
        <f t="shared" si="252"/>
        <v>0</v>
      </c>
      <c r="AD238" s="19">
        <f t="shared" si="253"/>
        <v>0</v>
      </c>
      <c r="AE238" s="19"/>
      <c r="AF238" s="19">
        <f t="shared" si="254"/>
        <v>0</v>
      </c>
      <c r="AG238" s="19"/>
      <c r="AH238" s="19">
        <f t="shared" si="255"/>
        <v>0</v>
      </c>
      <c r="AI238" s="19"/>
      <c r="AJ238" s="19">
        <f t="shared" si="256"/>
        <v>0</v>
      </c>
      <c r="AK238" s="19">
        <f>SUM(H238:AJ238)</f>
        <v>0</v>
      </c>
      <c r="AL238" s="15" t="str">
        <f>IF(ABS(AK238-F238)&lt;1,"ok","err")</f>
        <v>ok</v>
      </c>
    </row>
    <row r="239" spans="1:38" x14ac:dyDescent="0.3">
      <c r="A239" s="2">
        <v>928</v>
      </c>
      <c r="B239" s="2" t="s">
        <v>323</v>
      </c>
      <c r="C239" s="2" t="s">
        <v>324</v>
      </c>
      <c r="D239" s="2" t="s">
        <v>62</v>
      </c>
      <c r="F239" s="43">
        <v>1764410.97</v>
      </c>
      <c r="H239" s="19">
        <f t="shared" si="233"/>
        <v>595083.81686937402</v>
      </c>
      <c r="I239" s="19">
        <f t="shared" si="234"/>
        <v>734174.77768651326</v>
      </c>
      <c r="J239" s="19">
        <f t="shared" si="235"/>
        <v>0</v>
      </c>
      <c r="K239" s="19">
        <f t="shared" si="236"/>
        <v>0</v>
      </c>
      <c r="L239" s="19">
        <f t="shared" si="237"/>
        <v>8523.8672450668746</v>
      </c>
      <c r="M239" s="19">
        <f t="shared" si="238"/>
        <v>298483.79862899467</v>
      </c>
      <c r="N239" s="19"/>
      <c r="O239" s="19">
        <f t="shared" si="239"/>
        <v>126451.81223322598</v>
      </c>
      <c r="P239" s="19">
        <f t="shared" si="240"/>
        <v>1692.8973368251304</v>
      </c>
      <c r="Q239" s="19">
        <f t="shared" si="241"/>
        <v>0</v>
      </c>
      <c r="R239" s="19"/>
      <c r="S239" s="19">
        <f t="shared" si="242"/>
        <v>0</v>
      </c>
      <c r="T239" s="19">
        <f t="shared" si="243"/>
        <v>0</v>
      </c>
      <c r="U239" s="19">
        <f t="shared" si="244"/>
        <v>0</v>
      </c>
      <c r="V239" s="19">
        <f t="shared" si="245"/>
        <v>0</v>
      </c>
      <c r="W239" s="19">
        <f t="shared" si="246"/>
        <v>0</v>
      </c>
      <c r="X239" s="19">
        <f t="shared" si="247"/>
        <v>0</v>
      </c>
      <c r="Y239" s="19">
        <f t="shared" si="248"/>
        <v>0</v>
      </c>
      <c r="Z239" s="19">
        <f t="shared" si="249"/>
        <v>0</v>
      </c>
      <c r="AA239" s="19">
        <f t="shared" si="250"/>
        <v>0</v>
      </c>
      <c r="AB239" s="19">
        <f t="shared" si="251"/>
        <v>0</v>
      </c>
      <c r="AC239" s="19">
        <f t="shared" si="252"/>
        <v>0</v>
      </c>
      <c r="AD239" s="19">
        <f t="shared" si="253"/>
        <v>0</v>
      </c>
      <c r="AE239" s="19"/>
      <c r="AF239" s="19">
        <f t="shared" si="254"/>
        <v>0</v>
      </c>
      <c r="AG239" s="19"/>
      <c r="AH239" s="19">
        <f t="shared" si="255"/>
        <v>0</v>
      </c>
      <c r="AI239" s="19"/>
      <c r="AJ239" s="19">
        <f t="shared" si="256"/>
        <v>0</v>
      </c>
      <c r="AK239" s="19">
        <f t="shared" si="257"/>
        <v>1764410.97</v>
      </c>
      <c r="AL239" s="15" t="str">
        <f t="shared" si="258"/>
        <v>ok</v>
      </c>
    </row>
    <row r="240" spans="1:38" x14ac:dyDescent="0.3">
      <c r="A240" s="2">
        <v>929</v>
      </c>
      <c r="B240" s="2" t="s">
        <v>325</v>
      </c>
      <c r="C240" s="2" t="s">
        <v>326</v>
      </c>
      <c r="D240" s="2" t="s">
        <v>308</v>
      </c>
      <c r="F240" s="43">
        <v>-557551</v>
      </c>
      <c r="H240" s="19">
        <f t="shared" si="233"/>
        <v>-133061.24206783349</v>
      </c>
      <c r="I240" s="19">
        <f t="shared" si="234"/>
        <v>-164162.09791718595</v>
      </c>
      <c r="J240" s="19">
        <f t="shared" si="235"/>
        <v>-57153.741470786692</v>
      </c>
      <c r="K240" s="19">
        <f t="shared" si="236"/>
        <v>-62397.853722795822</v>
      </c>
      <c r="L240" s="19">
        <f t="shared" si="237"/>
        <v>-3832.1826859325415</v>
      </c>
      <c r="M240" s="19">
        <f t="shared" si="238"/>
        <v>-124847.26400490002</v>
      </c>
      <c r="N240" s="19"/>
      <c r="O240" s="19">
        <f t="shared" si="239"/>
        <v>-11655.928176435484</v>
      </c>
      <c r="P240" s="19">
        <f t="shared" si="240"/>
        <v>-440.68995413003506</v>
      </c>
      <c r="Q240" s="19">
        <f t="shared" si="241"/>
        <v>0</v>
      </c>
      <c r="R240" s="19"/>
      <c r="S240" s="19">
        <f t="shared" si="242"/>
        <v>0</v>
      </c>
      <c r="T240" s="19">
        <f t="shared" si="243"/>
        <v>0</v>
      </c>
      <c r="U240" s="19">
        <f t="shared" si="244"/>
        <v>0</v>
      </c>
      <c r="V240" s="19">
        <f t="shared" si="245"/>
        <v>0</v>
      </c>
      <c r="W240" s="19">
        <f t="shared" si="246"/>
        <v>0</v>
      </c>
      <c r="X240" s="19">
        <f t="shared" si="247"/>
        <v>0</v>
      </c>
      <c r="Y240" s="19">
        <f t="shared" si="248"/>
        <v>0</v>
      </c>
      <c r="Z240" s="19">
        <f t="shared" si="249"/>
        <v>0</v>
      </c>
      <c r="AA240" s="19">
        <f t="shared" si="250"/>
        <v>0</v>
      </c>
      <c r="AB240" s="19">
        <f t="shared" si="251"/>
        <v>0</v>
      </c>
      <c r="AC240" s="19">
        <f t="shared" si="252"/>
        <v>0</v>
      </c>
      <c r="AD240" s="19">
        <f t="shared" si="253"/>
        <v>0</v>
      </c>
      <c r="AE240" s="19"/>
      <c r="AF240" s="19">
        <f t="shared" si="254"/>
        <v>0</v>
      </c>
      <c r="AG240" s="19"/>
      <c r="AH240" s="19">
        <f t="shared" si="255"/>
        <v>0</v>
      </c>
      <c r="AI240" s="19"/>
      <c r="AJ240" s="19">
        <f t="shared" si="256"/>
        <v>0</v>
      </c>
      <c r="AK240" s="19">
        <f t="shared" si="257"/>
        <v>-557551</v>
      </c>
      <c r="AL240" s="15" t="str">
        <f t="shared" si="258"/>
        <v>ok</v>
      </c>
    </row>
    <row r="241" spans="1:38" x14ac:dyDescent="0.3">
      <c r="A241" s="2">
        <v>930</v>
      </c>
      <c r="B241" s="2" t="s">
        <v>327</v>
      </c>
      <c r="C241" s="2" t="s">
        <v>328</v>
      </c>
      <c r="D241" s="2" t="s">
        <v>308</v>
      </c>
      <c r="F241" s="43">
        <v>5827140.6700000009</v>
      </c>
      <c r="H241" s="19">
        <f t="shared" si="233"/>
        <v>1390664.8454655942</v>
      </c>
      <c r="I241" s="19">
        <f t="shared" si="234"/>
        <v>1715709.6610816887</v>
      </c>
      <c r="J241" s="19">
        <f t="shared" si="235"/>
        <v>597331.70843041583</v>
      </c>
      <c r="K241" s="19">
        <f t="shared" si="236"/>
        <v>652139.5731490294</v>
      </c>
      <c r="L241" s="19">
        <f t="shared" si="237"/>
        <v>40051.345229525825</v>
      </c>
      <c r="M241" s="19">
        <f t="shared" si="238"/>
        <v>1304817.980097211</v>
      </c>
      <c r="N241" s="19"/>
      <c r="O241" s="19">
        <f t="shared" si="239"/>
        <v>121819.76738182902</v>
      </c>
      <c r="P241" s="19">
        <f t="shared" si="240"/>
        <v>4605.7891647070173</v>
      </c>
      <c r="Q241" s="19">
        <f t="shared" si="241"/>
        <v>0</v>
      </c>
      <c r="R241" s="19"/>
      <c r="S241" s="19">
        <f t="shared" si="242"/>
        <v>0</v>
      </c>
      <c r="T241" s="19">
        <f t="shared" si="243"/>
        <v>0</v>
      </c>
      <c r="U241" s="19">
        <f t="shared" si="244"/>
        <v>0</v>
      </c>
      <c r="V241" s="19">
        <f t="shared" si="245"/>
        <v>0</v>
      </c>
      <c r="W241" s="19">
        <f t="shared" si="246"/>
        <v>0</v>
      </c>
      <c r="X241" s="19">
        <f t="shared" si="247"/>
        <v>0</v>
      </c>
      <c r="Y241" s="19">
        <f t="shared" si="248"/>
        <v>0</v>
      </c>
      <c r="Z241" s="19">
        <f t="shared" si="249"/>
        <v>0</v>
      </c>
      <c r="AA241" s="19">
        <f t="shared" si="250"/>
        <v>0</v>
      </c>
      <c r="AB241" s="19">
        <f t="shared" si="251"/>
        <v>0</v>
      </c>
      <c r="AC241" s="19">
        <f t="shared" si="252"/>
        <v>0</v>
      </c>
      <c r="AD241" s="19">
        <f t="shared" si="253"/>
        <v>0</v>
      </c>
      <c r="AE241" s="19"/>
      <c r="AF241" s="19">
        <f t="shared" si="254"/>
        <v>0</v>
      </c>
      <c r="AG241" s="19"/>
      <c r="AH241" s="19">
        <f t="shared" si="255"/>
        <v>0</v>
      </c>
      <c r="AI241" s="19"/>
      <c r="AJ241" s="19">
        <f t="shared" si="256"/>
        <v>0</v>
      </c>
      <c r="AK241" s="19">
        <f t="shared" si="257"/>
        <v>5827140.6700000018</v>
      </c>
      <c r="AL241" s="15" t="str">
        <f t="shared" si="258"/>
        <v>ok</v>
      </c>
    </row>
    <row r="242" spans="1:38" x14ac:dyDescent="0.3">
      <c r="A242" s="2">
        <v>931</v>
      </c>
      <c r="B242" s="2" t="s">
        <v>329</v>
      </c>
      <c r="C242" s="2" t="s">
        <v>330</v>
      </c>
      <c r="D242" s="2" t="s">
        <v>37</v>
      </c>
      <c r="F242" s="43">
        <v>0</v>
      </c>
      <c r="H242" s="19">
        <f t="shared" si="233"/>
        <v>0</v>
      </c>
      <c r="I242" s="19">
        <f t="shared" si="234"/>
        <v>0</v>
      </c>
      <c r="J242" s="19">
        <f t="shared" si="235"/>
        <v>0</v>
      </c>
      <c r="K242" s="19">
        <f t="shared" si="236"/>
        <v>0</v>
      </c>
      <c r="L242" s="19">
        <f t="shared" si="237"/>
        <v>0</v>
      </c>
      <c r="M242" s="19">
        <f t="shared" si="238"/>
        <v>0</v>
      </c>
      <c r="N242" s="19"/>
      <c r="O242" s="19">
        <f t="shared" si="239"/>
        <v>0</v>
      </c>
      <c r="P242" s="19">
        <f t="shared" si="240"/>
        <v>0</v>
      </c>
      <c r="Q242" s="19">
        <f t="shared" si="241"/>
        <v>0</v>
      </c>
      <c r="R242" s="19"/>
      <c r="S242" s="19">
        <f t="shared" si="242"/>
        <v>0</v>
      </c>
      <c r="T242" s="19">
        <f t="shared" si="243"/>
        <v>0</v>
      </c>
      <c r="U242" s="19">
        <f t="shared" si="244"/>
        <v>0</v>
      </c>
      <c r="V242" s="19">
        <f t="shared" si="245"/>
        <v>0</v>
      </c>
      <c r="W242" s="19">
        <f t="shared" si="246"/>
        <v>0</v>
      </c>
      <c r="X242" s="19">
        <f t="shared" si="247"/>
        <v>0</v>
      </c>
      <c r="Y242" s="19">
        <f t="shared" si="248"/>
        <v>0</v>
      </c>
      <c r="Z242" s="19">
        <f t="shared" si="249"/>
        <v>0</v>
      </c>
      <c r="AA242" s="19">
        <f t="shared" si="250"/>
        <v>0</v>
      </c>
      <c r="AB242" s="19">
        <f t="shared" si="251"/>
        <v>0</v>
      </c>
      <c r="AC242" s="19">
        <f t="shared" si="252"/>
        <v>0</v>
      </c>
      <c r="AD242" s="19">
        <f t="shared" si="253"/>
        <v>0</v>
      </c>
      <c r="AE242" s="19"/>
      <c r="AF242" s="19">
        <f t="shared" si="254"/>
        <v>0</v>
      </c>
      <c r="AG242" s="19"/>
      <c r="AH242" s="19">
        <f t="shared" si="255"/>
        <v>0</v>
      </c>
      <c r="AI242" s="19"/>
      <c r="AJ242" s="19">
        <f t="shared" si="256"/>
        <v>0</v>
      </c>
      <c r="AK242" s="19">
        <f t="shared" si="257"/>
        <v>0</v>
      </c>
      <c r="AL242" s="15" t="str">
        <f t="shared" si="258"/>
        <v>ok</v>
      </c>
    </row>
    <row r="243" spans="1:38" x14ac:dyDescent="0.3">
      <c r="A243" s="2">
        <v>935</v>
      </c>
      <c r="B243" s="2" t="s">
        <v>331</v>
      </c>
      <c r="C243" s="2" t="s">
        <v>332</v>
      </c>
      <c r="D243" s="2" t="s">
        <v>37</v>
      </c>
      <c r="F243" s="43">
        <v>3119735.97</v>
      </c>
      <c r="H243" s="19">
        <f t="shared" si="233"/>
        <v>1064837.9604876833</v>
      </c>
      <c r="I243" s="19">
        <f t="shared" si="234"/>
        <v>1313726.1521007076</v>
      </c>
      <c r="J243" s="19">
        <f t="shared" si="235"/>
        <v>0</v>
      </c>
      <c r="K243" s="19">
        <f t="shared" si="236"/>
        <v>0</v>
      </c>
      <c r="L243" s="19">
        <f t="shared" si="237"/>
        <v>15183.448617546441</v>
      </c>
      <c r="M243" s="19">
        <f t="shared" si="238"/>
        <v>505322.51562900067</v>
      </c>
      <c r="N243" s="19"/>
      <c r="O243" s="19">
        <f t="shared" si="239"/>
        <v>217750.71466006845</v>
      </c>
      <c r="P243" s="19">
        <f t="shared" si="240"/>
        <v>2915.178504993693</v>
      </c>
      <c r="Q243" s="19">
        <f t="shared" si="241"/>
        <v>0</v>
      </c>
      <c r="R243" s="19"/>
      <c r="S243" s="19">
        <f t="shared" si="242"/>
        <v>0</v>
      </c>
      <c r="T243" s="19">
        <f t="shared" si="243"/>
        <v>0</v>
      </c>
      <c r="U243" s="19">
        <f t="shared" si="244"/>
        <v>0</v>
      </c>
      <c r="V243" s="19">
        <f t="shared" si="245"/>
        <v>0</v>
      </c>
      <c r="W243" s="19">
        <f t="shared" si="246"/>
        <v>0</v>
      </c>
      <c r="X243" s="19">
        <f t="shared" si="247"/>
        <v>0</v>
      </c>
      <c r="Y243" s="19">
        <f t="shared" si="248"/>
        <v>0</v>
      </c>
      <c r="Z243" s="19">
        <f t="shared" si="249"/>
        <v>0</v>
      </c>
      <c r="AA243" s="19">
        <f t="shared" si="250"/>
        <v>0</v>
      </c>
      <c r="AB243" s="19">
        <f t="shared" si="251"/>
        <v>0</v>
      </c>
      <c r="AC243" s="19">
        <f t="shared" si="252"/>
        <v>0</v>
      </c>
      <c r="AD243" s="19">
        <f t="shared" si="253"/>
        <v>0</v>
      </c>
      <c r="AE243" s="19"/>
      <c r="AF243" s="19">
        <f t="shared" si="254"/>
        <v>0</v>
      </c>
      <c r="AG243" s="19"/>
      <c r="AH243" s="19">
        <f t="shared" si="255"/>
        <v>0</v>
      </c>
      <c r="AI243" s="19"/>
      <c r="AJ243" s="19">
        <f t="shared" si="256"/>
        <v>0</v>
      </c>
      <c r="AK243" s="19"/>
      <c r="AL243" s="15"/>
    </row>
    <row r="244" spans="1:38" x14ac:dyDescent="0.3">
      <c r="F244" s="43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5"/>
    </row>
    <row r="245" spans="1:38" x14ac:dyDescent="0.3">
      <c r="A245" s="2" t="s">
        <v>333</v>
      </c>
      <c r="C245" s="2" t="s">
        <v>334</v>
      </c>
      <c r="F245" s="44">
        <f t="shared" ref="F245:M245" si="259">SUM(F231:F244)</f>
        <v>48716371.663000003</v>
      </c>
      <c r="G245" s="18">
        <f t="shared" si="259"/>
        <v>0</v>
      </c>
      <c r="H245" s="18">
        <f t="shared" si="259"/>
        <v>12120615.533154786</v>
      </c>
      <c r="I245" s="18">
        <f t="shared" si="259"/>
        <v>14953608.151019404</v>
      </c>
      <c r="J245" s="18">
        <f t="shared" si="259"/>
        <v>4493177.5566858761</v>
      </c>
      <c r="K245" s="18">
        <f t="shared" si="259"/>
        <v>4905446.7602254665</v>
      </c>
      <c r="L245" s="18">
        <f t="shared" si="259"/>
        <v>324976.78299545834</v>
      </c>
      <c r="M245" s="18">
        <f t="shared" si="259"/>
        <v>10618752.986247621</v>
      </c>
      <c r="N245" s="18"/>
      <c r="O245" s="18">
        <f>SUM(O231:O244)</f>
        <v>1260540.6971856402</v>
      </c>
      <c r="P245" s="18">
        <f>SUM(P231:P244)</f>
        <v>39253.195485755008</v>
      </c>
      <c r="Q245" s="18">
        <f>SUM(Q231:Q244)</f>
        <v>0</v>
      </c>
      <c r="R245" s="18"/>
      <c r="S245" s="18">
        <f t="shared" ref="S245:AD245" si="260">SUM(S231:S244)</f>
        <v>0</v>
      </c>
      <c r="T245" s="18">
        <f t="shared" si="260"/>
        <v>0</v>
      </c>
      <c r="U245" s="18">
        <f t="shared" si="260"/>
        <v>0</v>
      </c>
      <c r="V245" s="18">
        <f t="shared" si="260"/>
        <v>0</v>
      </c>
      <c r="W245" s="18">
        <f t="shared" si="260"/>
        <v>0</v>
      </c>
      <c r="X245" s="18">
        <f t="shared" si="260"/>
        <v>0</v>
      </c>
      <c r="Y245" s="18">
        <f t="shared" si="260"/>
        <v>0</v>
      </c>
      <c r="Z245" s="18">
        <f t="shared" si="260"/>
        <v>0</v>
      </c>
      <c r="AA245" s="18">
        <f t="shared" si="260"/>
        <v>0</v>
      </c>
      <c r="AB245" s="18">
        <f t="shared" si="260"/>
        <v>0</v>
      </c>
      <c r="AC245" s="18">
        <f t="shared" si="260"/>
        <v>0</v>
      </c>
      <c r="AD245" s="18">
        <f t="shared" si="260"/>
        <v>0</v>
      </c>
      <c r="AE245" s="18"/>
      <c r="AF245" s="18">
        <f>SUM(AF231:AF244)</f>
        <v>0</v>
      </c>
      <c r="AG245" s="18"/>
      <c r="AH245" s="18">
        <f>SUM(AH231:AH244)</f>
        <v>0</v>
      </c>
      <c r="AI245" s="18"/>
      <c r="AJ245" s="18">
        <f>SUM(AJ231:AJ244)</f>
        <v>0</v>
      </c>
      <c r="AK245" s="19">
        <f>SUM(H245:AJ245)</f>
        <v>48716371.663000003</v>
      </c>
      <c r="AL245" s="15" t="str">
        <f>IF(ABS(AK245-F245)&lt;1,"ok","err")</f>
        <v>ok</v>
      </c>
    </row>
    <row r="246" spans="1:38" x14ac:dyDescent="0.3">
      <c r="F246" s="43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5"/>
    </row>
    <row r="247" spans="1:38" x14ac:dyDescent="0.3">
      <c r="A247" s="2" t="s">
        <v>335</v>
      </c>
      <c r="C247" s="2" t="s">
        <v>336</v>
      </c>
      <c r="F247" s="44">
        <f>F200+F209+F224+F245</f>
        <v>856245902.50300014</v>
      </c>
      <c r="G247" s="18"/>
      <c r="H247" s="18">
        <f t="shared" ref="H247:M247" si="261">H200+H209+H224+H245</f>
        <v>68820057.871783733</v>
      </c>
      <c r="I247" s="18">
        <f t="shared" si="261"/>
        <v>84905603.641176924</v>
      </c>
      <c r="J247" s="18">
        <f t="shared" si="261"/>
        <v>289780957.19425559</v>
      </c>
      <c r="K247" s="18">
        <f t="shared" si="261"/>
        <v>312164434.28502363</v>
      </c>
      <c r="L247" s="18">
        <f t="shared" si="261"/>
        <v>7383292.5668313876</v>
      </c>
      <c r="M247" s="18">
        <f t="shared" si="261"/>
        <v>86419698.412807196</v>
      </c>
      <c r="N247" s="18"/>
      <c r="O247" s="18">
        <f>O200+O209+O224+O245</f>
        <v>6548459.0377499638</v>
      </c>
      <c r="P247" s="18">
        <f>P200+P209+P224+P245</f>
        <v>223399.49337161644</v>
      </c>
      <c r="Q247" s="18">
        <f>Q200+Q209+Q224+Q245</f>
        <v>0</v>
      </c>
      <c r="R247" s="18"/>
      <c r="S247" s="18">
        <f t="shared" ref="S247:AD247" si="262">S200+S209+S224+S245</f>
        <v>0</v>
      </c>
      <c r="T247" s="18">
        <f t="shared" si="262"/>
        <v>0</v>
      </c>
      <c r="U247" s="18">
        <f t="shared" si="262"/>
        <v>0</v>
      </c>
      <c r="V247" s="18">
        <f t="shared" si="262"/>
        <v>0</v>
      </c>
      <c r="W247" s="18">
        <f t="shared" si="262"/>
        <v>0</v>
      </c>
      <c r="X247" s="18">
        <f t="shared" si="262"/>
        <v>0</v>
      </c>
      <c r="Y247" s="18">
        <f t="shared" si="262"/>
        <v>0</v>
      </c>
      <c r="Z247" s="18">
        <f t="shared" si="262"/>
        <v>0</v>
      </c>
      <c r="AA247" s="18">
        <f t="shared" si="262"/>
        <v>0</v>
      </c>
      <c r="AB247" s="18">
        <f t="shared" si="262"/>
        <v>0</v>
      </c>
      <c r="AC247" s="18">
        <f t="shared" si="262"/>
        <v>0</v>
      </c>
      <c r="AD247" s="18">
        <f t="shared" si="262"/>
        <v>0</v>
      </c>
      <c r="AE247" s="18"/>
      <c r="AF247" s="18">
        <f>AF200+AF209+AF224+AF245</f>
        <v>0</v>
      </c>
      <c r="AG247" s="18"/>
      <c r="AH247" s="18">
        <f>AH200+AH209+AH224+AH245</f>
        <v>0</v>
      </c>
      <c r="AI247" s="18"/>
      <c r="AJ247" s="18">
        <f>AJ200+AJ209+AJ224+AJ245</f>
        <v>0</v>
      </c>
      <c r="AK247" s="19">
        <f>SUM(H247:AJ247)</f>
        <v>856245902.50300014</v>
      </c>
      <c r="AL247" s="15" t="str">
        <f>IF(ABS(AK247-F247)&lt;1,"ok","err")</f>
        <v>ok</v>
      </c>
    </row>
    <row r="248" spans="1:38" x14ac:dyDescent="0.3">
      <c r="F248" s="43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5"/>
    </row>
    <row r="249" spans="1:38" x14ac:dyDescent="0.3">
      <c r="A249" s="2" t="s">
        <v>337</v>
      </c>
      <c r="C249" s="2" t="s">
        <v>83</v>
      </c>
      <c r="F249" s="20">
        <f>F247-F135-F136-F137-F138-F113-F89-F94</f>
        <v>347053610.63300008</v>
      </c>
      <c r="G249" s="20"/>
      <c r="H249" s="20">
        <f t="shared" ref="H249:AJ249" si="263">H247-H135-H136-H137-H138-H113-H89-H94</f>
        <v>68820057.871783733</v>
      </c>
      <c r="I249" s="20">
        <f t="shared" si="263"/>
        <v>84905603.641176924</v>
      </c>
      <c r="J249" s="20">
        <f t="shared" si="263"/>
        <v>46648826.629486024</v>
      </c>
      <c r="K249" s="20">
        <f t="shared" si="263"/>
        <v>50922930.327145487</v>
      </c>
      <c r="L249" s="20">
        <f t="shared" si="263"/>
        <v>2564635.2194791092</v>
      </c>
      <c r="M249" s="20">
        <f t="shared" si="263"/>
        <v>86419698.412807196</v>
      </c>
      <c r="N249" s="20"/>
      <c r="O249" s="20">
        <f t="shared" si="263"/>
        <v>6548459.0377499638</v>
      </c>
      <c r="P249" s="20">
        <f t="shared" si="263"/>
        <v>223399.49337161644</v>
      </c>
      <c r="Q249" s="20">
        <f t="shared" si="263"/>
        <v>0</v>
      </c>
      <c r="R249" s="20"/>
      <c r="S249" s="20">
        <f t="shared" si="263"/>
        <v>0</v>
      </c>
      <c r="T249" s="20">
        <f t="shared" si="263"/>
        <v>0</v>
      </c>
      <c r="U249" s="20">
        <f t="shared" si="263"/>
        <v>0</v>
      </c>
      <c r="V249" s="20">
        <f t="shared" si="263"/>
        <v>0</v>
      </c>
      <c r="W249" s="20">
        <f t="shared" si="263"/>
        <v>0</v>
      </c>
      <c r="X249" s="20">
        <f t="shared" si="263"/>
        <v>0</v>
      </c>
      <c r="Y249" s="20">
        <f t="shared" si="263"/>
        <v>0</v>
      </c>
      <c r="Z249" s="20">
        <f t="shared" si="263"/>
        <v>0</v>
      </c>
      <c r="AA249" s="20">
        <f t="shared" si="263"/>
        <v>0</v>
      </c>
      <c r="AB249" s="20">
        <f t="shared" si="263"/>
        <v>0</v>
      </c>
      <c r="AC249" s="20">
        <f t="shared" si="263"/>
        <v>0</v>
      </c>
      <c r="AD249" s="20">
        <f t="shared" si="263"/>
        <v>0</v>
      </c>
      <c r="AE249" s="20"/>
      <c r="AF249" s="20">
        <f t="shared" si="263"/>
        <v>0</v>
      </c>
      <c r="AG249" s="20"/>
      <c r="AH249" s="20">
        <f t="shared" si="263"/>
        <v>0</v>
      </c>
      <c r="AI249" s="20"/>
      <c r="AJ249" s="20">
        <f t="shared" si="263"/>
        <v>0</v>
      </c>
      <c r="AK249" s="19">
        <f>SUM(H249:AJ249)</f>
        <v>347053610.63300008</v>
      </c>
      <c r="AL249" s="15" t="str">
        <f>IF(ABS(AK249-F249)&lt;1,"ok","err")</f>
        <v>ok</v>
      </c>
    </row>
    <row r="250" spans="1:38" x14ac:dyDescent="0.3">
      <c r="Y250" s="2"/>
      <c r="AL250" s="15"/>
    </row>
    <row r="251" spans="1:38" x14ac:dyDescent="0.3">
      <c r="A251" s="16" t="s">
        <v>338</v>
      </c>
      <c r="F251" s="20"/>
      <c r="Y251" s="2"/>
      <c r="AL251" s="15"/>
    </row>
    <row r="252" spans="1:38" x14ac:dyDescent="0.3">
      <c r="A252" s="16"/>
      <c r="Y252" s="2"/>
      <c r="AL252" s="15"/>
    </row>
    <row r="253" spans="1:38" x14ac:dyDescent="0.3">
      <c r="A253" s="3" t="s">
        <v>118</v>
      </c>
      <c r="Y253" s="2"/>
      <c r="AL253" s="15"/>
    </row>
    <row r="254" spans="1:38" x14ac:dyDescent="0.3">
      <c r="A254" s="2">
        <v>500</v>
      </c>
      <c r="B254" s="2" t="s">
        <v>119</v>
      </c>
      <c r="C254" s="2" t="s">
        <v>339</v>
      </c>
      <c r="D254" s="2" t="s">
        <v>28</v>
      </c>
      <c r="F254" s="44">
        <v>5229146.92</v>
      </c>
      <c r="H254" s="19">
        <f t="shared" ref="H254:H260" si="264">IF(VLOOKUP($D254,$C$5:$AJ$470,6,)=0,0,((VLOOKUP($D254,$C$5:$AJ$470,6,)/VLOOKUP($D254,$C$5:$AJ$470,4,))*$F254))</f>
        <v>2327320.2215982848</v>
      </c>
      <c r="I254" s="19">
        <f t="shared" ref="I254:I260" si="265">IF(VLOOKUP($D254,$C$5:$AJ$470,7,)=0,0,((VLOOKUP($D254,$C$5:$AJ$470,7,)/VLOOKUP($D254,$C$5:$AJ$470,4,))*$F254))</f>
        <v>2871292.6782082408</v>
      </c>
      <c r="J254" s="19">
        <f t="shared" ref="J254:J260" si="266">IF(VLOOKUP($D254,$C$5:$AJ$470,8,)=0,0,((VLOOKUP($D254,$C$5:$AJ$470,8,)/VLOOKUP($D254,$C$5:$AJ$470,4,))*$F254))</f>
        <v>0</v>
      </c>
      <c r="K254" s="19">
        <f t="shared" ref="K254:K260" si="267">IF(VLOOKUP($D254,$C$5:$AJ$470,9,)=0,0,((VLOOKUP($D254,$C$5:$AJ$470,9,)/VLOOKUP($D254,$C$5:$AJ$470,4,))*$F254))</f>
        <v>0</v>
      </c>
      <c r="L254" s="19">
        <f t="shared" ref="L254:L260" si="268">IF(VLOOKUP($D254,$C$5:$AJ$470,10,)=0,0,((VLOOKUP($D254,$C$5:$AJ$470,10,)/VLOOKUP($D254,$C$5:$AJ$470,4,))*$F254))</f>
        <v>30534.020193474484</v>
      </c>
      <c r="M254" s="19">
        <f t="shared" ref="M254:M260" si="269">IF(VLOOKUP($D254,$C$5:$AJ$470,11,)=0,0,((VLOOKUP($D254,$C$5:$AJ$470,11,)/VLOOKUP($D254,$C$5:$AJ$470,4,))*$F254))</f>
        <v>0</v>
      </c>
      <c r="N254" s="19"/>
      <c r="O254" s="19">
        <f t="shared" ref="O254:O260" si="270">IF(VLOOKUP($D254,$C$5:$AJ$470,13,)=0,0,((VLOOKUP($D254,$C$5:$AJ$470,13,)/VLOOKUP($D254,$C$5:$AJ$470,4,))*$F254))</f>
        <v>0</v>
      </c>
      <c r="P254" s="19">
        <f t="shared" ref="P254:P260" si="271">IF(VLOOKUP($D254,$C$5:$AJ$470,14,)=0,0,((VLOOKUP($D254,$C$5:$AJ$470,14,)/VLOOKUP($D254,$C$5:$AJ$470,4,))*$F254))</f>
        <v>0</v>
      </c>
      <c r="Q254" s="19">
        <f t="shared" ref="Q254:Q260" si="272">IF(VLOOKUP($D254,$C$5:$AJ$470,15,)=0,0,((VLOOKUP($D254,$C$5:$AJ$470,15,)/VLOOKUP($D254,$C$5:$AJ$470,4,))*$F254))</f>
        <v>0</v>
      </c>
      <c r="R254" s="19"/>
      <c r="S254" s="19">
        <f t="shared" ref="S254:S260" si="273">IF(VLOOKUP($D254,$C$5:$AJ$470,17,)=0,0,((VLOOKUP($D254,$C$5:$AJ$470,17,)/VLOOKUP($D254,$C$5:$AJ$470,4,))*$F254))</f>
        <v>0</v>
      </c>
      <c r="T254" s="19">
        <f t="shared" ref="T254:T260" si="274">IF(VLOOKUP($D254,$C$5:$AJ$470,18,)=0,0,((VLOOKUP($D254,$C$5:$AJ$470,18,)/VLOOKUP($D254,$C$5:$AJ$470,4,))*$F254))</f>
        <v>0</v>
      </c>
      <c r="U254" s="19">
        <f t="shared" ref="U254:U260" si="275">IF(VLOOKUP($D254,$C$5:$AJ$470,19,)=0,0,((VLOOKUP($D254,$C$5:$AJ$470,19,)/VLOOKUP($D254,$C$5:$AJ$470,4,))*$F254))</f>
        <v>0</v>
      </c>
      <c r="V254" s="19">
        <f t="shared" ref="V254:V260" si="276">IF(VLOOKUP($D254,$C$5:$AJ$470,20,)=0,0,((VLOOKUP($D254,$C$5:$AJ$470,20,)/VLOOKUP($D254,$C$5:$AJ$470,4,))*$F254))</f>
        <v>0</v>
      </c>
      <c r="W254" s="19">
        <f t="shared" ref="W254:W260" si="277">IF(VLOOKUP($D254,$C$5:$AJ$470,21,)=0,0,((VLOOKUP($D254,$C$5:$AJ$470,21,)/VLOOKUP($D254,$C$5:$AJ$470,4,))*$F254))</f>
        <v>0</v>
      </c>
      <c r="X254" s="19">
        <f t="shared" ref="X254:X260" si="278">IF(VLOOKUP($D254,$C$5:$AJ$470,22,)=0,0,((VLOOKUP($D254,$C$5:$AJ$470,22,)/VLOOKUP($D254,$C$5:$AJ$470,4,))*$F254))</f>
        <v>0</v>
      </c>
      <c r="Y254" s="19">
        <f t="shared" ref="Y254:Y260" si="279">IF(VLOOKUP($D254,$C$5:$AJ$470,23,)=0,0,((VLOOKUP($D254,$C$5:$AJ$470,23,)/VLOOKUP($D254,$C$5:$AJ$470,4,))*$F254))</f>
        <v>0</v>
      </c>
      <c r="Z254" s="19">
        <f t="shared" ref="Z254:Z260" si="280">IF(VLOOKUP($D254,$C$5:$AJ$470,24,)=0,0,((VLOOKUP($D254,$C$5:$AJ$470,24,)/VLOOKUP($D254,$C$5:$AJ$470,4,))*$F254))</f>
        <v>0</v>
      </c>
      <c r="AA254" s="19">
        <f t="shared" ref="AA254:AA260" si="281">IF(VLOOKUP($D254,$C$5:$AJ$470,25,)=0,0,((VLOOKUP($D254,$C$5:$AJ$470,25,)/VLOOKUP($D254,$C$5:$AJ$470,4,))*$F254))</f>
        <v>0</v>
      </c>
      <c r="AB254" s="19">
        <f t="shared" ref="AB254:AB260" si="282">IF(VLOOKUP($D254,$C$5:$AJ$470,26,)=0,0,((VLOOKUP($D254,$C$5:$AJ$470,26,)/VLOOKUP($D254,$C$5:$AJ$470,4,))*$F254))</f>
        <v>0</v>
      </c>
      <c r="AC254" s="19">
        <f t="shared" ref="AC254:AC260" si="283">IF(VLOOKUP($D254,$C$5:$AJ$470,27,)=0,0,((VLOOKUP($D254,$C$5:$AJ$470,27,)/VLOOKUP($D254,$C$5:$AJ$470,4,))*$F254))</f>
        <v>0</v>
      </c>
      <c r="AD254" s="19">
        <f t="shared" ref="AD254:AD260" si="284">IF(VLOOKUP($D254,$C$5:$AJ$470,28,)=0,0,((VLOOKUP($D254,$C$5:$AJ$470,28,)/VLOOKUP($D254,$C$5:$AJ$470,4,))*$F254))</f>
        <v>0</v>
      </c>
      <c r="AE254" s="19"/>
      <c r="AF254" s="19">
        <f t="shared" ref="AF254:AF260" si="285">IF(VLOOKUP($D254,$C$5:$AJ$470,30,)=0,0,((VLOOKUP($D254,$C$5:$AJ$470,30,)/VLOOKUP($D254,$C$5:$AJ$470,4,))*$F254))</f>
        <v>0</v>
      </c>
      <c r="AG254" s="19"/>
      <c r="AH254" s="19">
        <f t="shared" ref="AH254:AH260" si="286">IF(VLOOKUP($D254,$C$5:$AJ$470,32,)=0,0,((VLOOKUP($D254,$C$5:$AJ$470,32,)/VLOOKUP($D254,$C$5:$AJ$470,4,))*$F254))</f>
        <v>0</v>
      </c>
      <c r="AI254" s="19"/>
      <c r="AJ254" s="19">
        <f t="shared" ref="AJ254:AJ260" si="287">IF(VLOOKUP($D254,$C$5:$AJ$470,34,)=0,0,((VLOOKUP($D254,$C$5:$AJ$470,34,)/VLOOKUP($D254,$C$5:$AJ$470,4,))*$F254))</f>
        <v>0</v>
      </c>
      <c r="AK254" s="19">
        <f t="shared" ref="AK254:AK273" si="288">SUM(H254:AJ254)</f>
        <v>5229146.92</v>
      </c>
      <c r="AL254" s="15" t="str">
        <f t="shared" ref="AL254:AL273" si="289">IF(ABS(AK254-F254)&lt;1,"ok","err")</f>
        <v>ok</v>
      </c>
    </row>
    <row r="255" spans="1:38" x14ac:dyDescent="0.3">
      <c r="A255" s="68">
        <v>501</v>
      </c>
      <c r="B255" s="2" t="s">
        <v>89</v>
      </c>
      <c r="C255" s="2" t="s">
        <v>340</v>
      </c>
      <c r="D255" s="2" t="s">
        <v>122</v>
      </c>
      <c r="F255" s="44">
        <v>2439636.3600000003</v>
      </c>
      <c r="H255" s="19">
        <f t="shared" si="264"/>
        <v>0</v>
      </c>
      <c r="I255" s="19">
        <f t="shared" si="265"/>
        <v>0</v>
      </c>
      <c r="J255" s="19">
        <f t="shared" si="266"/>
        <v>1149136.587276232</v>
      </c>
      <c r="K255" s="19">
        <f t="shared" si="267"/>
        <v>1254575.0258016863</v>
      </c>
      <c r="L255" s="19">
        <f t="shared" si="268"/>
        <v>35924.746922081969</v>
      </c>
      <c r="M255" s="19">
        <f t="shared" si="269"/>
        <v>0</v>
      </c>
      <c r="N255" s="19"/>
      <c r="O255" s="19">
        <f t="shared" si="270"/>
        <v>0</v>
      </c>
      <c r="P255" s="19">
        <f t="shared" si="271"/>
        <v>0</v>
      </c>
      <c r="Q255" s="19">
        <f t="shared" si="272"/>
        <v>0</v>
      </c>
      <c r="R255" s="19"/>
      <c r="S255" s="19">
        <f t="shared" si="273"/>
        <v>0</v>
      </c>
      <c r="T255" s="19">
        <f t="shared" si="274"/>
        <v>0</v>
      </c>
      <c r="U255" s="19">
        <f t="shared" si="275"/>
        <v>0</v>
      </c>
      <c r="V255" s="19">
        <f t="shared" si="276"/>
        <v>0</v>
      </c>
      <c r="W255" s="19">
        <f t="shared" si="277"/>
        <v>0</v>
      </c>
      <c r="X255" s="19">
        <f t="shared" si="278"/>
        <v>0</v>
      </c>
      <c r="Y255" s="19">
        <f t="shared" si="279"/>
        <v>0</v>
      </c>
      <c r="Z255" s="19">
        <f t="shared" si="280"/>
        <v>0</v>
      </c>
      <c r="AA255" s="19">
        <f t="shared" si="281"/>
        <v>0</v>
      </c>
      <c r="AB255" s="19">
        <f t="shared" si="282"/>
        <v>0</v>
      </c>
      <c r="AC255" s="19">
        <f t="shared" si="283"/>
        <v>0</v>
      </c>
      <c r="AD255" s="19">
        <f t="shared" si="284"/>
        <v>0</v>
      </c>
      <c r="AE255" s="19"/>
      <c r="AF255" s="19">
        <f t="shared" si="285"/>
        <v>0</v>
      </c>
      <c r="AG255" s="19"/>
      <c r="AH255" s="19">
        <f t="shared" si="286"/>
        <v>0</v>
      </c>
      <c r="AI255" s="19"/>
      <c r="AJ255" s="19">
        <f t="shared" si="287"/>
        <v>0</v>
      </c>
      <c r="AK255" s="19">
        <f t="shared" si="288"/>
        <v>2439636.36</v>
      </c>
      <c r="AL255" s="15" t="str">
        <f t="shared" si="289"/>
        <v>ok</v>
      </c>
    </row>
    <row r="256" spans="1:38" x14ac:dyDescent="0.3">
      <c r="A256" s="2">
        <v>502</v>
      </c>
      <c r="B256" s="2" t="s">
        <v>123</v>
      </c>
      <c r="C256" s="2" t="s">
        <v>341</v>
      </c>
      <c r="D256" s="2" t="s">
        <v>28</v>
      </c>
      <c r="F256" s="44">
        <v>5111285.01</v>
      </c>
      <c r="H256" s="19">
        <f t="shared" si="264"/>
        <v>2274863.786409962</v>
      </c>
      <c r="I256" s="19">
        <f t="shared" si="265"/>
        <v>2806575.4223345737</v>
      </c>
      <c r="J256" s="19">
        <f t="shared" si="266"/>
        <v>0</v>
      </c>
      <c r="K256" s="19">
        <f t="shared" si="267"/>
        <v>0</v>
      </c>
      <c r="L256" s="19">
        <f t="shared" si="268"/>
        <v>29845.801255464328</v>
      </c>
      <c r="M256" s="19">
        <f t="shared" si="269"/>
        <v>0</v>
      </c>
      <c r="N256" s="19"/>
      <c r="O256" s="19">
        <f t="shared" si="270"/>
        <v>0</v>
      </c>
      <c r="P256" s="19">
        <f t="shared" si="271"/>
        <v>0</v>
      </c>
      <c r="Q256" s="19">
        <f t="shared" si="272"/>
        <v>0</v>
      </c>
      <c r="R256" s="19"/>
      <c r="S256" s="19">
        <f t="shared" si="273"/>
        <v>0</v>
      </c>
      <c r="T256" s="19">
        <f t="shared" si="274"/>
        <v>0</v>
      </c>
      <c r="U256" s="19">
        <f t="shared" si="275"/>
        <v>0</v>
      </c>
      <c r="V256" s="19">
        <f t="shared" si="276"/>
        <v>0</v>
      </c>
      <c r="W256" s="19">
        <f t="shared" si="277"/>
        <v>0</v>
      </c>
      <c r="X256" s="19">
        <f t="shared" si="278"/>
        <v>0</v>
      </c>
      <c r="Y256" s="19">
        <f t="shared" si="279"/>
        <v>0</v>
      </c>
      <c r="Z256" s="19">
        <f t="shared" si="280"/>
        <v>0</v>
      </c>
      <c r="AA256" s="19">
        <f t="shared" si="281"/>
        <v>0</v>
      </c>
      <c r="AB256" s="19">
        <f t="shared" si="282"/>
        <v>0</v>
      </c>
      <c r="AC256" s="19">
        <f t="shared" si="283"/>
        <v>0</v>
      </c>
      <c r="AD256" s="19">
        <f t="shared" si="284"/>
        <v>0</v>
      </c>
      <c r="AE256" s="19"/>
      <c r="AF256" s="19">
        <f t="shared" si="285"/>
        <v>0</v>
      </c>
      <c r="AG256" s="19"/>
      <c r="AH256" s="19">
        <f t="shared" si="286"/>
        <v>0</v>
      </c>
      <c r="AI256" s="19"/>
      <c r="AJ256" s="19">
        <f t="shared" si="287"/>
        <v>0</v>
      </c>
      <c r="AK256" s="19">
        <f t="shared" si="288"/>
        <v>5111285.01</v>
      </c>
      <c r="AL256" s="15" t="str">
        <f t="shared" si="289"/>
        <v>ok</v>
      </c>
    </row>
    <row r="257" spans="1:38" x14ac:dyDescent="0.3">
      <c r="A257" s="2">
        <v>505</v>
      </c>
      <c r="B257" s="2" t="s">
        <v>125</v>
      </c>
      <c r="C257" s="2" t="s">
        <v>342</v>
      </c>
      <c r="D257" s="2" t="s">
        <v>28</v>
      </c>
      <c r="F257" s="44">
        <v>4067706.79</v>
      </c>
      <c r="H257" s="19">
        <f t="shared" si="264"/>
        <v>1810401.6606784589</v>
      </c>
      <c r="I257" s="19">
        <f t="shared" si="265"/>
        <v>2233552.9871141859</v>
      </c>
      <c r="J257" s="19">
        <f t="shared" si="266"/>
        <v>0</v>
      </c>
      <c r="K257" s="19">
        <f t="shared" si="267"/>
        <v>0</v>
      </c>
      <c r="L257" s="19">
        <f t="shared" si="268"/>
        <v>23752.142207355166</v>
      </c>
      <c r="M257" s="19">
        <f t="shared" si="269"/>
        <v>0</v>
      </c>
      <c r="N257" s="19"/>
      <c r="O257" s="19">
        <f t="shared" si="270"/>
        <v>0</v>
      </c>
      <c r="P257" s="19">
        <f t="shared" si="271"/>
        <v>0</v>
      </c>
      <c r="Q257" s="19">
        <f t="shared" si="272"/>
        <v>0</v>
      </c>
      <c r="R257" s="19"/>
      <c r="S257" s="19">
        <f t="shared" si="273"/>
        <v>0</v>
      </c>
      <c r="T257" s="19">
        <f t="shared" si="274"/>
        <v>0</v>
      </c>
      <c r="U257" s="19">
        <f t="shared" si="275"/>
        <v>0</v>
      </c>
      <c r="V257" s="19">
        <f t="shared" si="276"/>
        <v>0</v>
      </c>
      <c r="W257" s="19">
        <f t="shared" si="277"/>
        <v>0</v>
      </c>
      <c r="X257" s="19">
        <f t="shared" si="278"/>
        <v>0</v>
      </c>
      <c r="Y257" s="19">
        <f t="shared" si="279"/>
        <v>0</v>
      </c>
      <c r="Z257" s="19">
        <f t="shared" si="280"/>
        <v>0</v>
      </c>
      <c r="AA257" s="19">
        <f t="shared" si="281"/>
        <v>0</v>
      </c>
      <c r="AB257" s="19">
        <f t="shared" si="282"/>
        <v>0</v>
      </c>
      <c r="AC257" s="19">
        <f t="shared" si="283"/>
        <v>0</v>
      </c>
      <c r="AD257" s="19">
        <f t="shared" si="284"/>
        <v>0</v>
      </c>
      <c r="AE257" s="19"/>
      <c r="AF257" s="19">
        <f t="shared" si="285"/>
        <v>0</v>
      </c>
      <c r="AG257" s="19"/>
      <c r="AH257" s="19">
        <f t="shared" si="286"/>
        <v>0</v>
      </c>
      <c r="AI257" s="19"/>
      <c r="AJ257" s="19">
        <f t="shared" si="287"/>
        <v>0</v>
      </c>
      <c r="AK257" s="19">
        <f t="shared" si="288"/>
        <v>4067706.79</v>
      </c>
      <c r="AL257" s="15" t="str">
        <f t="shared" si="289"/>
        <v>ok</v>
      </c>
    </row>
    <row r="258" spans="1:38" x14ac:dyDescent="0.3">
      <c r="A258" s="2">
        <v>506</v>
      </c>
      <c r="B258" s="2" t="s">
        <v>127</v>
      </c>
      <c r="C258" s="2" t="s">
        <v>343</v>
      </c>
      <c r="D258" s="2" t="s">
        <v>28</v>
      </c>
      <c r="F258" s="44">
        <v>6039731.1000000006</v>
      </c>
      <c r="H258" s="19">
        <f t="shared" si="264"/>
        <v>2688084.41168183</v>
      </c>
      <c r="I258" s="19">
        <f t="shared" si="265"/>
        <v>3316379.5072288015</v>
      </c>
      <c r="J258" s="19">
        <f t="shared" si="266"/>
        <v>0</v>
      </c>
      <c r="K258" s="19">
        <f t="shared" si="267"/>
        <v>0</v>
      </c>
      <c r="L258" s="19">
        <f t="shared" si="268"/>
        <v>35267.181089368947</v>
      </c>
      <c r="M258" s="19">
        <f t="shared" si="269"/>
        <v>0</v>
      </c>
      <c r="N258" s="19"/>
      <c r="O258" s="19">
        <f t="shared" si="270"/>
        <v>0</v>
      </c>
      <c r="P258" s="19">
        <f t="shared" si="271"/>
        <v>0</v>
      </c>
      <c r="Q258" s="19">
        <f t="shared" si="272"/>
        <v>0</v>
      </c>
      <c r="R258" s="19"/>
      <c r="S258" s="19">
        <f t="shared" si="273"/>
        <v>0</v>
      </c>
      <c r="T258" s="19">
        <f t="shared" si="274"/>
        <v>0</v>
      </c>
      <c r="U258" s="19">
        <f t="shared" si="275"/>
        <v>0</v>
      </c>
      <c r="V258" s="19">
        <f t="shared" si="276"/>
        <v>0</v>
      </c>
      <c r="W258" s="19">
        <f t="shared" si="277"/>
        <v>0</v>
      </c>
      <c r="X258" s="19">
        <f t="shared" si="278"/>
        <v>0</v>
      </c>
      <c r="Y258" s="19">
        <f t="shared" si="279"/>
        <v>0</v>
      </c>
      <c r="Z258" s="19">
        <f t="shared" si="280"/>
        <v>0</v>
      </c>
      <c r="AA258" s="19">
        <f t="shared" si="281"/>
        <v>0</v>
      </c>
      <c r="AB258" s="19">
        <f t="shared" si="282"/>
        <v>0</v>
      </c>
      <c r="AC258" s="19">
        <f t="shared" si="283"/>
        <v>0</v>
      </c>
      <c r="AD258" s="19">
        <f t="shared" si="284"/>
        <v>0</v>
      </c>
      <c r="AE258" s="19"/>
      <c r="AF258" s="19">
        <f t="shared" si="285"/>
        <v>0</v>
      </c>
      <c r="AG258" s="19"/>
      <c r="AH258" s="19">
        <f t="shared" si="286"/>
        <v>0</v>
      </c>
      <c r="AI258" s="19"/>
      <c r="AJ258" s="19">
        <f t="shared" si="287"/>
        <v>0</v>
      </c>
      <c r="AK258" s="19">
        <f t="shared" si="288"/>
        <v>6039731.1000000006</v>
      </c>
      <c r="AL258" s="15" t="str">
        <f t="shared" si="289"/>
        <v>ok</v>
      </c>
    </row>
    <row r="259" spans="1:38" x14ac:dyDescent="0.3">
      <c r="A259" s="2">
        <v>507</v>
      </c>
      <c r="B259" s="2" t="s">
        <v>129</v>
      </c>
      <c r="C259" s="2" t="s">
        <v>344</v>
      </c>
      <c r="D259" s="2" t="s">
        <v>28</v>
      </c>
      <c r="F259" s="44">
        <v>0</v>
      </c>
      <c r="H259" s="19">
        <f t="shared" si="264"/>
        <v>0</v>
      </c>
      <c r="I259" s="19">
        <f t="shared" si="265"/>
        <v>0</v>
      </c>
      <c r="J259" s="19">
        <f t="shared" si="266"/>
        <v>0</v>
      </c>
      <c r="K259" s="19">
        <f t="shared" si="267"/>
        <v>0</v>
      </c>
      <c r="L259" s="19">
        <f t="shared" si="268"/>
        <v>0</v>
      </c>
      <c r="M259" s="19">
        <f t="shared" si="269"/>
        <v>0</v>
      </c>
      <c r="N259" s="19"/>
      <c r="O259" s="19">
        <f t="shared" si="270"/>
        <v>0</v>
      </c>
      <c r="P259" s="19">
        <f t="shared" si="271"/>
        <v>0</v>
      </c>
      <c r="Q259" s="19">
        <f t="shared" si="272"/>
        <v>0</v>
      </c>
      <c r="R259" s="19"/>
      <c r="S259" s="19">
        <f t="shared" si="273"/>
        <v>0</v>
      </c>
      <c r="T259" s="19">
        <f t="shared" si="274"/>
        <v>0</v>
      </c>
      <c r="U259" s="19">
        <f t="shared" si="275"/>
        <v>0</v>
      </c>
      <c r="V259" s="19">
        <f t="shared" si="276"/>
        <v>0</v>
      </c>
      <c r="W259" s="19">
        <f t="shared" si="277"/>
        <v>0</v>
      </c>
      <c r="X259" s="19">
        <f t="shared" si="278"/>
        <v>0</v>
      </c>
      <c r="Y259" s="19">
        <f t="shared" si="279"/>
        <v>0</v>
      </c>
      <c r="Z259" s="19">
        <f t="shared" si="280"/>
        <v>0</v>
      </c>
      <c r="AA259" s="19">
        <f t="shared" si="281"/>
        <v>0</v>
      </c>
      <c r="AB259" s="19">
        <f t="shared" si="282"/>
        <v>0</v>
      </c>
      <c r="AC259" s="19">
        <f t="shared" si="283"/>
        <v>0</v>
      </c>
      <c r="AD259" s="19">
        <f t="shared" si="284"/>
        <v>0</v>
      </c>
      <c r="AE259" s="19"/>
      <c r="AF259" s="19">
        <f t="shared" si="285"/>
        <v>0</v>
      </c>
      <c r="AG259" s="19"/>
      <c r="AH259" s="19">
        <f t="shared" si="286"/>
        <v>0</v>
      </c>
      <c r="AI259" s="19"/>
      <c r="AJ259" s="19">
        <f t="shared" si="287"/>
        <v>0</v>
      </c>
      <c r="AK259" s="19">
        <f t="shared" si="288"/>
        <v>0</v>
      </c>
      <c r="AL259" s="15" t="str">
        <f t="shared" si="289"/>
        <v>ok</v>
      </c>
    </row>
    <row r="260" spans="1:38" x14ac:dyDescent="0.3">
      <c r="A260" s="2">
        <v>509</v>
      </c>
      <c r="B260" s="2" t="s">
        <v>131</v>
      </c>
      <c r="C260" s="2" t="s">
        <v>345</v>
      </c>
      <c r="D260" s="2" t="s">
        <v>122</v>
      </c>
      <c r="F260" s="44">
        <v>0</v>
      </c>
      <c r="H260" s="19">
        <f t="shared" si="264"/>
        <v>0</v>
      </c>
      <c r="I260" s="19">
        <f t="shared" si="265"/>
        <v>0</v>
      </c>
      <c r="J260" s="19">
        <f t="shared" si="266"/>
        <v>0</v>
      </c>
      <c r="K260" s="19">
        <f t="shared" si="267"/>
        <v>0</v>
      </c>
      <c r="L260" s="19">
        <f t="shared" si="268"/>
        <v>0</v>
      </c>
      <c r="M260" s="19">
        <f t="shared" si="269"/>
        <v>0</v>
      </c>
      <c r="N260" s="19"/>
      <c r="O260" s="19">
        <f t="shared" si="270"/>
        <v>0</v>
      </c>
      <c r="P260" s="19">
        <f t="shared" si="271"/>
        <v>0</v>
      </c>
      <c r="Q260" s="19">
        <f t="shared" si="272"/>
        <v>0</v>
      </c>
      <c r="R260" s="19"/>
      <c r="S260" s="19">
        <f t="shared" si="273"/>
        <v>0</v>
      </c>
      <c r="T260" s="19">
        <f t="shared" si="274"/>
        <v>0</v>
      </c>
      <c r="U260" s="19">
        <f t="shared" si="275"/>
        <v>0</v>
      </c>
      <c r="V260" s="19">
        <f t="shared" si="276"/>
        <v>0</v>
      </c>
      <c r="W260" s="19">
        <f t="shared" si="277"/>
        <v>0</v>
      </c>
      <c r="X260" s="19">
        <f t="shared" si="278"/>
        <v>0</v>
      </c>
      <c r="Y260" s="19">
        <f t="shared" si="279"/>
        <v>0</v>
      </c>
      <c r="Z260" s="19">
        <f t="shared" si="280"/>
        <v>0</v>
      </c>
      <c r="AA260" s="19">
        <f t="shared" si="281"/>
        <v>0</v>
      </c>
      <c r="AB260" s="19">
        <f t="shared" si="282"/>
        <v>0</v>
      </c>
      <c r="AC260" s="19">
        <f t="shared" si="283"/>
        <v>0</v>
      </c>
      <c r="AD260" s="19">
        <f t="shared" si="284"/>
        <v>0</v>
      </c>
      <c r="AE260" s="19"/>
      <c r="AF260" s="19">
        <f t="shared" si="285"/>
        <v>0</v>
      </c>
      <c r="AG260" s="19"/>
      <c r="AH260" s="19">
        <f t="shared" si="286"/>
        <v>0</v>
      </c>
      <c r="AI260" s="19"/>
      <c r="AJ260" s="19">
        <f t="shared" si="287"/>
        <v>0</v>
      </c>
      <c r="AK260" s="19">
        <f t="shared" si="288"/>
        <v>0</v>
      </c>
      <c r="AL260" s="15" t="str">
        <f t="shared" si="289"/>
        <v>ok</v>
      </c>
    </row>
    <row r="261" spans="1:38" x14ac:dyDescent="0.3">
      <c r="F261" s="44"/>
      <c r="Y261" s="2"/>
      <c r="AK261" s="19"/>
      <c r="AL261" s="15"/>
    </row>
    <row r="262" spans="1:38" x14ac:dyDescent="0.3">
      <c r="B262" s="2" t="s">
        <v>133</v>
      </c>
      <c r="C262" s="2" t="s">
        <v>346</v>
      </c>
      <c r="F262" s="44">
        <f>SUM(F254:F261)</f>
        <v>22887506.18</v>
      </c>
      <c r="H262" s="18">
        <f t="shared" ref="H262:M262" si="290">SUM(H254:H261)</f>
        <v>9100670.0803685375</v>
      </c>
      <c r="I262" s="18">
        <f t="shared" si="290"/>
        <v>11227800.594885802</v>
      </c>
      <c r="J262" s="18">
        <f t="shared" si="290"/>
        <v>1149136.587276232</v>
      </c>
      <c r="K262" s="18">
        <f t="shared" si="290"/>
        <v>1254575.0258016863</v>
      </c>
      <c r="L262" s="18">
        <f t="shared" si="290"/>
        <v>155323.8916677449</v>
      </c>
      <c r="M262" s="18">
        <f t="shared" si="290"/>
        <v>0</v>
      </c>
      <c r="O262" s="18">
        <f>SUM(O254:O261)</f>
        <v>0</v>
      </c>
      <c r="P262" s="18">
        <f>SUM(P254:P261)</f>
        <v>0</v>
      </c>
      <c r="Q262" s="18">
        <f>SUM(Q254:Q261)</f>
        <v>0</v>
      </c>
      <c r="S262" s="18">
        <f t="shared" ref="S262:AD262" si="291">SUM(S254:S261)</f>
        <v>0</v>
      </c>
      <c r="T262" s="18">
        <f t="shared" si="291"/>
        <v>0</v>
      </c>
      <c r="U262" s="18">
        <f t="shared" si="291"/>
        <v>0</v>
      </c>
      <c r="V262" s="18">
        <f t="shared" si="291"/>
        <v>0</v>
      </c>
      <c r="W262" s="18">
        <f t="shared" si="291"/>
        <v>0</v>
      </c>
      <c r="X262" s="18">
        <f t="shared" si="291"/>
        <v>0</v>
      </c>
      <c r="Y262" s="18">
        <f t="shared" si="291"/>
        <v>0</v>
      </c>
      <c r="Z262" s="18">
        <f t="shared" si="291"/>
        <v>0</v>
      </c>
      <c r="AA262" s="18">
        <f t="shared" si="291"/>
        <v>0</v>
      </c>
      <c r="AB262" s="18">
        <f t="shared" si="291"/>
        <v>0</v>
      </c>
      <c r="AC262" s="18">
        <f t="shared" si="291"/>
        <v>0</v>
      </c>
      <c r="AD262" s="18">
        <f t="shared" si="291"/>
        <v>0</v>
      </c>
      <c r="AF262" s="18">
        <f>SUM(AF254:AF261)</f>
        <v>0</v>
      </c>
      <c r="AH262" s="18">
        <f>SUM(AH254:AH261)</f>
        <v>0</v>
      </c>
      <c r="AJ262" s="18">
        <f>SUM(AJ254:AJ261)</f>
        <v>0</v>
      </c>
      <c r="AK262" s="19">
        <f t="shared" si="288"/>
        <v>22887506.18</v>
      </c>
      <c r="AL262" s="15" t="str">
        <f t="shared" si="289"/>
        <v>ok</v>
      </c>
    </row>
    <row r="263" spans="1:38" x14ac:dyDescent="0.3">
      <c r="F263" s="44"/>
      <c r="Y263" s="2"/>
      <c r="AK263" s="19"/>
      <c r="AL263" s="15"/>
    </row>
    <row r="264" spans="1:38" x14ac:dyDescent="0.3">
      <c r="A264" s="3" t="s">
        <v>134</v>
      </c>
      <c r="F264" s="44"/>
      <c r="Y264" s="2"/>
      <c r="AK264" s="19"/>
      <c r="AL264" s="15"/>
    </row>
    <row r="265" spans="1:38" x14ac:dyDescent="0.3">
      <c r="A265" s="2">
        <v>510</v>
      </c>
      <c r="B265" s="2" t="s">
        <v>135</v>
      </c>
      <c r="C265" s="2" t="s">
        <v>347</v>
      </c>
      <c r="D265" s="2" t="s">
        <v>122</v>
      </c>
      <c r="F265" s="44">
        <v>2804857.87</v>
      </c>
      <c r="H265" s="19">
        <f>IF(VLOOKUP($D265,$C$5:$AJ$470,6,)=0,0,((VLOOKUP($D265,$C$5:$AJ$470,6,)/VLOOKUP($D265,$C$5:$AJ$470,4,))*$F265))</f>
        <v>0</v>
      </c>
      <c r="I265" s="19">
        <f>IF(VLOOKUP($D265,$C$5:$AJ$470,7,)=0,0,((VLOOKUP($D265,$C$5:$AJ$470,7,)/VLOOKUP($D265,$C$5:$AJ$470,4,))*$F265))</f>
        <v>0</v>
      </c>
      <c r="J265" s="19">
        <f>IF(VLOOKUP($D265,$C$5:$AJ$470,8,)=0,0,((VLOOKUP($D265,$C$5:$AJ$470,8,)/VLOOKUP($D265,$C$5:$AJ$470,4,))*$F265))</f>
        <v>1321166.0776062056</v>
      </c>
      <c r="K265" s="19">
        <f>IF(VLOOKUP($D265,$C$5:$AJ$470,9,)=0,0,((VLOOKUP($D265,$C$5:$AJ$470,9,)/VLOOKUP($D265,$C$5:$AJ$470,4,))*$F265))</f>
        <v>1442388.9938356685</v>
      </c>
      <c r="L265" s="19">
        <f>IF(VLOOKUP($D265,$C$5:$AJ$470,10,)=0,0,((VLOOKUP($D265,$C$5:$AJ$470,10,)/VLOOKUP($D265,$C$5:$AJ$470,4,))*$F265))</f>
        <v>41302.798558126051</v>
      </c>
      <c r="M265" s="19">
        <f>IF(VLOOKUP($D265,$C$5:$AJ$470,11,)=0,0,((VLOOKUP($D265,$C$5:$AJ$470,11,)/VLOOKUP($D265,$C$5:$AJ$470,4,))*$F265))</f>
        <v>0</v>
      </c>
      <c r="N265" s="19"/>
      <c r="O265" s="19">
        <f>IF(VLOOKUP($D265,$C$5:$AJ$470,13,)=0,0,((VLOOKUP($D265,$C$5:$AJ$470,13,)/VLOOKUP($D265,$C$5:$AJ$470,4,))*$F265))</f>
        <v>0</v>
      </c>
      <c r="P265" s="19">
        <f>IF(VLOOKUP($D265,$C$5:$AJ$470,14,)=0,0,((VLOOKUP($D265,$C$5:$AJ$470,14,)/VLOOKUP($D265,$C$5:$AJ$470,4,))*$F265))</f>
        <v>0</v>
      </c>
      <c r="Q265" s="19">
        <f>IF(VLOOKUP($D265,$C$5:$AJ$470,15,)=0,0,((VLOOKUP($D265,$C$5:$AJ$470,15,)/VLOOKUP($D265,$C$5:$AJ$470,4,))*$F265))</f>
        <v>0</v>
      </c>
      <c r="R265" s="19"/>
      <c r="S265" s="19">
        <f>IF(VLOOKUP($D265,$C$5:$AJ$470,17,)=0,0,((VLOOKUP($D265,$C$5:$AJ$470,17,)/VLOOKUP($D265,$C$5:$AJ$470,4,))*$F265))</f>
        <v>0</v>
      </c>
      <c r="T265" s="19">
        <f>IF(VLOOKUP($D265,$C$5:$AJ$470,18,)=0,0,((VLOOKUP($D265,$C$5:$AJ$470,18,)/VLOOKUP($D265,$C$5:$AJ$470,4,))*$F265))</f>
        <v>0</v>
      </c>
      <c r="U265" s="19">
        <f>IF(VLOOKUP($D265,$C$5:$AJ$470,19,)=0,0,((VLOOKUP($D265,$C$5:$AJ$470,19,)/VLOOKUP($D265,$C$5:$AJ$470,4,))*$F265))</f>
        <v>0</v>
      </c>
      <c r="V265" s="19">
        <f>IF(VLOOKUP($D265,$C$5:$AJ$470,20,)=0,0,((VLOOKUP($D265,$C$5:$AJ$470,20,)/VLOOKUP($D265,$C$5:$AJ$470,4,))*$F265))</f>
        <v>0</v>
      </c>
      <c r="W265" s="19">
        <f>IF(VLOOKUP($D265,$C$5:$AJ$470,21,)=0,0,((VLOOKUP($D265,$C$5:$AJ$470,21,)/VLOOKUP($D265,$C$5:$AJ$470,4,))*$F265))</f>
        <v>0</v>
      </c>
      <c r="X265" s="19">
        <f>IF(VLOOKUP($D265,$C$5:$AJ$470,22,)=0,0,((VLOOKUP($D265,$C$5:$AJ$470,22,)/VLOOKUP($D265,$C$5:$AJ$470,4,))*$F265))</f>
        <v>0</v>
      </c>
      <c r="Y265" s="19">
        <f>IF(VLOOKUP($D265,$C$5:$AJ$470,23,)=0,0,((VLOOKUP($D265,$C$5:$AJ$470,23,)/VLOOKUP($D265,$C$5:$AJ$470,4,))*$F265))</f>
        <v>0</v>
      </c>
      <c r="Z265" s="19">
        <f>IF(VLOOKUP($D265,$C$5:$AJ$470,24,)=0,0,((VLOOKUP($D265,$C$5:$AJ$470,24,)/VLOOKUP($D265,$C$5:$AJ$470,4,))*$F265))</f>
        <v>0</v>
      </c>
      <c r="AA265" s="19">
        <f>IF(VLOOKUP($D265,$C$5:$AJ$470,25,)=0,0,((VLOOKUP($D265,$C$5:$AJ$470,25,)/VLOOKUP($D265,$C$5:$AJ$470,4,))*$F265))</f>
        <v>0</v>
      </c>
      <c r="AB265" s="19">
        <f>IF(VLOOKUP($D265,$C$5:$AJ$470,26,)=0,0,((VLOOKUP($D265,$C$5:$AJ$470,26,)/VLOOKUP($D265,$C$5:$AJ$470,4,))*$F265))</f>
        <v>0</v>
      </c>
      <c r="AC265" s="19">
        <f>IF(VLOOKUP($D265,$C$5:$AJ$470,27,)=0,0,((VLOOKUP($D265,$C$5:$AJ$470,27,)/VLOOKUP($D265,$C$5:$AJ$470,4,))*$F265))</f>
        <v>0</v>
      </c>
      <c r="AD265" s="19">
        <f>IF(VLOOKUP($D265,$C$5:$AJ$470,28,)=0,0,((VLOOKUP($D265,$C$5:$AJ$470,28,)/VLOOKUP($D265,$C$5:$AJ$470,4,))*$F265))</f>
        <v>0</v>
      </c>
      <c r="AE265" s="19"/>
      <c r="AF265" s="19">
        <f>IF(VLOOKUP($D265,$C$5:$AJ$470,30,)=0,0,((VLOOKUP($D265,$C$5:$AJ$470,30,)/VLOOKUP($D265,$C$5:$AJ$470,4,))*$F265))</f>
        <v>0</v>
      </c>
      <c r="AG265" s="19"/>
      <c r="AH265" s="19">
        <f>IF(VLOOKUP($D265,$C$5:$AJ$470,32,)=0,0,((VLOOKUP($D265,$C$5:$AJ$470,32,)/VLOOKUP($D265,$C$5:$AJ$470,4,))*$F265))</f>
        <v>0</v>
      </c>
      <c r="AI265" s="19"/>
      <c r="AJ265" s="19">
        <f>IF(VLOOKUP($D265,$C$5:$AJ$470,34,)=0,0,((VLOOKUP($D265,$C$5:$AJ$470,34,)/VLOOKUP($D265,$C$5:$AJ$470,4,))*$F265))</f>
        <v>0</v>
      </c>
      <c r="AK265" s="19">
        <f t="shared" si="288"/>
        <v>2804857.87</v>
      </c>
      <c r="AL265" s="15" t="str">
        <f t="shared" si="289"/>
        <v>ok</v>
      </c>
    </row>
    <row r="266" spans="1:38" x14ac:dyDescent="0.3">
      <c r="A266" s="2">
        <v>511</v>
      </c>
      <c r="B266" s="2" t="s">
        <v>137</v>
      </c>
      <c r="C266" s="2" t="s">
        <v>348</v>
      </c>
      <c r="D266" s="2" t="s">
        <v>28</v>
      </c>
      <c r="F266" s="44">
        <v>1112043.1200000001</v>
      </c>
      <c r="H266" s="19">
        <f>IF(VLOOKUP($D266,$C$5:$AJ$470,6,)=0,0,((VLOOKUP($D266,$C$5:$AJ$470,6,)/VLOOKUP($D266,$C$5:$AJ$470,4,))*$F266))</f>
        <v>494933.58669395512</v>
      </c>
      <c r="I266" s="19">
        <f>IF(VLOOKUP($D266,$C$5:$AJ$470,7,)=0,0,((VLOOKUP($D266,$C$5:$AJ$470,7,)/VLOOKUP($D266,$C$5:$AJ$470,4,))*$F266))</f>
        <v>610616.09420372685</v>
      </c>
      <c r="J266" s="19">
        <f>IF(VLOOKUP($D266,$C$5:$AJ$470,8,)=0,0,((VLOOKUP($D266,$C$5:$AJ$470,8,)/VLOOKUP($D266,$C$5:$AJ$470,4,))*$F266))</f>
        <v>0</v>
      </c>
      <c r="K266" s="19">
        <f>IF(VLOOKUP($D266,$C$5:$AJ$470,9,)=0,0,((VLOOKUP($D266,$C$5:$AJ$470,9,)/VLOOKUP($D266,$C$5:$AJ$470,4,))*$F266))</f>
        <v>0</v>
      </c>
      <c r="L266" s="19">
        <f>IF(VLOOKUP($D266,$C$5:$AJ$470,10,)=0,0,((VLOOKUP($D266,$C$5:$AJ$470,10,)/VLOOKUP($D266,$C$5:$AJ$470,4,))*$F266))</f>
        <v>6493.4391023181215</v>
      </c>
      <c r="M266" s="19">
        <f>IF(VLOOKUP($D266,$C$5:$AJ$470,11,)=0,0,((VLOOKUP($D266,$C$5:$AJ$470,11,)/VLOOKUP($D266,$C$5:$AJ$470,4,))*$F266))</f>
        <v>0</v>
      </c>
      <c r="N266" s="19"/>
      <c r="O266" s="19">
        <f>IF(VLOOKUP($D266,$C$5:$AJ$470,13,)=0,0,((VLOOKUP($D266,$C$5:$AJ$470,13,)/VLOOKUP($D266,$C$5:$AJ$470,4,))*$F266))</f>
        <v>0</v>
      </c>
      <c r="P266" s="19">
        <f>IF(VLOOKUP($D266,$C$5:$AJ$470,14,)=0,0,((VLOOKUP($D266,$C$5:$AJ$470,14,)/VLOOKUP($D266,$C$5:$AJ$470,4,))*$F266))</f>
        <v>0</v>
      </c>
      <c r="Q266" s="19">
        <f>IF(VLOOKUP($D266,$C$5:$AJ$470,15,)=0,0,((VLOOKUP($D266,$C$5:$AJ$470,15,)/VLOOKUP($D266,$C$5:$AJ$470,4,))*$F266))</f>
        <v>0</v>
      </c>
      <c r="R266" s="19"/>
      <c r="S266" s="19">
        <f>IF(VLOOKUP($D266,$C$5:$AJ$470,17,)=0,0,((VLOOKUP($D266,$C$5:$AJ$470,17,)/VLOOKUP($D266,$C$5:$AJ$470,4,))*$F266))</f>
        <v>0</v>
      </c>
      <c r="T266" s="19">
        <f>IF(VLOOKUP($D266,$C$5:$AJ$470,18,)=0,0,((VLOOKUP($D266,$C$5:$AJ$470,18,)/VLOOKUP($D266,$C$5:$AJ$470,4,))*$F266))</f>
        <v>0</v>
      </c>
      <c r="U266" s="19">
        <f>IF(VLOOKUP($D266,$C$5:$AJ$470,19,)=0,0,((VLOOKUP($D266,$C$5:$AJ$470,19,)/VLOOKUP($D266,$C$5:$AJ$470,4,))*$F266))</f>
        <v>0</v>
      </c>
      <c r="V266" s="19">
        <f>IF(VLOOKUP($D266,$C$5:$AJ$470,20,)=0,0,((VLOOKUP($D266,$C$5:$AJ$470,20,)/VLOOKUP($D266,$C$5:$AJ$470,4,))*$F266))</f>
        <v>0</v>
      </c>
      <c r="W266" s="19">
        <f>IF(VLOOKUP($D266,$C$5:$AJ$470,21,)=0,0,((VLOOKUP($D266,$C$5:$AJ$470,21,)/VLOOKUP($D266,$C$5:$AJ$470,4,))*$F266))</f>
        <v>0</v>
      </c>
      <c r="X266" s="19">
        <f>IF(VLOOKUP($D266,$C$5:$AJ$470,22,)=0,0,((VLOOKUP($D266,$C$5:$AJ$470,22,)/VLOOKUP($D266,$C$5:$AJ$470,4,))*$F266))</f>
        <v>0</v>
      </c>
      <c r="Y266" s="19">
        <f>IF(VLOOKUP($D266,$C$5:$AJ$470,23,)=0,0,((VLOOKUP($D266,$C$5:$AJ$470,23,)/VLOOKUP($D266,$C$5:$AJ$470,4,))*$F266))</f>
        <v>0</v>
      </c>
      <c r="Z266" s="19">
        <f>IF(VLOOKUP($D266,$C$5:$AJ$470,24,)=0,0,((VLOOKUP($D266,$C$5:$AJ$470,24,)/VLOOKUP($D266,$C$5:$AJ$470,4,))*$F266))</f>
        <v>0</v>
      </c>
      <c r="AA266" s="19">
        <f>IF(VLOOKUP($D266,$C$5:$AJ$470,25,)=0,0,((VLOOKUP($D266,$C$5:$AJ$470,25,)/VLOOKUP($D266,$C$5:$AJ$470,4,))*$F266))</f>
        <v>0</v>
      </c>
      <c r="AB266" s="19">
        <f>IF(VLOOKUP($D266,$C$5:$AJ$470,26,)=0,0,((VLOOKUP($D266,$C$5:$AJ$470,26,)/VLOOKUP($D266,$C$5:$AJ$470,4,))*$F266))</f>
        <v>0</v>
      </c>
      <c r="AC266" s="19">
        <f>IF(VLOOKUP($D266,$C$5:$AJ$470,27,)=0,0,((VLOOKUP($D266,$C$5:$AJ$470,27,)/VLOOKUP($D266,$C$5:$AJ$470,4,))*$F266))</f>
        <v>0</v>
      </c>
      <c r="AD266" s="19">
        <f>IF(VLOOKUP($D266,$C$5:$AJ$470,28,)=0,0,((VLOOKUP($D266,$C$5:$AJ$470,28,)/VLOOKUP($D266,$C$5:$AJ$470,4,))*$F266))</f>
        <v>0</v>
      </c>
      <c r="AE266" s="19"/>
      <c r="AF266" s="19">
        <f>IF(VLOOKUP($D266,$C$5:$AJ$470,30,)=0,0,((VLOOKUP($D266,$C$5:$AJ$470,30,)/VLOOKUP($D266,$C$5:$AJ$470,4,))*$F266))</f>
        <v>0</v>
      </c>
      <c r="AG266" s="19"/>
      <c r="AH266" s="19">
        <f>IF(VLOOKUP($D266,$C$5:$AJ$470,32,)=0,0,((VLOOKUP($D266,$C$5:$AJ$470,32,)/VLOOKUP($D266,$C$5:$AJ$470,4,))*$F266))</f>
        <v>0</v>
      </c>
      <c r="AI266" s="19"/>
      <c r="AJ266" s="19">
        <f>IF(VLOOKUP($D266,$C$5:$AJ$470,34,)=0,0,((VLOOKUP($D266,$C$5:$AJ$470,34,)/VLOOKUP($D266,$C$5:$AJ$470,4,))*$F266))</f>
        <v>0</v>
      </c>
      <c r="AK266" s="19">
        <f t="shared" si="288"/>
        <v>1112043.1200000001</v>
      </c>
      <c r="AL266" s="15" t="str">
        <f t="shared" si="289"/>
        <v>ok</v>
      </c>
    </row>
    <row r="267" spans="1:38" x14ac:dyDescent="0.3">
      <c r="A267" s="2">
        <v>512</v>
      </c>
      <c r="B267" s="2" t="s">
        <v>139</v>
      </c>
      <c r="C267" s="2" t="s">
        <v>349</v>
      </c>
      <c r="D267" s="2" t="s">
        <v>122</v>
      </c>
      <c r="F267" s="44">
        <v>6742144.4000000004</v>
      </c>
      <c r="H267" s="19">
        <f>IF(VLOOKUP($D267,$C$5:$AJ$470,6,)=0,0,((VLOOKUP($D267,$C$5:$AJ$470,6,)/VLOOKUP($D267,$C$5:$AJ$470,4,))*$F267))</f>
        <v>0</v>
      </c>
      <c r="I267" s="19">
        <f>IF(VLOOKUP($D267,$C$5:$AJ$470,7,)=0,0,((VLOOKUP($D267,$C$5:$AJ$470,7,)/VLOOKUP($D267,$C$5:$AJ$470,4,))*$F267))</f>
        <v>0</v>
      </c>
      <c r="J267" s="19">
        <f>IF(VLOOKUP($D267,$C$5:$AJ$470,8,)=0,0,((VLOOKUP($D267,$C$5:$AJ$470,8,)/VLOOKUP($D267,$C$5:$AJ$470,4,))*$F267))</f>
        <v>3175737.554075296</v>
      </c>
      <c r="K267" s="19">
        <f>IF(VLOOKUP($D267,$C$5:$AJ$470,9,)=0,0,((VLOOKUP($D267,$C$5:$AJ$470,9,)/VLOOKUP($D267,$C$5:$AJ$470,4,))*$F267))</f>
        <v>3467125.7254866846</v>
      </c>
      <c r="L267" s="19">
        <f>IF(VLOOKUP($D267,$C$5:$AJ$470,10,)=0,0,((VLOOKUP($D267,$C$5:$AJ$470,10,)/VLOOKUP($D267,$C$5:$AJ$470,4,))*$F267))</f>
        <v>99281.120438019774</v>
      </c>
      <c r="M267" s="19">
        <f>IF(VLOOKUP($D267,$C$5:$AJ$470,11,)=0,0,((VLOOKUP($D267,$C$5:$AJ$470,11,)/VLOOKUP($D267,$C$5:$AJ$470,4,))*$F267))</f>
        <v>0</v>
      </c>
      <c r="N267" s="19"/>
      <c r="O267" s="19">
        <f>IF(VLOOKUP($D267,$C$5:$AJ$470,13,)=0,0,((VLOOKUP($D267,$C$5:$AJ$470,13,)/VLOOKUP($D267,$C$5:$AJ$470,4,))*$F267))</f>
        <v>0</v>
      </c>
      <c r="P267" s="19">
        <f>IF(VLOOKUP($D267,$C$5:$AJ$470,14,)=0,0,((VLOOKUP($D267,$C$5:$AJ$470,14,)/VLOOKUP($D267,$C$5:$AJ$470,4,))*$F267))</f>
        <v>0</v>
      </c>
      <c r="Q267" s="19">
        <f>IF(VLOOKUP($D267,$C$5:$AJ$470,15,)=0,0,((VLOOKUP($D267,$C$5:$AJ$470,15,)/VLOOKUP($D267,$C$5:$AJ$470,4,))*$F267))</f>
        <v>0</v>
      </c>
      <c r="R267" s="19"/>
      <c r="S267" s="19">
        <f>IF(VLOOKUP($D267,$C$5:$AJ$470,17,)=0,0,((VLOOKUP($D267,$C$5:$AJ$470,17,)/VLOOKUP($D267,$C$5:$AJ$470,4,))*$F267))</f>
        <v>0</v>
      </c>
      <c r="T267" s="19">
        <f>IF(VLOOKUP($D267,$C$5:$AJ$470,18,)=0,0,((VLOOKUP($D267,$C$5:$AJ$470,18,)/VLOOKUP($D267,$C$5:$AJ$470,4,))*$F267))</f>
        <v>0</v>
      </c>
      <c r="U267" s="19">
        <f>IF(VLOOKUP($D267,$C$5:$AJ$470,19,)=0,0,((VLOOKUP($D267,$C$5:$AJ$470,19,)/VLOOKUP($D267,$C$5:$AJ$470,4,))*$F267))</f>
        <v>0</v>
      </c>
      <c r="V267" s="19">
        <f>IF(VLOOKUP($D267,$C$5:$AJ$470,20,)=0,0,((VLOOKUP($D267,$C$5:$AJ$470,20,)/VLOOKUP($D267,$C$5:$AJ$470,4,))*$F267))</f>
        <v>0</v>
      </c>
      <c r="W267" s="19">
        <f>IF(VLOOKUP($D267,$C$5:$AJ$470,21,)=0,0,((VLOOKUP($D267,$C$5:$AJ$470,21,)/VLOOKUP($D267,$C$5:$AJ$470,4,))*$F267))</f>
        <v>0</v>
      </c>
      <c r="X267" s="19">
        <f>IF(VLOOKUP($D267,$C$5:$AJ$470,22,)=0,0,((VLOOKUP($D267,$C$5:$AJ$470,22,)/VLOOKUP($D267,$C$5:$AJ$470,4,))*$F267))</f>
        <v>0</v>
      </c>
      <c r="Y267" s="19">
        <f>IF(VLOOKUP($D267,$C$5:$AJ$470,23,)=0,0,((VLOOKUP($D267,$C$5:$AJ$470,23,)/VLOOKUP($D267,$C$5:$AJ$470,4,))*$F267))</f>
        <v>0</v>
      </c>
      <c r="Z267" s="19">
        <f>IF(VLOOKUP($D267,$C$5:$AJ$470,24,)=0,0,((VLOOKUP($D267,$C$5:$AJ$470,24,)/VLOOKUP($D267,$C$5:$AJ$470,4,))*$F267))</f>
        <v>0</v>
      </c>
      <c r="AA267" s="19">
        <f>IF(VLOOKUP($D267,$C$5:$AJ$470,25,)=0,0,((VLOOKUP($D267,$C$5:$AJ$470,25,)/VLOOKUP($D267,$C$5:$AJ$470,4,))*$F267))</f>
        <v>0</v>
      </c>
      <c r="AB267" s="19">
        <f>IF(VLOOKUP($D267,$C$5:$AJ$470,26,)=0,0,((VLOOKUP($D267,$C$5:$AJ$470,26,)/VLOOKUP($D267,$C$5:$AJ$470,4,))*$F267))</f>
        <v>0</v>
      </c>
      <c r="AC267" s="19">
        <f>IF(VLOOKUP($D267,$C$5:$AJ$470,27,)=0,0,((VLOOKUP($D267,$C$5:$AJ$470,27,)/VLOOKUP($D267,$C$5:$AJ$470,4,))*$F267))</f>
        <v>0</v>
      </c>
      <c r="AD267" s="19">
        <f>IF(VLOOKUP($D267,$C$5:$AJ$470,28,)=0,0,((VLOOKUP($D267,$C$5:$AJ$470,28,)/VLOOKUP($D267,$C$5:$AJ$470,4,))*$F267))</f>
        <v>0</v>
      </c>
      <c r="AE267" s="19"/>
      <c r="AF267" s="19">
        <f>IF(VLOOKUP($D267,$C$5:$AJ$470,30,)=0,0,((VLOOKUP($D267,$C$5:$AJ$470,30,)/VLOOKUP($D267,$C$5:$AJ$470,4,))*$F267))</f>
        <v>0</v>
      </c>
      <c r="AG267" s="19"/>
      <c r="AH267" s="19">
        <f>IF(VLOOKUP($D267,$C$5:$AJ$470,32,)=0,0,((VLOOKUP($D267,$C$5:$AJ$470,32,)/VLOOKUP($D267,$C$5:$AJ$470,4,))*$F267))</f>
        <v>0</v>
      </c>
      <c r="AI267" s="19"/>
      <c r="AJ267" s="19">
        <f>IF(VLOOKUP($D267,$C$5:$AJ$470,34,)=0,0,((VLOOKUP($D267,$C$5:$AJ$470,34,)/VLOOKUP($D267,$C$5:$AJ$470,4,))*$F267))</f>
        <v>0</v>
      </c>
      <c r="AK267" s="19">
        <f t="shared" si="288"/>
        <v>6742144.4000000004</v>
      </c>
      <c r="AL267" s="15" t="str">
        <f t="shared" si="289"/>
        <v>ok</v>
      </c>
    </row>
    <row r="268" spans="1:38" x14ac:dyDescent="0.3">
      <c r="A268" s="2">
        <v>513</v>
      </c>
      <c r="B268" s="2" t="s">
        <v>141</v>
      </c>
      <c r="C268" s="2" t="s">
        <v>350</v>
      </c>
      <c r="D268" s="2" t="s">
        <v>122</v>
      </c>
      <c r="F268" s="44">
        <v>1662593.0999999999</v>
      </c>
      <c r="H268" s="19">
        <f>IF(VLOOKUP($D268,$C$5:$AJ$470,6,)=0,0,((VLOOKUP($D268,$C$5:$AJ$470,6,)/VLOOKUP($D268,$C$5:$AJ$470,4,))*$F268))</f>
        <v>0</v>
      </c>
      <c r="I268" s="19">
        <f>IF(VLOOKUP($D268,$C$5:$AJ$470,7,)=0,0,((VLOOKUP($D268,$C$5:$AJ$470,7,)/VLOOKUP($D268,$C$5:$AJ$470,4,))*$F268))</f>
        <v>0</v>
      </c>
      <c r="J268" s="19">
        <f>IF(VLOOKUP($D268,$C$5:$AJ$470,8,)=0,0,((VLOOKUP($D268,$C$5:$AJ$470,8,)/VLOOKUP($D268,$C$5:$AJ$470,4,))*$F268))</f>
        <v>783127.59732889489</v>
      </c>
      <c r="K268" s="19">
        <f>IF(VLOOKUP($D268,$C$5:$AJ$470,9,)=0,0,((VLOOKUP($D268,$C$5:$AJ$470,9,)/VLOOKUP($D268,$C$5:$AJ$470,4,))*$F268))</f>
        <v>854983.06859560218</v>
      </c>
      <c r="L268" s="19">
        <f>IF(VLOOKUP($D268,$C$5:$AJ$470,10,)=0,0,((VLOOKUP($D268,$C$5:$AJ$470,10,)/VLOOKUP($D268,$C$5:$AJ$470,4,))*$F268))</f>
        <v>24482.434075502839</v>
      </c>
      <c r="M268" s="19">
        <f>IF(VLOOKUP($D268,$C$5:$AJ$470,11,)=0,0,((VLOOKUP($D268,$C$5:$AJ$470,11,)/VLOOKUP($D268,$C$5:$AJ$470,4,))*$F268))</f>
        <v>0</v>
      </c>
      <c r="N268" s="19"/>
      <c r="O268" s="19">
        <f>IF(VLOOKUP($D268,$C$5:$AJ$470,13,)=0,0,((VLOOKUP($D268,$C$5:$AJ$470,13,)/VLOOKUP($D268,$C$5:$AJ$470,4,))*$F268))</f>
        <v>0</v>
      </c>
      <c r="P268" s="19">
        <f>IF(VLOOKUP($D268,$C$5:$AJ$470,14,)=0,0,((VLOOKUP($D268,$C$5:$AJ$470,14,)/VLOOKUP($D268,$C$5:$AJ$470,4,))*$F268))</f>
        <v>0</v>
      </c>
      <c r="Q268" s="19">
        <f>IF(VLOOKUP($D268,$C$5:$AJ$470,15,)=0,0,((VLOOKUP($D268,$C$5:$AJ$470,15,)/VLOOKUP($D268,$C$5:$AJ$470,4,))*$F268))</f>
        <v>0</v>
      </c>
      <c r="R268" s="19"/>
      <c r="S268" s="19">
        <f>IF(VLOOKUP($D268,$C$5:$AJ$470,17,)=0,0,((VLOOKUP($D268,$C$5:$AJ$470,17,)/VLOOKUP($D268,$C$5:$AJ$470,4,))*$F268))</f>
        <v>0</v>
      </c>
      <c r="T268" s="19">
        <f>IF(VLOOKUP($D268,$C$5:$AJ$470,18,)=0,0,((VLOOKUP($D268,$C$5:$AJ$470,18,)/VLOOKUP($D268,$C$5:$AJ$470,4,))*$F268))</f>
        <v>0</v>
      </c>
      <c r="U268" s="19">
        <f>IF(VLOOKUP($D268,$C$5:$AJ$470,19,)=0,0,((VLOOKUP($D268,$C$5:$AJ$470,19,)/VLOOKUP($D268,$C$5:$AJ$470,4,))*$F268))</f>
        <v>0</v>
      </c>
      <c r="V268" s="19">
        <f>IF(VLOOKUP($D268,$C$5:$AJ$470,20,)=0,0,((VLOOKUP($D268,$C$5:$AJ$470,20,)/VLOOKUP($D268,$C$5:$AJ$470,4,))*$F268))</f>
        <v>0</v>
      </c>
      <c r="W268" s="19">
        <f>IF(VLOOKUP($D268,$C$5:$AJ$470,21,)=0,0,((VLOOKUP($D268,$C$5:$AJ$470,21,)/VLOOKUP($D268,$C$5:$AJ$470,4,))*$F268))</f>
        <v>0</v>
      </c>
      <c r="X268" s="19">
        <f>IF(VLOOKUP($D268,$C$5:$AJ$470,22,)=0,0,((VLOOKUP($D268,$C$5:$AJ$470,22,)/VLOOKUP($D268,$C$5:$AJ$470,4,))*$F268))</f>
        <v>0</v>
      </c>
      <c r="Y268" s="19">
        <f>IF(VLOOKUP($D268,$C$5:$AJ$470,23,)=0,0,((VLOOKUP($D268,$C$5:$AJ$470,23,)/VLOOKUP($D268,$C$5:$AJ$470,4,))*$F268))</f>
        <v>0</v>
      </c>
      <c r="Z268" s="19">
        <f>IF(VLOOKUP($D268,$C$5:$AJ$470,24,)=0,0,((VLOOKUP($D268,$C$5:$AJ$470,24,)/VLOOKUP($D268,$C$5:$AJ$470,4,))*$F268))</f>
        <v>0</v>
      </c>
      <c r="AA268" s="19">
        <f>IF(VLOOKUP($D268,$C$5:$AJ$470,25,)=0,0,((VLOOKUP($D268,$C$5:$AJ$470,25,)/VLOOKUP($D268,$C$5:$AJ$470,4,))*$F268))</f>
        <v>0</v>
      </c>
      <c r="AB268" s="19">
        <f>IF(VLOOKUP($D268,$C$5:$AJ$470,26,)=0,0,((VLOOKUP($D268,$C$5:$AJ$470,26,)/VLOOKUP($D268,$C$5:$AJ$470,4,))*$F268))</f>
        <v>0</v>
      </c>
      <c r="AC268" s="19">
        <f>IF(VLOOKUP($D268,$C$5:$AJ$470,27,)=0,0,((VLOOKUP($D268,$C$5:$AJ$470,27,)/VLOOKUP($D268,$C$5:$AJ$470,4,))*$F268))</f>
        <v>0</v>
      </c>
      <c r="AD268" s="19">
        <f>IF(VLOOKUP($D268,$C$5:$AJ$470,28,)=0,0,((VLOOKUP($D268,$C$5:$AJ$470,28,)/VLOOKUP($D268,$C$5:$AJ$470,4,))*$F268))</f>
        <v>0</v>
      </c>
      <c r="AE268" s="19"/>
      <c r="AF268" s="19">
        <f>IF(VLOOKUP($D268,$C$5:$AJ$470,30,)=0,0,((VLOOKUP($D268,$C$5:$AJ$470,30,)/VLOOKUP($D268,$C$5:$AJ$470,4,))*$F268))</f>
        <v>0</v>
      </c>
      <c r="AG268" s="19"/>
      <c r="AH268" s="19">
        <f>IF(VLOOKUP($D268,$C$5:$AJ$470,32,)=0,0,((VLOOKUP($D268,$C$5:$AJ$470,32,)/VLOOKUP($D268,$C$5:$AJ$470,4,))*$F268))</f>
        <v>0</v>
      </c>
      <c r="AI268" s="19"/>
      <c r="AJ268" s="19">
        <f>IF(VLOOKUP($D268,$C$5:$AJ$470,34,)=0,0,((VLOOKUP($D268,$C$5:$AJ$470,34,)/VLOOKUP($D268,$C$5:$AJ$470,4,))*$F268))</f>
        <v>0</v>
      </c>
      <c r="AK268" s="19">
        <f t="shared" si="288"/>
        <v>1662593.0999999999</v>
      </c>
      <c r="AL268" s="15" t="str">
        <f t="shared" si="289"/>
        <v>ok</v>
      </c>
    </row>
    <row r="269" spans="1:38" x14ac:dyDescent="0.3">
      <c r="A269" s="2">
        <v>514</v>
      </c>
      <c r="B269" s="2" t="s">
        <v>143</v>
      </c>
      <c r="C269" s="2" t="s">
        <v>351</v>
      </c>
      <c r="D269" s="2" t="s">
        <v>28</v>
      </c>
      <c r="F269" s="44">
        <v>0</v>
      </c>
      <c r="H269" s="19">
        <f>IF(VLOOKUP($D269,$C$5:$AJ$470,6,)=0,0,((VLOOKUP($D269,$C$5:$AJ$470,6,)/VLOOKUP($D269,$C$5:$AJ$470,4,))*$F269))</f>
        <v>0</v>
      </c>
      <c r="I269" s="19">
        <f>IF(VLOOKUP($D269,$C$5:$AJ$470,7,)=0,0,((VLOOKUP($D269,$C$5:$AJ$470,7,)/VLOOKUP($D269,$C$5:$AJ$470,4,))*$F269))</f>
        <v>0</v>
      </c>
      <c r="J269" s="19">
        <f>IF(VLOOKUP($D269,$C$5:$AJ$470,8,)=0,0,((VLOOKUP($D269,$C$5:$AJ$470,8,)/VLOOKUP($D269,$C$5:$AJ$470,4,))*$F269))</f>
        <v>0</v>
      </c>
      <c r="K269" s="19">
        <f>IF(VLOOKUP($D269,$C$5:$AJ$470,9,)=0,0,((VLOOKUP($D269,$C$5:$AJ$470,9,)/VLOOKUP($D269,$C$5:$AJ$470,4,))*$F269))</f>
        <v>0</v>
      </c>
      <c r="L269" s="19">
        <f>IF(VLOOKUP($D269,$C$5:$AJ$470,10,)=0,0,((VLOOKUP($D269,$C$5:$AJ$470,10,)/VLOOKUP($D269,$C$5:$AJ$470,4,))*$F269))</f>
        <v>0</v>
      </c>
      <c r="M269" s="19">
        <f>IF(VLOOKUP($D269,$C$5:$AJ$470,11,)=0,0,((VLOOKUP($D269,$C$5:$AJ$470,11,)/VLOOKUP($D269,$C$5:$AJ$470,4,))*$F269))</f>
        <v>0</v>
      </c>
      <c r="N269" s="19"/>
      <c r="O269" s="19">
        <f>IF(VLOOKUP($D269,$C$5:$AJ$470,13,)=0,0,((VLOOKUP($D269,$C$5:$AJ$470,13,)/VLOOKUP($D269,$C$5:$AJ$470,4,))*$F269))</f>
        <v>0</v>
      </c>
      <c r="P269" s="19">
        <f>IF(VLOOKUP($D269,$C$5:$AJ$470,14,)=0,0,((VLOOKUP($D269,$C$5:$AJ$470,14,)/VLOOKUP($D269,$C$5:$AJ$470,4,))*$F269))</f>
        <v>0</v>
      </c>
      <c r="Q269" s="19">
        <f>IF(VLOOKUP($D269,$C$5:$AJ$470,15,)=0,0,((VLOOKUP($D269,$C$5:$AJ$470,15,)/VLOOKUP($D269,$C$5:$AJ$470,4,))*$F269))</f>
        <v>0</v>
      </c>
      <c r="R269" s="19"/>
      <c r="S269" s="19">
        <f>IF(VLOOKUP($D269,$C$5:$AJ$470,17,)=0,0,((VLOOKUP($D269,$C$5:$AJ$470,17,)/VLOOKUP($D269,$C$5:$AJ$470,4,))*$F269))</f>
        <v>0</v>
      </c>
      <c r="T269" s="19">
        <f>IF(VLOOKUP($D269,$C$5:$AJ$470,18,)=0,0,((VLOOKUP($D269,$C$5:$AJ$470,18,)/VLOOKUP($D269,$C$5:$AJ$470,4,))*$F269))</f>
        <v>0</v>
      </c>
      <c r="U269" s="19">
        <f>IF(VLOOKUP($D269,$C$5:$AJ$470,19,)=0,0,((VLOOKUP($D269,$C$5:$AJ$470,19,)/VLOOKUP($D269,$C$5:$AJ$470,4,))*$F269))</f>
        <v>0</v>
      </c>
      <c r="V269" s="19">
        <f>IF(VLOOKUP($D269,$C$5:$AJ$470,20,)=0,0,((VLOOKUP($D269,$C$5:$AJ$470,20,)/VLOOKUP($D269,$C$5:$AJ$470,4,))*$F269))</f>
        <v>0</v>
      </c>
      <c r="W269" s="19">
        <f>IF(VLOOKUP($D269,$C$5:$AJ$470,21,)=0,0,((VLOOKUP($D269,$C$5:$AJ$470,21,)/VLOOKUP($D269,$C$5:$AJ$470,4,))*$F269))</f>
        <v>0</v>
      </c>
      <c r="X269" s="19">
        <f>IF(VLOOKUP($D269,$C$5:$AJ$470,22,)=0,0,((VLOOKUP($D269,$C$5:$AJ$470,22,)/VLOOKUP($D269,$C$5:$AJ$470,4,))*$F269))</f>
        <v>0</v>
      </c>
      <c r="Y269" s="19">
        <f>IF(VLOOKUP($D269,$C$5:$AJ$470,23,)=0,0,((VLOOKUP($D269,$C$5:$AJ$470,23,)/VLOOKUP($D269,$C$5:$AJ$470,4,))*$F269))</f>
        <v>0</v>
      </c>
      <c r="Z269" s="19">
        <f>IF(VLOOKUP($D269,$C$5:$AJ$470,24,)=0,0,((VLOOKUP($D269,$C$5:$AJ$470,24,)/VLOOKUP($D269,$C$5:$AJ$470,4,))*$F269))</f>
        <v>0</v>
      </c>
      <c r="AA269" s="19">
        <f>IF(VLOOKUP($D269,$C$5:$AJ$470,25,)=0,0,((VLOOKUP($D269,$C$5:$AJ$470,25,)/VLOOKUP($D269,$C$5:$AJ$470,4,))*$F269))</f>
        <v>0</v>
      </c>
      <c r="AB269" s="19">
        <f>IF(VLOOKUP($D269,$C$5:$AJ$470,26,)=0,0,((VLOOKUP($D269,$C$5:$AJ$470,26,)/VLOOKUP($D269,$C$5:$AJ$470,4,))*$F269))</f>
        <v>0</v>
      </c>
      <c r="AC269" s="19">
        <f>IF(VLOOKUP($D269,$C$5:$AJ$470,27,)=0,0,((VLOOKUP($D269,$C$5:$AJ$470,27,)/VLOOKUP($D269,$C$5:$AJ$470,4,))*$F269))</f>
        <v>0</v>
      </c>
      <c r="AD269" s="19">
        <f>IF(VLOOKUP($D269,$C$5:$AJ$470,28,)=0,0,((VLOOKUP($D269,$C$5:$AJ$470,28,)/VLOOKUP($D269,$C$5:$AJ$470,4,))*$F269))</f>
        <v>0</v>
      </c>
      <c r="AE269" s="19"/>
      <c r="AF269" s="19">
        <f>IF(VLOOKUP($D269,$C$5:$AJ$470,30,)=0,0,((VLOOKUP($D269,$C$5:$AJ$470,30,)/VLOOKUP($D269,$C$5:$AJ$470,4,))*$F269))</f>
        <v>0</v>
      </c>
      <c r="AG269" s="19"/>
      <c r="AH269" s="19">
        <f>IF(VLOOKUP($D269,$C$5:$AJ$470,32,)=0,0,((VLOOKUP($D269,$C$5:$AJ$470,32,)/VLOOKUP($D269,$C$5:$AJ$470,4,))*$F269))</f>
        <v>0</v>
      </c>
      <c r="AI269" s="19"/>
      <c r="AJ269" s="19">
        <f>IF(VLOOKUP($D269,$C$5:$AJ$470,34,)=0,0,((VLOOKUP($D269,$C$5:$AJ$470,34,)/VLOOKUP($D269,$C$5:$AJ$470,4,))*$F269))</f>
        <v>0</v>
      </c>
      <c r="AK269" s="19">
        <f t="shared" si="288"/>
        <v>0</v>
      </c>
      <c r="AL269" s="15" t="str">
        <f t="shared" si="289"/>
        <v>ok</v>
      </c>
    </row>
    <row r="270" spans="1:38" x14ac:dyDescent="0.3">
      <c r="F270" s="44"/>
      <c r="Y270" s="2"/>
      <c r="AK270" s="19"/>
      <c r="AL270" s="15"/>
    </row>
    <row r="271" spans="1:38" x14ac:dyDescent="0.3">
      <c r="B271" s="2" t="s">
        <v>145</v>
      </c>
      <c r="C271" s="2" t="s">
        <v>352</v>
      </c>
      <c r="F271" s="44">
        <f>SUM(F265:F270)</f>
        <v>12321638.49</v>
      </c>
      <c r="H271" s="18">
        <f t="shared" ref="H271:M271" si="292">SUM(H265:H270)</f>
        <v>494933.58669395512</v>
      </c>
      <c r="I271" s="18">
        <f t="shared" si="292"/>
        <v>610616.09420372685</v>
      </c>
      <c r="J271" s="18">
        <f t="shared" si="292"/>
        <v>5280031.2290103966</v>
      </c>
      <c r="K271" s="18">
        <f t="shared" si="292"/>
        <v>5764497.7879179558</v>
      </c>
      <c r="L271" s="18">
        <f t="shared" si="292"/>
        <v>171559.79217396677</v>
      </c>
      <c r="M271" s="18">
        <f t="shared" si="292"/>
        <v>0</v>
      </c>
      <c r="O271" s="18">
        <f>SUM(O265:O270)</f>
        <v>0</v>
      </c>
      <c r="P271" s="18">
        <f>SUM(P265:P270)</f>
        <v>0</v>
      </c>
      <c r="Q271" s="18">
        <f>SUM(Q265:Q270)</f>
        <v>0</v>
      </c>
      <c r="S271" s="18">
        <f t="shared" ref="S271:AD271" si="293">SUM(S265:S270)</f>
        <v>0</v>
      </c>
      <c r="T271" s="18">
        <f t="shared" si="293"/>
        <v>0</v>
      </c>
      <c r="U271" s="18">
        <f t="shared" si="293"/>
        <v>0</v>
      </c>
      <c r="V271" s="18">
        <f t="shared" si="293"/>
        <v>0</v>
      </c>
      <c r="W271" s="18">
        <f t="shared" si="293"/>
        <v>0</v>
      </c>
      <c r="X271" s="18">
        <f t="shared" si="293"/>
        <v>0</v>
      </c>
      <c r="Y271" s="18">
        <f t="shared" si="293"/>
        <v>0</v>
      </c>
      <c r="Z271" s="18">
        <f t="shared" si="293"/>
        <v>0</v>
      </c>
      <c r="AA271" s="18">
        <f t="shared" si="293"/>
        <v>0</v>
      </c>
      <c r="AB271" s="18">
        <f t="shared" si="293"/>
        <v>0</v>
      </c>
      <c r="AC271" s="18">
        <f t="shared" si="293"/>
        <v>0</v>
      </c>
      <c r="AD271" s="18">
        <f t="shared" si="293"/>
        <v>0</v>
      </c>
      <c r="AF271" s="18">
        <f>SUM(AF265:AF270)</f>
        <v>0</v>
      </c>
      <c r="AH271" s="18">
        <f>SUM(AH265:AH270)</f>
        <v>0</v>
      </c>
      <c r="AJ271" s="18">
        <f>SUM(AJ265:AJ270)</f>
        <v>0</v>
      </c>
      <c r="AK271" s="19">
        <f t="shared" si="288"/>
        <v>12321638.490000002</v>
      </c>
      <c r="AL271" s="15" t="str">
        <f t="shared" si="289"/>
        <v>ok</v>
      </c>
    </row>
    <row r="272" spans="1:38" x14ac:dyDescent="0.3">
      <c r="F272" s="44"/>
      <c r="H272" s="18"/>
      <c r="I272" s="18"/>
      <c r="J272" s="18"/>
      <c r="K272" s="18"/>
      <c r="L272" s="18"/>
      <c r="M272" s="18"/>
      <c r="O272" s="18"/>
      <c r="P272" s="18"/>
      <c r="Q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F272" s="18"/>
      <c r="AH272" s="18"/>
      <c r="AJ272" s="18"/>
      <c r="AK272" s="19"/>
      <c r="AL272" s="15"/>
    </row>
    <row r="273" spans="1:38" x14ac:dyDescent="0.3">
      <c r="B273" s="2" t="s">
        <v>146</v>
      </c>
      <c r="F273" s="44">
        <f>F262+F271</f>
        <v>35209144.670000002</v>
      </c>
      <c r="H273" s="18">
        <f t="shared" ref="H273:M273" si="294">H262+H271</f>
        <v>9595603.667062493</v>
      </c>
      <c r="I273" s="18">
        <f t="shared" si="294"/>
        <v>11838416.689089529</v>
      </c>
      <c r="J273" s="18">
        <f t="shared" si="294"/>
        <v>6429167.8162866291</v>
      </c>
      <c r="K273" s="18">
        <f t="shared" si="294"/>
        <v>7019072.8137196423</v>
      </c>
      <c r="L273" s="18">
        <f t="shared" si="294"/>
        <v>326883.68384171167</v>
      </c>
      <c r="M273" s="18">
        <f t="shared" si="294"/>
        <v>0</v>
      </c>
      <c r="O273" s="18">
        <f>O262+O271</f>
        <v>0</v>
      </c>
      <c r="P273" s="18">
        <f>P262+P271</f>
        <v>0</v>
      </c>
      <c r="Q273" s="18">
        <f>Q262+Q271</f>
        <v>0</v>
      </c>
      <c r="S273" s="18">
        <f t="shared" ref="S273:AD273" si="295">S262+S271</f>
        <v>0</v>
      </c>
      <c r="T273" s="18">
        <f t="shared" si="295"/>
        <v>0</v>
      </c>
      <c r="U273" s="18">
        <f t="shared" si="295"/>
        <v>0</v>
      </c>
      <c r="V273" s="18">
        <f t="shared" si="295"/>
        <v>0</v>
      </c>
      <c r="W273" s="18">
        <f t="shared" si="295"/>
        <v>0</v>
      </c>
      <c r="X273" s="18">
        <f t="shared" si="295"/>
        <v>0</v>
      </c>
      <c r="Y273" s="18">
        <f t="shared" si="295"/>
        <v>0</v>
      </c>
      <c r="Z273" s="18">
        <f t="shared" si="295"/>
        <v>0</v>
      </c>
      <c r="AA273" s="18">
        <f t="shared" si="295"/>
        <v>0</v>
      </c>
      <c r="AB273" s="18">
        <f t="shared" si="295"/>
        <v>0</v>
      </c>
      <c r="AC273" s="18">
        <f t="shared" si="295"/>
        <v>0</v>
      </c>
      <c r="AD273" s="18">
        <f t="shared" si="295"/>
        <v>0</v>
      </c>
      <c r="AF273" s="18">
        <f>AF262+AF271</f>
        <v>0</v>
      </c>
      <c r="AH273" s="18">
        <f>AH262+AH271</f>
        <v>0</v>
      </c>
      <c r="AJ273" s="18">
        <f>AJ262+AJ271</f>
        <v>0</v>
      </c>
      <c r="AK273" s="19">
        <f t="shared" si="288"/>
        <v>35209144.670000009</v>
      </c>
      <c r="AL273" s="15" t="str">
        <f t="shared" si="289"/>
        <v>ok</v>
      </c>
    </row>
    <row r="274" spans="1:38" x14ac:dyDescent="0.3">
      <c r="F274" s="44"/>
      <c r="H274" s="18"/>
      <c r="I274" s="18"/>
      <c r="J274" s="18"/>
      <c r="K274" s="18"/>
      <c r="L274" s="18"/>
      <c r="M274" s="18"/>
      <c r="O274" s="18"/>
      <c r="P274" s="18"/>
      <c r="Q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F274" s="18"/>
      <c r="AH274" s="18"/>
      <c r="AJ274" s="18"/>
      <c r="AK274" s="19"/>
      <c r="AL274" s="15"/>
    </row>
    <row r="275" spans="1:38" x14ac:dyDescent="0.3">
      <c r="F275" s="44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5"/>
    </row>
    <row r="276" spans="1:38" x14ac:dyDescent="0.3">
      <c r="A276" s="16" t="s">
        <v>353</v>
      </c>
      <c r="F276" s="44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5"/>
    </row>
    <row r="277" spans="1:38" x14ac:dyDescent="0.3">
      <c r="F277" s="44"/>
      <c r="H277" s="18"/>
      <c r="I277" s="18"/>
      <c r="J277" s="18"/>
      <c r="K277" s="18"/>
      <c r="L277" s="18"/>
      <c r="M277" s="18"/>
      <c r="O277" s="18"/>
      <c r="P277" s="18"/>
      <c r="Q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F277" s="18"/>
      <c r="AH277" s="18"/>
      <c r="AJ277" s="18"/>
      <c r="AK277" s="19"/>
      <c r="AL277" s="15"/>
    </row>
    <row r="278" spans="1:38" x14ac:dyDescent="0.3">
      <c r="A278" s="3" t="s">
        <v>148</v>
      </c>
      <c r="F278" s="44"/>
      <c r="Y278" s="2"/>
      <c r="AK278" s="19"/>
      <c r="AL278" s="15"/>
    </row>
    <row r="279" spans="1:38" x14ac:dyDescent="0.3">
      <c r="A279" s="2">
        <v>546</v>
      </c>
      <c r="B279" s="2" t="s">
        <v>119</v>
      </c>
      <c r="C279" s="2" t="s">
        <v>354</v>
      </c>
      <c r="D279" s="2" t="s">
        <v>28</v>
      </c>
      <c r="F279" s="44">
        <v>2193764.0100000002</v>
      </c>
      <c r="H279" s="19">
        <f>IF(VLOOKUP($D279,$C$5:$AJ$470,6,)=0,0,((VLOOKUP($D279,$C$5:$AJ$470,6,)/VLOOKUP($D279,$C$5:$AJ$470,4,))*$F279))</f>
        <v>976371.75240957702</v>
      </c>
      <c r="I279" s="19">
        <f>IF(VLOOKUP($D279,$C$5:$AJ$470,7,)=0,0,((VLOOKUP($D279,$C$5:$AJ$470,7,)/VLOOKUP($D279,$C$5:$AJ$470,4,))*$F279))</f>
        <v>1204582.4368671116</v>
      </c>
      <c r="J279" s="19">
        <f>IF(VLOOKUP($D279,$C$5:$AJ$470,8,)=0,0,((VLOOKUP($D279,$C$5:$AJ$470,8,)/VLOOKUP($D279,$C$5:$AJ$470,4,))*$F279))</f>
        <v>0</v>
      </c>
      <c r="K279" s="19">
        <f>IF(VLOOKUP($D279,$C$5:$AJ$470,9,)=0,0,((VLOOKUP($D279,$C$5:$AJ$470,9,)/VLOOKUP($D279,$C$5:$AJ$470,4,))*$F279))</f>
        <v>0</v>
      </c>
      <c r="L279" s="19">
        <f>IF(VLOOKUP($D279,$C$5:$AJ$470,10,)=0,0,((VLOOKUP($D279,$C$5:$AJ$470,10,)/VLOOKUP($D279,$C$5:$AJ$470,4,))*$F279))</f>
        <v>12809.820723311703</v>
      </c>
      <c r="M279" s="19">
        <f>IF(VLOOKUP($D279,$C$5:$AJ$470,11,)=0,0,((VLOOKUP($D279,$C$5:$AJ$470,11,)/VLOOKUP($D279,$C$5:$AJ$470,4,))*$F279))</f>
        <v>0</v>
      </c>
      <c r="N279" s="19"/>
      <c r="O279" s="19">
        <f>IF(VLOOKUP($D279,$C$5:$AJ$470,13,)=0,0,((VLOOKUP($D279,$C$5:$AJ$470,13,)/VLOOKUP($D279,$C$5:$AJ$470,4,))*$F279))</f>
        <v>0</v>
      </c>
      <c r="P279" s="19">
        <f>IF(VLOOKUP($D279,$C$5:$AJ$470,14,)=0,0,((VLOOKUP($D279,$C$5:$AJ$470,14,)/VLOOKUP($D279,$C$5:$AJ$470,4,))*$F279))</f>
        <v>0</v>
      </c>
      <c r="Q279" s="19">
        <f>IF(VLOOKUP($D279,$C$5:$AJ$470,15,)=0,0,((VLOOKUP($D279,$C$5:$AJ$470,15,)/VLOOKUP($D279,$C$5:$AJ$470,4,))*$F279))</f>
        <v>0</v>
      </c>
      <c r="R279" s="19"/>
      <c r="S279" s="19">
        <f>IF(VLOOKUP($D279,$C$5:$AJ$470,17,)=0,0,((VLOOKUP($D279,$C$5:$AJ$470,17,)/VLOOKUP($D279,$C$5:$AJ$470,4,))*$F279))</f>
        <v>0</v>
      </c>
      <c r="T279" s="19">
        <f>IF(VLOOKUP($D279,$C$5:$AJ$470,18,)=0,0,((VLOOKUP($D279,$C$5:$AJ$470,18,)/VLOOKUP($D279,$C$5:$AJ$470,4,))*$F279))</f>
        <v>0</v>
      </c>
      <c r="U279" s="19">
        <f>IF(VLOOKUP($D279,$C$5:$AJ$470,19,)=0,0,((VLOOKUP($D279,$C$5:$AJ$470,19,)/VLOOKUP($D279,$C$5:$AJ$470,4,))*$F279))</f>
        <v>0</v>
      </c>
      <c r="V279" s="19">
        <f>IF(VLOOKUP($D279,$C$5:$AJ$470,20,)=0,0,((VLOOKUP($D279,$C$5:$AJ$470,20,)/VLOOKUP($D279,$C$5:$AJ$470,4,))*$F279))</f>
        <v>0</v>
      </c>
      <c r="W279" s="19">
        <f>IF(VLOOKUP($D279,$C$5:$AJ$470,21,)=0,0,((VLOOKUP($D279,$C$5:$AJ$470,21,)/VLOOKUP($D279,$C$5:$AJ$470,4,))*$F279))</f>
        <v>0</v>
      </c>
      <c r="X279" s="19">
        <f>IF(VLOOKUP($D279,$C$5:$AJ$470,22,)=0,0,((VLOOKUP($D279,$C$5:$AJ$470,22,)/VLOOKUP($D279,$C$5:$AJ$470,4,))*$F279))</f>
        <v>0</v>
      </c>
      <c r="Y279" s="19">
        <f>IF(VLOOKUP($D279,$C$5:$AJ$470,23,)=0,0,((VLOOKUP($D279,$C$5:$AJ$470,23,)/VLOOKUP($D279,$C$5:$AJ$470,4,))*$F279))</f>
        <v>0</v>
      </c>
      <c r="Z279" s="19">
        <f>IF(VLOOKUP($D279,$C$5:$AJ$470,24,)=0,0,((VLOOKUP($D279,$C$5:$AJ$470,24,)/VLOOKUP($D279,$C$5:$AJ$470,4,))*$F279))</f>
        <v>0</v>
      </c>
      <c r="AA279" s="19">
        <f>IF(VLOOKUP($D279,$C$5:$AJ$470,25,)=0,0,((VLOOKUP($D279,$C$5:$AJ$470,25,)/VLOOKUP($D279,$C$5:$AJ$470,4,))*$F279))</f>
        <v>0</v>
      </c>
      <c r="AB279" s="19">
        <f>IF(VLOOKUP($D279,$C$5:$AJ$470,26,)=0,0,((VLOOKUP($D279,$C$5:$AJ$470,26,)/VLOOKUP($D279,$C$5:$AJ$470,4,))*$F279))</f>
        <v>0</v>
      </c>
      <c r="AC279" s="19">
        <f>IF(VLOOKUP($D279,$C$5:$AJ$470,27,)=0,0,((VLOOKUP($D279,$C$5:$AJ$470,27,)/VLOOKUP($D279,$C$5:$AJ$470,4,))*$F279))</f>
        <v>0</v>
      </c>
      <c r="AD279" s="19">
        <f>IF(VLOOKUP($D279,$C$5:$AJ$470,28,)=0,0,((VLOOKUP($D279,$C$5:$AJ$470,28,)/VLOOKUP($D279,$C$5:$AJ$470,4,))*$F279))</f>
        <v>0</v>
      </c>
      <c r="AE279" s="19"/>
      <c r="AF279" s="19">
        <f>IF(VLOOKUP($D279,$C$5:$AJ$470,30,)=0,0,((VLOOKUP($D279,$C$5:$AJ$470,30,)/VLOOKUP($D279,$C$5:$AJ$470,4,))*$F279))</f>
        <v>0</v>
      </c>
      <c r="AG279" s="19"/>
      <c r="AH279" s="19">
        <f>IF(VLOOKUP($D279,$C$5:$AJ$470,32,)=0,0,((VLOOKUP($D279,$C$5:$AJ$470,32,)/VLOOKUP($D279,$C$5:$AJ$470,4,))*$F279))</f>
        <v>0</v>
      </c>
      <c r="AI279" s="19"/>
      <c r="AJ279" s="19">
        <f>IF(VLOOKUP($D279,$C$5:$AJ$470,34,)=0,0,((VLOOKUP($D279,$C$5:$AJ$470,34,)/VLOOKUP($D279,$C$5:$AJ$470,4,))*$F279))</f>
        <v>0</v>
      </c>
      <c r="AK279" s="19">
        <f t="shared" ref="AK279:AK285" si="296">SUM(H279:AJ279)</f>
        <v>2193764.0100000002</v>
      </c>
      <c r="AL279" s="15" t="str">
        <f t="shared" ref="AL279:AL285" si="297">IF(ABS(AK279-F279)&lt;1,"ok","err")</f>
        <v>ok</v>
      </c>
    </row>
    <row r="280" spans="1:38" x14ac:dyDescent="0.3">
      <c r="A280" s="2">
        <v>547</v>
      </c>
      <c r="B280" s="2" t="s">
        <v>89</v>
      </c>
      <c r="C280" s="2" t="s">
        <v>355</v>
      </c>
      <c r="D280" s="2" t="s">
        <v>122</v>
      </c>
      <c r="F280" s="44">
        <v>93447.05</v>
      </c>
      <c r="H280" s="19">
        <f>IF(VLOOKUP($D280,$C$5:$AJ$470,6,)=0,0,((VLOOKUP($D280,$C$5:$AJ$470,6,)/VLOOKUP($D280,$C$5:$AJ$470,4,))*$F280))</f>
        <v>0</v>
      </c>
      <c r="I280" s="19">
        <f>IF(VLOOKUP($D280,$C$5:$AJ$470,7,)=0,0,((VLOOKUP($D280,$C$5:$AJ$470,7,)/VLOOKUP($D280,$C$5:$AJ$470,4,))*$F280))</f>
        <v>0</v>
      </c>
      <c r="J280" s="19">
        <f>IF(VLOOKUP($D280,$C$5:$AJ$470,8,)=0,0,((VLOOKUP($D280,$C$5:$AJ$470,8,)/VLOOKUP($D280,$C$5:$AJ$470,4,))*$F280))</f>
        <v>44016.159903450287</v>
      </c>
      <c r="K280" s="19">
        <f>IF(VLOOKUP($D280,$C$5:$AJ$470,9,)=0,0,((VLOOKUP($D280,$C$5:$AJ$470,9,)/VLOOKUP($D280,$C$5:$AJ$470,4,))*$F280))</f>
        <v>48054.840092988889</v>
      </c>
      <c r="L280" s="19">
        <f>IF(VLOOKUP($D280,$C$5:$AJ$470,10,)=0,0,((VLOOKUP($D280,$C$5:$AJ$470,10,)/VLOOKUP($D280,$C$5:$AJ$470,4,))*$F280))</f>
        <v>1376.0500035608338</v>
      </c>
      <c r="M280" s="19">
        <f>IF(VLOOKUP($D280,$C$5:$AJ$470,11,)=0,0,((VLOOKUP($D280,$C$5:$AJ$470,11,)/VLOOKUP($D280,$C$5:$AJ$470,4,))*$F280))</f>
        <v>0</v>
      </c>
      <c r="N280" s="19"/>
      <c r="O280" s="19">
        <f>IF(VLOOKUP($D280,$C$5:$AJ$470,13,)=0,0,((VLOOKUP($D280,$C$5:$AJ$470,13,)/VLOOKUP($D280,$C$5:$AJ$470,4,))*$F280))</f>
        <v>0</v>
      </c>
      <c r="P280" s="19">
        <f>IF(VLOOKUP($D280,$C$5:$AJ$470,14,)=0,0,((VLOOKUP($D280,$C$5:$AJ$470,14,)/VLOOKUP($D280,$C$5:$AJ$470,4,))*$F280))</f>
        <v>0</v>
      </c>
      <c r="Q280" s="19">
        <f>IF(VLOOKUP($D280,$C$5:$AJ$470,15,)=0,0,((VLOOKUP($D280,$C$5:$AJ$470,15,)/VLOOKUP($D280,$C$5:$AJ$470,4,))*$F280))</f>
        <v>0</v>
      </c>
      <c r="R280" s="19"/>
      <c r="S280" s="19">
        <f>IF(VLOOKUP($D280,$C$5:$AJ$470,17,)=0,0,((VLOOKUP($D280,$C$5:$AJ$470,17,)/VLOOKUP($D280,$C$5:$AJ$470,4,))*$F280))</f>
        <v>0</v>
      </c>
      <c r="T280" s="19">
        <f>IF(VLOOKUP($D280,$C$5:$AJ$470,18,)=0,0,((VLOOKUP($D280,$C$5:$AJ$470,18,)/VLOOKUP($D280,$C$5:$AJ$470,4,))*$F280))</f>
        <v>0</v>
      </c>
      <c r="U280" s="19">
        <f>IF(VLOOKUP($D280,$C$5:$AJ$470,19,)=0,0,((VLOOKUP($D280,$C$5:$AJ$470,19,)/VLOOKUP($D280,$C$5:$AJ$470,4,))*$F280))</f>
        <v>0</v>
      </c>
      <c r="V280" s="19">
        <f>IF(VLOOKUP($D280,$C$5:$AJ$470,20,)=0,0,((VLOOKUP($D280,$C$5:$AJ$470,20,)/VLOOKUP($D280,$C$5:$AJ$470,4,))*$F280))</f>
        <v>0</v>
      </c>
      <c r="W280" s="19">
        <f>IF(VLOOKUP($D280,$C$5:$AJ$470,21,)=0,0,((VLOOKUP($D280,$C$5:$AJ$470,21,)/VLOOKUP($D280,$C$5:$AJ$470,4,))*$F280))</f>
        <v>0</v>
      </c>
      <c r="X280" s="19">
        <f>IF(VLOOKUP($D280,$C$5:$AJ$470,22,)=0,0,((VLOOKUP($D280,$C$5:$AJ$470,22,)/VLOOKUP($D280,$C$5:$AJ$470,4,))*$F280))</f>
        <v>0</v>
      </c>
      <c r="Y280" s="19">
        <f>IF(VLOOKUP($D280,$C$5:$AJ$470,23,)=0,0,((VLOOKUP($D280,$C$5:$AJ$470,23,)/VLOOKUP($D280,$C$5:$AJ$470,4,))*$F280))</f>
        <v>0</v>
      </c>
      <c r="Z280" s="19">
        <f>IF(VLOOKUP($D280,$C$5:$AJ$470,24,)=0,0,((VLOOKUP($D280,$C$5:$AJ$470,24,)/VLOOKUP($D280,$C$5:$AJ$470,4,))*$F280))</f>
        <v>0</v>
      </c>
      <c r="AA280" s="19">
        <f>IF(VLOOKUP($D280,$C$5:$AJ$470,25,)=0,0,((VLOOKUP($D280,$C$5:$AJ$470,25,)/VLOOKUP($D280,$C$5:$AJ$470,4,))*$F280))</f>
        <v>0</v>
      </c>
      <c r="AB280" s="19">
        <f>IF(VLOOKUP($D280,$C$5:$AJ$470,26,)=0,0,((VLOOKUP($D280,$C$5:$AJ$470,26,)/VLOOKUP($D280,$C$5:$AJ$470,4,))*$F280))</f>
        <v>0</v>
      </c>
      <c r="AC280" s="19">
        <f>IF(VLOOKUP($D280,$C$5:$AJ$470,27,)=0,0,((VLOOKUP($D280,$C$5:$AJ$470,27,)/VLOOKUP($D280,$C$5:$AJ$470,4,))*$F280))</f>
        <v>0</v>
      </c>
      <c r="AD280" s="19">
        <f>IF(VLOOKUP($D280,$C$5:$AJ$470,28,)=0,0,((VLOOKUP($D280,$C$5:$AJ$470,28,)/VLOOKUP($D280,$C$5:$AJ$470,4,))*$F280))</f>
        <v>0</v>
      </c>
      <c r="AE280" s="19"/>
      <c r="AF280" s="19">
        <f>IF(VLOOKUP($D280,$C$5:$AJ$470,30,)=0,0,((VLOOKUP($D280,$C$5:$AJ$470,30,)/VLOOKUP($D280,$C$5:$AJ$470,4,))*$F280))</f>
        <v>0</v>
      </c>
      <c r="AG280" s="19"/>
      <c r="AH280" s="19">
        <f>IF(VLOOKUP($D280,$C$5:$AJ$470,32,)=0,0,((VLOOKUP($D280,$C$5:$AJ$470,32,)/VLOOKUP($D280,$C$5:$AJ$470,4,))*$F280))</f>
        <v>0</v>
      </c>
      <c r="AI280" s="19"/>
      <c r="AJ280" s="19">
        <f>IF(VLOOKUP($D280,$C$5:$AJ$470,34,)=0,0,((VLOOKUP($D280,$C$5:$AJ$470,34,)/VLOOKUP($D280,$C$5:$AJ$470,4,))*$F280))</f>
        <v>0</v>
      </c>
      <c r="AK280" s="19">
        <f t="shared" si="296"/>
        <v>93447.05</v>
      </c>
      <c r="AL280" s="15" t="str">
        <f t="shared" si="297"/>
        <v>ok</v>
      </c>
    </row>
    <row r="281" spans="1:38" x14ac:dyDescent="0.3">
      <c r="A281" s="2">
        <v>548</v>
      </c>
      <c r="B281" s="2" t="s">
        <v>152</v>
      </c>
      <c r="C281" s="2" t="s">
        <v>356</v>
      </c>
      <c r="D281" s="2" t="s">
        <v>28</v>
      </c>
      <c r="F281" s="44">
        <v>2088959</v>
      </c>
      <c r="H281" s="19">
        <f>IF(VLOOKUP($D281,$C$5:$AJ$470,6,)=0,0,((VLOOKUP($D281,$C$5:$AJ$470,6,)/VLOOKUP($D281,$C$5:$AJ$470,4,))*$F281))</f>
        <v>929726.51125850016</v>
      </c>
      <c r="I281" s="19">
        <f>IF(VLOOKUP($D281,$C$5:$AJ$470,7,)=0,0,((VLOOKUP($D281,$C$5:$AJ$470,7,)/VLOOKUP($D281,$C$5:$AJ$470,4,))*$F281))</f>
        <v>1147034.6451419285</v>
      </c>
      <c r="J281" s="19">
        <f>IF(VLOOKUP($D281,$C$5:$AJ$470,8,)=0,0,((VLOOKUP($D281,$C$5:$AJ$470,8,)/VLOOKUP($D281,$C$5:$AJ$470,4,))*$F281))</f>
        <v>0</v>
      </c>
      <c r="K281" s="19">
        <f>IF(VLOOKUP($D281,$C$5:$AJ$470,9,)=0,0,((VLOOKUP($D281,$C$5:$AJ$470,9,)/VLOOKUP($D281,$C$5:$AJ$470,4,))*$F281))</f>
        <v>0</v>
      </c>
      <c r="L281" s="19">
        <f>IF(VLOOKUP($D281,$C$5:$AJ$470,10,)=0,0,((VLOOKUP($D281,$C$5:$AJ$470,10,)/VLOOKUP($D281,$C$5:$AJ$470,4,))*$F281))</f>
        <v>12197.843599571355</v>
      </c>
      <c r="M281" s="19">
        <f>IF(VLOOKUP($D281,$C$5:$AJ$470,11,)=0,0,((VLOOKUP($D281,$C$5:$AJ$470,11,)/VLOOKUP($D281,$C$5:$AJ$470,4,))*$F281))</f>
        <v>0</v>
      </c>
      <c r="N281" s="19"/>
      <c r="O281" s="19">
        <f>IF(VLOOKUP($D281,$C$5:$AJ$470,13,)=0,0,((VLOOKUP($D281,$C$5:$AJ$470,13,)/VLOOKUP($D281,$C$5:$AJ$470,4,))*$F281))</f>
        <v>0</v>
      </c>
      <c r="P281" s="19">
        <f>IF(VLOOKUP($D281,$C$5:$AJ$470,14,)=0,0,((VLOOKUP($D281,$C$5:$AJ$470,14,)/VLOOKUP($D281,$C$5:$AJ$470,4,))*$F281))</f>
        <v>0</v>
      </c>
      <c r="Q281" s="19">
        <f>IF(VLOOKUP($D281,$C$5:$AJ$470,15,)=0,0,((VLOOKUP($D281,$C$5:$AJ$470,15,)/VLOOKUP($D281,$C$5:$AJ$470,4,))*$F281))</f>
        <v>0</v>
      </c>
      <c r="R281" s="19"/>
      <c r="S281" s="19">
        <f>IF(VLOOKUP($D281,$C$5:$AJ$470,17,)=0,0,((VLOOKUP($D281,$C$5:$AJ$470,17,)/VLOOKUP($D281,$C$5:$AJ$470,4,))*$F281))</f>
        <v>0</v>
      </c>
      <c r="T281" s="19">
        <f>IF(VLOOKUP($D281,$C$5:$AJ$470,18,)=0,0,((VLOOKUP($D281,$C$5:$AJ$470,18,)/VLOOKUP($D281,$C$5:$AJ$470,4,))*$F281))</f>
        <v>0</v>
      </c>
      <c r="U281" s="19">
        <f>IF(VLOOKUP($D281,$C$5:$AJ$470,19,)=0,0,((VLOOKUP($D281,$C$5:$AJ$470,19,)/VLOOKUP($D281,$C$5:$AJ$470,4,))*$F281))</f>
        <v>0</v>
      </c>
      <c r="V281" s="19">
        <f>IF(VLOOKUP($D281,$C$5:$AJ$470,20,)=0,0,((VLOOKUP($D281,$C$5:$AJ$470,20,)/VLOOKUP($D281,$C$5:$AJ$470,4,))*$F281))</f>
        <v>0</v>
      </c>
      <c r="W281" s="19">
        <f>IF(VLOOKUP($D281,$C$5:$AJ$470,21,)=0,0,((VLOOKUP($D281,$C$5:$AJ$470,21,)/VLOOKUP($D281,$C$5:$AJ$470,4,))*$F281))</f>
        <v>0</v>
      </c>
      <c r="X281" s="19">
        <f>IF(VLOOKUP($D281,$C$5:$AJ$470,22,)=0,0,((VLOOKUP($D281,$C$5:$AJ$470,22,)/VLOOKUP($D281,$C$5:$AJ$470,4,))*$F281))</f>
        <v>0</v>
      </c>
      <c r="Y281" s="19">
        <f>IF(VLOOKUP($D281,$C$5:$AJ$470,23,)=0,0,((VLOOKUP($D281,$C$5:$AJ$470,23,)/VLOOKUP($D281,$C$5:$AJ$470,4,))*$F281))</f>
        <v>0</v>
      </c>
      <c r="Z281" s="19">
        <f>IF(VLOOKUP($D281,$C$5:$AJ$470,24,)=0,0,((VLOOKUP($D281,$C$5:$AJ$470,24,)/VLOOKUP($D281,$C$5:$AJ$470,4,))*$F281))</f>
        <v>0</v>
      </c>
      <c r="AA281" s="19">
        <f>IF(VLOOKUP($D281,$C$5:$AJ$470,25,)=0,0,((VLOOKUP($D281,$C$5:$AJ$470,25,)/VLOOKUP($D281,$C$5:$AJ$470,4,))*$F281))</f>
        <v>0</v>
      </c>
      <c r="AB281" s="19">
        <f>IF(VLOOKUP($D281,$C$5:$AJ$470,26,)=0,0,((VLOOKUP($D281,$C$5:$AJ$470,26,)/VLOOKUP($D281,$C$5:$AJ$470,4,))*$F281))</f>
        <v>0</v>
      </c>
      <c r="AC281" s="19">
        <f>IF(VLOOKUP($D281,$C$5:$AJ$470,27,)=0,0,((VLOOKUP($D281,$C$5:$AJ$470,27,)/VLOOKUP($D281,$C$5:$AJ$470,4,))*$F281))</f>
        <v>0</v>
      </c>
      <c r="AD281" s="19">
        <f>IF(VLOOKUP($D281,$C$5:$AJ$470,28,)=0,0,((VLOOKUP($D281,$C$5:$AJ$470,28,)/VLOOKUP($D281,$C$5:$AJ$470,4,))*$F281))</f>
        <v>0</v>
      </c>
      <c r="AE281" s="19"/>
      <c r="AF281" s="19">
        <f>IF(VLOOKUP($D281,$C$5:$AJ$470,30,)=0,0,((VLOOKUP($D281,$C$5:$AJ$470,30,)/VLOOKUP($D281,$C$5:$AJ$470,4,))*$F281))</f>
        <v>0</v>
      </c>
      <c r="AG281" s="19"/>
      <c r="AH281" s="19">
        <f>IF(VLOOKUP($D281,$C$5:$AJ$470,32,)=0,0,((VLOOKUP($D281,$C$5:$AJ$470,32,)/VLOOKUP($D281,$C$5:$AJ$470,4,))*$F281))</f>
        <v>0</v>
      </c>
      <c r="AI281" s="19"/>
      <c r="AJ281" s="19">
        <f>IF(VLOOKUP($D281,$C$5:$AJ$470,34,)=0,0,((VLOOKUP($D281,$C$5:$AJ$470,34,)/VLOOKUP($D281,$C$5:$AJ$470,4,))*$F281))</f>
        <v>0</v>
      </c>
      <c r="AK281" s="19">
        <f t="shared" si="296"/>
        <v>2088959</v>
      </c>
      <c r="AL281" s="15" t="str">
        <f t="shared" si="297"/>
        <v>ok</v>
      </c>
    </row>
    <row r="282" spans="1:38" x14ac:dyDescent="0.3">
      <c r="A282" s="2">
        <v>549</v>
      </c>
      <c r="B282" s="2" t="s">
        <v>154</v>
      </c>
      <c r="C282" s="2" t="s">
        <v>357</v>
      </c>
      <c r="D282" s="2" t="s">
        <v>28</v>
      </c>
      <c r="F282" s="44">
        <v>985445.44000000006</v>
      </c>
      <c r="H282" s="19">
        <f>IF(VLOOKUP($D282,$C$5:$AJ$470,6,)=0,0,((VLOOKUP($D282,$C$5:$AJ$470,6,)/VLOOKUP($D282,$C$5:$AJ$470,4,))*$F282))</f>
        <v>438589.14941212238</v>
      </c>
      <c r="I282" s="19">
        <f>IF(VLOOKUP($D282,$C$5:$AJ$470,7,)=0,0,((VLOOKUP($D282,$C$5:$AJ$470,7,)/VLOOKUP($D282,$C$5:$AJ$470,4,))*$F282))</f>
        <v>541102.08030752721</v>
      </c>
      <c r="J282" s="19">
        <f>IF(VLOOKUP($D282,$C$5:$AJ$470,8,)=0,0,((VLOOKUP($D282,$C$5:$AJ$470,8,)/VLOOKUP($D282,$C$5:$AJ$470,4,))*$F282))</f>
        <v>0</v>
      </c>
      <c r="K282" s="19">
        <f>IF(VLOOKUP($D282,$C$5:$AJ$470,9,)=0,0,((VLOOKUP($D282,$C$5:$AJ$470,9,)/VLOOKUP($D282,$C$5:$AJ$470,4,))*$F282))</f>
        <v>0</v>
      </c>
      <c r="L282" s="19">
        <f>IF(VLOOKUP($D282,$C$5:$AJ$470,10,)=0,0,((VLOOKUP($D282,$C$5:$AJ$470,10,)/VLOOKUP($D282,$C$5:$AJ$470,4,))*$F282))</f>
        <v>5754.2102803505377</v>
      </c>
      <c r="M282" s="19">
        <f>IF(VLOOKUP($D282,$C$5:$AJ$470,11,)=0,0,((VLOOKUP($D282,$C$5:$AJ$470,11,)/VLOOKUP($D282,$C$5:$AJ$470,4,))*$F282))</f>
        <v>0</v>
      </c>
      <c r="N282" s="19"/>
      <c r="O282" s="19">
        <f>IF(VLOOKUP($D282,$C$5:$AJ$470,13,)=0,0,((VLOOKUP($D282,$C$5:$AJ$470,13,)/VLOOKUP($D282,$C$5:$AJ$470,4,))*$F282))</f>
        <v>0</v>
      </c>
      <c r="P282" s="19">
        <f>IF(VLOOKUP($D282,$C$5:$AJ$470,14,)=0,0,((VLOOKUP($D282,$C$5:$AJ$470,14,)/VLOOKUP($D282,$C$5:$AJ$470,4,))*$F282))</f>
        <v>0</v>
      </c>
      <c r="Q282" s="19">
        <f>IF(VLOOKUP($D282,$C$5:$AJ$470,15,)=0,0,((VLOOKUP($D282,$C$5:$AJ$470,15,)/VLOOKUP($D282,$C$5:$AJ$470,4,))*$F282))</f>
        <v>0</v>
      </c>
      <c r="R282" s="19"/>
      <c r="S282" s="19">
        <f>IF(VLOOKUP($D282,$C$5:$AJ$470,17,)=0,0,((VLOOKUP($D282,$C$5:$AJ$470,17,)/VLOOKUP($D282,$C$5:$AJ$470,4,))*$F282))</f>
        <v>0</v>
      </c>
      <c r="T282" s="19">
        <f>IF(VLOOKUP($D282,$C$5:$AJ$470,18,)=0,0,((VLOOKUP($D282,$C$5:$AJ$470,18,)/VLOOKUP($D282,$C$5:$AJ$470,4,))*$F282))</f>
        <v>0</v>
      </c>
      <c r="U282" s="19">
        <f>IF(VLOOKUP($D282,$C$5:$AJ$470,19,)=0,0,((VLOOKUP($D282,$C$5:$AJ$470,19,)/VLOOKUP($D282,$C$5:$AJ$470,4,))*$F282))</f>
        <v>0</v>
      </c>
      <c r="V282" s="19">
        <f>IF(VLOOKUP($D282,$C$5:$AJ$470,20,)=0,0,((VLOOKUP($D282,$C$5:$AJ$470,20,)/VLOOKUP($D282,$C$5:$AJ$470,4,))*$F282))</f>
        <v>0</v>
      </c>
      <c r="W282" s="19">
        <f>IF(VLOOKUP($D282,$C$5:$AJ$470,21,)=0,0,((VLOOKUP($D282,$C$5:$AJ$470,21,)/VLOOKUP($D282,$C$5:$AJ$470,4,))*$F282))</f>
        <v>0</v>
      </c>
      <c r="X282" s="19">
        <f>IF(VLOOKUP($D282,$C$5:$AJ$470,22,)=0,0,((VLOOKUP($D282,$C$5:$AJ$470,22,)/VLOOKUP($D282,$C$5:$AJ$470,4,))*$F282))</f>
        <v>0</v>
      </c>
      <c r="Y282" s="19">
        <f>IF(VLOOKUP($D282,$C$5:$AJ$470,23,)=0,0,((VLOOKUP($D282,$C$5:$AJ$470,23,)/VLOOKUP($D282,$C$5:$AJ$470,4,))*$F282))</f>
        <v>0</v>
      </c>
      <c r="Z282" s="19">
        <f>IF(VLOOKUP($D282,$C$5:$AJ$470,24,)=0,0,((VLOOKUP($D282,$C$5:$AJ$470,24,)/VLOOKUP($D282,$C$5:$AJ$470,4,))*$F282))</f>
        <v>0</v>
      </c>
      <c r="AA282" s="19">
        <f>IF(VLOOKUP($D282,$C$5:$AJ$470,25,)=0,0,((VLOOKUP($D282,$C$5:$AJ$470,25,)/VLOOKUP($D282,$C$5:$AJ$470,4,))*$F282))</f>
        <v>0</v>
      </c>
      <c r="AB282" s="19">
        <f>IF(VLOOKUP($D282,$C$5:$AJ$470,26,)=0,0,((VLOOKUP($D282,$C$5:$AJ$470,26,)/VLOOKUP($D282,$C$5:$AJ$470,4,))*$F282))</f>
        <v>0</v>
      </c>
      <c r="AC282" s="19">
        <f>IF(VLOOKUP($D282,$C$5:$AJ$470,27,)=0,0,((VLOOKUP($D282,$C$5:$AJ$470,27,)/VLOOKUP($D282,$C$5:$AJ$470,4,))*$F282))</f>
        <v>0</v>
      </c>
      <c r="AD282" s="19">
        <f>IF(VLOOKUP($D282,$C$5:$AJ$470,28,)=0,0,((VLOOKUP($D282,$C$5:$AJ$470,28,)/VLOOKUP($D282,$C$5:$AJ$470,4,))*$F282))</f>
        <v>0</v>
      </c>
      <c r="AE282" s="19"/>
      <c r="AF282" s="19">
        <f>IF(VLOOKUP($D282,$C$5:$AJ$470,30,)=0,0,((VLOOKUP($D282,$C$5:$AJ$470,30,)/VLOOKUP($D282,$C$5:$AJ$470,4,))*$F282))</f>
        <v>0</v>
      </c>
      <c r="AG282" s="19"/>
      <c r="AH282" s="19">
        <f>IF(VLOOKUP($D282,$C$5:$AJ$470,32,)=0,0,((VLOOKUP($D282,$C$5:$AJ$470,32,)/VLOOKUP($D282,$C$5:$AJ$470,4,))*$F282))</f>
        <v>0</v>
      </c>
      <c r="AI282" s="19"/>
      <c r="AJ282" s="19">
        <f>IF(VLOOKUP($D282,$C$5:$AJ$470,34,)=0,0,((VLOOKUP($D282,$C$5:$AJ$470,34,)/VLOOKUP($D282,$C$5:$AJ$470,4,))*$F282))</f>
        <v>0</v>
      </c>
      <c r="AK282" s="19">
        <f t="shared" si="296"/>
        <v>985445.44000000006</v>
      </c>
      <c r="AL282" s="15" t="str">
        <f t="shared" si="297"/>
        <v>ok</v>
      </c>
    </row>
    <row r="283" spans="1:38" x14ac:dyDescent="0.3">
      <c r="A283" s="2">
        <v>550</v>
      </c>
      <c r="B283" s="2" t="s">
        <v>129</v>
      </c>
      <c r="C283" s="2" t="s">
        <v>358</v>
      </c>
      <c r="D283" s="2" t="s">
        <v>28</v>
      </c>
      <c r="F283" s="44">
        <v>0</v>
      </c>
      <c r="H283" s="19">
        <f>IF(VLOOKUP($D283,$C$5:$AJ$470,6,)=0,0,((VLOOKUP($D283,$C$5:$AJ$470,6,)/VLOOKUP($D283,$C$5:$AJ$470,4,))*$F283))</f>
        <v>0</v>
      </c>
      <c r="I283" s="19">
        <f>IF(VLOOKUP($D283,$C$5:$AJ$470,7,)=0,0,((VLOOKUP($D283,$C$5:$AJ$470,7,)/VLOOKUP($D283,$C$5:$AJ$470,4,))*$F283))</f>
        <v>0</v>
      </c>
      <c r="J283" s="19">
        <f>IF(VLOOKUP($D283,$C$5:$AJ$470,8,)=0,0,((VLOOKUP($D283,$C$5:$AJ$470,8,)/VLOOKUP($D283,$C$5:$AJ$470,4,))*$F283))</f>
        <v>0</v>
      </c>
      <c r="K283" s="19">
        <f>IF(VLOOKUP($D283,$C$5:$AJ$470,9,)=0,0,((VLOOKUP($D283,$C$5:$AJ$470,9,)/VLOOKUP($D283,$C$5:$AJ$470,4,))*$F283))</f>
        <v>0</v>
      </c>
      <c r="L283" s="19">
        <f>IF(VLOOKUP($D283,$C$5:$AJ$470,10,)=0,0,((VLOOKUP($D283,$C$5:$AJ$470,10,)/VLOOKUP($D283,$C$5:$AJ$470,4,))*$F283))</f>
        <v>0</v>
      </c>
      <c r="M283" s="19">
        <f>IF(VLOOKUP($D283,$C$5:$AJ$470,11,)=0,0,((VLOOKUP($D283,$C$5:$AJ$470,11,)/VLOOKUP($D283,$C$5:$AJ$470,4,))*$F283))</f>
        <v>0</v>
      </c>
      <c r="N283" s="19"/>
      <c r="O283" s="19">
        <f>IF(VLOOKUP($D283,$C$5:$AJ$470,13,)=0,0,((VLOOKUP($D283,$C$5:$AJ$470,13,)/VLOOKUP($D283,$C$5:$AJ$470,4,))*$F283))</f>
        <v>0</v>
      </c>
      <c r="P283" s="19">
        <f>IF(VLOOKUP($D283,$C$5:$AJ$470,14,)=0,0,((VLOOKUP($D283,$C$5:$AJ$470,14,)/VLOOKUP($D283,$C$5:$AJ$470,4,))*$F283))</f>
        <v>0</v>
      </c>
      <c r="Q283" s="19">
        <f>IF(VLOOKUP($D283,$C$5:$AJ$470,15,)=0,0,((VLOOKUP($D283,$C$5:$AJ$470,15,)/VLOOKUP($D283,$C$5:$AJ$470,4,))*$F283))</f>
        <v>0</v>
      </c>
      <c r="R283" s="19"/>
      <c r="S283" s="19">
        <f>IF(VLOOKUP($D283,$C$5:$AJ$470,17,)=0,0,((VLOOKUP($D283,$C$5:$AJ$470,17,)/VLOOKUP($D283,$C$5:$AJ$470,4,))*$F283))</f>
        <v>0</v>
      </c>
      <c r="T283" s="19">
        <f>IF(VLOOKUP($D283,$C$5:$AJ$470,18,)=0,0,((VLOOKUP($D283,$C$5:$AJ$470,18,)/VLOOKUP($D283,$C$5:$AJ$470,4,))*$F283))</f>
        <v>0</v>
      </c>
      <c r="U283" s="19">
        <f>IF(VLOOKUP($D283,$C$5:$AJ$470,19,)=0,0,((VLOOKUP($D283,$C$5:$AJ$470,19,)/VLOOKUP($D283,$C$5:$AJ$470,4,))*$F283))</f>
        <v>0</v>
      </c>
      <c r="V283" s="19">
        <f>IF(VLOOKUP($D283,$C$5:$AJ$470,20,)=0,0,((VLOOKUP($D283,$C$5:$AJ$470,20,)/VLOOKUP($D283,$C$5:$AJ$470,4,))*$F283))</f>
        <v>0</v>
      </c>
      <c r="W283" s="19">
        <f>IF(VLOOKUP($D283,$C$5:$AJ$470,21,)=0,0,((VLOOKUP($D283,$C$5:$AJ$470,21,)/VLOOKUP($D283,$C$5:$AJ$470,4,))*$F283))</f>
        <v>0</v>
      </c>
      <c r="X283" s="19">
        <f>IF(VLOOKUP($D283,$C$5:$AJ$470,22,)=0,0,((VLOOKUP($D283,$C$5:$AJ$470,22,)/VLOOKUP($D283,$C$5:$AJ$470,4,))*$F283))</f>
        <v>0</v>
      </c>
      <c r="Y283" s="19">
        <f>IF(VLOOKUP($D283,$C$5:$AJ$470,23,)=0,0,((VLOOKUP($D283,$C$5:$AJ$470,23,)/VLOOKUP($D283,$C$5:$AJ$470,4,))*$F283))</f>
        <v>0</v>
      </c>
      <c r="Z283" s="19">
        <f>IF(VLOOKUP($D283,$C$5:$AJ$470,24,)=0,0,((VLOOKUP($D283,$C$5:$AJ$470,24,)/VLOOKUP($D283,$C$5:$AJ$470,4,))*$F283))</f>
        <v>0</v>
      </c>
      <c r="AA283" s="19">
        <f>IF(VLOOKUP($D283,$C$5:$AJ$470,25,)=0,0,((VLOOKUP($D283,$C$5:$AJ$470,25,)/VLOOKUP($D283,$C$5:$AJ$470,4,))*$F283))</f>
        <v>0</v>
      </c>
      <c r="AB283" s="19">
        <f>IF(VLOOKUP($D283,$C$5:$AJ$470,26,)=0,0,((VLOOKUP($D283,$C$5:$AJ$470,26,)/VLOOKUP($D283,$C$5:$AJ$470,4,))*$F283))</f>
        <v>0</v>
      </c>
      <c r="AC283" s="19">
        <f>IF(VLOOKUP($D283,$C$5:$AJ$470,27,)=0,0,((VLOOKUP($D283,$C$5:$AJ$470,27,)/VLOOKUP($D283,$C$5:$AJ$470,4,))*$F283))</f>
        <v>0</v>
      </c>
      <c r="AD283" s="19">
        <f>IF(VLOOKUP($D283,$C$5:$AJ$470,28,)=0,0,((VLOOKUP($D283,$C$5:$AJ$470,28,)/VLOOKUP($D283,$C$5:$AJ$470,4,))*$F283))</f>
        <v>0</v>
      </c>
      <c r="AE283" s="19"/>
      <c r="AF283" s="19">
        <f>IF(VLOOKUP($D283,$C$5:$AJ$470,30,)=0,0,((VLOOKUP($D283,$C$5:$AJ$470,30,)/VLOOKUP($D283,$C$5:$AJ$470,4,))*$F283))</f>
        <v>0</v>
      </c>
      <c r="AG283" s="19"/>
      <c r="AH283" s="19">
        <f>IF(VLOOKUP($D283,$C$5:$AJ$470,32,)=0,0,((VLOOKUP($D283,$C$5:$AJ$470,32,)/VLOOKUP($D283,$C$5:$AJ$470,4,))*$F283))</f>
        <v>0</v>
      </c>
      <c r="AI283" s="19"/>
      <c r="AJ283" s="19">
        <f>IF(VLOOKUP($D283,$C$5:$AJ$470,34,)=0,0,((VLOOKUP($D283,$C$5:$AJ$470,34,)/VLOOKUP($D283,$C$5:$AJ$470,4,))*$F283))</f>
        <v>0</v>
      </c>
      <c r="AK283" s="19">
        <f t="shared" si="296"/>
        <v>0</v>
      </c>
      <c r="AL283" s="15" t="str">
        <f t="shared" si="297"/>
        <v>ok</v>
      </c>
    </row>
    <row r="284" spans="1:38" x14ac:dyDescent="0.3">
      <c r="F284" s="44"/>
      <c r="Y284" s="2"/>
      <c r="AK284" s="19"/>
      <c r="AL284" s="15"/>
    </row>
    <row r="285" spans="1:38" x14ac:dyDescent="0.3">
      <c r="B285" s="2" t="s">
        <v>157</v>
      </c>
      <c r="C285" s="2" t="s">
        <v>359</v>
      </c>
      <c r="F285" s="44">
        <f>SUM(F279:F284)</f>
        <v>5361615.5000000009</v>
      </c>
      <c r="H285" s="18">
        <f t="shared" ref="H285:M285" si="298">SUM(H279:H284)</f>
        <v>2344687.4130801996</v>
      </c>
      <c r="I285" s="18">
        <f t="shared" si="298"/>
        <v>2892719.1623165673</v>
      </c>
      <c r="J285" s="18">
        <f t="shared" si="298"/>
        <v>44016.159903450287</v>
      </c>
      <c r="K285" s="18">
        <f t="shared" si="298"/>
        <v>48054.840092988889</v>
      </c>
      <c r="L285" s="18">
        <f t="shared" si="298"/>
        <v>32137.92460679443</v>
      </c>
      <c r="M285" s="18">
        <f t="shared" si="298"/>
        <v>0</v>
      </c>
      <c r="O285" s="18">
        <f>SUM(O279:O284)</f>
        <v>0</v>
      </c>
      <c r="P285" s="18">
        <f>SUM(P279:P284)</f>
        <v>0</v>
      </c>
      <c r="Q285" s="18">
        <f>SUM(Q279:Q284)</f>
        <v>0</v>
      </c>
      <c r="S285" s="18">
        <f t="shared" ref="S285:AD285" si="299">SUM(S279:S284)</f>
        <v>0</v>
      </c>
      <c r="T285" s="18">
        <f t="shared" si="299"/>
        <v>0</v>
      </c>
      <c r="U285" s="18">
        <f t="shared" si="299"/>
        <v>0</v>
      </c>
      <c r="V285" s="18">
        <f t="shared" si="299"/>
        <v>0</v>
      </c>
      <c r="W285" s="18">
        <f t="shared" si="299"/>
        <v>0</v>
      </c>
      <c r="X285" s="18">
        <f t="shared" si="299"/>
        <v>0</v>
      </c>
      <c r="Y285" s="18">
        <f t="shared" si="299"/>
        <v>0</v>
      </c>
      <c r="Z285" s="18">
        <f t="shared" si="299"/>
        <v>0</v>
      </c>
      <c r="AA285" s="18">
        <f t="shared" si="299"/>
        <v>0</v>
      </c>
      <c r="AB285" s="18">
        <f t="shared" si="299"/>
        <v>0</v>
      </c>
      <c r="AC285" s="18">
        <f t="shared" si="299"/>
        <v>0</v>
      </c>
      <c r="AD285" s="18">
        <f t="shared" si="299"/>
        <v>0</v>
      </c>
      <c r="AF285" s="18">
        <f>SUM(AF279:AF284)</f>
        <v>0</v>
      </c>
      <c r="AH285" s="18">
        <f>SUM(AH279:AH284)</f>
        <v>0</v>
      </c>
      <c r="AJ285" s="18">
        <f>SUM(AJ279:AJ284)</f>
        <v>0</v>
      </c>
      <c r="AK285" s="19">
        <f t="shared" si="296"/>
        <v>5361615.5</v>
      </c>
      <c r="AL285" s="15" t="str">
        <f t="shared" si="297"/>
        <v>ok</v>
      </c>
    </row>
    <row r="286" spans="1:38" x14ac:dyDescent="0.3">
      <c r="F286" s="44"/>
      <c r="Y286" s="2"/>
      <c r="AK286" s="19"/>
      <c r="AL286" s="15"/>
    </row>
    <row r="287" spans="1:38" x14ac:dyDescent="0.3">
      <c r="A287" s="3" t="s">
        <v>158</v>
      </c>
      <c r="F287" s="44"/>
      <c r="Y287" s="2"/>
      <c r="AK287" s="19"/>
      <c r="AL287" s="15"/>
    </row>
    <row r="288" spans="1:38" x14ac:dyDescent="0.3">
      <c r="A288" s="2">
        <v>551</v>
      </c>
      <c r="B288" s="2" t="s">
        <v>135</v>
      </c>
      <c r="C288" s="2" t="s">
        <v>360</v>
      </c>
      <c r="D288" s="2" t="s">
        <v>28</v>
      </c>
      <c r="F288" s="44">
        <v>471511.35</v>
      </c>
      <c r="H288" s="19">
        <f>IF(VLOOKUP($D288,$C$5:$AJ$470,6,)=0,0,((VLOOKUP($D288,$C$5:$AJ$470,6,)/VLOOKUP($D288,$C$5:$AJ$470,4,))*$F288))</f>
        <v>209854.09596563916</v>
      </c>
      <c r="I288" s="19">
        <f>IF(VLOOKUP($D288,$C$5:$AJ$470,7,)=0,0,((VLOOKUP($D288,$C$5:$AJ$470,7,)/VLOOKUP($D288,$C$5:$AJ$470,4,))*$F288))</f>
        <v>258904.00626706489</v>
      </c>
      <c r="J288" s="19">
        <f>IF(VLOOKUP($D288,$C$5:$AJ$470,8,)=0,0,((VLOOKUP($D288,$C$5:$AJ$470,8,)/VLOOKUP($D288,$C$5:$AJ$470,4,))*$F288))</f>
        <v>0</v>
      </c>
      <c r="K288" s="19">
        <f>IF(VLOOKUP($D288,$C$5:$AJ$470,9,)=0,0,((VLOOKUP($D288,$C$5:$AJ$470,9,)/VLOOKUP($D288,$C$5:$AJ$470,4,))*$F288))</f>
        <v>0</v>
      </c>
      <c r="L288" s="19">
        <f>IF(VLOOKUP($D288,$C$5:$AJ$470,10,)=0,0,((VLOOKUP($D288,$C$5:$AJ$470,10,)/VLOOKUP($D288,$C$5:$AJ$470,4,))*$F288))</f>
        <v>2753.2477672959349</v>
      </c>
      <c r="M288" s="19">
        <f>IF(VLOOKUP($D288,$C$5:$AJ$470,11,)=0,0,((VLOOKUP($D288,$C$5:$AJ$470,11,)/VLOOKUP($D288,$C$5:$AJ$470,4,))*$F288))</f>
        <v>0</v>
      </c>
      <c r="N288" s="19"/>
      <c r="O288" s="19">
        <f>IF(VLOOKUP($D288,$C$5:$AJ$470,13,)=0,0,((VLOOKUP($D288,$C$5:$AJ$470,13,)/VLOOKUP($D288,$C$5:$AJ$470,4,))*$F288))</f>
        <v>0</v>
      </c>
      <c r="P288" s="19">
        <f>IF(VLOOKUP($D288,$C$5:$AJ$470,14,)=0,0,((VLOOKUP($D288,$C$5:$AJ$470,14,)/VLOOKUP($D288,$C$5:$AJ$470,4,))*$F288))</f>
        <v>0</v>
      </c>
      <c r="Q288" s="19">
        <f>IF(VLOOKUP($D288,$C$5:$AJ$470,15,)=0,0,((VLOOKUP($D288,$C$5:$AJ$470,15,)/VLOOKUP($D288,$C$5:$AJ$470,4,))*$F288))</f>
        <v>0</v>
      </c>
      <c r="R288" s="19"/>
      <c r="S288" s="19">
        <f>IF(VLOOKUP($D288,$C$5:$AJ$470,17,)=0,0,((VLOOKUP($D288,$C$5:$AJ$470,17,)/VLOOKUP($D288,$C$5:$AJ$470,4,))*$F288))</f>
        <v>0</v>
      </c>
      <c r="T288" s="19">
        <f>IF(VLOOKUP($D288,$C$5:$AJ$470,18,)=0,0,((VLOOKUP($D288,$C$5:$AJ$470,18,)/VLOOKUP($D288,$C$5:$AJ$470,4,))*$F288))</f>
        <v>0</v>
      </c>
      <c r="U288" s="19">
        <f>IF(VLOOKUP($D288,$C$5:$AJ$470,19,)=0,0,((VLOOKUP($D288,$C$5:$AJ$470,19,)/VLOOKUP($D288,$C$5:$AJ$470,4,))*$F288))</f>
        <v>0</v>
      </c>
      <c r="V288" s="19">
        <f>IF(VLOOKUP($D288,$C$5:$AJ$470,20,)=0,0,((VLOOKUP($D288,$C$5:$AJ$470,20,)/VLOOKUP($D288,$C$5:$AJ$470,4,))*$F288))</f>
        <v>0</v>
      </c>
      <c r="W288" s="19">
        <f>IF(VLOOKUP($D288,$C$5:$AJ$470,21,)=0,0,((VLOOKUP($D288,$C$5:$AJ$470,21,)/VLOOKUP($D288,$C$5:$AJ$470,4,))*$F288))</f>
        <v>0</v>
      </c>
      <c r="X288" s="19">
        <f>IF(VLOOKUP($D288,$C$5:$AJ$470,22,)=0,0,((VLOOKUP($D288,$C$5:$AJ$470,22,)/VLOOKUP($D288,$C$5:$AJ$470,4,))*$F288))</f>
        <v>0</v>
      </c>
      <c r="Y288" s="19">
        <f>IF(VLOOKUP($D288,$C$5:$AJ$470,23,)=0,0,((VLOOKUP($D288,$C$5:$AJ$470,23,)/VLOOKUP($D288,$C$5:$AJ$470,4,))*$F288))</f>
        <v>0</v>
      </c>
      <c r="Z288" s="19">
        <f>IF(VLOOKUP($D288,$C$5:$AJ$470,24,)=0,0,((VLOOKUP($D288,$C$5:$AJ$470,24,)/VLOOKUP($D288,$C$5:$AJ$470,4,))*$F288))</f>
        <v>0</v>
      </c>
      <c r="AA288" s="19">
        <f>IF(VLOOKUP($D288,$C$5:$AJ$470,25,)=0,0,((VLOOKUP($D288,$C$5:$AJ$470,25,)/VLOOKUP($D288,$C$5:$AJ$470,4,))*$F288))</f>
        <v>0</v>
      </c>
      <c r="AB288" s="19">
        <f>IF(VLOOKUP($D288,$C$5:$AJ$470,26,)=0,0,((VLOOKUP($D288,$C$5:$AJ$470,26,)/VLOOKUP($D288,$C$5:$AJ$470,4,))*$F288))</f>
        <v>0</v>
      </c>
      <c r="AC288" s="19">
        <f>IF(VLOOKUP($D288,$C$5:$AJ$470,27,)=0,0,((VLOOKUP($D288,$C$5:$AJ$470,27,)/VLOOKUP($D288,$C$5:$AJ$470,4,))*$F288))</f>
        <v>0</v>
      </c>
      <c r="AD288" s="19">
        <f>IF(VLOOKUP($D288,$C$5:$AJ$470,28,)=0,0,((VLOOKUP($D288,$C$5:$AJ$470,28,)/VLOOKUP($D288,$C$5:$AJ$470,4,))*$F288))</f>
        <v>0</v>
      </c>
      <c r="AE288" s="19"/>
      <c r="AF288" s="19">
        <f>IF(VLOOKUP($D288,$C$5:$AJ$470,30,)=0,0,((VLOOKUP($D288,$C$5:$AJ$470,30,)/VLOOKUP($D288,$C$5:$AJ$470,4,))*$F288))</f>
        <v>0</v>
      </c>
      <c r="AG288" s="19"/>
      <c r="AH288" s="19">
        <f>IF(VLOOKUP($D288,$C$5:$AJ$470,32,)=0,0,((VLOOKUP($D288,$C$5:$AJ$470,32,)/VLOOKUP($D288,$C$5:$AJ$470,4,))*$F288))</f>
        <v>0</v>
      </c>
      <c r="AI288" s="19"/>
      <c r="AJ288" s="19">
        <f>IF(VLOOKUP($D288,$C$5:$AJ$470,34,)=0,0,((VLOOKUP($D288,$C$5:$AJ$470,34,)/VLOOKUP($D288,$C$5:$AJ$470,4,))*$F288))</f>
        <v>0</v>
      </c>
      <c r="AK288" s="19">
        <f t="shared" ref="AK288:AK297" si="300">SUM(H288:AJ288)</f>
        <v>471511.35</v>
      </c>
      <c r="AL288" s="15" t="str">
        <f t="shared" ref="AL288:AL295" si="301">IF(ABS(AK288-F288)&lt;1,"ok","err")</f>
        <v>ok</v>
      </c>
    </row>
    <row r="289" spans="1:38" x14ac:dyDescent="0.3">
      <c r="A289" s="2">
        <v>552</v>
      </c>
      <c r="B289" s="2" t="s">
        <v>137</v>
      </c>
      <c r="C289" s="2" t="s">
        <v>361</v>
      </c>
      <c r="D289" s="2" t="s">
        <v>28</v>
      </c>
      <c r="F289" s="44">
        <v>255122.53999999998</v>
      </c>
      <c r="H289" s="19">
        <f>IF(VLOOKUP($D289,$C$5:$AJ$470,6,)=0,0,((VLOOKUP($D289,$C$5:$AJ$470,6,)/VLOOKUP($D289,$C$5:$AJ$470,4,))*$F289))</f>
        <v>113546.59859652925</v>
      </c>
      <c r="I289" s="19">
        <f>IF(VLOOKUP($D289,$C$5:$AJ$470,7,)=0,0,((VLOOKUP($D289,$C$5:$AJ$470,7,)/VLOOKUP($D289,$C$5:$AJ$470,4,))*$F289))</f>
        <v>140086.23057542415</v>
      </c>
      <c r="J289" s="19">
        <f>IF(VLOOKUP($D289,$C$5:$AJ$470,8,)=0,0,((VLOOKUP($D289,$C$5:$AJ$470,8,)/VLOOKUP($D289,$C$5:$AJ$470,4,))*$F289))</f>
        <v>0</v>
      </c>
      <c r="K289" s="19">
        <f>IF(VLOOKUP($D289,$C$5:$AJ$470,9,)=0,0,((VLOOKUP($D289,$C$5:$AJ$470,9,)/VLOOKUP($D289,$C$5:$AJ$470,4,))*$F289))</f>
        <v>0</v>
      </c>
      <c r="L289" s="19">
        <f>IF(VLOOKUP($D289,$C$5:$AJ$470,10,)=0,0,((VLOOKUP($D289,$C$5:$AJ$470,10,)/VLOOKUP($D289,$C$5:$AJ$470,4,))*$F289))</f>
        <v>1489.7108280465948</v>
      </c>
      <c r="M289" s="19">
        <f>IF(VLOOKUP($D289,$C$5:$AJ$470,11,)=0,0,((VLOOKUP($D289,$C$5:$AJ$470,11,)/VLOOKUP($D289,$C$5:$AJ$470,4,))*$F289))</f>
        <v>0</v>
      </c>
      <c r="N289" s="19"/>
      <c r="O289" s="19">
        <f>IF(VLOOKUP($D289,$C$5:$AJ$470,13,)=0,0,((VLOOKUP($D289,$C$5:$AJ$470,13,)/VLOOKUP($D289,$C$5:$AJ$470,4,))*$F289))</f>
        <v>0</v>
      </c>
      <c r="P289" s="19">
        <f>IF(VLOOKUP($D289,$C$5:$AJ$470,14,)=0,0,((VLOOKUP($D289,$C$5:$AJ$470,14,)/VLOOKUP($D289,$C$5:$AJ$470,4,))*$F289))</f>
        <v>0</v>
      </c>
      <c r="Q289" s="19">
        <f>IF(VLOOKUP($D289,$C$5:$AJ$470,15,)=0,0,((VLOOKUP($D289,$C$5:$AJ$470,15,)/VLOOKUP($D289,$C$5:$AJ$470,4,))*$F289))</f>
        <v>0</v>
      </c>
      <c r="R289" s="19"/>
      <c r="S289" s="19">
        <f>IF(VLOOKUP($D289,$C$5:$AJ$470,17,)=0,0,((VLOOKUP($D289,$C$5:$AJ$470,17,)/VLOOKUP($D289,$C$5:$AJ$470,4,))*$F289))</f>
        <v>0</v>
      </c>
      <c r="T289" s="19">
        <f>IF(VLOOKUP($D289,$C$5:$AJ$470,18,)=0,0,((VLOOKUP($D289,$C$5:$AJ$470,18,)/VLOOKUP($D289,$C$5:$AJ$470,4,))*$F289))</f>
        <v>0</v>
      </c>
      <c r="U289" s="19">
        <f>IF(VLOOKUP($D289,$C$5:$AJ$470,19,)=0,0,((VLOOKUP($D289,$C$5:$AJ$470,19,)/VLOOKUP($D289,$C$5:$AJ$470,4,))*$F289))</f>
        <v>0</v>
      </c>
      <c r="V289" s="19">
        <f>IF(VLOOKUP($D289,$C$5:$AJ$470,20,)=0,0,((VLOOKUP($D289,$C$5:$AJ$470,20,)/VLOOKUP($D289,$C$5:$AJ$470,4,))*$F289))</f>
        <v>0</v>
      </c>
      <c r="W289" s="19">
        <f>IF(VLOOKUP($D289,$C$5:$AJ$470,21,)=0,0,((VLOOKUP($D289,$C$5:$AJ$470,21,)/VLOOKUP($D289,$C$5:$AJ$470,4,))*$F289))</f>
        <v>0</v>
      </c>
      <c r="X289" s="19">
        <f>IF(VLOOKUP($D289,$C$5:$AJ$470,22,)=0,0,((VLOOKUP($D289,$C$5:$AJ$470,22,)/VLOOKUP($D289,$C$5:$AJ$470,4,))*$F289))</f>
        <v>0</v>
      </c>
      <c r="Y289" s="19">
        <f>IF(VLOOKUP($D289,$C$5:$AJ$470,23,)=0,0,((VLOOKUP($D289,$C$5:$AJ$470,23,)/VLOOKUP($D289,$C$5:$AJ$470,4,))*$F289))</f>
        <v>0</v>
      </c>
      <c r="Z289" s="19">
        <f>IF(VLOOKUP($D289,$C$5:$AJ$470,24,)=0,0,((VLOOKUP($D289,$C$5:$AJ$470,24,)/VLOOKUP($D289,$C$5:$AJ$470,4,))*$F289))</f>
        <v>0</v>
      </c>
      <c r="AA289" s="19">
        <f>IF(VLOOKUP($D289,$C$5:$AJ$470,25,)=0,0,((VLOOKUP($D289,$C$5:$AJ$470,25,)/VLOOKUP($D289,$C$5:$AJ$470,4,))*$F289))</f>
        <v>0</v>
      </c>
      <c r="AB289" s="19">
        <f>IF(VLOOKUP($D289,$C$5:$AJ$470,26,)=0,0,((VLOOKUP($D289,$C$5:$AJ$470,26,)/VLOOKUP($D289,$C$5:$AJ$470,4,))*$F289))</f>
        <v>0</v>
      </c>
      <c r="AC289" s="19">
        <f>IF(VLOOKUP($D289,$C$5:$AJ$470,27,)=0,0,((VLOOKUP($D289,$C$5:$AJ$470,27,)/VLOOKUP($D289,$C$5:$AJ$470,4,))*$F289))</f>
        <v>0</v>
      </c>
      <c r="AD289" s="19">
        <f>IF(VLOOKUP($D289,$C$5:$AJ$470,28,)=0,0,((VLOOKUP($D289,$C$5:$AJ$470,28,)/VLOOKUP($D289,$C$5:$AJ$470,4,))*$F289))</f>
        <v>0</v>
      </c>
      <c r="AE289" s="19"/>
      <c r="AF289" s="19">
        <f>IF(VLOOKUP($D289,$C$5:$AJ$470,30,)=0,0,((VLOOKUP($D289,$C$5:$AJ$470,30,)/VLOOKUP($D289,$C$5:$AJ$470,4,))*$F289))</f>
        <v>0</v>
      </c>
      <c r="AG289" s="19"/>
      <c r="AH289" s="19">
        <f>IF(VLOOKUP($D289,$C$5:$AJ$470,32,)=0,0,((VLOOKUP($D289,$C$5:$AJ$470,32,)/VLOOKUP($D289,$C$5:$AJ$470,4,))*$F289))</f>
        <v>0</v>
      </c>
      <c r="AI289" s="19"/>
      <c r="AJ289" s="19">
        <f>IF(VLOOKUP($D289,$C$5:$AJ$470,34,)=0,0,((VLOOKUP($D289,$C$5:$AJ$470,34,)/VLOOKUP($D289,$C$5:$AJ$470,4,))*$F289))</f>
        <v>0</v>
      </c>
      <c r="AK289" s="19">
        <f t="shared" si="300"/>
        <v>255122.54</v>
      </c>
      <c r="AL289" s="15" t="str">
        <f t="shared" si="301"/>
        <v>ok</v>
      </c>
    </row>
    <row r="290" spans="1:38" x14ac:dyDescent="0.3">
      <c r="A290" s="2">
        <v>553</v>
      </c>
      <c r="B290" s="2" t="s">
        <v>161</v>
      </c>
      <c r="C290" s="2" t="s">
        <v>362</v>
      </c>
      <c r="D290" s="2" t="s">
        <v>28</v>
      </c>
      <c r="F290" s="44">
        <v>962554.8</v>
      </c>
      <c r="H290" s="19">
        <f>IF(VLOOKUP($D290,$C$5:$AJ$470,6,)=0,0,((VLOOKUP($D290,$C$5:$AJ$470,6,)/VLOOKUP($D290,$C$5:$AJ$470,4,))*$F290))</f>
        <v>428401.28317459719</v>
      </c>
      <c r="I290" s="19">
        <f>IF(VLOOKUP($D290,$C$5:$AJ$470,7,)=0,0,((VLOOKUP($D290,$C$5:$AJ$470,7,)/VLOOKUP($D290,$C$5:$AJ$470,4,))*$F290))</f>
        <v>528532.96950665861</v>
      </c>
      <c r="J290" s="19">
        <f>IF(VLOOKUP($D290,$C$5:$AJ$470,8,)=0,0,((VLOOKUP($D290,$C$5:$AJ$470,8,)/VLOOKUP($D290,$C$5:$AJ$470,4,))*$F290))</f>
        <v>0</v>
      </c>
      <c r="K290" s="19">
        <f>IF(VLOOKUP($D290,$C$5:$AJ$470,9,)=0,0,((VLOOKUP($D290,$C$5:$AJ$470,9,)/VLOOKUP($D290,$C$5:$AJ$470,4,))*$F290))</f>
        <v>0</v>
      </c>
      <c r="L290" s="19">
        <f>IF(VLOOKUP($D290,$C$5:$AJ$470,10,)=0,0,((VLOOKUP($D290,$C$5:$AJ$470,10,)/VLOOKUP($D290,$C$5:$AJ$470,4,))*$F290))</f>
        <v>5620.5473187442576</v>
      </c>
      <c r="M290" s="19">
        <f>IF(VLOOKUP($D290,$C$5:$AJ$470,11,)=0,0,((VLOOKUP($D290,$C$5:$AJ$470,11,)/VLOOKUP($D290,$C$5:$AJ$470,4,))*$F290))</f>
        <v>0</v>
      </c>
      <c r="N290" s="19"/>
      <c r="O290" s="19">
        <f>IF(VLOOKUP($D290,$C$5:$AJ$470,13,)=0,0,((VLOOKUP($D290,$C$5:$AJ$470,13,)/VLOOKUP($D290,$C$5:$AJ$470,4,))*$F290))</f>
        <v>0</v>
      </c>
      <c r="P290" s="19">
        <f>IF(VLOOKUP($D290,$C$5:$AJ$470,14,)=0,0,((VLOOKUP($D290,$C$5:$AJ$470,14,)/VLOOKUP($D290,$C$5:$AJ$470,4,))*$F290))</f>
        <v>0</v>
      </c>
      <c r="Q290" s="19">
        <f>IF(VLOOKUP($D290,$C$5:$AJ$470,15,)=0,0,((VLOOKUP($D290,$C$5:$AJ$470,15,)/VLOOKUP($D290,$C$5:$AJ$470,4,))*$F290))</f>
        <v>0</v>
      </c>
      <c r="R290" s="19"/>
      <c r="S290" s="19">
        <f>IF(VLOOKUP($D290,$C$5:$AJ$470,17,)=0,0,((VLOOKUP($D290,$C$5:$AJ$470,17,)/VLOOKUP($D290,$C$5:$AJ$470,4,))*$F290))</f>
        <v>0</v>
      </c>
      <c r="T290" s="19">
        <f>IF(VLOOKUP($D290,$C$5:$AJ$470,18,)=0,0,((VLOOKUP($D290,$C$5:$AJ$470,18,)/VLOOKUP($D290,$C$5:$AJ$470,4,))*$F290))</f>
        <v>0</v>
      </c>
      <c r="U290" s="19">
        <f>IF(VLOOKUP($D290,$C$5:$AJ$470,19,)=0,0,((VLOOKUP($D290,$C$5:$AJ$470,19,)/VLOOKUP($D290,$C$5:$AJ$470,4,))*$F290))</f>
        <v>0</v>
      </c>
      <c r="V290" s="19">
        <f>IF(VLOOKUP($D290,$C$5:$AJ$470,20,)=0,0,((VLOOKUP($D290,$C$5:$AJ$470,20,)/VLOOKUP($D290,$C$5:$AJ$470,4,))*$F290))</f>
        <v>0</v>
      </c>
      <c r="W290" s="19">
        <f>IF(VLOOKUP($D290,$C$5:$AJ$470,21,)=0,0,((VLOOKUP($D290,$C$5:$AJ$470,21,)/VLOOKUP($D290,$C$5:$AJ$470,4,))*$F290))</f>
        <v>0</v>
      </c>
      <c r="X290" s="19">
        <f>IF(VLOOKUP($D290,$C$5:$AJ$470,22,)=0,0,((VLOOKUP($D290,$C$5:$AJ$470,22,)/VLOOKUP($D290,$C$5:$AJ$470,4,))*$F290))</f>
        <v>0</v>
      </c>
      <c r="Y290" s="19">
        <f>IF(VLOOKUP($D290,$C$5:$AJ$470,23,)=0,0,((VLOOKUP($D290,$C$5:$AJ$470,23,)/VLOOKUP($D290,$C$5:$AJ$470,4,))*$F290))</f>
        <v>0</v>
      </c>
      <c r="Z290" s="19">
        <f>IF(VLOOKUP($D290,$C$5:$AJ$470,24,)=0,0,((VLOOKUP($D290,$C$5:$AJ$470,24,)/VLOOKUP($D290,$C$5:$AJ$470,4,))*$F290))</f>
        <v>0</v>
      </c>
      <c r="AA290" s="19">
        <f>IF(VLOOKUP($D290,$C$5:$AJ$470,25,)=0,0,((VLOOKUP($D290,$C$5:$AJ$470,25,)/VLOOKUP($D290,$C$5:$AJ$470,4,))*$F290))</f>
        <v>0</v>
      </c>
      <c r="AB290" s="19">
        <f>IF(VLOOKUP($D290,$C$5:$AJ$470,26,)=0,0,((VLOOKUP($D290,$C$5:$AJ$470,26,)/VLOOKUP($D290,$C$5:$AJ$470,4,))*$F290))</f>
        <v>0</v>
      </c>
      <c r="AC290" s="19">
        <f>IF(VLOOKUP($D290,$C$5:$AJ$470,27,)=0,0,((VLOOKUP($D290,$C$5:$AJ$470,27,)/VLOOKUP($D290,$C$5:$AJ$470,4,))*$F290))</f>
        <v>0</v>
      </c>
      <c r="AD290" s="19">
        <f>IF(VLOOKUP($D290,$C$5:$AJ$470,28,)=0,0,((VLOOKUP($D290,$C$5:$AJ$470,28,)/VLOOKUP($D290,$C$5:$AJ$470,4,))*$F290))</f>
        <v>0</v>
      </c>
      <c r="AE290" s="19"/>
      <c r="AF290" s="19">
        <f>IF(VLOOKUP($D290,$C$5:$AJ$470,30,)=0,0,((VLOOKUP($D290,$C$5:$AJ$470,30,)/VLOOKUP($D290,$C$5:$AJ$470,4,))*$F290))</f>
        <v>0</v>
      </c>
      <c r="AG290" s="19"/>
      <c r="AH290" s="19">
        <f>IF(VLOOKUP($D290,$C$5:$AJ$470,32,)=0,0,((VLOOKUP($D290,$C$5:$AJ$470,32,)/VLOOKUP($D290,$C$5:$AJ$470,4,))*$F290))</f>
        <v>0</v>
      </c>
      <c r="AI290" s="19"/>
      <c r="AJ290" s="19">
        <f>IF(VLOOKUP($D290,$C$5:$AJ$470,34,)=0,0,((VLOOKUP($D290,$C$5:$AJ$470,34,)/VLOOKUP($D290,$C$5:$AJ$470,4,))*$F290))</f>
        <v>0</v>
      </c>
      <c r="AK290" s="19">
        <f t="shared" si="300"/>
        <v>962554.8</v>
      </c>
      <c r="AL290" s="15" t="str">
        <f t="shared" si="301"/>
        <v>ok</v>
      </c>
    </row>
    <row r="291" spans="1:38" x14ac:dyDescent="0.3">
      <c r="A291" s="2">
        <v>554</v>
      </c>
      <c r="B291" s="2" t="s">
        <v>163</v>
      </c>
      <c r="C291" s="2" t="s">
        <v>363</v>
      </c>
      <c r="D291" s="2" t="s">
        <v>28</v>
      </c>
      <c r="F291" s="44">
        <v>0</v>
      </c>
      <c r="H291" s="19">
        <f>IF(VLOOKUP($D291,$C$5:$AJ$470,6,)=0,0,((VLOOKUP($D291,$C$5:$AJ$470,6,)/VLOOKUP($D291,$C$5:$AJ$470,4,))*$F291))</f>
        <v>0</v>
      </c>
      <c r="I291" s="19">
        <f>IF(VLOOKUP($D291,$C$5:$AJ$470,7,)=0,0,((VLOOKUP($D291,$C$5:$AJ$470,7,)/VLOOKUP($D291,$C$5:$AJ$470,4,))*$F291))</f>
        <v>0</v>
      </c>
      <c r="J291" s="19">
        <f>IF(VLOOKUP($D291,$C$5:$AJ$470,8,)=0,0,((VLOOKUP($D291,$C$5:$AJ$470,8,)/VLOOKUP($D291,$C$5:$AJ$470,4,))*$F291))</f>
        <v>0</v>
      </c>
      <c r="K291" s="19">
        <f>IF(VLOOKUP($D291,$C$5:$AJ$470,9,)=0,0,((VLOOKUP($D291,$C$5:$AJ$470,9,)/VLOOKUP($D291,$C$5:$AJ$470,4,))*$F291))</f>
        <v>0</v>
      </c>
      <c r="L291" s="19">
        <f>IF(VLOOKUP($D291,$C$5:$AJ$470,10,)=0,0,((VLOOKUP($D291,$C$5:$AJ$470,10,)/VLOOKUP($D291,$C$5:$AJ$470,4,))*$F291))</f>
        <v>0</v>
      </c>
      <c r="M291" s="19">
        <f>IF(VLOOKUP($D291,$C$5:$AJ$470,11,)=0,0,((VLOOKUP($D291,$C$5:$AJ$470,11,)/VLOOKUP($D291,$C$5:$AJ$470,4,))*$F291))</f>
        <v>0</v>
      </c>
      <c r="N291" s="19"/>
      <c r="O291" s="19">
        <f>IF(VLOOKUP($D291,$C$5:$AJ$470,13,)=0,0,((VLOOKUP($D291,$C$5:$AJ$470,13,)/VLOOKUP($D291,$C$5:$AJ$470,4,))*$F291))</f>
        <v>0</v>
      </c>
      <c r="P291" s="19">
        <f>IF(VLOOKUP($D291,$C$5:$AJ$470,14,)=0,0,((VLOOKUP($D291,$C$5:$AJ$470,14,)/VLOOKUP($D291,$C$5:$AJ$470,4,))*$F291))</f>
        <v>0</v>
      </c>
      <c r="Q291" s="19">
        <f>IF(VLOOKUP($D291,$C$5:$AJ$470,15,)=0,0,((VLOOKUP($D291,$C$5:$AJ$470,15,)/VLOOKUP($D291,$C$5:$AJ$470,4,))*$F291))</f>
        <v>0</v>
      </c>
      <c r="R291" s="19"/>
      <c r="S291" s="19">
        <f>IF(VLOOKUP($D291,$C$5:$AJ$470,17,)=0,0,((VLOOKUP($D291,$C$5:$AJ$470,17,)/VLOOKUP($D291,$C$5:$AJ$470,4,))*$F291))</f>
        <v>0</v>
      </c>
      <c r="T291" s="19">
        <f>IF(VLOOKUP($D291,$C$5:$AJ$470,18,)=0,0,((VLOOKUP($D291,$C$5:$AJ$470,18,)/VLOOKUP($D291,$C$5:$AJ$470,4,))*$F291))</f>
        <v>0</v>
      </c>
      <c r="U291" s="19">
        <f>IF(VLOOKUP($D291,$C$5:$AJ$470,19,)=0,0,((VLOOKUP($D291,$C$5:$AJ$470,19,)/VLOOKUP($D291,$C$5:$AJ$470,4,))*$F291))</f>
        <v>0</v>
      </c>
      <c r="V291" s="19">
        <f>IF(VLOOKUP($D291,$C$5:$AJ$470,20,)=0,0,((VLOOKUP($D291,$C$5:$AJ$470,20,)/VLOOKUP($D291,$C$5:$AJ$470,4,))*$F291))</f>
        <v>0</v>
      </c>
      <c r="W291" s="19">
        <f>IF(VLOOKUP($D291,$C$5:$AJ$470,21,)=0,0,((VLOOKUP($D291,$C$5:$AJ$470,21,)/VLOOKUP($D291,$C$5:$AJ$470,4,))*$F291))</f>
        <v>0</v>
      </c>
      <c r="X291" s="19">
        <f>IF(VLOOKUP($D291,$C$5:$AJ$470,22,)=0,0,((VLOOKUP($D291,$C$5:$AJ$470,22,)/VLOOKUP($D291,$C$5:$AJ$470,4,))*$F291))</f>
        <v>0</v>
      </c>
      <c r="Y291" s="19">
        <f>IF(VLOOKUP($D291,$C$5:$AJ$470,23,)=0,0,((VLOOKUP($D291,$C$5:$AJ$470,23,)/VLOOKUP($D291,$C$5:$AJ$470,4,))*$F291))</f>
        <v>0</v>
      </c>
      <c r="Z291" s="19">
        <f>IF(VLOOKUP($D291,$C$5:$AJ$470,24,)=0,0,((VLOOKUP($D291,$C$5:$AJ$470,24,)/VLOOKUP($D291,$C$5:$AJ$470,4,))*$F291))</f>
        <v>0</v>
      </c>
      <c r="AA291" s="19">
        <f>IF(VLOOKUP($D291,$C$5:$AJ$470,25,)=0,0,((VLOOKUP($D291,$C$5:$AJ$470,25,)/VLOOKUP($D291,$C$5:$AJ$470,4,))*$F291))</f>
        <v>0</v>
      </c>
      <c r="AB291" s="19">
        <f>IF(VLOOKUP($D291,$C$5:$AJ$470,26,)=0,0,((VLOOKUP($D291,$C$5:$AJ$470,26,)/VLOOKUP($D291,$C$5:$AJ$470,4,))*$F291))</f>
        <v>0</v>
      </c>
      <c r="AC291" s="19">
        <f>IF(VLOOKUP($D291,$C$5:$AJ$470,27,)=0,0,((VLOOKUP($D291,$C$5:$AJ$470,27,)/VLOOKUP($D291,$C$5:$AJ$470,4,))*$F291))</f>
        <v>0</v>
      </c>
      <c r="AD291" s="19">
        <f>IF(VLOOKUP($D291,$C$5:$AJ$470,28,)=0,0,((VLOOKUP($D291,$C$5:$AJ$470,28,)/VLOOKUP($D291,$C$5:$AJ$470,4,))*$F291))</f>
        <v>0</v>
      </c>
      <c r="AE291" s="19"/>
      <c r="AF291" s="19">
        <f>IF(VLOOKUP($D291,$C$5:$AJ$470,30,)=0,0,((VLOOKUP($D291,$C$5:$AJ$470,30,)/VLOOKUP($D291,$C$5:$AJ$470,4,))*$F291))</f>
        <v>0</v>
      </c>
      <c r="AG291" s="19"/>
      <c r="AH291" s="19">
        <f>IF(VLOOKUP($D291,$C$5:$AJ$470,32,)=0,0,((VLOOKUP($D291,$C$5:$AJ$470,32,)/VLOOKUP($D291,$C$5:$AJ$470,4,))*$F291))</f>
        <v>0</v>
      </c>
      <c r="AI291" s="19"/>
      <c r="AJ291" s="19">
        <f>IF(VLOOKUP($D291,$C$5:$AJ$470,34,)=0,0,((VLOOKUP($D291,$C$5:$AJ$470,34,)/VLOOKUP($D291,$C$5:$AJ$470,4,))*$F291))</f>
        <v>0</v>
      </c>
      <c r="AK291" s="19">
        <f t="shared" si="300"/>
        <v>0</v>
      </c>
      <c r="AL291" s="15" t="str">
        <f t="shared" si="301"/>
        <v>ok</v>
      </c>
    </row>
    <row r="292" spans="1:38" x14ac:dyDescent="0.3">
      <c r="F292" s="44"/>
      <c r="Y292" s="2"/>
      <c r="AK292" s="19"/>
      <c r="AL292" s="15"/>
    </row>
    <row r="293" spans="1:38" x14ac:dyDescent="0.3">
      <c r="B293" s="2" t="s">
        <v>165</v>
      </c>
      <c r="C293" s="2" t="s">
        <v>364</v>
      </c>
      <c r="F293" s="44">
        <f>SUM(F288:F292)</f>
        <v>1689188.69</v>
      </c>
      <c r="H293" s="18">
        <f t="shared" ref="H293:M293" si="302">SUM(H288:H292)</f>
        <v>751801.97773676564</v>
      </c>
      <c r="I293" s="18">
        <f t="shared" si="302"/>
        <v>927523.20634914772</v>
      </c>
      <c r="J293" s="18">
        <f t="shared" si="302"/>
        <v>0</v>
      </c>
      <c r="K293" s="18">
        <f t="shared" si="302"/>
        <v>0</v>
      </c>
      <c r="L293" s="18">
        <f t="shared" si="302"/>
        <v>9863.505914086787</v>
      </c>
      <c r="M293" s="18">
        <f t="shared" si="302"/>
        <v>0</v>
      </c>
      <c r="O293" s="18">
        <f>SUM(O288:O292)</f>
        <v>0</v>
      </c>
      <c r="P293" s="18">
        <f>SUM(P288:P292)</f>
        <v>0</v>
      </c>
      <c r="Q293" s="18">
        <f>SUM(Q288:Q292)</f>
        <v>0</v>
      </c>
      <c r="S293" s="18">
        <f t="shared" ref="S293:AD293" si="303">SUM(S288:S292)</f>
        <v>0</v>
      </c>
      <c r="T293" s="18">
        <f t="shared" si="303"/>
        <v>0</v>
      </c>
      <c r="U293" s="18">
        <f t="shared" si="303"/>
        <v>0</v>
      </c>
      <c r="V293" s="18">
        <f t="shared" si="303"/>
        <v>0</v>
      </c>
      <c r="W293" s="18">
        <f t="shared" si="303"/>
        <v>0</v>
      </c>
      <c r="X293" s="18">
        <f t="shared" si="303"/>
        <v>0</v>
      </c>
      <c r="Y293" s="18">
        <f t="shared" si="303"/>
        <v>0</v>
      </c>
      <c r="Z293" s="18">
        <f t="shared" si="303"/>
        <v>0</v>
      </c>
      <c r="AA293" s="18">
        <f t="shared" si="303"/>
        <v>0</v>
      </c>
      <c r="AB293" s="18">
        <f t="shared" si="303"/>
        <v>0</v>
      </c>
      <c r="AC293" s="18">
        <f t="shared" si="303"/>
        <v>0</v>
      </c>
      <c r="AD293" s="18">
        <f t="shared" si="303"/>
        <v>0</v>
      </c>
      <c r="AF293" s="18">
        <f>SUM(AF288:AF292)</f>
        <v>0</v>
      </c>
      <c r="AH293" s="18">
        <f>SUM(AH288:AH292)</f>
        <v>0</v>
      </c>
      <c r="AJ293" s="18">
        <f>SUM(AJ288:AJ292)</f>
        <v>0</v>
      </c>
      <c r="AK293" s="19">
        <f t="shared" si="300"/>
        <v>1689188.6900000002</v>
      </c>
      <c r="AL293" s="15" t="str">
        <f t="shared" si="301"/>
        <v>ok</v>
      </c>
    </row>
    <row r="294" spans="1:38" x14ac:dyDescent="0.3">
      <c r="F294" s="44"/>
      <c r="H294" s="18"/>
      <c r="I294" s="18"/>
      <c r="J294" s="18"/>
      <c r="K294" s="18"/>
      <c r="L294" s="18"/>
      <c r="M294" s="18"/>
      <c r="O294" s="18"/>
      <c r="P294" s="18"/>
      <c r="Q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F294" s="18"/>
      <c r="AH294" s="18"/>
      <c r="AJ294" s="18"/>
      <c r="AK294" s="19"/>
      <c r="AL294" s="15"/>
    </row>
    <row r="295" spans="1:38" x14ac:dyDescent="0.3">
      <c r="B295" s="2" t="s">
        <v>166</v>
      </c>
      <c r="F295" s="44">
        <f>F285+F293</f>
        <v>7050804.1900000013</v>
      </c>
      <c r="H295" s="18">
        <f t="shared" ref="H295:M295" si="304">H285+H293</f>
        <v>3096489.3908169651</v>
      </c>
      <c r="I295" s="18">
        <f t="shared" si="304"/>
        <v>3820242.3686657147</v>
      </c>
      <c r="J295" s="18">
        <f t="shared" si="304"/>
        <v>44016.159903450287</v>
      </c>
      <c r="K295" s="18">
        <f t="shared" si="304"/>
        <v>48054.840092988889</v>
      </c>
      <c r="L295" s="18">
        <f t="shared" si="304"/>
        <v>42001.430520881215</v>
      </c>
      <c r="M295" s="18">
        <f t="shared" si="304"/>
        <v>0</v>
      </c>
      <c r="O295" s="18">
        <f>O285+O293</f>
        <v>0</v>
      </c>
      <c r="P295" s="18">
        <f>P285+P293</f>
        <v>0</v>
      </c>
      <c r="Q295" s="18">
        <f>Q285+Q293</f>
        <v>0</v>
      </c>
      <c r="S295" s="18">
        <f t="shared" ref="S295:AD295" si="305">S285+S293</f>
        <v>0</v>
      </c>
      <c r="T295" s="18">
        <f t="shared" si="305"/>
        <v>0</v>
      </c>
      <c r="U295" s="18">
        <f t="shared" si="305"/>
        <v>0</v>
      </c>
      <c r="V295" s="18">
        <f t="shared" si="305"/>
        <v>0</v>
      </c>
      <c r="W295" s="18">
        <f t="shared" si="305"/>
        <v>0</v>
      </c>
      <c r="X295" s="18">
        <f t="shared" si="305"/>
        <v>0</v>
      </c>
      <c r="Y295" s="18">
        <f t="shared" si="305"/>
        <v>0</v>
      </c>
      <c r="Z295" s="18">
        <f t="shared" si="305"/>
        <v>0</v>
      </c>
      <c r="AA295" s="18">
        <f t="shared" si="305"/>
        <v>0</v>
      </c>
      <c r="AB295" s="18">
        <f t="shared" si="305"/>
        <v>0</v>
      </c>
      <c r="AC295" s="18">
        <f t="shared" si="305"/>
        <v>0</v>
      </c>
      <c r="AD295" s="18">
        <f t="shared" si="305"/>
        <v>0</v>
      </c>
      <c r="AF295" s="18">
        <f>AF285+AF293</f>
        <v>0</v>
      </c>
      <c r="AH295" s="18">
        <f>AH285+AH293</f>
        <v>0</v>
      </c>
      <c r="AJ295" s="18">
        <f>AJ285+AJ293</f>
        <v>0</v>
      </c>
      <c r="AK295" s="19">
        <f t="shared" si="300"/>
        <v>7050804.1899999995</v>
      </c>
      <c r="AL295" s="15" t="str">
        <f t="shared" si="301"/>
        <v>ok</v>
      </c>
    </row>
    <row r="296" spans="1:38" x14ac:dyDescent="0.3">
      <c r="F296" s="44"/>
      <c r="Y296" s="2"/>
      <c r="AK296" s="19"/>
      <c r="AL296" s="15"/>
    </row>
    <row r="297" spans="1:38" x14ac:dyDescent="0.3">
      <c r="B297" s="2" t="s">
        <v>365</v>
      </c>
      <c r="C297" s="2" t="s">
        <v>366</v>
      </c>
      <c r="F297" s="44">
        <f>F273+F295</f>
        <v>42259948.859999999</v>
      </c>
      <c r="G297" s="18"/>
      <c r="H297" s="18">
        <f t="shared" ref="H297:AJ297" si="306">H273+H295</f>
        <v>12692093.057879459</v>
      </c>
      <c r="I297" s="18">
        <f t="shared" si="306"/>
        <v>15658659.057755243</v>
      </c>
      <c r="J297" s="18">
        <f t="shared" si="306"/>
        <v>6473183.976190079</v>
      </c>
      <c r="K297" s="18">
        <f t="shared" si="306"/>
        <v>7067127.653812631</v>
      </c>
      <c r="L297" s="18">
        <f t="shared" si="306"/>
        <v>368885.11436259287</v>
      </c>
      <c r="M297" s="18">
        <f t="shared" si="306"/>
        <v>0</v>
      </c>
      <c r="N297" s="18"/>
      <c r="O297" s="18">
        <f t="shared" si="306"/>
        <v>0</v>
      </c>
      <c r="P297" s="18">
        <f t="shared" si="306"/>
        <v>0</v>
      </c>
      <c r="Q297" s="18">
        <f t="shared" si="306"/>
        <v>0</v>
      </c>
      <c r="R297" s="18"/>
      <c r="S297" s="18">
        <f t="shared" si="306"/>
        <v>0</v>
      </c>
      <c r="T297" s="18">
        <f t="shared" si="306"/>
        <v>0</v>
      </c>
      <c r="U297" s="18">
        <f t="shared" si="306"/>
        <v>0</v>
      </c>
      <c r="V297" s="18">
        <f t="shared" si="306"/>
        <v>0</v>
      </c>
      <c r="W297" s="18">
        <f t="shared" si="306"/>
        <v>0</v>
      </c>
      <c r="X297" s="18">
        <f t="shared" si="306"/>
        <v>0</v>
      </c>
      <c r="Y297" s="18">
        <f t="shared" si="306"/>
        <v>0</v>
      </c>
      <c r="Z297" s="18">
        <f t="shared" si="306"/>
        <v>0</v>
      </c>
      <c r="AA297" s="18">
        <f t="shared" si="306"/>
        <v>0</v>
      </c>
      <c r="AB297" s="18">
        <f t="shared" si="306"/>
        <v>0</v>
      </c>
      <c r="AC297" s="18">
        <f t="shared" si="306"/>
        <v>0</v>
      </c>
      <c r="AD297" s="18">
        <f t="shared" si="306"/>
        <v>0</v>
      </c>
      <c r="AE297" s="18"/>
      <c r="AF297" s="18">
        <f t="shared" si="306"/>
        <v>0</v>
      </c>
      <c r="AG297" s="18"/>
      <c r="AH297" s="18">
        <f t="shared" si="306"/>
        <v>0</v>
      </c>
      <c r="AI297" s="18"/>
      <c r="AJ297" s="18">
        <f t="shared" si="306"/>
        <v>0</v>
      </c>
      <c r="AK297" s="19">
        <f t="shared" si="300"/>
        <v>42259948.860000007</v>
      </c>
      <c r="AL297" s="15" t="str">
        <f>IF(ABS(AK297-F297)&lt;1,"ok","err")</f>
        <v>ok</v>
      </c>
    </row>
    <row r="298" spans="1:38" x14ac:dyDescent="0.3">
      <c r="F298" s="44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5"/>
    </row>
    <row r="299" spans="1:38" x14ac:dyDescent="0.3">
      <c r="A299" s="16" t="s">
        <v>353</v>
      </c>
      <c r="Y299" s="2"/>
      <c r="AL299" s="15"/>
    </row>
    <row r="300" spans="1:38" x14ac:dyDescent="0.3">
      <c r="A300" s="16"/>
      <c r="Y300" s="2"/>
      <c r="AL300" s="15"/>
    </row>
    <row r="301" spans="1:38" x14ac:dyDescent="0.3">
      <c r="A301" s="3" t="s">
        <v>367</v>
      </c>
      <c r="Y301" s="2"/>
      <c r="AL301" s="15"/>
    </row>
    <row r="302" spans="1:38" x14ac:dyDescent="0.3">
      <c r="A302" s="2">
        <v>555</v>
      </c>
      <c r="B302" s="2" t="s">
        <v>169</v>
      </c>
      <c r="C302" s="2" t="s">
        <v>368</v>
      </c>
      <c r="D302" s="2" t="s">
        <v>171</v>
      </c>
      <c r="F302" s="44">
        <v>0</v>
      </c>
      <c r="G302" s="18"/>
      <c r="H302" s="19">
        <f t="shared" ref="H302:H308" si="307">IF(VLOOKUP($D302,$C$5:$AJ$470,6,)=0,0,((VLOOKUP($D302,$C$5:$AJ$470,6,)/VLOOKUP($D302,$C$5:$AJ$470,4,))*$F302))</f>
        <v>0</v>
      </c>
      <c r="I302" s="19">
        <f t="shared" ref="I302:I308" si="308">IF(VLOOKUP($D302,$C$5:$AJ$470,7,)=0,0,((VLOOKUP($D302,$C$5:$AJ$470,7,)/VLOOKUP($D302,$C$5:$AJ$470,4,))*$F302))</f>
        <v>0</v>
      </c>
      <c r="J302" s="19">
        <f t="shared" ref="J302:J308" si="309">IF(VLOOKUP($D302,$C$5:$AJ$470,8,)=0,0,((VLOOKUP($D302,$C$5:$AJ$470,8,)/VLOOKUP($D302,$C$5:$AJ$470,4,))*$F302))</f>
        <v>0</v>
      </c>
      <c r="K302" s="19">
        <f t="shared" ref="K302:K308" si="310">IF(VLOOKUP($D302,$C$5:$AJ$470,9,)=0,0,((VLOOKUP($D302,$C$5:$AJ$470,9,)/VLOOKUP($D302,$C$5:$AJ$470,4,))*$F302))</f>
        <v>0</v>
      </c>
      <c r="L302" s="19">
        <f t="shared" ref="L302:L308" si="311">IF(VLOOKUP($D302,$C$5:$AJ$470,10,)=0,0,((VLOOKUP($D302,$C$5:$AJ$470,10,)/VLOOKUP($D302,$C$5:$AJ$470,4,))*$F302))</f>
        <v>0</v>
      </c>
      <c r="M302" s="19">
        <f t="shared" ref="M302:M308" si="312">IF(VLOOKUP($D302,$C$5:$AJ$470,11,)=0,0,((VLOOKUP($D302,$C$5:$AJ$470,11,)/VLOOKUP($D302,$C$5:$AJ$470,4,))*$F302))</f>
        <v>0</v>
      </c>
      <c r="N302" s="19"/>
      <c r="O302" s="19">
        <f t="shared" ref="O302:O308" si="313">IF(VLOOKUP($D302,$C$5:$AJ$470,13,)=0,0,((VLOOKUP($D302,$C$5:$AJ$470,13,)/VLOOKUP($D302,$C$5:$AJ$470,4,))*$F302))</f>
        <v>0</v>
      </c>
      <c r="P302" s="19">
        <f t="shared" ref="P302:P308" si="314">IF(VLOOKUP($D302,$C$5:$AJ$470,14,)=0,0,((VLOOKUP($D302,$C$5:$AJ$470,14,)/VLOOKUP($D302,$C$5:$AJ$470,4,))*$F302))</f>
        <v>0</v>
      </c>
      <c r="Q302" s="19">
        <f t="shared" ref="Q302:Q308" si="315">IF(VLOOKUP($D302,$C$5:$AJ$470,15,)=0,0,((VLOOKUP($D302,$C$5:$AJ$470,15,)/VLOOKUP($D302,$C$5:$AJ$470,4,))*$F302))</f>
        <v>0</v>
      </c>
      <c r="R302" s="19"/>
      <c r="S302" s="19">
        <f t="shared" ref="S302:S308" si="316">IF(VLOOKUP($D302,$C$5:$AJ$470,17,)=0,0,((VLOOKUP($D302,$C$5:$AJ$470,17,)/VLOOKUP($D302,$C$5:$AJ$470,4,))*$F302))</f>
        <v>0</v>
      </c>
      <c r="T302" s="19">
        <f t="shared" ref="T302:T308" si="317">IF(VLOOKUP($D302,$C$5:$AJ$470,18,)=0,0,((VLOOKUP($D302,$C$5:$AJ$470,18,)/VLOOKUP($D302,$C$5:$AJ$470,4,))*$F302))</f>
        <v>0</v>
      </c>
      <c r="U302" s="19">
        <f t="shared" ref="U302:U308" si="318">IF(VLOOKUP($D302,$C$5:$AJ$470,19,)=0,0,((VLOOKUP($D302,$C$5:$AJ$470,19,)/VLOOKUP($D302,$C$5:$AJ$470,4,))*$F302))</f>
        <v>0</v>
      </c>
      <c r="V302" s="19">
        <f t="shared" ref="V302:V308" si="319">IF(VLOOKUP($D302,$C$5:$AJ$470,20,)=0,0,((VLOOKUP($D302,$C$5:$AJ$470,20,)/VLOOKUP($D302,$C$5:$AJ$470,4,))*$F302))</f>
        <v>0</v>
      </c>
      <c r="W302" s="19">
        <f t="shared" ref="W302:W308" si="320">IF(VLOOKUP($D302,$C$5:$AJ$470,21,)=0,0,((VLOOKUP($D302,$C$5:$AJ$470,21,)/VLOOKUP($D302,$C$5:$AJ$470,4,))*$F302))</f>
        <v>0</v>
      </c>
      <c r="X302" s="19">
        <f t="shared" ref="X302:X308" si="321">IF(VLOOKUP($D302,$C$5:$AJ$470,22,)=0,0,((VLOOKUP($D302,$C$5:$AJ$470,22,)/VLOOKUP($D302,$C$5:$AJ$470,4,))*$F302))</f>
        <v>0</v>
      </c>
      <c r="Y302" s="19">
        <f t="shared" ref="Y302:Y308" si="322">IF(VLOOKUP($D302,$C$5:$AJ$470,23,)=0,0,((VLOOKUP($D302,$C$5:$AJ$470,23,)/VLOOKUP($D302,$C$5:$AJ$470,4,))*$F302))</f>
        <v>0</v>
      </c>
      <c r="Z302" s="19">
        <f t="shared" ref="Z302:Z308" si="323">IF(VLOOKUP($D302,$C$5:$AJ$470,24,)=0,0,((VLOOKUP($D302,$C$5:$AJ$470,24,)/VLOOKUP($D302,$C$5:$AJ$470,4,))*$F302))</f>
        <v>0</v>
      </c>
      <c r="AA302" s="19">
        <f t="shared" ref="AA302:AA308" si="324">IF(VLOOKUP($D302,$C$5:$AJ$470,25,)=0,0,((VLOOKUP($D302,$C$5:$AJ$470,25,)/VLOOKUP($D302,$C$5:$AJ$470,4,))*$F302))</f>
        <v>0</v>
      </c>
      <c r="AB302" s="19">
        <f t="shared" ref="AB302:AB308" si="325">IF(VLOOKUP($D302,$C$5:$AJ$470,26,)=0,0,((VLOOKUP($D302,$C$5:$AJ$470,26,)/VLOOKUP($D302,$C$5:$AJ$470,4,))*$F302))</f>
        <v>0</v>
      </c>
      <c r="AC302" s="19">
        <f t="shared" ref="AC302:AC308" si="326">IF(VLOOKUP($D302,$C$5:$AJ$470,27,)=0,0,((VLOOKUP($D302,$C$5:$AJ$470,27,)/VLOOKUP($D302,$C$5:$AJ$470,4,))*$F302))</f>
        <v>0</v>
      </c>
      <c r="AD302" s="19">
        <f t="shared" ref="AD302:AD308" si="327">IF(VLOOKUP($D302,$C$5:$AJ$470,28,)=0,0,((VLOOKUP($D302,$C$5:$AJ$470,28,)/VLOOKUP($D302,$C$5:$AJ$470,4,))*$F302))</f>
        <v>0</v>
      </c>
      <c r="AE302" s="19"/>
      <c r="AF302" s="19">
        <f t="shared" ref="AF302:AF308" si="328">IF(VLOOKUP($D302,$C$5:$AJ$470,30,)=0,0,((VLOOKUP($D302,$C$5:$AJ$470,30,)/VLOOKUP($D302,$C$5:$AJ$470,4,))*$F302))</f>
        <v>0</v>
      </c>
      <c r="AG302" s="19"/>
      <c r="AH302" s="19">
        <f t="shared" ref="AH302:AH308" si="329">IF(VLOOKUP($D302,$C$5:$AJ$470,32,)=0,0,((VLOOKUP($D302,$C$5:$AJ$470,32,)/VLOOKUP($D302,$C$5:$AJ$470,4,))*$F302))</f>
        <v>0</v>
      </c>
      <c r="AI302" s="19"/>
      <c r="AJ302" s="19">
        <f t="shared" ref="AJ302:AJ308" si="330">IF(VLOOKUP($D302,$C$5:$AJ$470,34,)=0,0,((VLOOKUP($D302,$C$5:$AJ$470,34,)/VLOOKUP($D302,$C$5:$AJ$470,4,))*$F302))</f>
        <v>0</v>
      </c>
      <c r="AK302" s="19">
        <f t="shared" ref="AK302:AK308" si="331">SUM(H302:AJ302)</f>
        <v>0</v>
      </c>
      <c r="AL302" s="15" t="str">
        <f t="shared" ref="AL302:AL308" si="332">IF(ABS(AK302-F302)&lt;1,"ok","err")</f>
        <v>ok</v>
      </c>
    </row>
    <row r="303" spans="1:38" x14ac:dyDescent="0.3">
      <c r="A303" s="2">
        <v>555</v>
      </c>
      <c r="B303" s="2" t="s">
        <v>172</v>
      </c>
      <c r="C303" s="2" t="s">
        <v>369</v>
      </c>
      <c r="D303" s="2" t="s">
        <v>171</v>
      </c>
      <c r="F303" s="44">
        <v>0</v>
      </c>
      <c r="G303" s="18"/>
      <c r="H303" s="19">
        <f t="shared" si="307"/>
        <v>0</v>
      </c>
      <c r="I303" s="19">
        <f t="shared" si="308"/>
        <v>0</v>
      </c>
      <c r="J303" s="19">
        <f t="shared" si="309"/>
        <v>0</v>
      </c>
      <c r="K303" s="19">
        <f t="shared" si="310"/>
        <v>0</v>
      </c>
      <c r="L303" s="19">
        <f t="shared" si="311"/>
        <v>0</v>
      </c>
      <c r="M303" s="19">
        <f t="shared" si="312"/>
        <v>0</v>
      </c>
      <c r="N303" s="19"/>
      <c r="O303" s="19">
        <f t="shared" si="313"/>
        <v>0</v>
      </c>
      <c r="P303" s="19">
        <f t="shared" si="314"/>
        <v>0</v>
      </c>
      <c r="Q303" s="19">
        <f t="shared" si="315"/>
        <v>0</v>
      </c>
      <c r="R303" s="19"/>
      <c r="S303" s="19">
        <f t="shared" si="316"/>
        <v>0</v>
      </c>
      <c r="T303" s="19">
        <f t="shared" si="317"/>
        <v>0</v>
      </c>
      <c r="U303" s="19">
        <f t="shared" si="318"/>
        <v>0</v>
      </c>
      <c r="V303" s="19">
        <f t="shared" si="319"/>
        <v>0</v>
      </c>
      <c r="W303" s="19">
        <f t="shared" si="320"/>
        <v>0</v>
      </c>
      <c r="X303" s="19">
        <f t="shared" si="321"/>
        <v>0</v>
      </c>
      <c r="Y303" s="19">
        <f t="shared" si="322"/>
        <v>0</v>
      </c>
      <c r="Z303" s="19">
        <f t="shared" si="323"/>
        <v>0</v>
      </c>
      <c r="AA303" s="19">
        <f t="shared" si="324"/>
        <v>0</v>
      </c>
      <c r="AB303" s="19">
        <f t="shared" si="325"/>
        <v>0</v>
      </c>
      <c r="AC303" s="19">
        <f t="shared" si="326"/>
        <v>0</v>
      </c>
      <c r="AD303" s="19">
        <f t="shared" si="327"/>
        <v>0</v>
      </c>
      <c r="AE303" s="19"/>
      <c r="AF303" s="19">
        <f t="shared" si="328"/>
        <v>0</v>
      </c>
      <c r="AG303" s="19"/>
      <c r="AH303" s="19">
        <f t="shared" si="329"/>
        <v>0</v>
      </c>
      <c r="AI303" s="19"/>
      <c r="AJ303" s="19">
        <f t="shared" si="330"/>
        <v>0</v>
      </c>
      <c r="AK303" s="19">
        <f t="shared" si="331"/>
        <v>0</v>
      </c>
      <c r="AL303" s="15" t="str">
        <f t="shared" si="332"/>
        <v>ok</v>
      </c>
    </row>
    <row r="304" spans="1:38" x14ac:dyDescent="0.3">
      <c r="A304" s="2">
        <v>555</v>
      </c>
      <c r="B304" s="2" t="s">
        <v>174</v>
      </c>
      <c r="C304" s="2" t="s">
        <v>370</v>
      </c>
      <c r="D304" s="2" t="s">
        <v>171</v>
      </c>
      <c r="F304" s="44">
        <v>0</v>
      </c>
      <c r="G304" s="18"/>
      <c r="H304" s="19">
        <f t="shared" si="307"/>
        <v>0</v>
      </c>
      <c r="I304" s="19">
        <f t="shared" si="308"/>
        <v>0</v>
      </c>
      <c r="J304" s="19">
        <f t="shared" si="309"/>
        <v>0</v>
      </c>
      <c r="K304" s="19">
        <f t="shared" si="310"/>
        <v>0</v>
      </c>
      <c r="L304" s="19">
        <f t="shared" si="311"/>
        <v>0</v>
      </c>
      <c r="M304" s="19">
        <f t="shared" si="312"/>
        <v>0</v>
      </c>
      <c r="N304" s="19"/>
      <c r="O304" s="19">
        <f t="shared" si="313"/>
        <v>0</v>
      </c>
      <c r="P304" s="19">
        <f t="shared" si="314"/>
        <v>0</v>
      </c>
      <c r="Q304" s="19">
        <f t="shared" si="315"/>
        <v>0</v>
      </c>
      <c r="R304" s="19"/>
      <c r="S304" s="19">
        <f t="shared" si="316"/>
        <v>0</v>
      </c>
      <c r="T304" s="19">
        <f t="shared" si="317"/>
        <v>0</v>
      </c>
      <c r="U304" s="19">
        <f t="shared" si="318"/>
        <v>0</v>
      </c>
      <c r="V304" s="19">
        <f t="shared" si="319"/>
        <v>0</v>
      </c>
      <c r="W304" s="19">
        <f t="shared" si="320"/>
        <v>0</v>
      </c>
      <c r="X304" s="19">
        <f t="shared" si="321"/>
        <v>0</v>
      </c>
      <c r="Y304" s="19">
        <f t="shared" si="322"/>
        <v>0</v>
      </c>
      <c r="Z304" s="19">
        <f t="shared" si="323"/>
        <v>0</v>
      </c>
      <c r="AA304" s="19">
        <f t="shared" si="324"/>
        <v>0</v>
      </c>
      <c r="AB304" s="19">
        <f t="shared" si="325"/>
        <v>0</v>
      </c>
      <c r="AC304" s="19">
        <f t="shared" si="326"/>
        <v>0</v>
      </c>
      <c r="AD304" s="19">
        <f t="shared" si="327"/>
        <v>0</v>
      </c>
      <c r="AE304" s="19"/>
      <c r="AF304" s="19">
        <f t="shared" si="328"/>
        <v>0</v>
      </c>
      <c r="AG304" s="19"/>
      <c r="AH304" s="19">
        <f t="shared" si="329"/>
        <v>0</v>
      </c>
      <c r="AI304" s="19"/>
      <c r="AJ304" s="19">
        <f t="shared" si="330"/>
        <v>0</v>
      </c>
      <c r="AK304" s="19">
        <f t="shared" si="331"/>
        <v>0</v>
      </c>
      <c r="AL304" s="15" t="str">
        <f t="shared" si="332"/>
        <v>ok</v>
      </c>
    </row>
    <row r="305" spans="1:38" x14ac:dyDescent="0.3">
      <c r="A305" s="2">
        <v>555</v>
      </c>
      <c r="B305" s="2" t="s">
        <v>176</v>
      </c>
      <c r="C305" s="2" t="s">
        <v>371</v>
      </c>
      <c r="D305" s="2" t="s">
        <v>171</v>
      </c>
      <c r="F305" s="44">
        <v>0</v>
      </c>
      <c r="G305" s="18"/>
      <c r="H305" s="19">
        <f t="shared" si="307"/>
        <v>0</v>
      </c>
      <c r="I305" s="19">
        <f t="shared" si="308"/>
        <v>0</v>
      </c>
      <c r="J305" s="19">
        <f t="shared" si="309"/>
        <v>0</v>
      </c>
      <c r="K305" s="19">
        <f t="shared" si="310"/>
        <v>0</v>
      </c>
      <c r="L305" s="19">
        <f t="shared" si="311"/>
        <v>0</v>
      </c>
      <c r="M305" s="19">
        <f t="shared" si="312"/>
        <v>0</v>
      </c>
      <c r="N305" s="19"/>
      <c r="O305" s="19">
        <f t="shared" si="313"/>
        <v>0</v>
      </c>
      <c r="P305" s="19">
        <f t="shared" si="314"/>
        <v>0</v>
      </c>
      <c r="Q305" s="19">
        <f t="shared" si="315"/>
        <v>0</v>
      </c>
      <c r="R305" s="19"/>
      <c r="S305" s="19">
        <f t="shared" si="316"/>
        <v>0</v>
      </c>
      <c r="T305" s="19">
        <f t="shared" si="317"/>
        <v>0</v>
      </c>
      <c r="U305" s="19">
        <f t="shared" si="318"/>
        <v>0</v>
      </c>
      <c r="V305" s="19">
        <f t="shared" si="319"/>
        <v>0</v>
      </c>
      <c r="W305" s="19">
        <f t="shared" si="320"/>
        <v>0</v>
      </c>
      <c r="X305" s="19">
        <f t="shared" si="321"/>
        <v>0</v>
      </c>
      <c r="Y305" s="19">
        <f t="shared" si="322"/>
        <v>0</v>
      </c>
      <c r="Z305" s="19">
        <f t="shared" si="323"/>
        <v>0</v>
      </c>
      <c r="AA305" s="19">
        <f t="shared" si="324"/>
        <v>0</v>
      </c>
      <c r="AB305" s="19">
        <f t="shared" si="325"/>
        <v>0</v>
      </c>
      <c r="AC305" s="19">
        <f t="shared" si="326"/>
        <v>0</v>
      </c>
      <c r="AD305" s="19">
        <f t="shared" si="327"/>
        <v>0</v>
      </c>
      <c r="AE305" s="19"/>
      <c r="AF305" s="19">
        <f t="shared" si="328"/>
        <v>0</v>
      </c>
      <c r="AG305" s="19"/>
      <c r="AH305" s="19">
        <f t="shared" si="329"/>
        <v>0</v>
      </c>
      <c r="AI305" s="19"/>
      <c r="AJ305" s="19">
        <f t="shared" si="330"/>
        <v>0</v>
      </c>
      <c r="AK305" s="19">
        <f t="shared" si="331"/>
        <v>0</v>
      </c>
      <c r="AL305" s="15" t="str">
        <f t="shared" si="332"/>
        <v>ok</v>
      </c>
    </row>
    <row r="306" spans="1:38" x14ac:dyDescent="0.3">
      <c r="A306" s="2">
        <v>556</v>
      </c>
      <c r="B306" s="2" t="s">
        <v>178</v>
      </c>
      <c r="C306" s="2" t="s">
        <v>372</v>
      </c>
      <c r="D306" s="2" t="s">
        <v>28</v>
      </c>
      <c r="F306" s="44">
        <v>3265907.62</v>
      </c>
      <c r="G306" s="18"/>
      <c r="H306" s="19">
        <f t="shared" si="307"/>
        <v>1453547.3877826955</v>
      </c>
      <c r="I306" s="19">
        <f t="shared" si="308"/>
        <v>1793289.9534998152</v>
      </c>
      <c r="J306" s="19">
        <f t="shared" si="309"/>
        <v>0</v>
      </c>
      <c r="K306" s="19">
        <f t="shared" si="310"/>
        <v>0</v>
      </c>
      <c r="L306" s="19">
        <f t="shared" si="311"/>
        <v>19070.278717489582</v>
      </c>
      <c r="M306" s="19">
        <f t="shared" si="312"/>
        <v>0</v>
      </c>
      <c r="N306" s="19"/>
      <c r="O306" s="19">
        <f t="shared" si="313"/>
        <v>0</v>
      </c>
      <c r="P306" s="19">
        <f t="shared" si="314"/>
        <v>0</v>
      </c>
      <c r="Q306" s="19">
        <f t="shared" si="315"/>
        <v>0</v>
      </c>
      <c r="R306" s="19"/>
      <c r="S306" s="19">
        <f t="shared" si="316"/>
        <v>0</v>
      </c>
      <c r="T306" s="19">
        <f t="shared" si="317"/>
        <v>0</v>
      </c>
      <c r="U306" s="19">
        <f t="shared" si="318"/>
        <v>0</v>
      </c>
      <c r="V306" s="19">
        <f t="shared" si="319"/>
        <v>0</v>
      </c>
      <c r="W306" s="19">
        <f t="shared" si="320"/>
        <v>0</v>
      </c>
      <c r="X306" s="19">
        <f t="shared" si="321"/>
        <v>0</v>
      </c>
      <c r="Y306" s="19">
        <f t="shared" si="322"/>
        <v>0</v>
      </c>
      <c r="Z306" s="19">
        <f t="shared" si="323"/>
        <v>0</v>
      </c>
      <c r="AA306" s="19">
        <f t="shared" si="324"/>
        <v>0</v>
      </c>
      <c r="AB306" s="19">
        <f t="shared" si="325"/>
        <v>0</v>
      </c>
      <c r="AC306" s="19">
        <f t="shared" si="326"/>
        <v>0</v>
      </c>
      <c r="AD306" s="19">
        <f t="shared" si="327"/>
        <v>0</v>
      </c>
      <c r="AE306" s="19"/>
      <c r="AF306" s="19">
        <f t="shared" si="328"/>
        <v>0</v>
      </c>
      <c r="AG306" s="19"/>
      <c r="AH306" s="19">
        <f t="shared" si="329"/>
        <v>0</v>
      </c>
      <c r="AI306" s="19"/>
      <c r="AJ306" s="19">
        <f t="shared" si="330"/>
        <v>0</v>
      </c>
      <c r="AK306" s="19">
        <f t="shared" si="331"/>
        <v>3265907.62</v>
      </c>
      <c r="AL306" s="15" t="str">
        <f t="shared" si="332"/>
        <v>ok</v>
      </c>
    </row>
    <row r="307" spans="1:38" x14ac:dyDescent="0.3">
      <c r="A307" s="2">
        <v>557</v>
      </c>
      <c r="B307" s="2" t="s">
        <v>180</v>
      </c>
      <c r="C307" s="2" t="s">
        <v>373</v>
      </c>
      <c r="D307" s="2" t="s">
        <v>28</v>
      </c>
      <c r="F307" s="43">
        <v>625871.80000000005</v>
      </c>
      <c r="G307" s="18"/>
      <c r="H307" s="19">
        <f t="shared" si="307"/>
        <v>278554.82329192571</v>
      </c>
      <c r="I307" s="19">
        <f t="shared" si="308"/>
        <v>343662.38782922027</v>
      </c>
      <c r="J307" s="19">
        <f t="shared" si="309"/>
        <v>0</v>
      </c>
      <c r="K307" s="19">
        <f t="shared" si="310"/>
        <v>0</v>
      </c>
      <c r="L307" s="19">
        <f t="shared" si="311"/>
        <v>3654.5888788541106</v>
      </c>
      <c r="M307" s="19">
        <f t="shared" si="312"/>
        <v>0</v>
      </c>
      <c r="N307" s="19"/>
      <c r="O307" s="19">
        <f t="shared" si="313"/>
        <v>0</v>
      </c>
      <c r="P307" s="19">
        <f t="shared" si="314"/>
        <v>0</v>
      </c>
      <c r="Q307" s="19">
        <f t="shared" si="315"/>
        <v>0</v>
      </c>
      <c r="R307" s="19"/>
      <c r="S307" s="19">
        <f t="shared" si="316"/>
        <v>0</v>
      </c>
      <c r="T307" s="19">
        <f t="shared" si="317"/>
        <v>0</v>
      </c>
      <c r="U307" s="19">
        <f t="shared" si="318"/>
        <v>0</v>
      </c>
      <c r="V307" s="19">
        <f t="shared" si="319"/>
        <v>0</v>
      </c>
      <c r="W307" s="19">
        <f t="shared" si="320"/>
        <v>0</v>
      </c>
      <c r="X307" s="19">
        <f t="shared" si="321"/>
        <v>0</v>
      </c>
      <c r="Y307" s="19">
        <f t="shared" si="322"/>
        <v>0</v>
      </c>
      <c r="Z307" s="19">
        <f t="shared" si="323"/>
        <v>0</v>
      </c>
      <c r="AA307" s="19">
        <f t="shared" si="324"/>
        <v>0</v>
      </c>
      <c r="AB307" s="19">
        <f t="shared" si="325"/>
        <v>0</v>
      </c>
      <c r="AC307" s="19">
        <f t="shared" si="326"/>
        <v>0</v>
      </c>
      <c r="AD307" s="19">
        <f t="shared" si="327"/>
        <v>0</v>
      </c>
      <c r="AE307" s="19"/>
      <c r="AF307" s="19">
        <f t="shared" si="328"/>
        <v>0</v>
      </c>
      <c r="AG307" s="19"/>
      <c r="AH307" s="19">
        <f t="shared" si="329"/>
        <v>0</v>
      </c>
      <c r="AI307" s="19"/>
      <c r="AJ307" s="19">
        <f t="shared" si="330"/>
        <v>0</v>
      </c>
      <c r="AK307" s="19">
        <f t="shared" si="331"/>
        <v>625871.80000000005</v>
      </c>
      <c r="AL307" s="15" t="str">
        <f t="shared" si="332"/>
        <v>ok</v>
      </c>
    </row>
    <row r="308" spans="1:38" x14ac:dyDescent="0.3">
      <c r="A308" s="2">
        <v>558</v>
      </c>
      <c r="B308" s="2" t="s">
        <v>374</v>
      </c>
      <c r="C308" s="2" t="s">
        <v>375</v>
      </c>
      <c r="D308" s="2" t="s">
        <v>122</v>
      </c>
      <c r="F308" s="43">
        <v>0</v>
      </c>
      <c r="G308" s="18"/>
      <c r="H308" s="19">
        <f t="shared" si="307"/>
        <v>0</v>
      </c>
      <c r="I308" s="19">
        <f t="shared" si="308"/>
        <v>0</v>
      </c>
      <c r="J308" s="19">
        <f t="shared" si="309"/>
        <v>0</v>
      </c>
      <c r="K308" s="19">
        <f t="shared" si="310"/>
        <v>0</v>
      </c>
      <c r="L308" s="19">
        <f t="shared" si="311"/>
        <v>0</v>
      </c>
      <c r="M308" s="19">
        <f t="shared" si="312"/>
        <v>0</v>
      </c>
      <c r="N308" s="19"/>
      <c r="O308" s="19">
        <f t="shared" si="313"/>
        <v>0</v>
      </c>
      <c r="P308" s="19">
        <f t="shared" si="314"/>
        <v>0</v>
      </c>
      <c r="Q308" s="19">
        <f t="shared" si="315"/>
        <v>0</v>
      </c>
      <c r="R308" s="19"/>
      <c r="S308" s="19">
        <f t="shared" si="316"/>
        <v>0</v>
      </c>
      <c r="T308" s="19">
        <f t="shared" si="317"/>
        <v>0</v>
      </c>
      <c r="U308" s="19">
        <f t="shared" si="318"/>
        <v>0</v>
      </c>
      <c r="V308" s="19">
        <f t="shared" si="319"/>
        <v>0</v>
      </c>
      <c r="W308" s="19">
        <f t="shared" si="320"/>
        <v>0</v>
      </c>
      <c r="X308" s="19">
        <f t="shared" si="321"/>
        <v>0</v>
      </c>
      <c r="Y308" s="19">
        <f t="shared" si="322"/>
        <v>0</v>
      </c>
      <c r="Z308" s="19">
        <f t="shared" si="323"/>
        <v>0</v>
      </c>
      <c r="AA308" s="19">
        <f t="shared" si="324"/>
        <v>0</v>
      </c>
      <c r="AB308" s="19">
        <f t="shared" si="325"/>
        <v>0</v>
      </c>
      <c r="AC308" s="19">
        <f t="shared" si="326"/>
        <v>0</v>
      </c>
      <c r="AD308" s="19">
        <f t="shared" si="327"/>
        <v>0</v>
      </c>
      <c r="AE308" s="19"/>
      <c r="AF308" s="19">
        <f t="shared" si="328"/>
        <v>0</v>
      </c>
      <c r="AG308" s="19"/>
      <c r="AH308" s="19">
        <f t="shared" si="329"/>
        <v>0</v>
      </c>
      <c r="AI308" s="19"/>
      <c r="AJ308" s="19">
        <f t="shared" si="330"/>
        <v>0</v>
      </c>
      <c r="AK308" s="19">
        <f t="shared" si="331"/>
        <v>0</v>
      </c>
      <c r="AL308" s="15" t="str">
        <f t="shared" si="332"/>
        <v>ok</v>
      </c>
    </row>
    <row r="309" spans="1:38" x14ac:dyDescent="0.3">
      <c r="F309" s="44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9"/>
      <c r="AL309" s="15"/>
    </row>
    <row r="310" spans="1:38" x14ac:dyDescent="0.3">
      <c r="B310" s="2" t="s">
        <v>376</v>
      </c>
      <c r="C310" s="2" t="s">
        <v>377</v>
      </c>
      <c r="F310" s="44">
        <f>SUM(F302:F308)</f>
        <v>3891779.42</v>
      </c>
      <c r="G310" s="18"/>
      <c r="H310" s="18">
        <f t="shared" ref="H310:M310" si="333">SUM(H302:H308)</f>
        <v>1732102.2110746212</v>
      </c>
      <c r="I310" s="18">
        <f t="shared" si="333"/>
        <v>2136952.3413290353</v>
      </c>
      <c r="J310" s="18">
        <f t="shared" si="333"/>
        <v>0</v>
      </c>
      <c r="K310" s="18">
        <f t="shared" si="333"/>
        <v>0</v>
      </c>
      <c r="L310" s="18">
        <f t="shared" si="333"/>
        <v>22724.867596343691</v>
      </c>
      <c r="M310" s="18">
        <f t="shared" si="333"/>
        <v>0</v>
      </c>
      <c r="N310" s="18"/>
      <c r="O310" s="18">
        <f>SUM(O302:O308)</f>
        <v>0</v>
      </c>
      <c r="P310" s="18">
        <f>SUM(P302:P308)</f>
        <v>0</v>
      </c>
      <c r="Q310" s="18">
        <f>SUM(Q302:Q308)</f>
        <v>0</v>
      </c>
      <c r="R310" s="18"/>
      <c r="S310" s="18">
        <f t="shared" ref="S310:AD310" si="334">SUM(S302:S308)</f>
        <v>0</v>
      </c>
      <c r="T310" s="18">
        <f t="shared" si="334"/>
        <v>0</v>
      </c>
      <c r="U310" s="18">
        <f t="shared" si="334"/>
        <v>0</v>
      </c>
      <c r="V310" s="18">
        <f t="shared" si="334"/>
        <v>0</v>
      </c>
      <c r="W310" s="18">
        <f t="shared" si="334"/>
        <v>0</v>
      </c>
      <c r="X310" s="18">
        <f t="shared" si="334"/>
        <v>0</v>
      </c>
      <c r="Y310" s="18">
        <f t="shared" si="334"/>
        <v>0</v>
      </c>
      <c r="Z310" s="18">
        <f t="shared" si="334"/>
        <v>0</v>
      </c>
      <c r="AA310" s="18">
        <f t="shared" si="334"/>
        <v>0</v>
      </c>
      <c r="AB310" s="18">
        <f t="shared" si="334"/>
        <v>0</v>
      </c>
      <c r="AC310" s="18">
        <f t="shared" si="334"/>
        <v>0</v>
      </c>
      <c r="AD310" s="18">
        <f t="shared" si="334"/>
        <v>0</v>
      </c>
      <c r="AE310" s="18"/>
      <c r="AF310" s="18">
        <f>SUM(AF302:AF308)</f>
        <v>0</v>
      </c>
      <c r="AG310" s="18"/>
      <c r="AH310" s="18">
        <f>SUM(AH302:AH308)</f>
        <v>0</v>
      </c>
      <c r="AI310" s="18"/>
      <c r="AJ310" s="18">
        <f>SUM(AJ302:AJ308)</f>
        <v>0</v>
      </c>
      <c r="AK310" s="19">
        <f>SUM(H310:AJ310)</f>
        <v>3891779.4200000004</v>
      </c>
      <c r="AL310" s="15" t="str">
        <f>IF(ABS(AK310-F310)&lt;1,"ok","err")</f>
        <v>ok</v>
      </c>
    </row>
    <row r="311" spans="1:38" x14ac:dyDescent="0.3">
      <c r="F311" s="44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9"/>
      <c r="AL311" s="15"/>
    </row>
    <row r="312" spans="1:38" x14ac:dyDescent="0.3">
      <c r="A312" s="3" t="s">
        <v>378</v>
      </c>
      <c r="F312" s="44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9"/>
      <c r="AL312" s="15"/>
    </row>
    <row r="313" spans="1:38" x14ac:dyDescent="0.3">
      <c r="A313" s="2">
        <v>560</v>
      </c>
      <c r="B313" s="2" t="s">
        <v>188</v>
      </c>
      <c r="C313" s="2" t="s">
        <v>379</v>
      </c>
      <c r="D313" s="2" t="s">
        <v>30</v>
      </c>
      <c r="F313" s="44">
        <v>6850117.4299999997</v>
      </c>
      <c r="G313" s="18"/>
      <c r="H313" s="19">
        <f t="shared" ref="H313:H324" si="335">IF(VLOOKUP($D313,$C$5:$AJ$470,6,)=0,0,((VLOOKUP($D313,$C$5:$AJ$470,6,)/VLOOKUP($D313,$C$5:$AJ$470,4,))*$F313))</f>
        <v>0</v>
      </c>
      <c r="I313" s="19">
        <f t="shared" ref="I313:I324" si="336">IF(VLOOKUP($D313,$C$5:$AJ$470,7,)=0,0,((VLOOKUP($D313,$C$5:$AJ$470,7,)/VLOOKUP($D313,$C$5:$AJ$470,4,))*$F313))</f>
        <v>0</v>
      </c>
      <c r="J313" s="19">
        <f t="shared" ref="J313:J324" si="337">IF(VLOOKUP($D313,$C$5:$AJ$470,8,)=0,0,((VLOOKUP($D313,$C$5:$AJ$470,8,)/VLOOKUP($D313,$C$5:$AJ$470,4,))*$F313))</f>
        <v>0</v>
      </c>
      <c r="K313" s="19">
        <f t="shared" ref="K313:K324" si="338">IF(VLOOKUP($D313,$C$5:$AJ$470,9,)=0,0,((VLOOKUP($D313,$C$5:$AJ$470,9,)/VLOOKUP($D313,$C$5:$AJ$470,4,))*$F313))</f>
        <v>0</v>
      </c>
      <c r="L313" s="19">
        <f t="shared" ref="L313:L324" si="339">IF(VLOOKUP($D313,$C$5:$AJ$470,10,)=0,0,((VLOOKUP($D313,$C$5:$AJ$470,10,)/VLOOKUP($D313,$C$5:$AJ$470,4,))*$F313))</f>
        <v>16403.526294554791</v>
      </c>
      <c r="M313" s="19">
        <f t="shared" ref="M313:M324" si="340">IF(VLOOKUP($D313,$C$5:$AJ$470,11,)=0,0,((VLOOKUP($D313,$C$5:$AJ$470,11,)/VLOOKUP($D313,$C$5:$AJ$470,4,))*$F313))</f>
        <v>6833713.9037054451</v>
      </c>
      <c r="N313" s="19"/>
      <c r="O313" s="19">
        <f t="shared" ref="O313:O324" si="341">IF(VLOOKUP($D313,$C$5:$AJ$470,13,)=0,0,((VLOOKUP($D313,$C$5:$AJ$470,13,)/VLOOKUP($D313,$C$5:$AJ$470,4,))*$F313))</f>
        <v>0</v>
      </c>
      <c r="P313" s="19">
        <f t="shared" ref="P313:P324" si="342">IF(VLOOKUP($D313,$C$5:$AJ$470,14,)=0,0,((VLOOKUP($D313,$C$5:$AJ$470,14,)/VLOOKUP($D313,$C$5:$AJ$470,4,))*$F313))</f>
        <v>0</v>
      </c>
      <c r="Q313" s="19">
        <f t="shared" ref="Q313:Q324" si="343">IF(VLOOKUP($D313,$C$5:$AJ$470,15,)=0,0,((VLOOKUP($D313,$C$5:$AJ$470,15,)/VLOOKUP($D313,$C$5:$AJ$470,4,))*$F313))</f>
        <v>0</v>
      </c>
      <c r="R313" s="19"/>
      <c r="S313" s="19">
        <f t="shared" ref="S313:S324" si="344">IF(VLOOKUP($D313,$C$5:$AJ$470,17,)=0,0,((VLOOKUP($D313,$C$5:$AJ$470,17,)/VLOOKUP($D313,$C$5:$AJ$470,4,))*$F313))</f>
        <v>0</v>
      </c>
      <c r="T313" s="19">
        <f t="shared" ref="T313:T324" si="345">IF(VLOOKUP($D313,$C$5:$AJ$470,18,)=0,0,((VLOOKUP($D313,$C$5:$AJ$470,18,)/VLOOKUP($D313,$C$5:$AJ$470,4,))*$F313))</f>
        <v>0</v>
      </c>
      <c r="U313" s="19">
        <f t="shared" ref="U313:U324" si="346">IF(VLOOKUP($D313,$C$5:$AJ$470,19,)=0,0,((VLOOKUP($D313,$C$5:$AJ$470,19,)/VLOOKUP($D313,$C$5:$AJ$470,4,))*$F313))</f>
        <v>0</v>
      </c>
      <c r="V313" s="19">
        <f t="shared" ref="V313:V324" si="347">IF(VLOOKUP($D313,$C$5:$AJ$470,20,)=0,0,((VLOOKUP($D313,$C$5:$AJ$470,20,)/VLOOKUP($D313,$C$5:$AJ$470,4,))*$F313))</f>
        <v>0</v>
      </c>
      <c r="W313" s="19">
        <f t="shared" ref="W313:W324" si="348">IF(VLOOKUP($D313,$C$5:$AJ$470,21,)=0,0,((VLOOKUP($D313,$C$5:$AJ$470,21,)/VLOOKUP($D313,$C$5:$AJ$470,4,))*$F313))</f>
        <v>0</v>
      </c>
      <c r="X313" s="19">
        <f t="shared" ref="X313:X324" si="349">IF(VLOOKUP($D313,$C$5:$AJ$470,22,)=0,0,((VLOOKUP($D313,$C$5:$AJ$470,22,)/VLOOKUP($D313,$C$5:$AJ$470,4,))*$F313))</f>
        <v>0</v>
      </c>
      <c r="Y313" s="19">
        <f t="shared" ref="Y313:Y324" si="350">IF(VLOOKUP($D313,$C$5:$AJ$470,23,)=0,0,((VLOOKUP($D313,$C$5:$AJ$470,23,)/VLOOKUP($D313,$C$5:$AJ$470,4,))*$F313))</f>
        <v>0</v>
      </c>
      <c r="Z313" s="19">
        <f t="shared" ref="Z313:Z324" si="351">IF(VLOOKUP($D313,$C$5:$AJ$470,24,)=0,0,((VLOOKUP($D313,$C$5:$AJ$470,24,)/VLOOKUP($D313,$C$5:$AJ$470,4,))*$F313))</f>
        <v>0</v>
      </c>
      <c r="AA313" s="19">
        <f t="shared" ref="AA313:AA324" si="352">IF(VLOOKUP($D313,$C$5:$AJ$470,25,)=0,0,((VLOOKUP($D313,$C$5:$AJ$470,25,)/VLOOKUP($D313,$C$5:$AJ$470,4,))*$F313))</f>
        <v>0</v>
      </c>
      <c r="AB313" s="19">
        <f t="shared" ref="AB313:AB324" si="353">IF(VLOOKUP($D313,$C$5:$AJ$470,26,)=0,0,((VLOOKUP($D313,$C$5:$AJ$470,26,)/VLOOKUP($D313,$C$5:$AJ$470,4,))*$F313))</f>
        <v>0</v>
      </c>
      <c r="AC313" s="19">
        <f t="shared" ref="AC313:AC324" si="354">IF(VLOOKUP($D313,$C$5:$AJ$470,27,)=0,0,((VLOOKUP($D313,$C$5:$AJ$470,27,)/VLOOKUP($D313,$C$5:$AJ$470,4,))*$F313))</f>
        <v>0</v>
      </c>
      <c r="AD313" s="19">
        <f t="shared" ref="AD313:AD324" si="355">IF(VLOOKUP($D313,$C$5:$AJ$470,28,)=0,0,((VLOOKUP($D313,$C$5:$AJ$470,28,)/VLOOKUP($D313,$C$5:$AJ$470,4,))*$F313))</f>
        <v>0</v>
      </c>
      <c r="AE313" s="19"/>
      <c r="AF313" s="19">
        <f t="shared" ref="AF313:AF324" si="356">IF(VLOOKUP($D313,$C$5:$AJ$470,30,)=0,0,((VLOOKUP($D313,$C$5:$AJ$470,30,)/VLOOKUP($D313,$C$5:$AJ$470,4,))*$F313))</f>
        <v>0</v>
      </c>
      <c r="AG313" s="19"/>
      <c r="AH313" s="19">
        <f t="shared" ref="AH313:AH324" si="357">IF(VLOOKUP($D313,$C$5:$AJ$470,32,)=0,0,((VLOOKUP($D313,$C$5:$AJ$470,32,)/VLOOKUP($D313,$C$5:$AJ$470,4,))*$F313))</f>
        <v>0</v>
      </c>
      <c r="AI313" s="19"/>
      <c r="AJ313" s="19">
        <f t="shared" ref="AJ313:AJ324" si="358">IF(VLOOKUP($D313,$C$5:$AJ$470,34,)=0,0,((VLOOKUP($D313,$C$5:$AJ$470,34,)/VLOOKUP($D313,$C$5:$AJ$470,4,))*$F313))</f>
        <v>0</v>
      </c>
      <c r="AK313" s="19">
        <f t="shared" ref="AK313:AK323" si="359">SUM(H313:AJ313)</f>
        <v>6850117.4299999997</v>
      </c>
      <c r="AL313" s="15" t="str">
        <f t="shared" ref="AL313:AL323" si="360">IF(ABS(AK313-F313)&lt;1,"ok","err")</f>
        <v>ok</v>
      </c>
    </row>
    <row r="314" spans="1:38" x14ac:dyDescent="0.3">
      <c r="A314" s="2">
        <v>561</v>
      </c>
      <c r="B314" s="2" t="s">
        <v>191</v>
      </c>
      <c r="C314" s="2" t="s">
        <v>380</v>
      </c>
      <c r="D314" s="2" t="s">
        <v>30</v>
      </c>
      <c r="F314" s="43">
        <v>2800582.66</v>
      </c>
      <c r="G314" s="18"/>
      <c r="H314" s="19">
        <f t="shared" si="335"/>
        <v>0</v>
      </c>
      <c r="I314" s="19">
        <f t="shared" si="336"/>
        <v>0</v>
      </c>
      <c r="J314" s="19">
        <f t="shared" si="337"/>
        <v>0</v>
      </c>
      <c r="K314" s="19">
        <f t="shared" si="338"/>
        <v>0</v>
      </c>
      <c r="L314" s="19">
        <f t="shared" si="339"/>
        <v>6706.3713538972434</v>
      </c>
      <c r="M314" s="19">
        <f t="shared" si="340"/>
        <v>2793876.2886461029</v>
      </c>
      <c r="N314" s="19"/>
      <c r="O314" s="19">
        <f t="shared" si="341"/>
        <v>0</v>
      </c>
      <c r="P314" s="19">
        <f t="shared" si="342"/>
        <v>0</v>
      </c>
      <c r="Q314" s="19">
        <f t="shared" si="343"/>
        <v>0</v>
      </c>
      <c r="R314" s="19"/>
      <c r="S314" s="19">
        <f t="shared" si="344"/>
        <v>0</v>
      </c>
      <c r="T314" s="19">
        <f t="shared" si="345"/>
        <v>0</v>
      </c>
      <c r="U314" s="19">
        <f t="shared" si="346"/>
        <v>0</v>
      </c>
      <c r="V314" s="19">
        <f t="shared" si="347"/>
        <v>0</v>
      </c>
      <c r="W314" s="19">
        <f t="shared" si="348"/>
        <v>0</v>
      </c>
      <c r="X314" s="19">
        <f t="shared" si="349"/>
        <v>0</v>
      </c>
      <c r="Y314" s="19">
        <f t="shared" si="350"/>
        <v>0</v>
      </c>
      <c r="Z314" s="19">
        <f t="shared" si="351"/>
        <v>0</v>
      </c>
      <c r="AA314" s="19">
        <f t="shared" si="352"/>
        <v>0</v>
      </c>
      <c r="AB314" s="19">
        <f t="shared" si="353"/>
        <v>0</v>
      </c>
      <c r="AC314" s="19">
        <f t="shared" si="354"/>
        <v>0</v>
      </c>
      <c r="AD314" s="19">
        <f t="shared" si="355"/>
        <v>0</v>
      </c>
      <c r="AE314" s="19"/>
      <c r="AF314" s="19">
        <f t="shared" si="356"/>
        <v>0</v>
      </c>
      <c r="AG314" s="19"/>
      <c r="AH314" s="19">
        <f t="shared" si="357"/>
        <v>0</v>
      </c>
      <c r="AI314" s="19"/>
      <c r="AJ314" s="19">
        <f t="shared" si="358"/>
        <v>0</v>
      </c>
      <c r="AK314" s="19">
        <f t="shared" si="359"/>
        <v>2800582.66</v>
      </c>
      <c r="AL314" s="15" t="str">
        <f t="shared" si="360"/>
        <v>ok</v>
      </c>
    </row>
    <row r="315" spans="1:38" x14ac:dyDescent="0.3">
      <c r="A315" s="2">
        <v>562</v>
      </c>
      <c r="B315" s="2" t="s">
        <v>193</v>
      </c>
      <c r="C315" s="2" t="s">
        <v>381</v>
      </c>
      <c r="D315" s="2" t="s">
        <v>30</v>
      </c>
      <c r="F315" s="43">
        <v>1179373.3700000001</v>
      </c>
      <c r="G315" s="18"/>
      <c r="H315" s="19">
        <f t="shared" si="335"/>
        <v>0</v>
      </c>
      <c r="I315" s="19">
        <f t="shared" si="336"/>
        <v>0</v>
      </c>
      <c r="J315" s="19">
        <f t="shared" si="337"/>
        <v>0</v>
      </c>
      <c r="K315" s="19">
        <f t="shared" si="338"/>
        <v>0</v>
      </c>
      <c r="L315" s="19">
        <f t="shared" si="339"/>
        <v>2824.1679480073817</v>
      </c>
      <c r="M315" s="19">
        <f t="shared" si="340"/>
        <v>1176549.2020519928</v>
      </c>
      <c r="N315" s="19"/>
      <c r="O315" s="19">
        <f t="shared" si="341"/>
        <v>0</v>
      </c>
      <c r="P315" s="19">
        <f t="shared" si="342"/>
        <v>0</v>
      </c>
      <c r="Q315" s="19">
        <f t="shared" si="343"/>
        <v>0</v>
      </c>
      <c r="R315" s="19"/>
      <c r="S315" s="19">
        <f t="shared" si="344"/>
        <v>0</v>
      </c>
      <c r="T315" s="19">
        <f t="shared" si="345"/>
        <v>0</v>
      </c>
      <c r="U315" s="19">
        <f t="shared" si="346"/>
        <v>0</v>
      </c>
      <c r="V315" s="19">
        <f t="shared" si="347"/>
        <v>0</v>
      </c>
      <c r="W315" s="19">
        <f t="shared" si="348"/>
        <v>0</v>
      </c>
      <c r="X315" s="19">
        <f t="shared" si="349"/>
        <v>0</v>
      </c>
      <c r="Y315" s="19">
        <f t="shared" si="350"/>
        <v>0</v>
      </c>
      <c r="Z315" s="19">
        <f t="shared" si="351"/>
        <v>0</v>
      </c>
      <c r="AA315" s="19">
        <f t="shared" si="352"/>
        <v>0</v>
      </c>
      <c r="AB315" s="19">
        <f t="shared" si="353"/>
        <v>0</v>
      </c>
      <c r="AC315" s="19">
        <f t="shared" si="354"/>
        <v>0</v>
      </c>
      <c r="AD315" s="19">
        <f t="shared" si="355"/>
        <v>0</v>
      </c>
      <c r="AE315" s="19"/>
      <c r="AF315" s="19">
        <f t="shared" si="356"/>
        <v>0</v>
      </c>
      <c r="AG315" s="19"/>
      <c r="AH315" s="19">
        <f t="shared" si="357"/>
        <v>0</v>
      </c>
      <c r="AI315" s="19"/>
      <c r="AJ315" s="19">
        <f t="shared" si="358"/>
        <v>0</v>
      </c>
      <c r="AK315" s="19">
        <f t="shared" si="359"/>
        <v>1179373.3700000001</v>
      </c>
      <c r="AL315" s="15" t="str">
        <f t="shared" si="360"/>
        <v>ok</v>
      </c>
    </row>
    <row r="316" spans="1:38" x14ac:dyDescent="0.3">
      <c r="A316" s="2">
        <v>563</v>
      </c>
      <c r="B316" s="2" t="s">
        <v>195</v>
      </c>
      <c r="C316" s="2" t="s">
        <v>382</v>
      </c>
      <c r="D316" s="2" t="s">
        <v>30</v>
      </c>
      <c r="F316" s="43">
        <v>764466.09</v>
      </c>
      <c r="G316" s="18"/>
      <c r="H316" s="19">
        <f t="shared" si="335"/>
        <v>0</v>
      </c>
      <c r="I316" s="19">
        <f t="shared" si="336"/>
        <v>0</v>
      </c>
      <c r="J316" s="19">
        <f t="shared" si="337"/>
        <v>0</v>
      </c>
      <c r="K316" s="19">
        <f t="shared" si="338"/>
        <v>0</v>
      </c>
      <c r="L316" s="19">
        <f t="shared" si="339"/>
        <v>1830.616735662368</v>
      </c>
      <c r="M316" s="19">
        <f t="shared" si="340"/>
        <v>762635.47326433763</v>
      </c>
      <c r="N316" s="19"/>
      <c r="O316" s="19">
        <f t="shared" si="341"/>
        <v>0</v>
      </c>
      <c r="P316" s="19">
        <f t="shared" si="342"/>
        <v>0</v>
      </c>
      <c r="Q316" s="19">
        <f t="shared" si="343"/>
        <v>0</v>
      </c>
      <c r="R316" s="19"/>
      <c r="S316" s="19">
        <f t="shared" si="344"/>
        <v>0</v>
      </c>
      <c r="T316" s="19">
        <f t="shared" si="345"/>
        <v>0</v>
      </c>
      <c r="U316" s="19">
        <f t="shared" si="346"/>
        <v>0</v>
      </c>
      <c r="V316" s="19">
        <f t="shared" si="347"/>
        <v>0</v>
      </c>
      <c r="W316" s="19">
        <f t="shared" si="348"/>
        <v>0</v>
      </c>
      <c r="X316" s="19">
        <f t="shared" si="349"/>
        <v>0</v>
      </c>
      <c r="Y316" s="19">
        <f t="shared" si="350"/>
        <v>0</v>
      </c>
      <c r="Z316" s="19">
        <f t="shared" si="351"/>
        <v>0</v>
      </c>
      <c r="AA316" s="19">
        <f t="shared" si="352"/>
        <v>0</v>
      </c>
      <c r="AB316" s="19">
        <f t="shared" si="353"/>
        <v>0</v>
      </c>
      <c r="AC316" s="19">
        <f t="shared" si="354"/>
        <v>0</v>
      </c>
      <c r="AD316" s="19">
        <f t="shared" si="355"/>
        <v>0</v>
      </c>
      <c r="AE316" s="19"/>
      <c r="AF316" s="19">
        <f t="shared" si="356"/>
        <v>0</v>
      </c>
      <c r="AG316" s="19"/>
      <c r="AH316" s="19">
        <f t="shared" si="357"/>
        <v>0</v>
      </c>
      <c r="AI316" s="19"/>
      <c r="AJ316" s="19">
        <f t="shared" si="358"/>
        <v>0</v>
      </c>
      <c r="AK316" s="19">
        <f t="shared" si="359"/>
        <v>764466.09</v>
      </c>
      <c r="AL316" s="15" t="str">
        <f t="shared" si="360"/>
        <v>ok</v>
      </c>
    </row>
    <row r="317" spans="1:38" x14ac:dyDescent="0.3">
      <c r="A317" s="2">
        <v>565</v>
      </c>
      <c r="B317" s="2" t="s">
        <v>197</v>
      </c>
      <c r="C317" s="2" t="s">
        <v>383</v>
      </c>
      <c r="D317" s="2" t="s">
        <v>30</v>
      </c>
      <c r="F317" s="43">
        <v>0</v>
      </c>
      <c r="G317" s="18"/>
      <c r="H317" s="19">
        <f t="shared" si="335"/>
        <v>0</v>
      </c>
      <c r="I317" s="19">
        <f t="shared" si="336"/>
        <v>0</v>
      </c>
      <c r="J317" s="19">
        <f t="shared" si="337"/>
        <v>0</v>
      </c>
      <c r="K317" s="19">
        <f t="shared" si="338"/>
        <v>0</v>
      </c>
      <c r="L317" s="19">
        <f t="shared" si="339"/>
        <v>0</v>
      </c>
      <c r="M317" s="19">
        <f t="shared" si="340"/>
        <v>0</v>
      </c>
      <c r="N317" s="19"/>
      <c r="O317" s="19">
        <f t="shared" si="341"/>
        <v>0</v>
      </c>
      <c r="P317" s="19">
        <f t="shared" si="342"/>
        <v>0</v>
      </c>
      <c r="Q317" s="19">
        <f t="shared" si="343"/>
        <v>0</v>
      </c>
      <c r="R317" s="19"/>
      <c r="S317" s="19">
        <f t="shared" si="344"/>
        <v>0</v>
      </c>
      <c r="T317" s="19">
        <f t="shared" si="345"/>
        <v>0</v>
      </c>
      <c r="U317" s="19">
        <f t="shared" si="346"/>
        <v>0</v>
      </c>
      <c r="V317" s="19">
        <f t="shared" si="347"/>
        <v>0</v>
      </c>
      <c r="W317" s="19">
        <f t="shared" si="348"/>
        <v>0</v>
      </c>
      <c r="X317" s="19">
        <f t="shared" si="349"/>
        <v>0</v>
      </c>
      <c r="Y317" s="19">
        <f t="shared" si="350"/>
        <v>0</v>
      </c>
      <c r="Z317" s="19">
        <f t="shared" si="351"/>
        <v>0</v>
      </c>
      <c r="AA317" s="19">
        <f t="shared" si="352"/>
        <v>0</v>
      </c>
      <c r="AB317" s="19">
        <f t="shared" si="353"/>
        <v>0</v>
      </c>
      <c r="AC317" s="19">
        <f t="shared" si="354"/>
        <v>0</v>
      </c>
      <c r="AD317" s="19">
        <f t="shared" si="355"/>
        <v>0</v>
      </c>
      <c r="AE317" s="19"/>
      <c r="AF317" s="19">
        <f t="shared" si="356"/>
        <v>0</v>
      </c>
      <c r="AG317" s="19"/>
      <c r="AH317" s="19">
        <f t="shared" si="357"/>
        <v>0</v>
      </c>
      <c r="AI317" s="19"/>
      <c r="AJ317" s="19">
        <f t="shared" si="358"/>
        <v>0</v>
      </c>
      <c r="AK317" s="19">
        <f>SUM(H317:AJ317)</f>
        <v>0</v>
      </c>
      <c r="AL317" s="15" t="str">
        <f>IF(ABS(AK317-F317)&lt;1,"ok","err")</f>
        <v>ok</v>
      </c>
    </row>
    <row r="318" spans="1:38" x14ac:dyDescent="0.3">
      <c r="A318" s="2">
        <v>566</v>
      </c>
      <c r="B318" s="2" t="s">
        <v>199</v>
      </c>
      <c r="C318" s="2" t="s">
        <v>384</v>
      </c>
      <c r="D318" s="2" t="s">
        <v>30</v>
      </c>
      <c r="F318" s="43">
        <v>216933.12</v>
      </c>
      <c r="G318" s="18"/>
      <c r="H318" s="19">
        <f t="shared" si="335"/>
        <v>0</v>
      </c>
      <c r="I318" s="19">
        <f t="shared" si="336"/>
        <v>0</v>
      </c>
      <c r="J318" s="19">
        <f t="shared" si="337"/>
        <v>0</v>
      </c>
      <c r="K318" s="19">
        <f t="shared" si="338"/>
        <v>0</v>
      </c>
      <c r="L318" s="19">
        <f t="shared" si="339"/>
        <v>519.47549431715504</v>
      </c>
      <c r="M318" s="19">
        <f t="shared" si="340"/>
        <v>216413.64450568284</v>
      </c>
      <c r="N318" s="19"/>
      <c r="O318" s="19">
        <f t="shared" si="341"/>
        <v>0</v>
      </c>
      <c r="P318" s="19">
        <f t="shared" si="342"/>
        <v>0</v>
      </c>
      <c r="Q318" s="19">
        <f t="shared" si="343"/>
        <v>0</v>
      </c>
      <c r="R318" s="19"/>
      <c r="S318" s="19">
        <f t="shared" si="344"/>
        <v>0</v>
      </c>
      <c r="T318" s="19">
        <f t="shared" si="345"/>
        <v>0</v>
      </c>
      <c r="U318" s="19">
        <f t="shared" si="346"/>
        <v>0</v>
      </c>
      <c r="V318" s="19">
        <f t="shared" si="347"/>
        <v>0</v>
      </c>
      <c r="W318" s="19">
        <f t="shared" si="348"/>
        <v>0</v>
      </c>
      <c r="X318" s="19">
        <f t="shared" si="349"/>
        <v>0</v>
      </c>
      <c r="Y318" s="19">
        <f t="shared" si="350"/>
        <v>0</v>
      </c>
      <c r="Z318" s="19">
        <f t="shared" si="351"/>
        <v>0</v>
      </c>
      <c r="AA318" s="19">
        <f t="shared" si="352"/>
        <v>0</v>
      </c>
      <c r="AB318" s="19">
        <f t="shared" si="353"/>
        <v>0</v>
      </c>
      <c r="AC318" s="19">
        <f t="shared" si="354"/>
        <v>0</v>
      </c>
      <c r="AD318" s="19">
        <f t="shared" si="355"/>
        <v>0</v>
      </c>
      <c r="AE318" s="19"/>
      <c r="AF318" s="19">
        <f t="shared" si="356"/>
        <v>0</v>
      </c>
      <c r="AG318" s="19"/>
      <c r="AH318" s="19">
        <f t="shared" si="357"/>
        <v>0</v>
      </c>
      <c r="AI318" s="19"/>
      <c r="AJ318" s="19">
        <f t="shared" si="358"/>
        <v>0</v>
      </c>
      <c r="AK318" s="19">
        <f t="shared" si="359"/>
        <v>216933.12</v>
      </c>
      <c r="AL318" s="15" t="str">
        <f t="shared" si="360"/>
        <v>ok</v>
      </c>
    </row>
    <row r="319" spans="1:38" x14ac:dyDescent="0.3">
      <c r="A319" s="2">
        <v>567</v>
      </c>
      <c r="B319" s="2" t="s">
        <v>129</v>
      </c>
      <c r="C319" s="2" t="s">
        <v>385</v>
      </c>
      <c r="D319" s="2" t="s">
        <v>30</v>
      </c>
      <c r="F319" s="43">
        <v>0</v>
      </c>
      <c r="G319" s="18"/>
      <c r="H319" s="19">
        <f t="shared" si="335"/>
        <v>0</v>
      </c>
      <c r="I319" s="19">
        <f t="shared" si="336"/>
        <v>0</v>
      </c>
      <c r="J319" s="19">
        <f t="shared" si="337"/>
        <v>0</v>
      </c>
      <c r="K319" s="19">
        <f t="shared" si="338"/>
        <v>0</v>
      </c>
      <c r="L319" s="19">
        <f t="shared" si="339"/>
        <v>0</v>
      </c>
      <c r="M319" s="19">
        <f t="shared" si="340"/>
        <v>0</v>
      </c>
      <c r="N319" s="19"/>
      <c r="O319" s="19">
        <f t="shared" si="341"/>
        <v>0</v>
      </c>
      <c r="P319" s="19">
        <f t="shared" si="342"/>
        <v>0</v>
      </c>
      <c r="Q319" s="19">
        <f t="shared" si="343"/>
        <v>0</v>
      </c>
      <c r="R319" s="19"/>
      <c r="S319" s="19">
        <f t="shared" si="344"/>
        <v>0</v>
      </c>
      <c r="T319" s="19">
        <f t="shared" si="345"/>
        <v>0</v>
      </c>
      <c r="U319" s="19">
        <f t="shared" si="346"/>
        <v>0</v>
      </c>
      <c r="V319" s="19">
        <f t="shared" si="347"/>
        <v>0</v>
      </c>
      <c r="W319" s="19">
        <f t="shared" si="348"/>
        <v>0</v>
      </c>
      <c r="X319" s="19">
        <f t="shared" si="349"/>
        <v>0</v>
      </c>
      <c r="Y319" s="19">
        <f t="shared" si="350"/>
        <v>0</v>
      </c>
      <c r="Z319" s="19">
        <f t="shared" si="351"/>
        <v>0</v>
      </c>
      <c r="AA319" s="19">
        <f t="shared" si="352"/>
        <v>0</v>
      </c>
      <c r="AB319" s="19">
        <f t="shared" si="353"/>
        <v>0</v>
      </c>
      <c r="AC319" s="19">
        <f t="shared" si="354"/>
        <v>0</v>
      </c>
      <c r="AD319" s="19">
        <f t="shared" si="355"/>
        <v>0</v>
      </c>
      <c r="AE319" s="19"/>
      <c r="AF319" s="19">
        <f t="shared" si="356"/>
        <v>0</v>
      </c>
      <c r="AG319" s="19"/>
      <c r="AH319" s="19">
        <f t="shared" si="357"/>
        <v>0</v>
      </c>
      <c r="AI319" s="19"/>
      <c r="AJ319" s="19">
        <f t="shared" si="358"/>
        <v>0</v>
      </c>
      <c r="AK319" s="19">
        <f>SUM(H319:AJ319)</f>
        <v>0</v>
      </c>
      <c r="AL319" s="15" t="str">
        <f>IF(ABS(AK319-F319)&lt;1,"ok","err")</f>
        <v>ok</v>
      </c>
    </row>
    <row r="320" spans="1:38" x14ac:dyDescent="0.3">
      <c r="A320" s="2">
        <v>568</v>
      </c>
      <c r="B320" s="2" t="s">
        <v>202</v>
      </c>
      <c r="C320" s="2" t="s">
        <v>386</v>
      </c>
      <c r="D320" s="2" t="s">
        <v>30</v>
      </c>
      <c r="F320" s="43">
        <v>179296.01</v>
      </c>
      <c r="G320" s="18"/>
      <c r="H320" s="19">
        <f t="shared" si="335"/>
        <v>0</v>
      </c>
      <c r="I320" s="19">
        <f t="shared" si="336"/>
        <v>0</v>
      </c>
      <c r="J320" s="19">
        <f t="shared" si="337"/>
        <v>0</v>
      </c>
      <c r="K320" s="19">
        <f t="shared" si="338"/>
        <v>0</v>
      </c>
      <c r="L320" s="19">
        <f t="shared" si="339"/>
        <v>429.34837900198727</v>
      </c>
      <c r="M320" s="19">
        <f t="shared" si="340"/>
        <v>178866.66162099803</v>
      </c>
      <c r="N320" s="19"/>
      <c r="O320" s="19">
        <f t="shared" si="341"/>
        <v>0</v>
      </c>
      <c r="P320" s="19">
        <f t="shared" si="342"/>
        <v>0</v>
      </c>
      <c r="Q320" s="19">
        <f t="shared" si="343"/>
        <v>0</v>
      </c>
      <c r="R320" s="19"/>
      <c r="S320" s="19">
        <f t="shared" si="344"/>
        <v>0</v>
      </c>
      <c r="T320" s="19">
        <f t="shared" si="345"/>
        <v>0</v>
      </c>
      <c r="U320" s="19">
        <f t="shared" si="346"/>
        <v>0</v>
      </c>
      <c r="V320" s="19">
        <f t="shared" si="347"/>
        <v>0</v>
      </c>
      <c r="W320" s="19">
        <f t="shared" si="348"/>
        <v>0</v>
      </c>
      <c r="X320" s="19">
        <f t="shared" si="349"/>
        <v>0</v>
      </c>
      <c r="Y320" s="19">
        <f t="shared" si="350"/>
        <v>0</v>
      </c>
      <c r="Z320" s="19">
        <f t="shared" si="351"/>
        <v>0</v>
      </c>
      <c r="AA320" s="19">
        <f t="shared" si="352"/>
        <v>0</v>
      </c>
      <c r="AB320" s="19">
        <f t="shared" si="353"/>
        <v>0</v>
      </c>
      <c r="AC320" s="19">
        <f t="shared" si="354"/>
        <v>0</v>
      </c>
      <c r="AD320" s="19">
        <f t="shared" si="355"/>
        <v>0</v>
      </c>
      <c r="AE320" s="19"/>
      <c r="AF320" s="19">
        <f t="shared" si="356"/>
        <v>0</v>
      </c>
      <c r="AG320" s="19"/>
      <c r="AH320" s="19">
        <f t="shared" si="357"/>
        <v>0</v>
      </c>
      <c r="AI320" s="19"/>
      <c r="AJ320" s="19">
        <f t="shared" si="358"/>
        <v>0</v>
      </c>
      <c r="AK320" s="19">
        <f>SUM(H320:AJ320)</f>
        <v>179296.01</v>
      </c>
      <c r="AL320" s="15" t="str">
        <f>IF(ABS(AK320-F320)&lt;1,"ok","err")</f>
        <v>ok</v>
      </c>
    </row>
    <row r="321" spans="1:38" x14ac:dyDescent="0.3">
      <c r="A321" s="2">
        <v>569</v>
      </c>
      <c r="B321" s="2" t="s">
        <v>387</v>
      </c>
      <c r="C321" s="2" t="s">
        <v>388</v>
      </c>
      <c r="D321" s="2" t="s">
        <v>30</v>
      </c>
      <c r="F321" s="43">
        <v>0</v>
      </c>
      <c r="G321" s="18"/>
      <c r="H321" s="19">
        <f t="shared" si="335"/>
        <v>0</v>
      </c>
      <c r="I321" s="19">
        <f t="shared" si="336"/>
        <v>0</v>
      </c>
      <c r="J321" s="19">
        <f t="shared" si="337"/>
        <v>0</v>
      </c>
      <c r="K321" s="19">
        <f t="shared" si="338"/>
        <v>0</v>
      </c>
      <c r="L321" s="19">
        <f t="shared" si="339"/>
        <v>0</v>
      </c>
      <c r="M321" s="19">
        <f t="shared" si="340"/>
        <v>0</v>
      </c>
      <c r="N321" s="19"/>
      <c r="O321" s="19">
        <f t="shared" si="341"/>
        <v>0</v>
      </c>
      <c r="P321" s="19">
        <f t="shared" si="342"/>
        <v>0</v>
      </c>
      <c r="Q321" s="19">
        <f t="shared" si="343"/>
        <v>0</v>
      </c>
      <c r="R321" s="19"/>
      <c r="S321" s="19">
        <f t="shared" si="344"/>
        <v>0</v>
      </c>
      <c r="T321" s="19">
        <f t="shared" si="345"/>
        <v>0</v>
      </c>
      <c r="U321" s="19">
        <f t="shared" si="346"/>
        <v>0</v>
      </c>
      <c r="V321" s="19">
        <f t="shared" si="347"/>
        <v>0</v>
      </c>
      <c r="W321" s="19">
        <f t="shared" si="348"/>
        <v>0</v>
      </c>
      <c r="X321" s="19">
        <f t="shared" si="349"/>
        <v>0</v>
      </c>
      <c r="Y321" s="19">
        <f t="shared" si="350"/>
        <v>0</v>
      </c>
      <c r="Z321" s="19">
        <f t="shared" si="351"/>
        <v>0</v>
      </c>
      <c r="AA321" s="19">
        <f t="shared" si="352"/>
        <v>0</v>
      </c>
      <c r="AB321" s="19">
        <f t="shared" si="353"/>
        <v>0</v>
      </c>
      <c r="AC321" s="19">
        <f t="shared" si="354"/>
        <v>0</v>
      </c>
      <c r="AD321" s="19">
        <f t="shared" si="355"/>
        <v>0</v>
      </c>
      <c r="AE321" s="19"/>
      <c r="AF321" s="19">
        <f t="shared" si="356"/>
        <v>0</v>
      </c>
      <c r="AG321" s="19"/>
      <c r="AH321" s="19">
        <f t="shared" si="357"/>
        <v>0</v>
      </c>
      <c r="AI321" s="19"/>
      <c r="AJ321" s="19">
        <f t="shared" si="358"/>
        <v>0</v>
      </c>
      <c r="AK321" s="19">
        <f t="shared" si="359"/>
        <v>0</v>
      </c>
      <c r="AL321" s="15" t="str">
        <f t="shared" si="360"/>
        <v>ok</v>
      </c>
    </row>
    <row r="322" spans="1:38" x14ac:dyDescent="0.3">
      <c r="A322" s="2">
        <v>570</v>
      </c>
      <c r="B322" s="2" t="s">
        <v>206</v>
      </c>
      <c r="C322" s="2" t="s">
        <v>389</v>
      </c>
      <c r="D322" s="2" t="s">
        <v>30</v>
      </c>
      <c r="F322" s="43">
        <v>621165.18000000005</v>
      </c>
      <c r="G322" s="18"/>
      <c r="H322" s="19">
        <f t="shared" si="335"/>
        <v>0</v>
      </c>
      <c r="I322" s="19">
        <f t="shared" si="336"/>
        <v>0</v>
      </c>
      <c r="J322" s="19">
        <f t="shared" si="337"/>
        <v>0</v>
      </c>
      <c r="K322" s="19">
        <f t="shared" si="338"/>
        <v>0</v>
      </c>
      <c r="L322" s="19">
        <f t="shared" si="339"/>
        <v>1487.4634584756104</v>
      </c>
      <c r="M322" s="19">
        <f t="shared" si="340"/>
        <v>619677.71654152451</v>
      </c>
      <c r="N322" s="19"/>
      <c r="O322" s="19">
        <f t="shared" si="341"/>
        <v>0</v>
      </c>
      <c r="P322" s="19">
        <f t="shared" si="342"/>
        <v>0</v>
      </c>
      <c r="Q322" s="19">
        <f t="shared" si="343"/>
        <v>0</v>
      </c>
      <c r="R322" s="19"/>
      <c r="S322" s="19">
        <f t="shared" si="344"/>
        <v>0</v>
      </c>
      <c r="T322" s="19">
        <f t="shared" si="345"/>
        <v>0</v>
      </c>
      <c r="U322" s="19">
        <f t="shared" si="346"/>
        <v>0</v>
      </c>
      <c r="V322" s="19">
        <f t="shared" si="347"/>
        <v>0</v>
      </c>
      <c r="W322" s="19">
        <f t="shared" si="348"/>
        <v>0</v>
      </c>
      <c r="X322" s="19">
        <f t="shared" si="349"/>
        <v>0</v>
      </c>
      <c r="Y322" s="19">
        <f t="shared" si="350"/>
        <v>0</v>
      </c>
      <c r="Z322" s="19">
        <f t="shared" si="351"/>
        <v>0</v>
      </c>
      <c r="AA322" s="19">
        <f t="shared" si="352"/>
        <v>0</v>
      </c>
      <c r="AB322" s="19">
        <f t="shared" si="353"/>
        <v>0</v>
      </c>
      <c r="AC322" s="19">
        <f t="shared" si="354"/>
        <v>0</v>
      </c>
      <c r="AD322" s="19">
        <f t="shared" si="355"/>
        <v>0</v>
      </c>
      <c r="AE322" s="19"/>
      <c r="AF322" s="19">
        <f t="shared" si="356"/>
        <v>0</v>
      </c>
      <c r="AG322" s="19"/>
      <c r="AH322" s="19">
        <f t="shared" si="357"/>
        <v>0</v>
      </c>
      <c r="AI322" s="19"/>
      <c r="AJ322" s="19">
        <f t="shared" si="358"/>
        <v>0</v>
      </c>
      <c r="AK322" s="19">
        <f t="shared" si="359"/>
        <v>621165.18000000017</v>
      </c>
      <c r="AL322" s="15" t="str">
        <f t="shared" si="360"/>
        <v>ok</v>
      </c>
    </row>
    <row r="323" spans="1:38" x14ac:dyDescent="0.3">
      <c r="A323" s="2">
        <v>571</v>
      </c>
      <c r="B323" s="2" t="s">
        <v>208</v>
      </c>
      <c r="C323" s="2" t="s">
        <v>390</v>
      </c>
      <c r="D323" s="2" t="s">
        <v>30</v>
      </c>
      <c r="F323" s="43">
        <v>1237197.78</v>
      </c>
      <c r="G323" s="18"/>
      <c r="H323" s="19">
        <f t="shared" si="335"/>
        <v>0</v>
      </c>
      <c r="I323" s="19">
        <f t="shared" si="336"/>
        <v>0</v>
      </c>
      <c r="J323" s="19">
        <f t="shared" si="337"/>
        <v>0</v>
      </c>
      <c r="K323" s="19">
        <f t="shared" si="338"/>
        <v>0</v>
      </c>
      <c r="L323" s="19">
        <f t="shared" si="339"/>
        <v>2962.6362647325909</v>
      </c>
      <c r="M323" s="19">
        <f t="shared" si="340"/>
        <v>1234235.1437352675</v>
      </c>
      <c r="N323" s="19"/>
      <c r="O323" s="19">
        <f t="shared" si="341"/>
        <v>0</v>
      </c>
      <c r="P323" s="19">
        <f t="shared" si="342"/>
        <v>0</v>
      </c>
      <c r="Q323" s="19">
        <f t="shared" si="343"/>
        <v>0</v>
      </c>
      <c r="R323" s="19"/>
      <c r="S323" s="19">
        <f t="shared" si="344"/>
        <v>0</v>
      </c>
      <c r="T323" s="19">
        <f t="shared" si="345"/>
        <v>0</v>
      </c>
      <c r="U323" s="19">
        <f t="shared" si="346"/>
        <v>0</v>
      </c>
      <c r="V323" s="19">
        <f t="shared" si="347"/>
        <v>0</v>
      </c>
      <c r="W323" s="19">
        <f t="shared" si="348"/>
        <v>0</v>
      </c>
      <c r="X323" s="19">
        <f t="shared" si="349"/>
        <v>0</v>
      </c>
      <c r="Y323" s="19">
        <f t="shared" si="350"/>
        <v>0</v>
      </c>
      <c r="Z323" s="19">
        <f t="shared" si="351"/>
        <v>0</v>
      </c>
      <c r="AA323" s="19">
        <f t="shared" si="352"/>
        <v>0</v>
      </c>
      <c r="AB323" s="19">
        <f t="shared" si="353"/>
        <v>0</v>
      </c>
      <c r="AC323" s="19">
        <f t="shared" si="354"/>
        <v>0</v>
      </c>
      <c r="AD323" s="19">
        <f t="shared" si="355"/>
        <v>0</v>
      </c>
      <c r="AE323" s="19"/>
      <c r="AF323" s="19">
        <f t="shared" si="356"/>
        <v>0</v>
      </c>
      <c r="AG323" s="19"/>
      <c r="AH323" s="19">
        <f t="shared" si="357"/>
        <v>0</v>
      </c>
      <c r="AI323" s="19"/>
      <c r="AJ323" s="19">
        <f t="shared" si="358"/>
        <v>0</v>
      </c>
      <c r="AK323" s="19">
        <f t="shared" si="359"/>
        <v>1237197.78</v>
      </c>
      <c r="AL323" s="15" t="str">
        <f t="shared" si="360"/>
        <v>ok</v>
      </c>
    </row>
    <row r="324" spans="1:38" x14ac:dyDescent="0.3">
      <c r="A324" s="2">
        <v>573</v>
      </c>
      <c r="B324" s="2" t="s">
        <v>391</v>
      </c>
      <c r="C324" s="2" t="s">
        <v>392</v>
      </c>
      <c r="D324" s="2" t="s">
        <v>30</v>
      </c>
      <c r="F324" s="43">
        <v>0</v>
      </c>
      <c r="G324" s="18"/>
      <c r="H324" s="19">
        <f t="shared" si="335"/>
        <v>0</v>
      </c>
      <c r="I324" s="19">
        <f t="shared" si="336"/>
        <v>0</v>
      </c>
      <c r="J324" s="19">
        <f t="shared" si="337"/>
        <v>0</v>
      </c>
      <c r="K324" s="19">
        <f t="shared" si="338"/>
        <v>0</v>
      </c>
      <c r="L324" s="19">
        <f t="shared" si="339"/>
        <v>0</v>
      </c>
      <c r="M324" s="19">
        <f t="shared" si="340"/>
        <v>0</v>
      </c>
      <c r="N324" s="19"/>
      <c r="O324" s="19">
        <f t="shared" si="341"/>
        <v>0</v>
      </c>
      <c r="P324" s="19">
        <f t="shared" si="342"/>
        <v>0</v>
      </c>
      <c r="Q324" s="19">
        <f t="shared" si="343"/>
        <v>0</v>
      </c>
      <c r="R324" s="19"/>
      <c r="S324" s="19">
        <f t="shared" si="344"/>
        <v>0</v>
      </c>
      <c r="T324" s="19">
        <f t="shared" si="345"/>
        <v>0</v>
      </c>
      <c r="U324" s="19">
        <f t="shared" si="346"/>
        <v>0</v>
      </c>
      <c r="V324" s="19">
        <f t="shared" si="347"/>
        <v>0</v>
      </c>
      <c r="W324" s="19">
        <f t="shared" si="348"/>
        <v>0</v>
      </c>
      <c r="X324" s="19">
        <f t="shared" si="349"/>
        <v>0</v>
      </c>
      <c r="Y324" s="19">
        <f t="shared" si="350"/>
        <v>0</v>
      </c>
      <c r="Z324" s="19">
        <f t="shared" si="351"/>
        <v>0</v>
      </c>
      <c r="AA324" s="19">
        <f t="shared" si="352"/>
        <v>0</v>
      </c>
      <c r="AB324" s="19">
        <f t="shared" si="353"/>
        <v>0</v>
      </c>
      <c r="AC324" s="19">
        <f t="shared" si="354"/>
        <v>0</v>
      </c>
      <c r="AD324" s="19">
        <f t="shared" si="355"/>
        <v>0</v>
      </c>
      <c r="AE324" s="19"/>
      <c r="AF324" s="19">
        <f t="shared" si="356"/>
        <v>0</v>
      </c>
      <c r="AG324" s="19"/>
      <c r="AH324" s="19">
        <f t="shared" si="357"/>
        <v>0</v>
      </c>
      <c r="AI324" s="19"/>
      <c r="AJ324" s="19">
        <f t="shared" si="358"/>
        <v>0</v>
      </c>
      <c r="AK324" s="19">
        <f>SUM(H324:AJ324)</f>
        <v>0</v>
      </c>
      <c r="AL324" s="15" t="str">
        <f>IF(ABS(AK324-F324)&lt;1,"ok","err")</f>
        <v>ok</v>
      </c>
    </row>
    <row r="325" spans="1:38" x14ac:dyDescent="0.3">
      <c r="F325" s="44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9"/>
      <c r="AL325" s="15"/>
    </row>
    <row r="326" spans="1:38" x14ac:dyDescent="0.3">
      <c r="A326" s="2" t="s">
        <v>393</v>
      </c>
      <c r="C326" s="2" t="s">
        <v>190</v>
      </c>
      <c r="F326" s="20">
        <f>SUM(F313:F325)</f>
        <v>13849131.639999999</v>
      </c>
      <c r="G326" s="20">
        <f>SUM(G313:G323)</f>
        <v>0</v>
      </c>
      <c r="H326" s="20">
        <f t="shared" ref="H326:M326" si="361">SUM(H313:H325)</f>
        <v>0</v>
      </c>
      <c r="I326" s="20">
        <f t="shared" si="361"/>
        <v>0</v>
      </c>
      <c r="J326" s="20">
        <f t="shared" si="361"/>
        <v>0</v>
      </c>
      <c r="K326" s="20">
        <f t="shared" si="361"/>
        <v>0</v>
      </c>
      <c r="L326" s="20">
        <f t="shared" si="361"/>
        <v>33163.605928649129</v>
      </c>
      <c r="M326" s="20">
        <f t="shared" si="361"/>
        <v>13815968.034071354</v>
      </c>
      <c r="N326" s="19"/>
      <c r="O326" s="20">
        <f>SUM(O313:O325)</f>
        <v>0</v>
      </c>
      <c r="P326" s="20">
        <f>SUM(P313:P325)</f>
        <v>0</v>
      </c>
      <c r="Q326" s="20">
        <f>SUM(Q313:Q325)</f>
        <v>0</v>
      </c>
      <c r="R326" s="19"/>
      <c r="S326" s="20">
        <f t="shared" ref="S326:AD326" si="362">SUM(S313:S325)</f>
        <v>0</v>
      </c>
      <c r="T326" s="20">
        <f t="shared" si="362"/>
        <v>0</v>
      </c>
      <c r="U326" s="20">
        <f t="shared" si="362"/>
        <v>0</v>
      </c>
      <c r="V326" s="20">
        <f t="shared" si="362"/>
        <v>0</v>
      </c>
      <c r="W326" s="20">
        <f t="shared" si="362"/>
        <v>0</v>
      </c>
      <c r="X326" s="20">
        <f t="shared" si="362"/>
        <v>0</v>
      </c>
      <c r="Y326" s="20">
        <f t="shared" si="362"/>
        <v>0</v>
      </c>
      <c r="Z326" s="20">
        <f t="shared" si="362"/>
        <v>0</v>
      </c>
      <c r="AA326" s="20">
        <f t="shared" si="362"/>
        <v>0</v>
      </c>
      <c r="AB326" s="20">
        <f t="shared" si="362"/>
        <v>0</v>
      </c>
      <c r="AC326" s="20">
        <f t="shared" si="362"/>
        <v>0</v>
      </c>
      <c r="AD326" s="20">
        <f t="shared" si="362"/>
        <v>0</v>
      </c>
      <c r="AE326" s="19"/>
      <c r="AF326" s="20">
        <f>SUM(AF313:AF325)</f>
        <v>0</v>
      </c>
      <c r="AG326" s="19"/>
      <c r="AH326" s="20">
        <f>SUM(AH313:AH325)</f>
        <v>0</v>
      </c>
      <c r="AI326" s="19"/>
      <c r="AJ326" s="20">
        <f>SUM(AJ313:AJ325)</f>
        <v>0</v>
      </c>
      <c r="AK326" s="18">
        <f>SUM(H326:AJ326)</f>
        <v>13849131.640000002</v>
      </c>
      <c r="AL326" s="15" t="str">
        <f>IF(ABS(AK326-F326)&lt;1,"ok","err")</f>
        <v>ok</v>
      </c>
    </row>
    <row r="327" spans="1:38" x14ac:dyDescent="0.3">
      <c r="Y327" s="2"/>
      <c r="AL327" s="15"/>
    </row>
    <row r="328" spans="1:38" x14ac:dyDescent="0.3">
      <c r="A328" s="3" t="s">
        <v>394</v>
      </c>
      <c r="Y328" s="2"/>
      <c r="AL328" s="15"/>
    </row>
    <row r="329" spans="1:38" x14ac:dyDescent="0.3">
      <c r="A329" s="2">
        <v>580</v>
      </c>
      <c r="B329" s="2" t="s">
        <v>218</v>
      </c>
      <c r="C329" s="2" t="s">
        <v>395</v>
      </c>
      <c r="D329" s="2" t="s">
        <v>396</v>
      </c>
      <c r="F329" s="44">
        <v>0</v>
      </c>
      <c r="H329" s="19">
        <f t="shared" ref="H329:H339" si="363">IF(VLOOKUP($D329,$C$5:$AJ$470,6,)=0,0,((VLOOKUP($D329,$C$5:$AJ$470,6,)/VLOOKUP($D329,$C$5:$AJ$470,4,))*$F329))</f>
        <v>0</v>
      </c>
      <c r="I329" s="19">
        <f t="shared" ref="I329:I339" si="364">IF(VLOOKUP($D329,$C$5:$AJ$470,7,)=0,0,((VLOOKUP($D329,$C$5:$AJ$470,7,)/VLOOKUP($D329,$C$5:$AJ$470,4,))*$F329))</f>
        <v>0</v>
      </c>
      <c r="J329" s="19">
        <f t="shared" ref="J329:J339" si="365">IF(VLOOKUP($D329,$C$5:$AJ$470,8,)=0,0,((VLOOKUP($D329,$C$5:$AJ$470,8,)/VLOOKUP($D329,$C$5:$AJ$470,4,))*$F329))</f>
        <v>0</v>
      </c>
      <c r="K329" s="19">
        <f t="shared" ref="K329:K339" si="366">IF(VLOOKUP($D329,$C$5:$AJ$470,9,)=0,0,((VLOOKUP($D329,$C$5:$AJ$470,9,)/VLOOKUP($D329,$C$5:$AJ$470,4,))*$F329))</f>
        <v>0</v>
      </c>
      <c r="L329" s="19">
        <f t="shared" ref="L329:L339" si="367">IF(VLOOKUP($D329,$C$5:$AJ$470,10,)=0,0,((VLOOKUP($D329,$C$5:$AJ$470,10,)/VLOOKUP($D329,$C$5:$AJ$470,4,))*$F329))</f>
        <v>0</v>
      </c>
      <c r="M329" s="19">
        <f t="shared" ref="M329:M339" si="368">IF(VLOOKUP($D329,$C$5:$AJ$470,11,)=0,0,((VLOOKUP($D329,$C$5:$AJ$470,11,)/VLOOKUP($D329,$C$5:$AJ$470,4,))*$F329))</f>
        <v>0</v>
      </c>
      <c r="N329" s="19"/>
      <c r="O329" s="19">
        <f t="shared" ref="O329:O339" si="369">IF(VLOOKUP($D329,$C$5:$AJ$470,13,)=0,0,((VLOOKUP($D329,$C$5:$AJ$470,13,)/VLOOKUP($D329,$C$5:$AJ$470,4,))*$F329))</f>
        <v>0</v>
      </c>
      <c r="P329" s="19">
        <f t="shared" ref="P329:P339" si="370">IF(VLOOKUP($D329,$C$5:$AJ$470,14,)=0,0,((VLOOKUP($D329,$C$5:$AJ$470,14,)/VLOOKUP($D329,$C$5:$AJ$470,4,))*$F329))</f>
        <v>0</v>
      </c>
      <c r="Q329" s="19">
        <f t="shared" ref="Q329:Q339" si="371">IF(VLOOKUP($D329,$C$5:$AJ$470,15,)=0,0,((VLOOKUP($D329,$C$5:$AJ$470,15,)/VLOOKUP($D329,$C$5:$AJ$470,4,))*$F329))</f>
        <v>0</v>
      </c>
      <c r="R329" s="19"/>
      <c r="S329" s="19">
        <f t="shared" ref="S329:S339" si="372">IF(VLOOKUP($D329,$C$5:$AJ$470,17,)=0,0,((VLOOKUP($D329,$C$5:$AJ$470,17,)/VLOOKUP($D329,$C$5:$AJ$470,4,))*$F329))</f>
        <v>0</v>
      </c>
      <c r="T329" s="19">
        <f t="shared" ref="T329:T339" si="373">IF(VLOOKUP($D329,$C$5:$AJ$470,18,)=0,0,((VLOOKUP($D329,$C$5:$AJ$470,18,)/VLOOKUP($D329,$C$5:$AJ$470,4,))*$F329))</f>
        <v>0</v>
      </c>
      <c r="U329" s="19">
        <f t="shared" ref="U329:U339" si="374">IF(VLOOKUP($D329,$C$5:$AJ$470,19,)=0,0,((VLOOKUP($D329,$C$5:$AJ$470,19,)/VLOOKUP($D329,$C$5:$AJ$470,4,))*$F329))</f>
        <v>0</v>
      </c>
      <c r="V329" s="19">
        <f t="shared" ref="V329:V339" si="375">IF(VLOOKUP($D329,$C$5:$AJ$470,20,)=0,0,((VLOOKUP($D329,$C$5:$AJ$470,20,)/VLOOKUP($D329,$C$5:$AJ$470,4,))*$F329))</f>
        <v>0</v>
      </c>
      <c r="W329" s="19">
        <f t="shared" ref="W329:W339" si="376">IF(VLOOKUP($D329,$C$5:$AJ$470,21,)=0,0,((VLOOKUP($D329,$C$5:$AJ$470,21,)/VLOOKUP($D329,$C$5:$AJ$470,4,))*$F329))</f>
        <v>0</v>
      </c>
      <c r="X329" s="19">
        <f t="shared" ref="X329:X339" si="377">IF(VLOOKUP($D329,$C$5:$AJ$470,22,)=0,0,((VLOOKUP($D329,$C$5:$AJ$470,22,)/VLOOKUP($D329,$C$5:$AJ$470,4,))*$F329))</f>
        <v>0</v>
      </c>
      <c r="Y329" s="19">
        <f t="shared" ref="Y329:Y339" si="378">IF(VLOOKUP($D329,$C$5:$AJ$470,23,)=0,0,((VLOOKUP($D329,$C$5:$AJ$470,23,)/VLOOKUP($D329,$C$5:$AJ$470,4,))*$F329))</f>
        <v>0</v>
      </c>
      <c r="Z329" s="19">
        <f t="shared" ref="Z329:Z339" si="379">IF(VLOOKUP($D329,$C$5:$AJ$470,24,)=0,0,((VLOOKUP($D329,$C$5:$AJ$470,24,)/VLOOKUP($D329,$C$5:$AJ$470,4,))*$F329))</f>
        <v>0</v>
      </c>
      <c r="AA329" s="19">
        <f t="shared" ref="AA329:AA339" si="380">IF(VLOOKUP($D329,$C$5:$AJ$470,25,)=0,0,((VLOOKUP($D329,$C$5:$AJ$470,25,)/VLOOKUP($D329,$C$5:$AJ$470,4,))*$F329))</f>
        <v>0</v>
      </c>
      <c r="AB329" s="19">
        <f t="shared" ref="AB329:AB339" si="381">IF(VLOOKUP($D329,$C$5:$AJ$470,26,)=0,0,((VLOOKUP($D329,$C$5:$AJ$470,26,)/VLOOKUP($D329,$C$5:$AJ$470,4,))*$F329))</f>
        <v>0</v>
      </c>
      <c r="AC329" s="19">
        <f t="shared" ref="AC329:AC339" si="382">IF(VLOOKUP($D329,$C$5:$AJ$470,27,)=0,0,((VLOOKUP($D329,$C$5:$AJ$470,27,)/VLOOKUP($D329,$C$5:$AJ$470,4,))*$F329))</f>
        <v>0</v>
      </c>
      <c r="AD329" s="19">
        <f t="shared" ref="AD329:AD339" si="383">IF(VLOOKUP($D329,$C$5:$AJ$470,28,)=0,0,((VLOOKUP($D329,$C$5:$AJ$470,28,)/VLOOKUP($D329,$C$5:$AJ$470,4,))*$F329))</f>
        <v>0</v>
      </c>
      <c r="AE329" s="19"/>
      <c r="AF329" s="19">
        <f t="shared" ref="AF329:AF339" si="384">IF(VLOOKUP($D329,$C$5:$AJ$470,30,)=0,0,((VLOOKUP($D329,$C$5:$AJ$470,30,)/VLOOKUP($D329,$C$5:$AJ$470,4,))*$F329))</f>
        <v>0</v>
      </c>
      <c r="AG329" s="19"/>
      <c r="AH329" s="19">
        <f t="shared" ref="AH329:AH339" si="385">IF(VLOOKUP($D329,$C$5:$AJ$470,32,)=0,0,((VLOOKUP($D329,$C$5:$AJ$470,32,)/VLOOKUP($D329,$C$5:$AJ$470,4,))*$F329))</f>
        <v>0</v>
      </c>
      <c r="AI329" s="19"/>
      <c r="AJ329" s="19">
        <f t="shared" ref="AJ329:AJ339" si="386">IF(VLOOKUP($D329,$C$5:$AJ$470,34,)=0,0,((VLOOKUP($D329,$C$5:$AJ$470,34,)/VLOOKUP($D329,$C$5:$AJ$470,4,))*$F329))</f>
        <v>0</v>
      </c>
      <c r="AK329" s="19">
        <f t="shared" ref="AK329:AK339" si="387">SUM(H329:AJ329)</f>
        <v>0</v>
      </c>
      <c r="AL329" s="15" t="str">
        <f t="shared" ref="AL329:AL339" si="388">IF(ABS(AK329-F329)&lt;1,"ok","err")</f>
        <v>ok</v>
      </c>
    </row>
    <row r="330" spans="1:38" x14ac:dyDescent="0.3">
      <c r="A330" s="2">
        <v>581</v>
      </c>
      <c r="B330" s="2" t="s">
        <v>191</v>
      </c>
      <c r="C330" s="2" t="s">
        <v>397</v>
      </c>
      <c r="D330" s="2" t="s">
        <v>222</v>
      </c>
      <c r="F330" s="43">
        <v>32238.54</v>
      </c>
      <c r="H330" s="19">
        <f t="shared" si="363"/>
        <v>0</v>
      </c>
      <c r="I330" s="19">
        <f t="shared" si="364"/>
        <v>0</v>
      </c>
      <c r="J330" s="19">
        <f t="shared" si="365"/>
        <v>0</v>
      </c>
      <c r="K330" s="19">
        <f t="shared" si="366"/>
        <v>0</v>
      </c>
      <c r="L330" s="19">
        <f t="shared" si="367"/>
        <v>0</v>
      </c>
      <c r="M330" s="19">
        <f t="shared" si="368"/>
        <v>0</v>
      </c>
      <c r="N330" s="19"/>
      <c r="O330" s="19">
        <f t="shared" si="369"/>
        <v>0</v>
      </c>
      <c r="P330" s="19">
        <f t="shared" si="370"/>
        <v>32238.54</v>
      </c>
      <c r="Q330" s="19">
        <f t="shared" si="371"/>
        <v>0</v>
      </c>
      <c r="R330" s="19"/>
      <c r="S330" s="19">
        <f t="shared" si="372"/>
        <v>0</v>
      </c>
      <c r="T330" s="19">
        <f t="shared" si="373"/>
        <v>0</v>
      </c>
      <c r="U330" s="19">
        <f t="shared" si="374"/>
        <v>0</v>
      </c>
      <c r="V330" s="19">
        <f t="shared" si="375"/>
        <v>0</v>
      </c>
      <c r="W330" s="19">
        <f t="shared" si="376"/>
        <v>0</v>
      </c>
      <c r="X330" s="19">
        <f t="shared" si="377"/>
        <v>0</v>
      </c>
      <c r="Y330" s="19">
        <f t="shared" si="378"/>
        <v>0</v>
      </c>
      <c r="Z330" s="19">
        <f t="shared" si="379"/>
        <v>0</v>
      </c>
      <c r="AA330" s="19">
        <f t="shared" si="380"/>
        <v>0</v>
      </c>
      <c r="AB330" s="19">
        <f t="shared" si="381"/>
        <v>0</v>
      </c>
      <c r="AC330" s="19">
        <f t="shared" si="382"/>
        <v>0</v>
      </c>
      <c r="AD330" s="19">
        <f t="shared" si="383"/>
        <v>0</v>
      </c>
      <c r="AE330" s="19"/>
      <c r="AF330" s="19">
        <f t="shared" si="384"/>
        <v>0</v>
      </c>
      <c r="AG330" s="19"/>
      <c r="AH330" s="19">
        <f t="shared" si="385"/>
        <v>0</v>
      </c>
      <c r="AI330" s="19"/>
      <c r="AJ330" s="19">
        <f t="shared" si="386"/>
        <v>0</v>
      </c>
      <c r="AK330" s="19">
        <f t="shared" si="387"/>
        <v>32238.54</v>
      </c>
      <c r="AL330" s="15" t="str">
        <f t="shared" si="388"/>
        <v>ok</v>
      </c>
    </row>
    <row r="331" spans="1:38" x14ac:dyDescent="0.3">
      <c r="A331" s="2">
        <v>582</v>
      </c>
      <c r="B331" s="2" t="s">
        <v>193</v>
      </c>
      <c r="C331" s="2" t="s">
        <v>398</v>
      </c>
      <c r="D331" s="2" t="s">
        <v>33</v>
      </c>
      <c r="F331" s="43">
        <v>701884.99</v>
      </c>
      <c r="H331" s="19">
        <f t="shared" si="363"/>
        <v>0</v>
      </c>
      <c r="I331" s="19">
        <f t="shared" si="364"/>
        <v>0</v>
      </c>
      <c r="J331" s="19">
        <f t="shared" si="365"/>
        <v>0</v>
      </c>
      <c r="K331" s="19">
        <f t="shared" si="366"/>
        <v>0</v>
      </c>
      <c r="L331" s="19">
        <f t="shared" si="367"/>
        <v>0</v>
      </c>
      <c r="M331" s="19">
        <f t="shared" si="368"/>
        <v>0</v>
      </c>
      <c r="N331" s="19"/>
      <c r="O331" s="19">
        <f t="shared" si="369"/>
        <v>692612.51020496816</v>
      </c>
      <c r="P331" s="19">
        <f t="shared" si="370"/>
        <v>9272.4797950319298</v>
      </c>
      <c r="Q331" s="19">
        <f t="shared" si="371"/>
        <v>0</v>
      </c>
      <c r="R331" s="19"/>
      <c r="S331" s="19">
        <f t="shared" si="372"/>
        <v>0</v>
      </c>
      <c r="T331" s="19">
        <f t="shared" si="373"/>
        <v>0</v>
      </c>
      <c r="U331" s="19">
        <f t="shared" si="374"/>
        <v>0</v>
      </c>
      <c r="V331" s="19">
        <f t="shared" si="375"/>
        <v>0</v>
      </c>
      <c r="W331" s="19">
        <f t="shared" si="376"/>
        <v>0</v>
      </c>
      <c r="X331" s="19">
        <f t="shared" si="377"/>
        <v>0</v>
      </c>
      <c r="Y331" s="19">
        <f t="shared" si="378"/>
        <v>0</v>
      </c>
      <c r="Z331" s="19">
        <f t="shared" si="379"/>
        <v>0</v>
      </c>
      <c r="AA331" s="19">
        <f t="shared" si="380"/>
        <v>0</v>
      </c>
      <c r="AB331" s="19">
        <f t="shared" si="381"/>
        <v>0</v>
      </c>
      <c r="AC331" s="19">
        <f t="shared" si="382"/>
        <v>0</v>
      </c>
      <c r="AD331" s="19">
        <f t="shared" si="383"/>
        <v>0</v>
      </c>
      <c r="AE331" s="19"/>
      <c r="AF331" s="19">
        <f t="shared" si="384"/>
        <v>0</v>
      </c>
      <c r="AG331" s="19"/>
      <c r="AH331" s="19">
        <f t="shared" si="385"/>
        <v>0</v>
      </c>
      <c r="AI331" s="19"/>
      <c r="AJ331" s="19">
        <f t="shared" si="386"/>
        <v>0</v>
      </c>
      <c r="AK331" s="19">
        <f t="shared" si="387"/>
        <v>701884.99000000011</v>
      </c>
      <c r="AL331" s="15" t="str">
        <f t="shared" si="388"/>
        <v>ok</v>
      </c>
    </row>
    <row r="332" spans="1:38" x14ac:dyDescent="0.3">
      <c r="A332" s="2">
        <v>583</v>
      </c>
      <c r="B332" s="2" t="s">
        <v>195</v>
      </c>
      <c r="C332" s="2" t="s">
        <v>399</v>
      </c>
      <c r="D332" s="2" t="s">
        <v>33</v>
      </c>
      <c r="F332" s="43">
        <v>0</v>
      </c>
      <c r="H332" s="19">
        <f t="shared" si="363"/>
        <v>0</v>
      </c>
      <c r="I332" s="19">
        <f t="shared" si="364"/>
        <v>0</v>
      </c>
      <c r="J332" s="19">
        <f t="shared" si="365"/>
        <v>0</v>
      </c>
      <c r="K332" s="19">
        <f t="shared" si="366"/>
        <v>0</v>
      </c>
      <c r="L332" s="19">
        <f t="shared" si="367"/>
        <v>0</v>
      </c>
      <c r="M332" s="19">
        <f t="shared" si="368"/>
        <v>0</v>
      </c>
      <c r="N332" s="19"/>
      <c r="O332" s="19">
        <f t="shared" si="369"/>
        <v>0</v>
      </c>
      <c r="P332" s="19">
        <f t="shared" si="370"/>
        <v>0</v>
      </c>
      <c r="Q332" s="19">
        <f t="shared" si="371"/>
        <v>0</v>
      </c>
      <c r="R332" s="19"/>
      <c r="S332" s="19">
        <f t="shared" si="372"/>
        <v>0</v>
      </c>
      <c r="T332" s="19">
        <f t="shared" si="373"/>
        <v>0</v>
      </c>
      <c r="U332" s="19">
        <f t="shared" si="374"/>
        <v>0</v>
      </c>
      <c r="V332" s="19">
        <f t="shared" si="375"/>
        <v>0</v>
      </c>
      <c r="W332" s="19">
        <f t="shared" si="376"/>
        <v>0</v>
      </c>
      <c r="X332" s="19">
        <f t="shared" si="377"/>
        <v>0</v>
      </c>
      <c r="Y332" s="19">
        <f t="shared" si="378"/>
        <v>0</v>
      </c>
      <c r="Z332" s="19">
        <f t="shared" si="379"/>
        <v>0</v>
      </c>
      <c r="AA332" s="19">
        <f t="shared" si="380"/>
        <v>0</v>
      </c>
      <c r="AB332" s="19">
        <f t="shared" si="381"/>
        <v>0</v>
      </c>
      <c r="AC332" s="19">
        <f t="shared" si="382"/>
        <v>0</v>
      </c>
      <c r="AD332" s="19">
        <f t="shared" si="383"/>
        <v>0</v>
      </c>
      <c r="AE332" s="19"/>
      <c r="AF332" s="19">
        <f t="shared" si="384"/>
        <v>0</v>
      </c>
      <c r="AG332" s="19"/>
      <c r="AH332" s="19">
        <f t="shared" si="385"/>
        <v>0</v>
      </c>
      <c r="AI332" s="19"/>
      <c r="AJ332" s="19">
        <f t="shared" si="386"/>
        <v>0</v>
      </c>
      <c r="AK332" s="19">
        <f t="shared" si="387"/>
        <v>0</v>
      </c>
      <c r="AL332" s="15" t="str">
        <f t="shared" si="388"/>
        <v>ok</v>
      </c>
    </row>
    <row r="333" spans="1:38" x14ac:dyDescent="0.3">
      <c r="A333" s="2">
        <v>584</v>
      </c>
      <c r="B333" s="2" t="s">
        <v>225</v>
      </c>
      <c r="C333" s="2" t="s">
        <v>400</v>
      </c>
      <c r="D333" s="2" t="s">
        <v>33</v>
      </c>
      <c r="F333" s="43">
        <v>0</v>
      </c>
      <c r="H333" s="19">
        <f t="shared" si="363"/>
        <v>0</v>
      </c>
      <c r="I333" s="19">
        <f t="shared" si="364"/>
        <v>0</v>
      </c>
      <c r="J333" s="19">
        <f t="shared" si="365"/>
        <v>0</v>
      </c>
      <c r="K333" s="19">
        <f t="shared" si="366"/>
        <v>0</v>
      </c>
      <c r="L333" s="19">
        <f t="shared" si="367"/>
        <v>0</v>
      </c>
      <c r="M333" s="19">
        <f t="shared" si="368"/>
        <v>0</v>
      </c>
      <c r="N333" s="19"/>
      <c r="O333" s="19">
        <f t="shared" si="369"/>
        <v>0</v>
      </c>
      <c r="P333" s="19">
        <f t="shared" si="370"/>
        <v>0</v>
      </c>
      <c r="Q333" s="19">
        <f t="shared" si="371"/>
        <v>0</v>
      </c>
      <c r="R333" s="19"/>
      <c r="S333" s="19">
        <f t="shared" si="372"/>
        <v>0</v>
      </c>
      <c r="T333" s="19">
        <f t="shared" si="373"/>
        <v>0</v>
      </c>
      <c r="U333" s="19">
        <f t="shared" si="374"/>
        <v>0</v>
      </c>
      <c r="V333" s="19">
        <f t="shared" si="375"/>
        <v>0</v>
      </c>
      <c r="W333" s="19">
        <f t="shared" si="376"/>
        <v>0</v>
      </c>
      <c r="X333" s="19">
        <f t="shared" si="377"/>
        <v>0</v>
      </c>
      <c r="Y333" s="19">
        <f t="shared" si="378"/>
        <v>0</v>
      </c>
      <c r="Z333" s="19">
        <f t="shared" si="379"/>
        <v>0</v>
      </c>
      <c r="AA333" s="19">
        <f t="shared" si="380"/>
        <v>0</v>
      </c>
      <c r="AB333" s="19">
        <f t="shared" si="381"/>
        <v>0</v>
      </c>
      <c r="AC333" s="19">
        <f t="shared" si="382"/>
        <v>0</v>
      </c>
      <c r="AD333" s="19">
        <f t="shared" si="383"/>
        <v>0</v>
      </c>
      <c r="AE333" s="19"/>
      <c r="AF333" s="19">
        <f t="shared" si="384"/>
        <v>0</v>
      </c>
      <c r="AG333" s="19"/>
      <c r="AH333" s="19">
        <f t="shared" si="385"/>
        <v>0</v>
      </c>
      <c r="AI333" s="19"/>
      <c r="AJ333" s="19">
        <f t="shared" si="386"/>
        <v>0</v>
      </c>
      <c r="AK333" s="19">
        <f t="shared" si="387"/>
        <v>0</v>
      </c>
      <c r="AL333" s="15" t="str">
        <f t="shared" si="388"/>
        <v>ok</v>
      </c>
    </row>
    <row r="334" spans="1:38" x14ac:dyDescent="0.3">
      <c r="A334" s="2">
        <v>585</v>
      </c>
      <c r="B334" s="2" t="s">
        <v>227</v>
      </c>
      <c r="C334" s="2" t="s">
        <v>401</v>
      </c>
      <c r="D334" s="2" t="s">
        <v>33</v>
      </c>
      <c r="F334" s="43">
        <v>0</v>
      </c>
      <c r="H334" s="19">
        <f t="shared" si="363"/>
        <v>0</v>
      </c>
      <c r="I334" s="19">
        <f t="shared" si="364"/>
        <v>0</v>
      </c>
      <c r="J334" s="19">
        <f t="shared" si="365"/>
        <v>0</v>
      </c>
      <c r="K334" s="19">
        <f t="shared" si="366"/>
        <v>0</v>
      </c>
      <c r="L334" s="19">
        <f t="shared" si="367"/>
        <v>0</v>
      </c>
      <c r="M334" s="19">
        <f t="shared" si="368"/>
        <v>0</v>
      </c>
      <c r="N334" s="19"/>
      <c r="O334" s="19">
        <f t="shared" si="369"/>
        <v>0</v>
      </c>
      <c r="P334" s="19">
        <f t="shared" si="370"/>
        <v>0</v>
      </c>
      <c r="Q334" s="19">
        <f t="shared" si="371"/>
        <v>0</v>
      </c>
      <c r="R334" s="19"/>
      <c r="S334" s="19">
        <f t="shared" si="372"/>
        <v>0</v>
      </c>
      <c r="T334" s="19">
        <f t="shared" si="373"/>
        <v>0</v>
      </c>
      <c r="U334" s="19">
        <f t="shared" si="374"/>
        <v>0</v>
      </c>
      <c r="V334" s="19">
        <f t="shared" si="375"/>
        <v>0</v>
      </c>
      <c r="W334" s="19">
        <f t="shared" si="376"/>
        <v>0</v>
      </c>
      <c r="X334" s="19">
        <f t="shared" si="377"/>
        <v>0</v>
      </c>
      <c r="Y334" s="19">
        <f t="shared" si="378"/>
        <v>0</v>
      </c>
      <c r="Z334" s="19">
        <f t="shared" si="379"/>
        <v>0</v>
      </c>
      <c r="AA334" s="19">
        <f t="shared" si="380"/>
        <v>0</v>
      </c>
      <c r="AB334" s="19">
        <f t="shared" si="381"/>
        <v>0</v>
      </c>
      <c r="AC334" s="19">
        <f t="shared" si="382"/>
        <v>0</v>
      </c>
      <c r="AD334" s="19">
        <f t="shared" si="383"/>
        <v>0</v>
      </c>
      <c r="AE334" s="19"/>
      <c r="AF334" s="19">
        <f t="shared" si="384"/>
        <v>0</v>
      </c>
      <c r="AG334" s="19"/>
      <c r="AH334" s="19">
        <f t="shared" si="385"/>
        <v>0</v>
      </c>
      <c r="AI334" s="19"/>
      <c r="AJ334" s="19">
        <f t="shared" si="386"/>
        <v>0</v>
      </c>
      <c r="AK334" s="19">
        <f t="shared" si="387"/>
        <v>0</v>
      </c>
      <c r="AL334" s="15" t="str">
        <f t="shared" si="388"/>
        <v>ok</v>
      </c>
    </row>
    <row r="335" spans="1:38" x14ac:dyDescent="0.3">
      <c r="A335" s="2">
        <v>586</v>
      </c>
      <c r="B335" s="2" t="s">
        <v>229</v>
      </c>
      <c r="C335" s="2" t="s">
        <v>402</v>
      </c>
      <c r="D335" s="2" t="s">
        <v>33</v>
      </c>
      <c r="F335" s="43">
        <v>0</v>
      </c>
      <c r="H335" s="19">
        <f t="shared" si="363"/>
        <v>0</v>
      </c>
      <c r="I335" s="19">
        <f t="shared" si="364"/>
        <v>0</v>
      </c>
      <c r="J335" s="19">
        <f t="shared" si="365"/>
        <v>0</v>
      </c>
      <c r="K335" s="19">
        <f t="shared" si="366"/>
        <v>0</v>
      </c>
      <c r="L335" s="19">
        <f t="shared" si="367"/>
        <v>0</v>
      </c>
      <c r="M335" s="19">
        <f t="shared" si="368"/>
        <v>0</v>
      </c>
      <c r="N335" s="19"/>
      <c r="O335" s="19">
        <f t="shared" si="369"/>
        <v>0</v>
      </c>
      <c r="P335" s="19">
        <f t="shared" si="370"/>
        <v>0</v>
      </c>
      <c r="Q335" s="19">
        <f t="shared" si="371"/>
        <v>0</v>
      </c>
      <c r="R335" s="19"/>
      <c r="S335" s="19">
        <f t="shared" si="372"/>
        <v>0</v>
      </c>
      <c r="T335" s="19">
        <f t="shared" si="373"/>
        <v>0</v>
      </c>
      <c r="U335" s="19">
        <f t="shared" si="374"/>
        <v>0</v>
      </c>
      <c r="V335" s="19">
        <f t="shared" si="375"/>
        <v>0</v>
      </c>
      <c r="W335" s="19">
        <f t="shared" si="376"/>
        <v>0</v>
      </c>
      <c r="X335" s="19">
        <f t="shared" si="377"/>
        <v>0</v>
      </c>
      <c r="Y335" s="19">
        <f t="shared" si="378"/>
        <v>0</v>
      </c>
      <c r="Z335" s="19">
        <f t="shared" si="379"/>
        <v>0</v>
      </c>
      <c r="AA335" s="19">
        <f t="shared" si="380"/>
        <v>0</v>
      </c>
      <c r="AB335" s="19">
        <f t="shared" si="381"/>
        <v>0</v>
      </c>
      <c r="AC335" s="19">
        <f t="shared" si="382"/>
        <v>0</v>
      </c>
      <c r="AD335" s="19">
        <f t="shared" si="383"/>
        <v>0</v>
      </c>
      <c r="AE335" s="19"/>
      <c r="AF335" s="19">
        <f t="shared" si="384"/>
        <v>0</v>
      </c>
      <c r="AG335" s="19"/>
      <c r="AH335" s="19">
        <f t="shared" si="385"/>
        <v>0</v>
      </c>
      <c r="AI335" s="19"/>
      <c r="AJ335" s="19">
        <f t="shared" si="386"/>
        <v>0</v>
      </c>
      <c r="AK335" s="19">
        <f t="shared" si="387"/>
        <v>0</v>
      </c>
      <c r="AL335" s="15" t="str">
        <f t="shared" si="388"/>
        <v>ok</v>
      </c>
    </row>
    <row r="336" spans="1:38" x14ac:dyDescent="0.3">
      <c r="A336" s="2">
        <v>586</v>
      </c>
      <c r="B336" s="2" t="s">
        <v>231</v>
      </c>
      <c r="C336" s="2" t="s">
        <v>403</v>
      </c>
      <c r="D336" s="2" t="s">
        <v>33</v>
      </c>
      <c r="F336" s="43">
        <v>0</v>
      </c>
      <c r="H336" s="19">
        <f t="shared" si="363"/>
        <v>0</v>
      </c>
      <c r="I336" s="19">
        <f t="shared" si="364"/>
        <v>0</v>
      </c>
      <c r="J336" s="19">
        <f t="shared" si="365"/>
        <v>0</v>
      </c>
      <c r="K336" s="19">
        <f t="shared" si="366"/>
        <v>0</v>
      </c>
      <c r="L336" s="19">
        <f t="shared" si="367"/>
        <v>0</v>
      </c>
      <c r="M336" s="19">
        <f t="shared" si="368"/>
        <v>0</v>
      </c>
      <c r="N336" s="19"/>
      <c r="O336" s="19">
        <f t="shared" si="369"/>
        <v>0</v>
      </c>
      <c r="P336" s="19">
        <f t="shared" si="370"/>
        <v>0</v>
      </c>
      <c r="Q336" s="19">
        <f t="shared" si="371"/>
        <v>0</v>
      </c>
      <c r="R336" s="19"/>
      <c r="S336" s="19">
        <f t="shared" si="372"/>
        <v>0</v>
      </c>
      <c r="T336" s="19">
        <f t="shared" si="373"/>
        <v>0</v>
      </c>
      <c r="U336" s="19">
        <f t="shared" si="374"/>
        <v>0</v>
      </c>
      <c r="V336" s="19">
        <f t="shared" si="375"/>
        <v>0</v>
      </c>
      <c r="W336" s="19">
        <f t="shared" si="376"/>
        <v>0</v>
      </c>
      <c r="X336" s="19">
        <f t="shared" si="377"/>
        <v>0</v>
      </c>
      <c r="Y336" s="19">
        <f t="shared" si="378"/>
        <v>0</v>
      </c>
      <c r="Z336" s="19">
        <f t="shared" si="379"/>
        <v>0</v>
      </c>
      <c r="AA336" s="19">
        <f t="shared" si="380"/>
        <v>0</v>
      </c>
      <c r="AB336" s="19">
        <f t="shared" si="381"/>
        <v>0</v>
      </c>
      <c r="AC336" s="19">
        <f t="shared" si="382"/>
        <v>0</v>
      </c>
      <c r="AD336" s="19">
        <f t="shared" si="383"/>
        <v>0</v>
      </c>
      <c r="AE336" s="19"/>
      <c r="AF336" s="19">
        <f t="shared" si="384"/>
        <v>0</v>
      </c>
      <c r="AG336" s="19"/>
      <c r="AH336" s="19">
        <f t="shared" si="385"/>
        <v>0</v>
      </c>
      <c r="AI336" s="19"/>
      <c r="AJ336" s="19">
        <f t="shared" si="386"/>
        <v>0</v>
      </c>
      <c r="AK336" s="19">
        <f t="shared" si="387"/>
        <v>0</v>
      </c>
      <c r="AL336" s="15" t="str">
        <f t="shared" si="388"/>
        <v>ok</v>
      </c>
    </row>
    <row r="337" spans="1:38" x14ac:dyDescent="0.3">
      <c r="A337" s="2">
        <v>587</v>
      </c>
      <c r="B337" s="2" t="s">
        <v>233</v>
      </c>
      <c r="C337" s="2" t="s">
        <v>404</v>
      </c>
      <c r="D337" s="2" t="s">
        <v>33</v>
      </c>
      <c r="F337" s="43">
        <v>0</v>
      </c>
      <c r="H337" s="19">
        <f t="shared" si="363"/>
        <v>0</v>
      </c>
      <c r="I337" s="19">
        <f t="shared" si="364"/>
        <v>0</v>
      </c>
      <c r="J337" s="19">
        <f t="shared" si="365"/>
        <v>0</v>
      </c>
      <c r="K337" s="19">
        <f t="shared" si="366"/>
        <v>0</v>
      </c>
      <c r="L337" s="19">
        <f t="shared" si="367"/>
        <v>0</v>
      </c>
      <c r="M337" s="19">
        <f t="shared" si="368"/>
        <v>0</v>
      </c>
      <c r="N337" s="19"/>
      <c r="O337" s="19">
        <f t="shared" si="369"/>
        <v>0</v>
      </c>
      <c r="P337" s="19">
        <f t="shared" si="370"/>
        <v>0</v>
      </c>
      <c r="Q337" s="19">
        <f t="shared" si="371"/>
        <v>0</v>
      </c>
      <c r="R337" s="19"/>
      <c r="S337" s="19">
        <f t="shared" si="372"/>
        <v>0</v>
      </c>
      <c r="T337" s="19">
        <f t="shared" si="373"/>
        <v>0</v>
      </c>
      <c r="U337" s="19">
        <f t="shared" si="374"/>
        <v>0</v>
      </c>
      <c r="V337" s="19">
        <f t="shared" si="375"/>
        <v>0</v>
      </c>
      <c r="W337" s="19">
        <f t="shared" si="376"/>
        <v>0</v>
      </c>
      <c r="X337" s="19">
        <f t="shared" si="377"/>
        <v>0</v>
      </c>
      <c r="Y337" s="19">
        <f t="shared" si="378"/>
        <v>0</v>
      </c>
      <c r="Z337" s="19">
        <f t="shared" si="379"/>
        <v>0</v>
      </c>
      <c r="AA337" s="19">
        <f t="shared" si="380"/>
        <v>0</v>
      </c>
      <c r="AB337" s="19">
        <f t="shared" si="381"/>
        <v>0</v>
      </c>
      <c r="AC337" s="19">
        <f t="shared" si="382"/>
        <v>0</v>
      </c>
      <c r="AD337" s="19">
        <f t="shared" si="383"/>
        <v>0</v>
      </c>
      <c r="AE337" s="19"/>
      <c r="AF337" s="19">
        <f t="shared" si="384"/>
        <v>0</v>
      </c>
      <c r="AG337" s="19"/>
      <c r="AH337" s="19">
        <f t="shared" si="385"/>
        <v>0</v>
      </c>
      <c r="AI337" s="19"/>
      <c r="AJ337" s="19">
        <f t="shared" si="386"/>
        <v>0</v>
      </c>
      <c r="AK337" s="19">
        <f t="shared" si="387"/>
        <v>0</v>
      </c>
      <c r="AL337" s="15" t="str">
        <f t="shared" si="388"/>
        <v>ok</v>
      </c>
    </row>
    <row r="338" spans="1:38" x14ac:dyDescent="0.3">
      <c r="A338" s="2">
        <v>588</v>
      </c>
      <c r="B338" s="2" t="s">
        <v>235</v>
      </c>
      <c r="C338" s="2" t="s">
        <v>405</v>
      </c>
      <c r="D338" s="2" t="s">
        <v>33</v>
      </c>
      <c r="F338" s="43">
        <v>0</v>
      </c>
      <c r="H338" s="19">
        <f t="shared" si="363"/>
        <v>0</v>
      </c>
      <c r="I338" s="19">
        <f t="shared" si="364"/>
        <v>0</v>
      </c>
      <c r="J338" s="19">
        <f t="shared" si="365"/>
        <v>0</v>
      </c>
      <c r="K338" s="19">
        <f t="shared" si="366"/>
        <v>0</v>
      </c>
      <c r="L338" s="19">
        <f t="shared" si="367"/>
        <v>0</v>
      </c>
      <c r="M338" s="19">
        <f t="shared" si="368"/>
        <v>0</v>
      </c>
      <c r="N338" s="19"/>
      <c r="O338" s="19">
        <f t="shared" si="369"/>
        <v>0</v>
      </c>
      <c r="P338" s="19">
        <f t="shared" si="370"/>
        <v>0</v>
      </c>
      <c r="Q338" s="19">
        <f t="shared" si="371"/>
        <v>0</v>
      </c>
      <c r="R338" s="19"/>
      <c r="S338" s="19">
        <f t="shared" si="372"/>
        <v>0</v>
      </c>
      <c r="T338" s="19">
        <f t="shared" si="373"/>
        <v>0</v>
      </c>
      <c r="U338" s="19">
        <f t="shared" si="374"/>
        <v>0</v>
      </c>
      <c r="V338" s="19">
        <f t="shared" si="375"/>
        <v>0</v>
      </c>
      <c r="W338" s="19">
        <f t="shared" si="376"/>
        <v>0</v>
      </c>
      <c r="X338" s="19">
        <f t="shared" si="377"/>
        <v>0</v>
      </c>
      <c r="Y338" s="19">
        <f t="shared" si="378"/>
        <v>0</v>
      </c>
      <c r="Z338" s="19">
        <f t="shared" si="379"/>
        <v>0</v>
      </c>
      <c r="AA338" s="19">
        <f t="shared" si="380"/>
        <v>0</v>
      </c>
      <c r="AB338" s="19">
        <f t="shared" si="381"/>
        <v>0</v>
      </c>
      <c r="AC338" s="19">
        <f t="shared" si="382"/>
        <v>0</v>
      </c>
      <c r="AD338" s="19">
        <f t="shared" si="383"/>
        <v>0</v>
      </c>
      <c r="AE338" s="19"/>
      <c r="AF338" s="19">
        <f t="shared" si="384"/>
        <v>0</v>
      </c>
      <c r="AG338" s="19"/>
      <c r="AH338" s="19">
        <f t="shared" si="385"/>
        <v>0</v>
      </c>
      <c r="AI338" s="19"/>
      <c r="AJ338" s="19">
        <f t="shared" si="386"/>
        <v>0</v>
      </c>
      <c r="AK338" s="19">
        <f t="shared" si="387"/>
        <v>0</v>
      </c>
      <c r="AL338" s="15" t="str">
        <f t="shared" si="388"/>
        <v>ok</v>
      </c>
    </row>
    <row r="339" spans="1:38" x14ac:dyDescent="0.3">
      <c r="A339" s="2">
        <v>589</v>
      </c>
      <c r="B339" s="2" t="s">
        <v>129</v>
      </c>
      <c r="C339" s="2" t="s">
        <v>406</v>
      </c>
      <c r="D339" s="2" t="s">
        <v>33</v>
      </c>
      <c r="F339" s="43">
        <v>0</v>
      </c>
      <c r="H339" s="19">
        <f t="shared" si="363"/>
        <v>0</v>
      </c>
      <c r="I339" s="19">
        <f t="shared" si="364"/>
        <v>0</v>
      </c>
      <c r="J339" s="19">
        <f t="shared" si="365"/>
        <v>0</v>
      </c>
      <c r="K339" s="19">
        <f t="shared" si="366"/>
        <v>0</v>
      </c>
      <c r="L339" s="19">
        <f t="shared" si="367"/>
        <v>0</v>
      </c>
      <c r="M339" s="19">
        <f t="shared" si="368"/>
        <v>0</v>
      </c>
      <c r="N339" s="19"/>
      <c r="O339" s="19">
        <f t="shared" si="369"/>
        <v>0</v>
      </c>
      <c r="P339" s="19">
        <f t="shared" si="370"/>
        <v>0</v>
      </c>
      <c r="Q339" s="19">
        <f t="shared" si="371"/>
        <v>0</v>
      </c>
      <c r="R339" s="19"/>
      <c r="S339" s="19">
        <f t="shared" si="372"/>
        <v>0</v>
      </c>
      <c r="T339" s="19">
        <f t="shared" si="373"/>
        <v>0</v>
      </c>
      <c r="U339" s="19">
        <f t="shared" si="374"/>
        <v>0</v>
      </c>
      <c r="V339" s="19">
        <f t="shared" si="375"/>
        <v>0</v>
      </c>
      <c r="W339" s="19">
        <f t="shared" si="376"/>
        <v>0</v>
      </c>
      <c r="X339" s="19">
        <f t="shared" si="377"/>
        <v>0</v>
      </c>
      <c r="Y339" s="19">
        <f t="shared" si="378"/>
        <v>0</v>
      </c>
      <c r="Z339" s="19">
        <f t="shared" si="379"/>
        <v>0</v>
      </c>
      <c r="AA339" s="19">
        <f t="shared" si="380"/>
        <v>0</v>
      </c>
      <c r="AB339" s="19">
        <f t="shared" si="381"/>
        <v>0</v>
      </c>
      <c r="AC339" s="19">
        <f t="shared" si="382"/>
        <v>0</v>
      </c>
      <c r="AD339" s="19">
        <f t="shared" si="383"/>
        <v>0</v>
      </c>
      <c r="AE339" s="19"/>
      <c r="AF339" s="19">
        <f t="shared" si="384"/>
        <v>0</v>
      </c>
      <c r="AG339" s="19"/>
      <c r="AH339" s="19">
        <f t="shared" si="385"/>
        <v>0</v>
      </c>
      <c r="AI339" s="19"/>
      <c r="AJ339" s="19">
        <f t="shared" si="386"/>
        <v>0</v>
      </c>
      <c r="AK339" s="19">
        <f t="shared" si="387"/>
        <v>0</v>
      </c>
      <c r="AL339" s="15" t="str">
        <f t="shared" si="388"/>
        <v>ok</v>
      </c>
    </row>
    <row r="340" spans="1:38" x14ac:dyDescent="0.3">
      <c r="F340" s="43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L340" s="15"/>
    </row>
    <row r="341" spans="1:38" x14ac:dyDescent="0.3">
      <c r="A341" s="2" t="s">
        <v>407</v>
      </c>
      <c r="C341" s="2" t="s">
        <v>220</v>
      </c>
      <c r="F341" s="44">
        <f>SUM(F329:F340)</f>
        <v>734123.53</v>
      </c>
      <c r="G341" s="18">
        <f t="shared" ref="G341:M341" si="389">SUM(G329:G340)</f>
        <v>0</v>
      </c>
      <c r="H341" s="18">
        <f t="shared" si="389"/>
        <v>0</v>
      </c>
      <c r="I341" s="18">
        <f t="shared" si="389"/>
        <v>0</v>
      </c>
      <c r="J341" s="18">
        <f t="shared" si="389"/>
        <v>0</v>
      </c>
      <c r="K341" s="18">
        <f t="shared" si="389"/>
        <v>0</v>
      </c>
      <c r="L341" s="18">
        <f t="shared" si="389"/>
        <v>0</v>
      </c>
      <c r="M341" s="18">
        <f t="shared" si="389"/>
        <v>0</v>
      </c>
      <c r="N341" s="18"/>
      <c r="O341" s="18">
        <f>SUM(O329:O340)</f>
        <v>692612.51020496816</v>
      </c>
      <c r="P341" s="18">
        <f>SUM(P329:P340)</f>
        <v>41511.019795031927</v>
      </c>
      <c r="Q341" s="18">
        <f>SUM(Q329:Q340)</f>
        <v>0</v>
      </c>
      <c r="R341" s="18"/>
      <c r="S341" s="18">
        <f t="shared" ref="S341:AD341" si="390">SUM(S329:S340)</f>
        <v>0</v>
      </c>
      <c r="T341" s="18">
        <f t="shared" si="390"/>
        <v>0</v>
      </c>
      <c r="U341" s="18">
        <f t="shared" si="390"/>
        <v>0</v>
      </c>
      <c r="V341" s="18">
        <f t="shared" si="390"/>
        <v>0</v>
      </c>
      <c r="W341" s="18">
        <f t="shared" si="390"/>
        <v>0</v>
      </c>
      <c r="X341" s="18">
        <f t="shared" si="390"/>
        <v>0</v>
      </c>
      <c r="Y341" s="18">
        <f t="shared" si="390"/>
        <v>0</v>
      </c>
      <c r="Z341" s="18">
        <f t="shared" si="390"/>
        <v>0</v>
      </c>
      <c r="AA341" s="18">
        <f t="shared" si="390"/>
        <v>0</v>
      </c>
      <c r="AB341" s="18">
        <f t="shared" si="390"/>
        <v>0</v>
      </c>
      <c r="AC341" s="18">
        <f t="shared" si="390"/>
        <v>0</v>
      </c>
      <c r="AD341" s="18">
        <f t="shared" si="390"/>
        <v>0</v>
      </c>
      <c r="AE341" s="18"/>
      <c r="AF341" s="18">
        <f>SUM(AF329:AF340)</f>
        <v>0</v>
      </c>
      <c r="AG341" s="18"/>
      <c r="AH341" s="18">
        <f>SUM(AH329:AH340)</f>
        <v>0</v>
      </c>
      <c r="AI341" s="18"/>
      <c r="AJ341" s="18">
        <f>SUM(AJ329:AJ340)</f>
        <v>0</v>
      </c>
      <c r="AK341" s="19">
        <f>SUM(H341:AJ341)</f>
        <v>734123.53</v>
      </c>
      <c r="AL341" s="15" t="str">
        <f>IF(ABS(AK341-F341)&lt;1,"ok","err")</f>
        <v>ok</v>
      </c>
    </row>
    <row r="342" spans="1:38" x14ac:dyDescent="0.3">
      <c r="F342" s="44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9"/>
      <c r="AL342" s="15"/>
    </row>
    <row r="343" spans="1:38" x14ac:dyDescent="0.3">
      <c r="A343" s="16" t="s">
        <v>353</v>
      </c>
      <c r="F343" s="43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L343" s="15"/>
    </row>
    <row r="344" spans="1:38" x14ac:dyDescent="0.3">
      <c r="F344" s="43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L344" s="15"/>
    </row>
    <row r="345" spans="1:38" x14ac:dyDescent="0.3">
      <c r="A345" s="3" t="s">
        <v>408</v>
      </c>
      <c r="F345" s="43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L345" s="15"/>
    </row>
    <row r="346" spans="1:38" x14ac:dyDescent="0.3">
      <c r="A346" s="2">
        <v>590</v>
      </c>
      <c r="B346" s="2" t="s">
        <v>243</v>
      </c>
      <c r="C346" s="2" t="s">
        <v>409</v>
      </c>
      <c r="D346" s="2" t="s">
        <v>410</v>
      </c>
      <c r="F346" s="44">
        <v>0</v>
      </c>
      <c r="H346" s="19">
        <f t="shared" ref="H346:H354" si="391">IF(VLOOKUP($D346,$C$5:$AJ$470,6,)=0,0,((VLOOKUP($D346,$C$5:$AJ$470,6,)/VLOOKUP($D346,$C$5:$AJ$470,4,))*$F346))</f>
        <v>0</v>
      </c>
      <c r="I346" s="19">
        <f t="shared" ref="I346:I354" si="392">IF(VLOOKUP($D346,$C$5:$AJ$470,7,)=0,0,((VLOOKUP($D346,$C$5:$AJ$470,7,)/VLOOKUP($D346,$C$5:$AJ$470,4,))*$F346))</f>
        <v>0</v>
      </c>
      <c r="J346" s="19">
        <f t="shared" ref="J346:J354" si="393">IF(VLOOKUP($D346,$C$5:$AJ$470,8,)=0,0,((VLOOKUP($D346,$C$5:$AJ$470,8,)/VLOOKUP($D346,$C$5:$AJ$470,4,))*$F346))</f>
        <v>0</v>
      </c>
      <c r="K346" s="19">
        <f t="shared" ref="K346:K354" si="394">IF(VLOOKUP($D346,$C$5:$AJ$470,9,)=0,0,((VLOOKUP($D346,$C$5:$AJ$470,9,)/VLOOKUP($D346,$C$5:$AJ$470,4,))*$F346))</f>
        <v>0</v>
      </c>
      <c r="L346" s="19">
        <f t="shared" ref="L346:L354" si="395">IF(VLOOKUP($D346,$C$5:$AJ$470,10,)=0,0,((VLOOKUP($D346,$C$5:$AJ$470,10,)/VLOOKUP($D346,$C$5:$AJ$470,4,))*$F346))</f>
        <v>0</v>
      </c>
      <c r="M346" s="19">
        <f t="shared" ref="M346:M354" si="396">IF(VLOOKUP($D346,$C$5:$AJ$470,11,)=0,0,((VLOOKUP($D346,$C$5:$AJ$470,11,)/VLOOKUP($D346,$C$5:$AJ$470,4,))*$F346))</f>
        <v>0</v>
      </c>
      <c r="N346" s="19"/>
      <c r="O346" s="19">
        <f t="shared" ref="O346:O354" si="397">IF(VLOOKUP($D346,$C$5:$AJ$470,13,)=0,0,((VLOOKUP($D346,$C$5:$AJ$470,13,)/VLOOKUP($D346,$C$5:$AJ$470,4,))*$F346))</f>
        <v>0</v>
      </c>
      <c r="P346" s="19">
        <f t="shared" ref="P346:P354" si="398">IF(VLOOKUP($D346,$C$5:$AJ$470,14,)=0,0,((VLOOKUP($D346,$C$5:$AJ$470,14,)/VLOOKUP($D346,$C$5:$AJ$470,4,))*$F346))</f>
        <v>0</v>
      </c>
      <c r="Q346" s="19">
        <f t="shared" ref="Q346:Q354" si="399">IF(VLOOKUP($D346,$C$5:$AJ$470,15,)=0,0,((VLOOKUP($D346,$C$5:$AJ$470,15,)/VLOOKUP($D346,$C$5:$AJ$470,4,))*$F346))</f>
        <v>0</v>
      </c>
      <c r="R346" s="19"/>
      <c r="S346" s="19">
        <f t="shared" ref="S346:S354" si="400">IF(VLOOKUP($D346,$C$5:$AJ$470,17,)=0,0,((VLOOKUP($D346,$C$5:$AJ$470,17,)/VLOOKUP($D346,$C$5:$AJ$470,4,))*$F346))</f>
        <v>0</v>
      </c>
      <c r="T346" s="19">
        <f t="shared" ref="T346:T354" si="401">IF(VLOOKUP($D346,$C$5:$AJ$470,18,)=0,0,((VLOOKUP($D346,$C$5:$AJ$470,18,)/VLOOKUP($D346,$C$5:$AJ$470,4,))*$F346))</f>
        <v>0</v>
      </c>
      <c r="U346" s="19">
        <f t="shared" ref="U346:U354" si="402">IF(VLOOKUP($D346,$C$5:$AJ$470,19,)=0,0,((VLOOKUP($D346,$C$5:$AJ$470,19,)/VLOOKUP($D346,$C$5:$AJ$470,4,))*$F346))</f>
        <v>0</v>
      </c>
      <c r="V346" s="19">
        <f t="shared" ref="V346:V354" si="403">IF(VLOOKUP($D346,$C$5:$AJ$470,20,)=0,0,((VLOOKUP($D346,$C$5:$AJ$470,20,)/VLOOKUP($D346,$C$5:$AJ$470,4,))*$F346))</f>
        <v>0</v>
      </c>
      <c r="W346" s="19">
        <f t="shared" ref="W346:W354" si="404">IF(VLOOKUP($D346,$C$5:$AJ$470,21,)=0,0,((VLOOKUP($D346,$C$5:$AJ$470,21,)/VLOOKUP($D346,$C$5:$AJ$470,4,))*$F346))</f>
        <v>0</v>
      </c>
      <c r="X346" s="19">
        <f t="shared" ref="X346:X354" si="405">IF(VLOOKUP($D346,$C$5:$AJ$470,22,)=0,0,((VLOOKUP($D346,$C$5:$AJ$470,22,)/VLOOKUP($D346,$C$5:$AJ$470,4,))*$F346))</f>
        <v>0</v>
      </c>
      <c r="Y346" s="19">
        <f t="shared" ref="Y346:Y354" si="406">IF(VLOOKUP($D346,$C$5:$AJ$470,23,)=0,0,((VLOOKUP($D346,$C$5:$AJ$470,23,)/VLOOKUP($D346,$C$5:$AJ$470,4,))*$F346))</f>
        <v>0</v>
      </c>
      <c r="Z346" s="19">
        <f t="shared" ref="Z346:Z354" si="407">IF(VLOOKUP($D346,$C$5:$AJ$470,24,)=0,0,((VLOOKUP($D346,$C$5:$AJ$470,24,)/VLOOKUP($D346,$C$5:$AJ$470,4,))*$F346))</f>
        <v>0</v>
      </c>
      <c r="AA346" s="19">
        <f t="shared" ref="AA346:AA354" si="408">IF(VLOOKUP($D346,$C$5:$AJ$470,25,)=0,0,((VLOOKUP($D346,$C$5:$AJ$470,25,)/VLOOKUP($D346,$C$5:$AJ$470,4,))*$F346))</f>
        <v>0</v>
      </c>
      <c r="AB346" s="19">
        <f t="shared" ref="AB346:AB354" si="409">IF(VLOOKUP($D346,$C$5:$AJ$470,26,)=0,0,((VLOOKUP($D346,$C$5:$AJ$470,26,)/VLOOKUP($D346,$C$5:$AJ$470,4,))*$F346))</f>
        <v>0</v>
      </c>
      <c r="AC346" s="19">
        <f t="shared" ref="AC346:AC354" si="410">IF(VLOOKUP($D346,$C$5:$AJ$470,27,)=0,0,((VLOOKUP($D346,$C$5:$AJ$470,27,)/VLOOKUP($D346,$C$5:$AJ$470,4,))*$F346))</f>
        <v>0</v>
      </c>
      <c r="AD346" s="19">
        <f t="shared" ref="AD346:AD354" si="411">IF(VLOOKUP($D346,$C$5:$AJ$470,28,)=0,0,((VLOOKUP($D346,$C$5:$AJ$470,28,)/VLOOKUP($D346,$C$5:$AJ$470,4,))*$F346))</f>
        <v>0</v>
      </c>
      <c r="AE346" s="19"/>
      <c r="AF346" s="19">
        <f t="shared" ref="AF346:AF354" si="412">IF(VLOOKUP($D346,$C$5:$AJ$470,30,)=0,0,((VLOOKUP($D346,$C$5:$AJ$470,30,)/VLOOKUP($D346,$C$5:$AJ$470,4,))*$F346))</f>
        <v>0</v>
      </c>
      <c r="AG346" s="19"/>
      <c r="AH346" s="19">
        <f t="shared" ref="AH346:AH354" si="413">IF(VLOOKUP($D346,$C$5:$AJ$470,32,)=0,0,((VLOOKUP($D346,$C$5:$AJ$470,32,)/VLOOKUP($D346,$C$5:$AJ$470,4,))*$F346))</f>
        <v>0</v>
      </c>
      <c r="AI346" s="19"/>
      <c r="AJ346" s="19">
        <f t="shared" ref="AJ346:AJ354" si="414">IF(VLOOKUP($D346,$C$5:$AJ$470,34,)=0,0,((VLOOKUP($D346,$C$5:$AJ$470,34,)/VLOOKUP($D346,$C$5:$AJ$470,4,))*$F346))</f>
        <v>0</v>
      </c>
      <c r="AK346" s="19">
        <f t="shared" ref="AK346:AK354" si="415">SUM(H346:AJ346)</f>
        <v>0</v>
      </c>
      <c r="AL346" s="15" t="str">
        <f t="shared" ref="AL346:AL354" si="416">IF(ABS(AK346-F346)&lt;1,"ok","err")</f>
        <v>ok</v>
      </c>
    </row>
    <row r="347" spans="1:38" x14ac:dyDescent="0.3">
      <c r="A347" s="2">
        <v>591</v>
      </c>
      <c r="B347" s="2" t="s">
        <v>137</v>
      </c>
      <c r="C347" s="2" t="s">
        <v>411</v>
      </c>
      <c r="D347" s="2" t="s">
        <v>33</v>
      </c>
      <c r="F347" s="43">
        <v>0</v>
      </c>
      <c r="H347" s="19">
        <f t="shared" si="391"/>
        <v>0</v>
      </c>
      <c r="I347" s="19">
        <f t="shared" si="392"/>
        <v>0</v>
      </c>
      <c r="J347" s="19">
        <f t="shared" si="393"/>
        <v>0</v>
      </c>
      <c r="K347" s="19">
        <f t="shared" si="394"/>
        <v>0</v>
      </c>
      <c r="L347" s="19">
        <f t="shared" si="395"/>
        <v>0</v>
      </c>
      <c r="M347" s="19">
        <f t="shared" si="396"/>
        <v>0</v>
      </c>
      <c r="N347" s="19"/>
      <c r="O347" s="19">
        <f t="shared" si="397"/>
        <v>0</v>
      </c>
      <c r="P347" s="19">
        <f t="shared" si="398"/>
        <v>0</v>
      </c>
      <c r="Q347" s="19">
        <f t="shared" si="399"/>
        <v>0</v>
      </c>
      <c r="R347" s="19"/>
      <c r="S347" s="19">
        <f t="shared" si="400"/>
        <v>0</v>
      </c>
      <c r="T347" s="19">
        <f t="shared" si="401"/>
        <v>0</v>
      </c>
      <c r="U347" s="19">
        <f t="shared" si="402"/>
        <v>0</v>
      </c>
      <c r="V347" s="19">
        <f t="shared" si="403"/>
        <v>0</v>
      </c>
      <c r="W347" s="19">
        <f t="shared" si="404"/>
        <v>0</v>
      </c>
      <c r="X347" s="19">
        <f t="shared" si="405"/>
        <v>0</v>
      </c>
      <c r="Y347" s="19">
        <f t="shared" si="406"/>
        <v>0</v>
      </c>
      <c r="Z347" s="19">
        <f t="shared" si="407"/>
        <v>0</v>
      </c>
      <c r="AA347" s="19">
        <f t="shared" si="408"/>
        <v>0</v>
      </c>
      <c r="AB347" s="19">
        <f t="shared" si="409"/>
        <v>0</v>
      </c>
      <c r="AC347" s="19">
        <f t="shared" si="410"/>
        <v>0</v>
      </c>
      <c r="AD347" s="19">
        <f t="shared" si="411"/>
        <v>0</v>
      </c>
      <c r="AE347" s="19"/>
      <c r="AF347" s="19">
        <f t="shared" si="412"/>
        <v>0</v>
      </c>
      <c r="AG347" s="19"/>
      <c r="AH347" s="19">
        <f t="shared" si="413"/>
        <v>0</v>
      </c>
      <c r="AI347" s="19"/>
      <c r="AJ347" s="19">
        <f t="shared" si="414"/>
        <v>0</v>
      </c>
      <c r="AK347" s="19">
        <f>SUM(H347:AJ347)</f>
        <v>0</v>
      </c>
      <c r="AL347" s="15" t="str">
        <f>IF(ABS(AK347-F347)&lt;1,"ok","err")</f>
        <v>ok</v>
      </c>
    </row>
    <row r="348" spans="1:38" x14ac:dyDescent="0.3">
      <c r="A348" s="2">
        <v>592</v>
      </c>
      <c r="B348" s="2" t="s">
        <v>247</v>
      </c>
      <c r="C348" s="2" t="s">
        <v>412</v>
      </c>
      <c r="D348" s="2" t="s">
        <v>33</v>
      </c>
      <c r="F348" s="43">
        <v>496775.5</v>
      </c>
      <c r="H348" s="19">
        <f t="shared" si="391"/>
        <v>0</v>
      </c>
      <c r="I348" s="19">
        <f t="shared" si="392"/>
        <v>0</v>
      </c>
      <c r="J348" s="19">
        <f t="shared" si="393"/>
        <v>0</v>
      </c>
      <c r="K348" s="19">
        <f t="shared" si="394"/>
        <v>0</v>
      </c>
      <c r="L348" s="19">
        <f t="shared" si="395"/>
        <v>0</v>
      </c>
      <c r="M348" s="19">
        <f t="shared" si="396"/>
        <v>0</v>
      </c>
      <c r="N348" s="19"/>
      <c r="O348" s="19">
        <f t="shared" si="397"/>
        <v>490212.68578963075</v>
      </c>
      <c r="P348" s="19">
        <f t="shared" si="398"/>
        <v>6562.814210369258</v>
      </c>
      <c r="Q348" s="19">
        <f t="shared" si="399"/>
        <v>0</v>
      </c>
      <c r="R348" s="19"/>
      <c r="S348" s="19">
        <f t="shared" si="400"/>
        <v>0</v>
      </c>
      <c r="T348" s="19">
        <f t="shared" si="401"/>
        <v>0</v>
      </c>
      <c r="U348" s="19">
        <f t="shared" si="402"/>
        <v>0</v>
      </c>
      <c r="V348" s="19">
        <f t="shared" si="403"/>
        <v>0</v>
      </c>
      <c r="W348" s="19">
        <f t="shared" si="404"/>
        <v>0</v>
      </c>
      <c r="X348" s="19">
        <f t="shared" si="405"/>
        <v>0</v>
      </c>
      <c r="Y348" s="19">
        <f t="shared" si="406"/>
        <v>0</v>
      </c>
      <c r="Z348" s="19">
        <f t="shared" si="407"/>
        <v>0</v>
      </c>
      <c r="AA348" s="19">
        <f t="shared" si="408"/>
        <v>0</v>
      </c>
      <c r="AB348" s="19">
        <f t="shared" si="409"/>
        <v>0</v>
      </c>
      <c r="AC348" s="19">
        <f t="shared" si="410"/>
        <v>0</v>
      </c>
      <c r="AD348" s="19">
        <f t="shared" si="411"/>
        <v>0</v>
      </c>
      <c r="AE348" s="19"/>
      <c r="AF348" s="19">
        <f t="shared" si="412"/>
        <v>0</v>
      </c>
      <c r="AG348" s="19"/>
      <c r="AH348" s="19">
        <f t="shared" si="413"/>
        <v>0</v>
      </c>
      <c r="AI348" s="19"/>
      <c r="AJ348" s="19">
        <f t="shared" si="414"/>
        <v>0</v>
      </c>
      <c r="AK348" s="19">
        <f t="shared" si="415"/>
        <v>496775.5</v>
      </c>
      <c r="AL348" s="15" t="str">
        <f t="shared" si="416"/>
        <v>ok</v>
      </c>
    </row>
    <row r="349" spans="1:38" x14ac:dyDescent="0.3">
      <c r="A349" s="2">
        <v>593</v>
      </c>
      <c r="B349" s="2" t="s">
        <v>249</v>
      </c>
      <c r="C349" s="2" t="s">
        <v>413</v>
      </c>
      <c r="D349" s="2" t="s">
        <v>33</v>
      </c>
      <c r="F349" s="43">
        <v>0</v>
      </c>
      <c r="H349" s="19">
        <f t="shared" si="391"/>
        <v>0</v>
      </c>
      <c r="I349" s="19">
        <f t="shared" si="392"/>
        <v>0</v>
      </c>
      <c r="J349" s="19">
        <f t="shared" si="393"/>
        <v>0</v>
      </c>
      <c r="K349" s="19">
        <f t="shared" si="394"/>
        <v>0</v>
      </c>
      <c r="L349" s="19">
        <f t="shared" si="395"/>
        <v>0</v>
      </c>
      <c r="M349" s="19">
        <f t="shared" si="396"/>
        <v>0</v>
      </c>
      <c r="N349" s="19"/>
      <c r="O349" s="19">
        <f t="shared" si="397"/>
        <v>0</v>
      </c>
      <c r="P349" s="19">
        <f t="shared" si="398"/>
        <v>0</v>
      </c>
      <c r="Q349" s="19">
        <f t="shared" si="399"/>
        <v>0</v>
      </c>
      <c r="R349" s="19"/>
      <c r="S349" s="19">
        <f t="shared" si="400"/>
        <v>0</v>
      </c>
      <c r="T349" s="19">
        <f t="shared" si="401"/>
        <v>0</v>
      </c>
      <c r="U349" s="19">
        <f t="shared" si="402"/>
        <v>0</v>
      </c>
      <c r="V349" s="19">
        <f t="shared" si="403"/>
        <v>0</v>
      </c>
      <c r="W349" s="19">
        <f t="shared" si="404"/>
        <v>0</v>
      </c>
      <c r="X349" s="19">
        <f t="shared" si="405"/>
        <v>0</v>
      </c>
      <c r="Y349" s="19">
        <f t="shared" si="406"/>
        <v>0</v>
      </c>
      <c r="Z349" s="19">
        <f t="shared" si="407"/>
        <v>0</v>
      </c>
      <c r="AA349" s="19">
        <f t="shared" si="408"/>
        <v>0</v>
      </c>
      <c r="AB349" s="19">
        <f t="shared" si="409"/>
        <v>0</v>
      </c>
      <c r="AC349" s="19">
        <f t="shared" si="410"/>
        <v>0</v>
      </c>
      <c r="AD349" s="19">
        <f t="shared" si="411"/>
        <v>0</v>
      </c>
      <c r="AE349" s="19"/>
      <c r="AF349" s="19">
        <f t="shared" si="412"/>
        <v>0</v>
      </c>
      <c r="AG349" s="19"/>
      <c r="AH349" s="19">
        <f t="shared" si="413"/>
        <v>0</v>
      </c>
      <c r="AI349" s="19"/>
      <c r="AJ349" s="19">
        <f t="shared" si="414"/>
        <v>0</v>
      </c>
      <c r="AK349" s="19">
        <f t="shared" si="415"/>
        <v>0</v>
      </c>
      <c r="AL349" s="15" t="str">
        <f t="shared" si="416"/>
        <v>ok</v>
      </c>
    </row>
    <row r="350" spans="1:38" x14ac:dyDescent="0.3">
      <c r="A350" s="2">
        <v>594</v>
      </c>
      <c r="B350" s="2" t="s">
        <v>251</v>
      </c>
      <c r="C350" s="2" t="s">
        <v>414</v>
      </c>
      <c r="D350" s="2" t="s">
        <v>33</v>
      </c>
      <c r="F350" s="43">
        <v>0</v>
      </c>
      <c r="H350" s="19">
        <f t="shared" si="391"/>
        <v>0</v>
      </c>
      <c r="I350" s="19">
        <f t="shared" si="392"/>
        <v>0</v>
      </c>
      <c r="J350" s="19">
        <f t="shared" si="393"/>
        <v>0</v>
      </c>
      <c r="K350" s="19">
        <f t="shared" si="394"/>
        <v>0</v>
      </c>
      <c r="L350" s="19">
        <f t="shared" si="395"/>
        <v>0</v>
      </c>
      <c r="M350" s="19">
        <f t="shared" si="396"/>
        <v>0</v>
      </c>
      <c r="N350" s="19"/>
      <c r="O350" s="19">
        <f t="shared" si="397"/>
        <v>0</v>
      </c>
      <c r="P350" s="19">
        <f t="shared" si="398"/>
        <v>0</v>
      </c>
      <c r="Q350" s="19">
        <f t="shared" si="399"/>
        <v>0</v>
      </c>
      <c r="R350" s="19"/>
      <c r="S350" s="19">
        <f t="shared" si="400"/>
        <v>0</v>
      </c>
      <c r="T350" s="19">
        <f t="shared" si="401"/>
        <v>0</v>
      </c>
      <c r="U350" s="19">
        <f t="shared" si="402"/>
        <v>0</v>
      </c>
      <c r="V350" s="19">
        <f t="shared" si="403"/>
        <v>0</v>
      </c>
      <c r="W350" s="19">
        <f t="shared" si="404"/>
        <v>0</v>
      </c>
      <c r="X350" s="19">
        <f t="shared" si="405"/>
        <v>0</v>
      </c>
      <c r="Y350" s="19">
        <f t="shared" si="406"/>
        <v>0</v>
      </c>
      <c r="Z350" s="19">
        <f t="shared" si="407"/>
        <v>0</v>
      </c>
      <c r="AA350" s="19">
        <f t="shared" si="408"/>
        <v>0</v>
      </c>
      <c r="AB350" s="19">
        <f t="shared" si="409"/>
        <v>0</v>
      </c>
      <c r="AC350" s="19">
        <f t="shared" si="410"/>
        <v>0</v>
      </c>
      <c r="AD350" s="19">
        <f t="shared" si="411"/>
        <v>0</v>
      </c>
      <c r="AE350" s="19"/>
      <c r="AF350" s="19">
        <f t="shared" si="412"/>
        <v>0</v>
      </c>
      <c r="AG350" s="19"/>
      <c r="AH350" s="19">
        <f t="shared" si="413"/>
        <v>0</v>
      </c>
      <c r="AI350" s="19"/>
      <c r="AJ350" s="19">
        <f t="shared" si="414"/>
        <v>0</v>
      </c>
      <c r="AK350" s="19">
        <f t="shared" si="415"/>
        <v>0</v>
      </c>
      <c r="AL350" s="15" t="str">
        <f t="shared" si="416"/>
        <v>ok</v>
      </c>
    </row>
    <row r="351" spans="1:38" x14ac:dyDescent="0.3">
      <c r="A351" s="2">
        <v>595</v>
      </c>
      <c r="B351" s="2" t="s">
        <v>253</v>
      </c>
      <c r="C351" s="2" t="s">
        <v>415</v>
      </c>
      <c r="D351" s="2" t="s">
        <v>33</v>
      </c>
      <c r="F351" s="43">
        <v>0</v>
      </c>
      <c r="H351" s="19">
        <f t="shared" si="391"/>
        <v>0</v>
      </c>
      <c r="I351" s="19">
        <f t="shared" si="392"/>
        <v>0</v>
      </c>
      <c r="J351" s="19">
        <f t="shared" si="393"/>
        <v>0</v>
      </c>
      <c r="K351" s="19">
        <f t="shared" si="394"/>
        <v>0</v>
      </c>
      <c r="L351" s="19">
        <f t="shared" si="395"/>
        <v>0</v>
      </c>
      <c r="M351" s="19">
        <f t="shared" si="396"/>
        <v>0</v>
      </c>
      <c r="N351" s="19"/>
      <c r="O351" s="19">
        <f t="shared" si="397"/>
        <v>0</v>
      </c>
      <c r="P351" s="19">
        <f t="shared" si="398"/>
        <v>0</v>
      </c>
      <c r="Q351" s="19">
        <f t="shared" si="399"/>
        <v>0</v>
      </c>
      <c r="R351" s="19"/>
      <c r="S351" s="19">
        <f t="shared" si="400"/>
        <v>0</v>
      </c>
      <c r="T351" s="19">
        <f t="shared" si="401"/>
        <v>0</v>
      </c>
      <c r="U351" s="19">
        <f t="shared" si="402"/>
        <v>0</v>
      </c>
      <c r="V351" s="19">
        <f t="shared" si="403"/>
        <v>0</v>
      </c>
      <c r="W351" s="19">
        <f t="shared" si="404"/>
        <v>0</v>
      </c>
      <c r="X351" s="19">
        <f t="shared" si="405"/>
        <v>0</v>
      </c>
      <c r="Y351" s="19">
        <f t="shared" si="406"/>
        <v>0</v>
      </c>
      <c r="Z351" s="19">
        <f t="shared" si="407"/>
        <v>0</v>
      </c>
      <c r="AA351" s="19">
        <f t="shared" si="408"/>
        <v>0</v>
      </c>
      <c r="AB351" s="19">
        <f t="shared" si="409"/>
        <v>0</v>
      </c>
      <c r="AC351" s="19">
        <f t="shared" si="410"/>
        <v>0</v>
      </c>
      <c r="AD351" s="19">
        <f t="shared" si="411"/>
        <v>0</v>
      </c>
      <c r="AE351" s="19"/>
      <c r="AF351" s="19">
        <f t="shared" si="412"/>
        <v>0</v>
      </c>
      <c r="AG351" s="19"/>
      <c r="AH351" s="19">
        <f t="shared" si="413"/>
        <v>0</v>
      </c>
      <c r="AI351" s="19"/>
      <c r="AJ351" s="19">
        <f t="shared" si="414"/>
        <v>0</v>
      </c>
      <c r="AK351" s="19">
        <f t="shared" si="415"/>
        <v>0</v>
      </c>
      <c r="AL351" s="15" t="str">
        <f t="shared" si="416"/>
        <v>ok</v>
      </c>
    </row>
    <row r="352" spans="1:38" x14ac:dyDescent="0.3">
      <c r="A352" s="2">
        <v>596</v>
      </c>
      <c r="B352" s="2" t="s">
        <v>255</v>
      </c>
      <c r="C352" s="2" t="s">
        <v>416</v>
      </c>
      <c r="D352" s="2" t="s">
        <v>33</v>
      </c>
      <c r="F352" s="43">
        <v>0</v>
      </c>
      <c r="H352" s="19">
        <f t="shared" si="391"/>
        <v>0</v>
      </c>
      <c r="I352" s="19">
        <f t="shared" si="392"/>
        <v>0</v>
      </c>
      <c r="J352" s="19">
        <f t="shared" si="393"/>
        <v>0</v>
      </c>
      <c r="K352" s="19">
        <f t="shared" si="394"/>
        <v>0</v>
      </c>
      <c r="L352" s="19">
        <f t="shared" si="395"/>
        <v>0</v>
      </c>
      <c r="M352" s="19">
        <f t="shared" si="396"/>
        <v>0</v>
      </c>
      <c r="N352" s="19"/>
      <c r="O352" s="19">
        <f t="shared" si="397"/>
        <v>0</v>
      </c>
      <c r="P352" s="19">
        <f t="shared" si="398"/>
        <v>0</v>
      </c>
      <c r="Q352" s="19">
        <f t="shared" si="399"/>
        <v>0</v>
      </c>
      <c r="R352" s="19"/>
      <c r="S352" s="19">
        <f t="shared" si="400"/>
        <v>0</v>
      </c>
      <c r="T352" s="19">
        <f t="shared" si="401"/>
        <v>0</v>
      </c>
      <c r="U352" s="19">
        <f t="shared" si="402"/>
        <v>0</v>
      </c>
      <c r="V352" s="19">
        <f t="shared" si="403"/>
        <v>0</v>
      </c>
      <c r="W352" s="19">
        <f t="shared" si="404"/>
        <v>0</v>
      </c>
      <c r="X352" s="19">
        <f t="shared" si="405"/>
        <v>0</v>
      </c>
      <c r="Y352" s="19">
        <f t="shared" si="406"/>
        <v>0</v>
      </c>
      <c r="Z352" s="19">
        <f t="shared" si="407"/>
        <v>0</v>
      </c>
      <c r="AA352" s="19">
        <f t="shared" si="408"/>
        <v>0</v>
      </c>
      <c r="AB352" s="19">
        <f t="shared" si="409"/>
        <v>0</v>
      </c>
      <c r="AC352" s="19">
        <f t="shared" si="410"/>
        <v>0</v>
      </c>
      <c r="AD352" s="19">
        <f t="shared" si="411"/>
        <v>0</v>
      </c>
      <c r="AE352" s="19"/>
      <c r="AF352" s="19">
        <f t="shared" si="412"/>
        <v>0</v>
      </c>
      <c r="AG352" s="19"/>
      <c r="AH352" s="19">
        <f t="shared" si="413"/>
        <v>0</v>
      </c>
      <c r="AI352" s="19"/>
      <c r="AJ352" s="19">
        <f t="shared" si="414"/>
        <v>0</v>
      </c>
      <c r="AK352" s="19">
        <f t="shared" si="415"/>
        <v>0</v>
      </c>
      <c r="AL352" s="15" t="str">
        <f t="shared" si="416"/>
        <v>ok</v>
      </c>
    </row>
    <row r="353" spans="1:38" x14ac:dyDescent="0.3">
      <c r="A353" s="2">
        <v>597</v>
      </c>
      <c r="B353" s="2" t="s">
        <v>257</v>
      </c>
      <c r="C353" s="2" t="s">
        <v>417</v>
      </c>
      <c r="D353" s="2" t="s">
        <v>33</v>
      </c>
      <c r="F353" s="43">
        <v>0</v>
      </c>
      <c r="H353" s="19">
        <f t="shared" si="391"/>
        <v>0</v>
      </c>
      <c r="I353" s="19">
        <f t="shared" si="392"/>
        <v>0</v>
      </c>
      <c r="J353" s="19">
        <f t="shared" si="393"/>
        <v>0</v>
      </c>
      <c r="K353" s="19">
        <f t="shared" si="394"/>
        <v>0</v>
      </c>
      <c r="L353" s="19">
        <f t="shared" si="395"/>
        <v>0</v>
      </c>
      <c r="M353" s="19">
        <f t="shared" si="396"/>
        <v>0</v>
      </c>
      <c r="N353" s="19"/>
      <c r="O353" s="19">
        <f t="shared" si="397"/>
        <v>0</v>
      </c>
      <c r="P353" s="19">
        <f t="shared" si="398"/>
        <v>0</v>
      </c>
      <c r="Q353" s="19">
        <f t="shared" si="399"/>
        <v>0</v>
      </c>
      <c r="R353" s="19"/>
      <c r="S353" s="19">
        <f t="shared" si="400"/>
        <v>0</v>
      </c>
      <c r="T353" s="19">
        <f t="shared" si="401"/>
        <v>0</v>
      </c>
      <c r="U353" s="19">
        <f t="shared" si="402"/>
        <v>0</v>
      </c>
      <c r="V353" s="19">
        <f t="shared" si="403"/>
        <v>0</v>
      </c>
      <c r="W353" s="19">
        <f t="shared" si="404"/>
        <v>0</v>
      </c>
      <c r="X353" s="19">
        <f t="shared" si="405"/>
        <v>0</v>
      </c>
      <c r="Y353" s="19">
        <f t="shared" si="406"/>
        <v>0</v>
      </c>
      <c r="Z353" s="19">
        <f t="shared" si="407"/>
        <v>0</v>
      </c>
      <c r="AA353" s="19">
        <f t="shared" si="408"/>
        <v>0</v>
      </c>
      <c r="AB353" s="19">
        <f t="shared" si="409"/>
        <v>0</v>
      </c>
      <c r="AC353" s="19">
        <f t="shared" si="410"/>
        <v>0</v>
      </c>
      <c r="AD353" s="19">
        <f t="shared" si="411"/>
        <v>0</v>
      </c>
      <c r="AE353" s="19"/>
      <c r="AF353" s="19">
        <f t="shared" si="412"/>
        <v>0</v>
      </c>
      <c r="AG353" s="19"/>
      <c r="AH353" s="19">
        <f t="shared" si="413"/>
        <v>0</v>
      </c>
      <c r="AI353" s="19"/>
      <c r="AJ353" s="19">
        <f t="shared" si="414"/>
        <v>0</v>
      </c>
      <c r="AK353" s="19">
        <f t="shared" si="415"/>
        <v>0</v>
      </c>
      <c r="AL353" s="15" t="str">
        <f t="shared" si="416"/>
        <v>ok</v>
      </c>
    </row>
    <row r="354" spans="1:38" x14ac:dyDescent="0.3">
      <c r="A354" s="2">
        <v>598</v>
      </c>
      <c r="B354" s="2" t="s">
        <v>418</v>
      </c>
      <c r="C354" s="2" t="s">
        <v>419</v>
      </c>
      <c r="D354" s="2" t="s">
        <v>33</v>
      </c>
      <c r="F354" s="43">
        <v>0</v>
      </c>
      <c r="H354" s="19">
        <f t="shared" si="391"/>
        <v>0</v>
      </c>
      <c r="I354" s="19">
        <f t="shared" si="392"/>
        <v>0</v>
      </c>
      <c r="J354" s="19">
        <f t="shared" si="393"/>
        <v>0</v>
      </c>
      <c r="K354" s="19">
        <f t="shared" si="394"/>
        <v>0</v>
      </c>
      <c r="L354" s="19">
        <f t="shared" si="395"/>
        <v>0</v>
      </c>
      <c r="M354" s="19">
        <f t="shared" si="396"/>
        <v>0</v>
      </c>
      <c r="N354" s="19"/>
      <c r="O354" s="19">
        <f t="shared" si="397"/>
        <v>0</v>
      </c>
      <c r="P354" s="19">
        <f t="shared" si="398"/>
        <v>0</v>
      </c>
      <c r="Q354" s="19">
        <f t="shared" si="399"/>
        <v>0</v>
      </c>
      <c r="R354" s="19"/>
      <c r="S354" s="19">
        <f t="shared" si="400"/>
        <v>0</v>
      </c>
      <c r="T354" s="19">
        <f t="shared" si="401"/>
        <v>0</v>
      </c>
      <c r="U354" s="19">
        <f t="shared" si="402"/>
        <v>0</v>
      </c>
      <c r="V354" s="19">
        <f t="shared" si="403"/>
        <v>0</v>
      </c>
      <c r="W354" s="19">
        <f t="shared" si="404"/>
        <v>0</v>
      </c>
      <c r="X354" s="19">
        <f t="shared" si="405"/>
        <v>0</v>
      </c>
      <c r="Y354" s="19">
        <f t="shared" si="406"/>
        <v>0</v>
      </c>
      <c r="Z354" s="19">
        <f t="shared" si="407"/>
        <v>0</v>
      </c>
      <c r="AA354" s="19">
        <f t="shared" si="408"/>
        <v>0</v>
      </c>
      <c r="AB354" s="19">
        <f t="shared" si="409"/>
        <v>0</v>
      </c>
      <c r="AC354" s="19">
        <f t="shared" si="410"/>
        <v>0</v>
      </c>
      <c r="AD354" s="19">
        <f t="shared" si="411"/>
        <v>0</v>
      </c>
      <c r="AE354" s="19"/>
      <c r="AF354" s="19">
        <f t="shared" si="412"/>
        <v>0</v>
      </c>
      <c r="AG354" s="19"/>
      <c r="AH354" s="19">
        <f t="shared" si="413"/>
        <v>0</v>
      </c>
      <c r="AI354" s="19"/>
      <c r="AJ354" s="19">
        <f t="shared" si="414"/>
        <v>0</v>
      </c>
      <c r="AK354" s="19">
        <f t="shared" si="415"/>
        <v>0</v>
      </c>
      <c r="AL354" s="15" t="str">
        <f t="shared" si="416"/>
        <v>ok</v>
      </c>
    </row>
    <row r="355" spans="1:38" x14ac:dyDescent="0.3">
      <c r="F355" s="43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5"/>
    </row>
    <row r="356" spans="1:38" x14ac:dyDescent="0.3">
      <c r="A356" s="2" t="s">
        <v>420</v>
      </c>
      <c r="C356" s="2" t="s">
        <v>245</v>
      </c>
      <c r="F356" s="44">
        <f>SUM(F346:F355)</f>
        <v>496775.5</v>
      </c>
      <c r="G356" s="18">
        <f t="shared" ref="G356:M356" si="417">SUM(G346:G355)</f>
        <v>0</v>
      </c>
      <c r="H356" s="18">
        <f t="shared" si="417"/>
        <v>0</v>
      </c>
      <c r="I356" s="18">
        <f t="shared" si="417"/>
        <v>0</v>
      </c>
      <c r="J356" s="18">
        <f t="shared" si="417"/>
        <v>0</v>
      </c>
      <c r="K356" s="18">
        <f t="shared" si="417"/>
        <v>0</v>
      </c>
      <c r="L356" s="18">
        <f t="shared" si="417"/>
        <v>0</v>
      </c>
      <c r="M356" s="18">
        <f t="shared" si="417"/>
        <v>0</v>
      </c>
      <c r="N356" s="18"/>
      <c r="O356" s="18">
        <f>SUM(O346:O355)</f>
        <v>490212.68578963075</v>
      </c>
      <c r="P356" s="18">
        <f>SUM(P346:P355)</f>
        <v>6562.814210369258</v>
      </c>
      <c r="Q356" s="18">
        <f>SUM(Q346:Q355)</f>
        <v>0</v>
      </c>
      <c r="R356" s="18"/>
      <c r="S356" s="18">
        <f t="shared" ref="S356:AD356" si="418">SUM(S346:S355)</f>
        <v>0</v>
      </c>
      <c r="T356" s="18">
        <f t="shared" si="418"/>
        <v>0</v>
      </c>
      <c r="U356" s="18">
        <f t="shared" si="418"/>
        <v>0</v>
      </c>
      <c r="V356" s="18">
        <f t="shared" si="418"/>
        <v>0</v>
      </c>
      <c r="W356" s="18">
        <f t="shared" si="418"/>
        <v>0</v>
      </c>
      <c r="X356" s="18">
        <f t="shared" si="418"/>
        <v>0</v>
      </c>
      <c r="Y356" s="18">
        <f t="shared" si="418"/>
        <v>0</v>
      </c>
      <c r="Z356" s="18">
        <f t="shared" si="418"/>
        <v>0</v>
      </c>
      <c r="AA356" s="18">
        <f t="shared" si="418"/>
        <v>0</v>
      </c>
      <c r="AB356" s="18">
        <f t="shared" si="418"/>
        <v>0</v>
      </c>
      <c r="AC356" s="18">
        <f t="shared" si="418"/>
        <v>0</v>
      </c>
      <c r="AD356" s="18">
        <f t="shared" si="418"/>
        <v>0</v>
      </c>
      <c r="AE356" s="18"/>
      <c r="AF356" s="18">
        <f>SUM(AF346:AF355)</f>
        <v>0</v>
      </c>
      <c r="AG356" s="18"/>
      <c r="AH356" s="18">
        <f>SUM(AH346:AH355)</f>
        <v>0</v>
      </c>
      <c r="AI356" s="18"/>
      <c r="AJ356" s="18">
        <f>SUM(AJ346:AJ355)</f>
        <v>0</v>
      </c>
      <c r="AK356" s="19">
        <f>SUM(H356:AJ356)</f>
        <v>496775.5</v>
      </c>
      <c r="AL356" s="15" t="str">
        <f>IF(ABS(AK356-F356)&lt;1,"ok","err")</f>
        <v>ok</v>
      </c>
    </row>
    <row r="357" spans="1:38" x14ac:dyDescent="0.3">
      <c r="F357" s="43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L357" s="15"/>
    </row>
    <row r="358" spans="1:38" x14ac:dyDescent="0.3">
      <c r="A358" s="2" t="s">
        <v>421</v>
      </c>
      <c r="F358" s="43">
        <f>F356+F341</f>
        <v>1230899.03</v>
      </c>
      <c r="G358" s="19">
        <f>G341+G356</f>
        <v>0</v>
      </c>
      <c r="H358" s="19">
        <f t="shared" ref="H358:M358" si="419">H356+H341</f>
        <v>0</v>
      </c>
      <c r="I358" s="19">
        <f t="shared" si="419"/>
        <v>0</v>
      </c>
      <c r="J358" s="19">
        <f t="shared" si="419"/>
        <v>0</v>
      </c>
      <c r="K358" s="19">
        <f t="shared" si="419"/>
        <v>0</v>
      </c>
      <c r="L358" s="19">
        <f t="shared" si="419"/>
        <v>0</v>
      </c>
      <c r="M358" s="19">
        <f t="shared" si="419"/>
        <v>0</v>
      </c>
      <c r="N358" s="19"/>
      <c r="O358" s="19">
        <f>O356+O341</f>
        <v>1182825.1959945988</v>
      </c>
      <c r="P358" s="19">
        <f>P356+P341</f>
        <v>48073.834005401186</v>
      </c>
      <c r="Q358" s="19">
        <f>Q356+Q341</f>
        <v>0</v>
      </c>
      <c r="R358" s="19"/>
      <c r="S358" s="19">
        <f t="shared" ref="S358:AD358" si="420">S356+S341</f>
        <v>0</v>
      </c>
      <c r="T358" s="19">
        <f t="shared" si="420"/>
        <v>0</v>
      </c>
      <c r="U358" s="19">
        <f t="shared" si="420"/>
        <v>0</v>
      </c>
      <c r="V358" s="19">
        <f t="shared" si="420"/>
        <v>0</v>
      </c>
      <c r="W358" s="19">
        <f t="shared" si="420"/>
        <v>0</v>
      </c>
      <c r="X358" s="19">
        <f t="shared" si="420"/>
        <v>0</v>
      </c>
      <c r="Y358" s="19">
        <f t="shared" si="420"/>
        <v>0</v>
      </c>
      <c r="Z358" s="19">
        <f t="shared" si="420"/>
        <v>0</v>
      </c>
      <c r="AA358" s="19">
        <f t="shared" si="420"/>
        <v>0</v>
      </c>
      <c r="AB358" s="19">
        <f t="shared" si="420"/>
        <v>0</v>
      </c>
      <c r="AC358" s="19">
        <f t="shared" si="420"/>
        <v>0</v>
      </c>
      <c r="AD358" s="19">
        <f t="shared" si="420"/>
        <v>0</v>
      </c>
      <c r="AE358" s="19"/>
      <c r="AF358" s="19">
        <f>AF356+AF341</f>
        <v>0</v>
      </c>
      <c r="AG358" s="19"/>
      <c r="AH358" s="19">
        <f>AH356+AH341</f>
        <v>0</v>
      </c>
      <c r="AI358" s="19"/>
      <c r="AJ358" s="19">
        <f>AJ356+AJ341</f>
        <v>0</v>
      </c>
      <c r="AK358" s="19">
        <f>SUM(H358:AJ358)</f>
        <v>1230899.03</v>
      </c>
      <c r="AL358" s="15" t="str">
        <f>IF(ABS(AK358-F358)&lt;1,"ok","err")</f>
        <v>ok</v>
      </c>
    </row>
    <row r="359" spans="1:38" x14ac:dyDescent="0.3">
      <c r="F359" s="43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L359" s="15"/>
    </row>
    <row r="360" spans="1:38" x14ac:dyDescent="0.3">
      <c r="A360" s="2" t="s">
        <v>422</v>
      </c>
      <c r="F360" s="43">
        <f t="shared" ref="F360:M360" si="421">F358+F326</f>
        <v>15080030.669999998</v>
      </c>
      <c r="G360" s="19">
        <f t="shared" si="421"/>
        <v>0</v>
      </c>
      <c r="H360" s="19">
        <f t="shared" si="421"/>
        <v>0</v>
      </c>
      <c r="I360" s="19">
        <f t="shared" si="421"/>
        <v>0</v>
      </c>
      <c r="J360" s="19">
        <f t="shared" si="421"/>
        <v>0</v>
      </c>
      <c r="K360" s="19">
        <f t="shared" si="421"/>
        <v>0</v>
      </c>
      <c r="L360" s="19">
        <f t="shared" si="421"/>
        <v>33163.605928649129</v>
      </c>
      <c r="M360" s="19">
        <f t="shared" si="421"/>
        <v>13815968.034071354</v>
      </c>
      <c r="N360" s="19"/>
      <c r="O360" s="19">
        <f>O358+O326</f>
        <v>1182825.1959945988</v>
      </c>
      <c r="P360" s="19">
        <f>P358+P326</f>
        <v>48073.834005401186</v>
      </c>
      <c r="Q360" s="19">
        <f>Q358+Q326</f>
        <v>0</v>
      </c>
      <c r="R360" s="19"/>
      <c r="S360" s="19">
        <f t="shared" ref="S360:AD360" si="422">S358+S326</f>
        <v>0</v>
      </c>
      <c r="T360" s="19">
        <f t="shared" si="422"/>
        <v>0</v>
      </c>
      <c r="U360" s="19">
        <f t="shared" si="422"/>
        <v>0</v>
      </c>
      <c r="V360" s="19">
        <f t="shared" si="422"/>
        <v>0</v>
      </c>
      <c r="W360" s="19">
        <f t="shared" si="422"/>
        <v>0</v>
      </c>
      <c r="X360" s="19">
        <f t="shared" si="422"/>
        <v>0</v>
      </c>
      <c r="Y360" s="19">
        <f t="shared" si="422"/>
        <v>0</v>
      </c>
      <c r="Z360" s="19">
        <f t="shared" si="422"/>
        <v>0</v>
      </c>
      <c r="AA360" s="19">
        <f t="shared" si="422"/>
        <v>0</v>
      </c>
      <c r="AB360" s="19">
        <f t="shared" si="422"/>
        <v>0</v>
      </c>
      <c r="AC360" s="19">
        <f t="shared" si="422"/>
        <v>0</v>
      </c>
      <c r="AD360" s="19">
        <f t="shared" si="422"/>
        <v>0</v>
      </c>
      <c r="AE360" s="19"/>
      <c r="AF360" s="19">
        <f>AF358+AF326</f>
        <v>0</v>
      </c>
      <c r="AG360" s="19"/>
      <c r="AH360" s="19">
        <f>AH358+AH326</f>
        <v>0</v>
      </c>
      <c r="AI360" s="19"/>
      <c r="AJ360" s="19">
        <f>AJ358+AJ326</f>
        <v>0</v>
      </c>
      <c r="AK360" s="19">
        <f>SUM(H360:AJ360)</f>
        <v>15080030.670000002</v>
      </c>
      <c r="AL360" s="15" t="str">
        <f>IF(ABS(AK360-F360)&lt;1,"ok","err")</f>
        <v>ok</v>
      </c>
    </row>
    <row r="361" spans="1:38" x14ac:dyDescent="0.3">
      <c r="F361" s="43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L361" s="15"/>
    </row>
    <row r="362" spans="1:38" x14ac:dyDescent="0.3">
      <c r="A362" s="2" t="s">
        <v>423</v>
      </c>
      <c r="C362" s="2" t="s">
        <v>424</v>
      </c>
      <c r="F362" s="44">
        <f>F360+F297+F310</f>
        <v>61231758.950000003</v>
      </c>
      <c r="G362" s="18">
        <f>G360+G310</f>
        <v>0</v>
      </c>
      <c r="H362" s="18">
        <f t="shared" ref="H362:M362" si="423">H360+H297+H310</f>
        <v>14424195.26895408</v>
      </c>
      <c r="I362" s="18">
        <f t="shared" si="423"/>
        <v>17795611.399084277</v>
      </c>
      <c r="J362" s="18">
        <f t="shared" si="423"/>
        <v>6473183.976190079</v>
      </c>
      <c r="K362" s="18">
        <f t="shared" si="423"/>
        <v>7067127.653812631</v>
      </c>
      <c r="L362" s="18">
        <f t="shared" si="423"/>
        <v>424773.58788758569</v>
      </c>
      <c r="M362" s="18">
        <f t="shared" si="423"/>
        <v>13815968.034071354</v>
      </c>
      <c r="N362" s="18"/>
      <c r="O362" s="18">
        <f>O360+O297+O310</f>
        <v>1182825.1959945988</v>
      </c>
      <c r="P362" s="18">
        <f>P360+P297+P310</f>
        <v>48073.834005401186</v>
      </c>
      <c r="Q362" s="18">
        <f>Q360+Q297+Q310</f>
        <v>0</v>
      </c>
      <c r="R362" s="18"/>
      <c r="S362" s="18">
        <f t="shared" ref="S362:AD362" si="424">S360+S297+S310</f>
        <v>0</v>
      </c>
      <c r="T362" s="18">
        <f t="shared" si="424"/>
        <v>0</v>
      </c>
      <c r="U362" s="18">
        <f t="shared" si="424"/>
        <v>0</v>
      </c>
      <c r="V362" s="18">
        <f t="shared" si="424"/>
        <v>0</v>
      </c>
      <c r="W362" s="18">
        <f t="shared" si="424"/>
        <v>0</v>
      </c>
      <c r="X362" s="18">
        <f t="shared" si="424"/>
        <v>0</v>
      </c>
      <c r="Y362" s="18">
        <f t="shared" si="424"/>
        <v>0</v>
      </c>
      <c r="Z362" s="18">
        <f t="shared" si="424"/>
        <v>0</v>
      </c>
      <c r="AA362" s="18">
        <f t="shared" si="424"/>
        <v>0</v>
      </c>
      <c r="AB362" s="18">
        <f t="shared" si="424"/>
        <v>0</v>
      </c>
      <c r="AC362" s="18">
        <f t="shared" si="424"/>
        <v>0</v>
      </c>
      <c r="AD362" s="18">
        <f t="shared" si="424"/>
        <v>0</v>
      </c>
      <c r="AE362" s="18"/>
      <c r="AF362" s="18">
        <f>AF360+AF297+AF310</f>
        <v>0</v>
      </c>
      <c r="AG362" s="18"/>
      <c r="AH362" s="18">
        <f>AH360+AH297+AH310</f>
        <v>0</v>
      </c>
      <c r="AI362" s="18"/>
      <c r="AJ362" s="18">
        <f>AJ360+AJ297+AJ310</f>
        <v>0</v>
      </c>
      <c r="AK362" s="19">
        <f>SUM(H362:AJ362)</f>
        <v>61231758.95000001</v>
      </c>
      <c r="AL362" s="15" t="str">
        <f>IF(ABS(AK362-F362)&lt;1,"ok","err")</f>
        <v>ok</v>
      </c>
    </row>
    <row r="363" spans="1:38" x14ac:dyDescent="0.3">
      <c r="A363" s="3"/>
      <c r="F363" s="43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L363" s="15"/>
    </row>
    <row r="364" spans="1:38" x14ac:dyDescent="0.3">
      <c r="A364" s="3" t="s">
        <v>267</v>
      </c>
      <c r="F364" s="43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L364" s="15"/>
    </row>
    <row r="365" spans="1:38" x14ac:dyDescent="0.3">
      <c r="A365" s="2">
        <v>901</v>
      </c>
      <c r="B365" s="2" t="s">
        <v>268</v>
      </c>
      <c r="C365" s="2" t="s">
        <v>425</v>
      </c>
      <c r="D365" s="2" t="s">
        <v>270</v>
      </c>
      <c r="F365" s="44">
        <v>0</v>
      </c>
      <c r="H365" s="19">
        <f>IF(VLOOKUP($D365,$C$5:$AJ$470,6,)=0,0,((VLOOKUP($D365,$C$5:$AJ$470,6,)/VLOOKUP($D365,$C$5:$AJ$470,4,))*$F365))</f>
        <v>0</v>
      </c>
      <c r="I365" s="19">
        <f>IF(VLOOKUP($D365,$C$5:$AJ$470,7,)=0,0,((VLOOKUP($D365,$C$5:$AJ$470,7,)/VLOOKUP($D365,$C$5:$AJ$470,4,))*$F365))</f>
        <v>0</v>
      </c>
      <c r="J365" s="19">
        <f>IF(VLOOKUP($D365,$C$5:$AJ$470,8,)=0,0,((VLOOKUP($D365,$C$5:$AJ$470,8,)/VLOOKUP($D365,$C$5:$AJ$470,4,))*$F365))</f>
        <v>0</v>
      </c>
      <c r="K365" s="19">
        <f>IF(VLOOKUP($D365,$C$5:$AJ$470,9,)=0,0,((VLOOKUP($D365,$C$5:$AJ$470,9,)/VLOOKUP($D365,$C$5:$AJ$470,4,))*$F365))</f>
        <v>0</v>
      </c>
      <c r="L365" s="19">
        <f>IF(VLOOKUP($D365,$C$5:$AJ$470,10,)=0,0,((VLOOKUP($D365,$C$5:$AJ$470,10,)/VLOOKUP($D365,$C$5:$AJ$470,4,))*$F365))</f>
        <v>0</v>
      </c>
      <c r="M365" s="19">
        <f>IF(VLOOKUP($D365,$C$5:$AJ$470,11,)=0,0,((VLOOKUP($D365,$C$5:$AJ$470,11,)/VLOOKUP($D365,$C$5:$AJ$470,4,))*$F365))</f>
        <v>0</v>
      </c>
      <c r="N365" s="19"/>
      <c r="O365" s="19">
        <f>IF(VLOOKUP($D365,$C$5:$AJ$470,13,)=0,0,((VLOOKUP($D365,$C$5:$AJ$470,13,)/VLOOKUP($D365,$C$5:$AJ$470,4,))*$F365))</f>
        <v>0</v>
      </c>
      <c r="P365" s="19">
        <f>IF(VLOOKUP($D365,$C$5:$AJ$470,14,)=0,0,((VLOOKUP($D365,$C$5:$AJ$470,14,)/VLOOKUP($D365,$C$5:$AJ$470,4,))*$F365))</f>
        <v>0</v>
      </c>
      <c r="Q365" s="19">
        <f>IF(VLOOKUP($D365,$C$5:$AJ$470,15,)=0,0,((VLOOKUP($D365,$C$5:$AJ$470,15,)/VLOOKUP($D365,$C$5:$AJ$470,4,))*$F365))</f>
        <v>0</v>
      </c>
      <c r="R365" s="19"/>
      <c r="S365" s="19">
        <f>IF(VLOOKUP($D365,$C$5:$AJ$470,17,)=0,0,((VLOOKUP($D365,$C$5:$AJ$470,17,)/VLOOKUP($D365,$C$5:$AJ$470,4,))*$F365))</f>
        <v>0</v>
      </c>
      <c r="T365" s="19">
        <f>IF(VLOOKUP($D365,$C$5:$AJ$470,18,)=0,0,((VLOOKUP($D365,$C$5:$AJ$470,18,)/VLOOKUP($D365,$C$5:$AJ$470,4,))*$F365))</f>
        <v>0</v>
      </c>
      <c r="U365" s="19">
        <f>IF(VLOOKUP($D365,$C$5:$AJ$470,19,)=0,0,((VLOOKUP($D365,$C$5:$AJ$470,19,)/VLOOKUP($D365,$C$5:$AJ$470,4,))*$F365))</f>
        <v>0</v>
      </c>
      <c r="V365" s="19">
        <f>IF(VLOOKUP($D365,$C$5:$AJ$470,20,)=0,0,((VLOOKUP($D365,$C$5:$AJ$470,20,)/VLOOKUP($D365,$C$5:$AJ$470,4,))*$F365))</f>
        <v>0</v>
      </c>
      <c r="W365" s="19">
        <f>IF(VLOOKUP($D365,$C$5:$AJ$470,21,)=0,0,((VLOOKUP($D365,$C$5:$AJ$470,21,)/VLOOKUP($D365,$C$5:$AJ$470,4,))*$F365))</f>
        <v>0</v>
      </c>
      <c r="X365" s="19">
        <f>IF(VLOOKUP($D365,$C$5:$AJ$470,22,)=0,0,((VLOOKUP($D365,$C$5:$AJ$470,22,)/VLOOKUP($D365,$C$5:$AJ$470,4,))*$F365))</f>
        <v>0</v>
      </c>
      <c r="Y365" s="19">
        <f>IF(VLOOKUP($D365,$C$5:$AJ$470,23,)=0,0,((VLOOKUP($D365,$C$5:$AJ$470,23,)/VLOOKUP($D365,$C$5:$AJ$470,4,))*$F365))</f>
        <v>0</v>
      </c>
      <c r="Z365" s="19">
        <f>IF(VLOOKUP($D365,$C$5:$AJ$470,24,)=0,0,((VLOOKUP($D365,$C$5:$AJ$470,24,)/VLOOKUP($D365,$C$5:$AJ$470,4,))*$F365))</f>
        <v>0</v>
      </c>
      <c r="AA365" s="19">
        <f>IF(VLOOKUP($D365,$C$5:$AJ$470,25,)=0,0,((VLOOKUP($D365,$C$5:$AJ$470,25,)/VLOOKUP($D365,$C$5:$AJ$470,4,))*$F365))</f>
        <v>0</v>
      </c>
      <c r="AB365" s="19">
        <f>IF(VLOOKUP($D365,$C$5:$AJ$470,26,)=0,0,((VLOOKUP($D365,$C$5:$AJ$470,26,)/VLOOKUP($D365,$C$5:$AJ$470,4,))*$F365))</f>
        <v>0</v>
      </c>
      <c r="AC365" s="19">
        <f>IF(VLOOKUP($D365,$C$5:$AJ$470,27,)=0,0,((VLOOKUP($D365,$C$5:$AJ$470,27,)/VLOOKUP($D365,$C$5:$AJ$470,4,))*$F365))</f>
        <v>0</v>
      </c>
      <c r="AD365" s="19">
        <f>IF(VLOOKUP($D365,$C$5:$AJ$470,28,)=0,0,((VLOOKUP($D365,$C$5:$AJ$470,28,)/VLOOKUP($D365,$C$5:$AJ$470,4,))*$F365))</f>
        <v>0</v>
      </c>
      <c r="AE365" s="19"/>
      <c r="AF365" s="19">
        <f>IF(VLOOKUP($D365,$C$5:$AJ$470,30,)=0,0,((VLOOKUP($D365,$C$5:$AJ$470,30,)/VLOOKUP($D365,$C$5:$AJ$470,4,))*$F365))</f>
        <v>0</v>
      </c>
      <c r="AG365" s="19"/>
      <c r="AH365" s="19">
        <f>IF(VLOOKUP($D365,$C$5:$AJ$470,32,)=0,0,((VLOOKUP($D365,$C$5:$AJ$470,32,)/VLOOKUP($D365,$C$5:$AJ$470,4,))*$F365))</f>
        <v>0</v>
      </c>
      <c r="AI365" s="19"/>
      <c r="AJ365" s="19">
        <f>IF(VLOOKUP($D365,$C$5:$AJ$470,34,)=0,0,((VLOOKUP($D365,$C$5:$AJ$470,34,)/VLOOKUP($D365,$C$5:$AJ$470,4,))*$F365))</f>
        <v>0</v>
      </c>
      <c r="AK365" s="19">
        <f>SUM(H365:AJ365)</f>
        <v>0</v>
      </c>
      <c r="AL365" s="15" t="str">
        <f>IF(ABS(AK365-F365)&lt;1,"ok","err")</f>
        <v>ok</v>
      </c>
    </row>
    <row r="366" spans="1:38" x14ac:dyDescent="0.3">
      <c r="A366" s="2">
        <v>902</v>
      </c>
      <c r="B366" s="2" t="s">
        <v>271</v>
      </c>
      <c r="C366" s="2" t="s">
        <v>426</v>
      </c>
      <c r="D366" s="2" t="s">
        <v>270</v>
      </c>
      <c r="F366" s="43">
        <v>0</v>
      </c>
      <c r="H366" s="19">
        <f>IF(VLOOKUP($D366,$C$5:$AJ$470,6,)=0,0,((VLOOKUP($D366,$C$5:$AJ$470,6,)/VLOOKUP($D366,$C$5:$AJ$470,4,))*$F366))</f>
        <v>0</v>
      </c>
      <c r="I366" s="19">
        <f>IF(VLOOKUP($D366,$C$5:$AJ$470,7,)=0,0,((VLOOKUP($D366,$C$5:$AJ$470,7,)/VLOOKUP($D366,$C$5:$AJ$470,4,))*$F366))</f>
        <v>0</v>
      </c>
      <c r="J366" s="19">
        <f>IF(VLOOKUP($D366,$C$5:$AJ$470,8,)=0,0,((VLOOKUP($D366,$C$5:$AJ$470,8,)/VLOOKUP($D366,$C$5:$AJ$470,4,))*$F366))</f>
        <v>0</v>
      </c>
      <c r="K366" s="19">
        <f>IF(VLOOKUP($D366,$C$5:$AJ$470,9,)=0,0,((VLOOKUP($D366,$C$5:$AJ$470,9,)/VLOOKUP($D366,$C$5:$AJ$470,4,))*$F366))</f>
        <v>0</v>
      </c>
      <c r="L366" s="19">
        <f>IF(VLOOKUP($D366,$C$5:$AJ$470,10,)=0,0,((VLOOKUP($D366,$C$5:$AJ$470,10,)/VLOOKUP($D366,$C$5:$AJ$470,4,))*$F366))</f>
        <v>0</v>
      </c>
      <c r="M366" s="19">
        <f>IF(VLOOKUP($D366,$C$5:$AJ$470,11,)=0,0,((VLOOKUP($D366,$C$5:$AJ$470,11,)/VLOOKUP($D366,$C$5:$AJ$470,4,))*$F366))</f>
        <v>0</v>
      </c>
      <c r="N366" s="19"/>
      <c r="O366" s="19">
        <f>IF(VLOOKUP($D366,$C$5:$AJ$470,13,)=0,0,((VLOOKUP($D366,$C$5:$AJ$470,13,)/VLOOKUP($D366,$C$5:$AJ$470,4,))*$F366))</f>
        <v>0</v>
      </c>
      <c r="P366" s="19">
        <f>IF(VLOOKUP($D366,$C$5:$AJ$470,14,)=0,0,((VLOOKUP($D366,$C$5:$AJ$470,14,)/VLOOKUP($D366,$C$5:$AJ$470,4,))*$F366))</f>
        <v>0</v>
      </c>
      <c r="Q366" s="19">
        <f>IF(VLOOKUP($D366,$C$5:$AJ$470,15,)=0,0,((VLOOKUP($D366,$C$5:$AJ$470,15,)/VLOOKUP($D366,$C$5:$AJ$470,4,))*$F366))</f>
        <v>0</v>
      </c>
      <c r="R366" s="19"/>
      <c r="S366" s="19">
        <f>IF(VLOOKUP($D366,$C$5:$AJ$470,17,)=0,0,((VLOOKUP($D366,$C$5:$AJ$470,17,)/VLOOKUP($D366,$C$5:$AJ$470,4,))*$F366))</f>
        <v>0</v>
      </c>
      <c r="T366" s="19">
        <f>IF(VLOOKUP($D366,$C$5:$AJ$470,18,)=0,0,((VLOOKUP($D366,$C$5:$AJ$470,18,)/VLOOKUP($D366,$C$5:$AJ$470,4,))*$F366))</f>
        <v>0</v>
      </c>
      <c r="U366" s="19">
        <f>IF(VLOOKUP($D366,$C$5:$AJ$470,19,)=0,0,((VLOOKUP($D366,$C$5:$AJ$470,19,)/VLOOKUP($D366,$C$5:$AJ$470,4,))*$F366))</f>
        <v>0</v>
      </c>
      <c r="V366" s="19">
        <f>IF(VLOOKUP($D366,$C$5:$AJ$470,20,)=0,0,((VLOOKUP($D366,$C$5:$AJ$470,20,)/VLOOKUP($D366,$C$5:$AJ$470,4,))*$F366))</f>
        <v>0</v>
      </c>
      <c r="W366" s="19">
        <f>IF(VLOOKUP($D366,$C$5:$AJ$470,21,)=0,0,((VLOOKUP($D366,$C$5:$AJ$470,21,)/VLOOKUP($D366,$C$5:$AJ$470,4,))*$F366))</f>
        <v>0</v>
      </c>
      <c r="X366" s="19">
        <f>IF(VLOOKUP($D366,$C$5:$AJ$470,22,)=0,0,((VLOOKUP($D366,$C$5:$AJ$470,22,)/VLOOKUP($D366,$C$5:$AJ$470,4,))*$F366))</f>
        <v>0</v>
      </c>
      <c r="Y366" s="19">
        <f>IF(VLOOKUP($D366,$C$5:$AJ$470,23,)=0,0,((VLOOKUP($D366,$C$5:$AJ$470,23,)/VLOOKUP($D366,$C$5:$AJ$470,4,))*$F366))</f>
        <v>0</v>
      </c>
      <c r="Z366" s="19">
        <f>IF(VLOOKUP($D366,$C$5:$AJ$470,24,)=0,0,((VLOOKUP($D366,$C$5:$AJ$470,24,)/VLOOKUP($D366,$C$5:$AJ$470,4,))*$F366))</f>
        <v>0</v>
      </c>
      <c r="AA366" s="19">
        <f>IF(VLOOKUP($D366,$C$5:$AJ$470,25,)=0,0,((VLOOKUP($D366,$C$5:$AJ$470,25,)/VLOOKUP($D366,$C$5:$AJ$470,4,))*$F366))</f>
        <v>0</v>
      </c>
      <c r="AB366" s="19">
        <f>IF(VLOOKUP($D366,$C$5:$AJ$470,26,)=0,0,((VLOOKUP($D366,$C$5:$AJ$470,26,)/VLOOKUP($D366,$C$5:$AJ$470,4,))*$F366))</f>
        <v>0</v>
      </c>
      <c r="AC366" s="19">
        <f>IF(VLOOKUP($D366,$C$5:$AJ$470,27,)=0,0,((VLOOKUP($D366,$C$5:$AJ$470,27,)/VLOOKUP($D366,$C$5:$AJ$470,4,))*$F366))</f>
        <v>0</v>
      </c>
      <c r="AD366" s="19">
        <f>IF(VLOOKUP($D366,$C$5:$AJ$470,28,)=0,0,((VLOOKUP($D366,$C$5:$AJ$470,28,)/VLOOKUP($D366,$C$5:$AJ$470,4,))*$F366))</f>
        <v>0</v>
      </c>
      <c r="AE366" s="19"/>
      <c r="AF366" s="19">
        <f>IF(VLOOKUP($D366,$C$5:$AJ$470,30,)=0,0,((VLOOKUP($D366,$C$5:$AJ$470,30,)/VLOOKUP($D366,$C$5:$AJ$470,4,))*$F366))</f>
        <v>0</v>
      </c>
      <c r="AG366" s="19"/>
      <c r="AH366" s="19">
        <f>IF(VLOOKUP($D366,$C$5:$AJ$470,32,)=0,0,((VLOOKUP($D366,$C$5:$AJ$470,32,)/VLOOKUP($D366,$C$5:$AJ$470,4,))*$F366))</f>
        <v>0</v>
      </c>
      <c r="AI366" s="19"/>
      <c r="AJ366" s="19">
        <f>IF(VLOOKUP($D366,$C$5:$AJ$470,34,)=0,0,((VLOOKUP($D366,$C$5:$AJ$470,34,)/VLOOKUP($D366,$C$5:$AJ$470,4,))*$F366))</f>
        <v>0</v>
      </c>
      <c r="AK366" s="19">
        <f>SUM(H366:AJ366)</f>
        <v>0</v>
      </c>
      <c r="AL366" s="15" t="str">
        <f>IF(ABS(AK366-F366)&lt;1,"ok","err")</f>
        <v>ok</v>
      </c>
    </row>
    <row r="367" spans="1:38" x14ac:dyDescent="0.3">
      <c r="A367" s="2">
        <v>903</v>
      </c>
      <c r="B367" s="2" t="s">
        <v>273</v>
      </c>
      <c r="C367" s="2" t="s">
        <v>427</v>
      </c>
      <c r="D367" s="2" t="s">
        <v>270</v>
      </c>
      <c r="F367" s="43">
        <v>0</v>
      </c>
      <c r="H367" s="19">
        <f>IF(VLOOKUP($D367,$C$5:$AJ$470,6,)=0,0,((VLOOKUP($D367,$C$5:$AJ$470,6,)/VLOOKUP($D367,$C$5:$AJ$470,4,))*$F367))</f>
        <v>0</v>
      </c>
      <c r="I367" s="19">
        <f>IF(VLOOKUP($D367,$C$5:$AJ$470,7,)=0,0,((VLOOKUP($D367,$C$5:$AJ$470,7,)/VLOOKUP($D367,$C$5:$AJ$470,4,))*$F367))</f>
        <v>0</v>
      </c>
      <c r="J367" s="19">
        <f>IF(VLOOKUP($D367,$C$5:$AJ$470,8,)=0,0,((VLOOKUP($D367,$C$5:$AJ$470,8,)/VLOOKUP($D367,$C$5:$AJ$470,4,))*$F367))</f>
        <v>0</v>
      </c>
      <c r="K367" s="19">
        <f>IF(VLOOKUP($D367,$C$5:$AJ$470,9,)=0,0,((VLOOKUP($D367,$C$5:$AJ$470,9,)/VLOOKUP($D367,$C$5:$AJ$470,4,))*$F367))</f>
        <v>0</v>
      </c>
      <c r="L367" s="19">
        <f>IF(VLOOKUP($D367,$C$5:$AJ$470,10,)=0,0,((VLOOKUP($D367,$C$5:$AJ$470,10,)/VLOOKUP($D367,$C$5:$AJ$470,4,))*$F367))</f>
        <v>0</v>
      </c>
      <c r="M367" s="19">
        <f>IF(VLOOKUP($D367,$C$5:$AJ$470,11,)=0,0,((VLOOKUP($D367,$C$5:$AJ$470,11,)/VLOOKUP($D367,$C$5:$AJ$470,4,))*$F367))</f>
        <v>0</v>
      </c>
      <c r="N367" s="19"/>
      <c r="O367" s="19">
        <f>IF(VLOOKUP($D367,$C$5:$AJ$470,13,)=0,0,((VLOOKUP($D367,$C$5:$AJ$470,13,)/VLOOKUP($D367,$C$5:$AJ$470,4,))*$F367))</f>
        <v>0</v>
      </c>
      <c r="P367" s="19">
        <f>IF(VLOOKUP($D367,$C$5:$AJ$470,14,)=0,0,((VLOOKUP($D367,$C$5:$AJ$470,14,)/VLOOKUP($D367,$C$5:$AJ$470,4,))*$F367))</f>
        <v>0</v>
      </c>
      <c r="Q367" s="19">
        <f>IF(VLOOKUP($D367,$C$5:$AJ$470,15,)=0,0,((VLOOKUP($D367,$C$5:$AJ$470,15,)/VLOOKUP($D367,$C$5:$AJ$470,4,))*$F367))</f>
        <v>0</v>
      </c>
      <c r="R367" s="19"/>
      <c r="S367" s="19">
        <f>IF(VLOOKUP($D367,$C$5:$AJ$470,17,)=0,0,((VLOOKUP($D367,$C$5:$AJ$470,17,)/VLOOKUP($D367,$C$5:$AJ$470,4,))*$F367))</f>
        <v>0</v>
      </c>
      <c r="T367" s="19">
        <f>IF(VLOOKUP($D367,$C$5:$AJ$470,18,)=0,0,((VLOOKUP($D367,$C$5:$AJ$470,18,)/VLOOKUP($D367,$C$5:$AJ$470,4,))*$F367))</f>
        <v>0</v>
      </c>
      <c r="U367" s="19">
        <f>IF(VLOOKUP($D367,$C$5:$AJ$470,19,)=0,0,((VLOOKUP($D367,$C$5:$AJ$470,19,)/VLOOKUP($D367,$C$5:$AJ$470,4,))*$F367))</f>
        <v>0</v>
      </c>
      <c r="V367" s="19">
        <f>IF(VLOOKUP($D367,$C$5:$AJ$470,20,)=0,0,((VLOOKUP($D367,$C$5:$AJ$470,20,)/VLOOKUP($D367,$C$5:$AJ$470,4,))*$F367))</f>
        <v>0</v>
      </c>
      <c r="W367" s="19">
        <f>IF(VLOOKUP($D367,$C$5:$AJ$470,21,)=0,0,((VLOOKUP($D367,$C$5:$AJ$470,21,)/VLOOKUP($D367,$C$5:$AJ$470,4,))*$F367))</f>
        <v>0</v>
      </c>
      <c r="X367" s="19">
        <f>IF(VLOOKUP($D367,$C$5:$AJ$470,22,)=0,0,((VLOOKUP($D367,$C$5:$AJ$470,22,)/VLOOKUP($D367,$C$5:$AJ$470,4,))*$F367))</f>
        <v>0</v>
      </c>
      <c r="Y367" s="19">
        <f>IF(VLOOKUP($D367,$C$5:$AJ$470,23,)=0,0,((VLOOKUP($D367,$C$5:$AJ$470,23,)/VLOOKUP($D367,$C$5:$AJ$470,4,))*$F367))</f>
        <v>0</v>
      </c>
      <c r="Z367" s="19">
        <f>IF(VLOOKUP($D367,$C$5:$AJ$470,24,)=0,0,((VLOOKUP($D367,$C$5:$AJ$470,24,)/VLOOKUP($D367,$C$5:$AJ$470,4,))*$F367))</f>
        <v>0</v>
      </c>
      <c r="AA367" s="19">
        <f>IF(VLOOKUP($D367,$C$5:$AJ$470,25,)=0,0,((VLOOKUP($D367,$C$5:$AJ$470,25,)/VLOOKUP($D367,$C$5:$AJ$470,4,))*$F367))</f>
        <v>0</v>
      </c>
      <c r="AB367" s="19">
        <f>IF(VLOOKUP($D367,$C$5:$AJ$470,26,)=0,0,((VLOOKUP($D367,$C$5:$AJ$470,26,)/VLOOKUP($D367,$C$5:$AJ$470,4,))*$F367))</f>
        <v>0</v>
      </c>
      <c r="AC367" s="19">
        <f>IF(VLOOKUP($D367,$C$5:$AJ$470,27,)=0,0,((VLOOKUP($D367,$C$5:$AJ$470,27,)/VLOOKUP($D367,$C$5:$AJ$470,4,))*$F367))</f>
        <v>0</v>
      </c>
      <c r="AD367" s="19">
        <f>IF(VLOOKUP($D367,$C$5:$AJ$470,28,)=0,0,((VLOOKUP($D367,$C$5:$AJ$470,28,)/VLOOKUP($D367,$C$5:$AJ$470,4,))*$F367))</f>
        <v>0</v>
      </c>
      <c r="AE367" s="19"/>
      <c r="AF367" s="19">
        <f>IF(VLOOKUP($D367,$C$5:$AJ$470,30,)=0,0,((VLOOKUP($D367,$C$5:$AJ$470,30,)/VLOOKUP($D367,$C$5:$AJ$470,4,))*$F367))</f>
        <v>0</v>
      </c>
      <c r="AG367" s="19"/>
      <c r="AH367" s="19">
        <f>IF(VLOOKUP($D367,$C$5:$AJ$470,32,)=0,0,((VLOOKUP($D367,$C$5:$AJ$470,32,)/VLOOKUP($D367,$C$5:$AJ$470,4,))*$F367))</f>
        <v>0</v>
      </c>
      <c r="AI367" s="19"/>
      <c r="AJ367" s="19">
        <f>IF(VLOOKUP($D367,$C$5:$AJ$470,34,)=0,0,((VLOOKUP($D367,$C$5:$AJ$470,34,)/VLOOKUP($D367,$C$5:$AJ$470,4,))*$F367))</f>
        <v>0</v>
      </c>
      <c r="AK367" s="19">
        <f>SUM(H367:AJ367)</f>
        <v>0</v>
      </c>
      <c r="AL367" s="15" t="str">
        <f>IF(ABS(AK367-F367)&lt;1,"ok","err")</f>
        <v>ok</v>
      </c>
    </row>
    <row r="368" spans="1:38" x14ac:dyDescent="0.3">
      <c r="A368" s="2">
        <v>904</v>
      </c>
      <c r="B368" s="2" t="s">
        <v>275</v>
      </c>
      <c r="C368" s="2" t="s">
        <v>428</v>
      </c>
      <c r="D368" s="2" t="s">
        <v>270</v>
      </c>
      <c r="F368" s="43">
        <v>0</v>
      </c>
      <c r="H368" s="19">
        <f>IF(VLOOKUP($D368,$C$5:$AJ$470,6,)=0,0,((VLOOKUP($D368,$C$5:$AJ$470,6,)/VLOOKUP($D368,$C$5:$AJ$470,4,))*$F368))</f>
        <v>0</v>
      </c>
      <c r="I368" s="19">
        <f>IF(VLOOKUP($D368,$C$5:$AJ$470,7,)=0,0,((VLOOKUP($D368,$C$5:$AJ$470,7,)/VLOOKUP($D368,$C$5:$AJ$470,4,))*$F368))</f>
        <v>0</v>
      </c>
      <c r="J368" s="19">
        <f>IF(VLOOKUP($D368,$C$5:$AJ$470,8,)=0,0,((VLOOKUP($D368,$C$5:$AJ$470,8,)/VLOOKUP($D368,$C$5:$AJ$470,4,))*$F368))</f>
        <v>0</v>
      </c>
      <c r="K368" s="19">
        <f>IF(VLOOKUP($D368,$C$5:$AJ$470,9,)=0,0,((VLOOKUP($D368,$C$5:$AJ$470,9,)/VLOOKUP($D368,$C$5:$AJ$470,4,))*$F368))</f>
        <v>0</v>
      </c>
      <c r="L368" s="19">
        <f>IF(VLOOKUP($D368,$C$5:$AJ$470,10,)=0,0,((VLOOKUP($D368,$C$5:$AJ$470,10,)/VLOOKUP($D368,$C$5:$AJ$470,4,))*$F368))</f>
        <v>0</v>
      </c>
      <c r="M368" s="19">
        <f>IF(VLOOKUP($D368,$C$5:$AJ$470,11,)=0,0,((VLOOKUP($D368,$C$5:$AJ$470,11,)/VLOOKUP($D368,$C$5:$AJ$470,4,))*$F368))</f>
        <v>0</v>
      </c>
      <c r="N368" s="19"/>
      <c r="O368" s="19">
        <f>IF(VLOOKUP($D368,$C$5:$AJ$470,13,)=0,0,((VLOOKUP($D368,$C$5:$AJ$470,13,)/VLOOKUP($D368,$C$5:$AJ$470,4,))*$F368))</f>
        <v>0</v>
      </c>
      <c r="P368" s="19">
        <f>IF(VLOOKUP($D368,$C$5:$AJ$470,14,)=0,0,((VLOOKUP($D368,$C$5:$AJ$470,14,)/VLOOKUP($D368,$C$5:$AJ$470,4,))*$F368))</f>
        <v>0</v>
      </c>
      <c r="Q368" s="19">
        <f>IF(VLOOKUP($D368,$C$5:$AJ$470,15,)=0,0,((VLOOKUP($D368,$C$5:$AJ$470,15,)/VLOOKUP($D368,$C$5:$AJ$470,4,))*$F368))</f>
        <v>0</v>
      </c>
      <c r="R368" s="19"/>
      <c r="S368" s="19">
        <f>IF(VLOOKUP($D368,$C$5:$AJ$470,17,)=0,0,((VLOOKUP($D368,$C$5:$AJ$470,17,)/VLOOKUP($D368,$C$5:$AJ$470,4,))*$F368))</f>
        <v>0</v>
      </c>
      <c r="T368" s="19">
        <f>IF(VLOOKUP($D368,$C$5:$AJ$470,18,)=0,0,((VLOOKUP($D368,$C$5:$AJ$470,18,)/VLOOKUP($D368,$C$5:$AJ$470,4,))*$F368))</f>
        <v>0</v>
      </c>
      <c r="U368" s="19">
        <f>IF(VLOOKUP($D368,$C$5:$AJ$470,19,)=0,0,((VLOOKUP($D368,$C$5:$AJ$470,19,)/VLOOKUP($D368,$C$5:$AJ$470,4,))*$F368))</f>
        <v>0</v>
      </c>
      <c r="V368" s="19">
        <f>IF(VLOOKUP($D368,$C$5:$AJ$470,20,)=0,0,((VLOOKUP($D368,$C$5:$AJ$470,20,)/VLOOKUP($D368,$C$5:$AJ$470,4,))*$F368))</f>
        <v>0</v>
      </c>
      <c r="W368" s="19">
        <f>IF(VLOOKUP($D368,$C$5:$AJ$470,21,)=0,0,((VLOOKUP($D368,$C$5:$AJ$470,21,)/VLOOKUP($D368,$C$5:$AJ$470,4,))*$F368))</f>
        <v>0</v>
      </c>
      <c r="X368" s="19">
        <f>IF(VLOOKUP($D368,$C$5:$AJ$470,22,)=0,0,((VLOOKUP($D368,$C$5:$AJ$470,22,)/VLOOKUP($D368,$C$5:$AJ$470,4,))*$F368))</f>
        <v>0</v>
      </c>
      <c r="Y368" s="19">
        <f>IF(VLOOKUP($D368,$C$5:$AJ$470,23,)=0,0,((VLOOKUP($D368,$C$5:$AJ$470,23,)/VLOOKUP($D368,$C$5:$AJ$470,4,))*$F368))</f>
        <v>0</v>
      </c>
      <c r="Z368" s="19">
        <f>IF(VLOOKUP($D368,$C$5:$AJ$470,24,)=0,0,((VLOOKUP($D368,$C$5:$AJ$470,24,)/VLOOKUP($D368,$C$5:$AJ$470,4,))*$F368))</f>
        <v>0</v>
      </c>
      <c r="AA368" s="19">
        <f>IF(VLOOKUP($D368,$C$5:$AJ$470,25,)=0,0,((VLOOKUP($D368,$C$5:$AJ$470,25,)/VLOOKUP($D368,$C$5:$AJ$470,4,))*$F368))</f>
        <v>0</v>
      </c>
      <c r="AB368" s="19">
        <f>IF(VLOOKUP($D368,$C$5:$AJ$470,26,)=0,0,((VLOOKUP($D368,$C$5:$AJ$470,26,)/VLOOKUP($D368,$C$5:$AJ$470,4,))*$F368))</f>
        <v>0</v>
      </c>
      <c r="AC368" s="19">
        <f>IF(VLOOKUP($D368,$C$5:$AJ$470,27,)=0,0,((VLOOKUP($D368,$C$5:$AJ$470,27,)/VLOOKUP($D368,$C$5:$AJ$470,4,))*$F368))</f>
        <v>0</v>
      </c>
      <c r="AD368" s="19">
        <f>IF(VLOOKUP($D368,$C$5:$AJ$470,28,)=0,0,((VLOOKUP($D368,$C$5:$AJ$470,28,)/VLOOKUP($D368,$C$5:$AJ$470,4,))*$F368))</f>
        <v>0</v>
      </c>
      <c r="AE368" s="19"/>
      <c r="AF368" s="19">
        <f>IF(VLOOKUP($D368,$C$5:$AJ$470,30,)=0,0,((VLOOKUP($D368,$C$5:$AJ$470,30,)/VLOOKUP($D368,$C$5:$AJ$470,4,))*$F368))</f>
        <v>0</v>
      </c>
      <c r="AG368" s="19"/>
      <c r="AH368" s="19">
        <f>IF(VLOOKUP($D368,$C$5:$AJ$470,32,)=0,0,((VLOOKUP($D368,$C$5:$AJ$470,32,)/VLOOKUP($D368,$C$5:$AJ$470,4,))*$F368))</f>
        <v>0</v>
      </c>
      <c r="AI368" s="19"/>
      <c r="AJ368" s="19">
        <f>IF(VLOOKUP($D368,$C$5:$AJ$470,34,)=0,0,((VLOOKUP($D368,$C$5:$AJ$470,34,)/VLOOKUP($D368,$C$5:$AJ$470,4,))*$F368))</f>
        <v>0</v>
      </c>
      <c r="AK368" s="19">
        <f>SUM(H368:AJ368)</f>
        <v>0</v>
      </c>
      <c r="AL368" s="15" t="str">
        <f>IF(ABS(AK368-F368)&lt;1,"ok","err")</f>
        <v>ok</v>
      </c>
    </row>
    <row r="369" spans="1:38" x14ac:dyDescent="0.3">
      <c r="A369" s="2">
        <v>905</v>
      </c>
      <c r="B369" s="2" t="s">
        <v>277</v>
      </c>
      <c r="C369" s="2" t="s">
        <v>427</v>
      </c>
      <c r="D369" s="2" t="s">
        <v>270</v>
      </c>
      <c r="F369" s="43">
        <v>0</v>
      </c>
      <c r="H369" s="19">
        <f>IF(VLOOKUP($D369,$C$5:$AJ$470,6,)=0,0,((VLOOKUP($D369,$C$5:$AJ$470,6,)/VLOOKUP($D369,$C$5:$AJ$470,4,))*$F369))</f>
        <v>0</v>
      </c>
      <c r="I369" s="19">
        <f>IF(VLOOKUP($D369,$C$5:$AJ$470,7,)=0,0,((VLOOKUP($D369,$C$5:$AJ$470,7,)/VLOOKUP($D369,$C$5:$AJ$470,4,))*$F369))</f>
        <v>0</v>
      </c>
      <c r="J369" s="19">
        <f>IF(VLOOKUP($D369,$C$5:$AJ$470,8,)=0,0,((VLOOKUP($D369,$C$5:$AJ$470,8,)/VLOOKUP($D369,$C$5:$AJ$470,4,))*$F369))</f>
        <v>0</v>
      </c>
      <c r="K369" s="19">
        <f>IF(VLOOKUP($D369,$C$5:$AJ$470,9,)=0,0,((VLOOKUP($D369,$C$5:$AJ$470,9,)/VLOOKUP($D369,$C$5:$AJ$470,4,))*$F369))</f>
        <v>0</v>
      </c>
      <c r="L369" s="19">
        <f>IF(VLOOKUP($D369,$C$5:$AJ$470,10,)=0,0,((VLOOKUP($D369,$C$5:$AJ$470,10,)/VLOOKUP($D369,$C$5:$AJ$470,4,))*$F369))</f>
        <v>0</v>
      </c>
      <c r="M369" s="19">
        <f>IF(VLOOKUP($D369,$C$5:$AJ$470,11,)=0,0,((VLOOKUP($D369,$C$5:$AJ$470,11,)/VLOOKUP($D369,$C$5:$AJ$470,4,))*$F369))</f>
        <v>0</v>
      </c>
      <c r="N369" s="19"/>
      <c r="O369" s="19">
        <f>IF(VLOOKUP($D369,$C$5:$AJ$470,13,)=0,0,((VLOOKUP($D369,$C$5:$AJ$470,13,)/VLOOKUP($D369,$C$5:$AJ$470,4,))*$F369))</f>
        <v>0</v>
      </c>
      <c r="P369" s="19">
        <f>IF(VLOOKUP($D369,$C$5:$AJ$470,14,)=0,0,((VLOOKUP($D369,$C$5:$AJ$470,14,)/VLOOKUP($D369,$C$5:$AJ$470,4,))*$F369))</f>
        <v>0</v>
      </c>
      <c r="Q369" s="19">
        <f>IF(VLOOKUP($D369,$C$5:$AJ$470,15,)=0,0,((VLOOKUP($D369,$C$5:$AJ$470,15,)/VLOOKUP($D369,$C$5:$AJ$470,4,))*$F369))</f>
        <v>0</v>
      </c>
      <c r="R369" s="19"/>
      <c r="S369" s="19">
        <f>IF(VLOOKUP($D369,$C$5:$AJ$470,17,)=0,0,((VLOOKUP($D369,$C$5:$AJ$470,17,)/VLOOKUP($D369,$C$5:$AJ$470,4,))*$F369))</f>
        <v>0</v>
      </c>
      <c r="T369" s="19">
        <f>IF(VLOOKUP($D369,$C$5:$AJ$470,18,)=0,0,((VLOOKUP($D369,$C$5:$AJ$470,18,)/VLOOKUP($D369,$C$5:$AJ$470,4,))*$F369))</f>
        <v>0</v>
      </c>
      <c r="U369" s="19">
        <f>IF(VLOOKUP($D369,$C$5:$AJ$470,19,)=0,0,((VLOOKUP($D369,$C$5:$AJ$470,19,)/VLOOKUP($D369,$C$5:$AJ$470,4,))*$F369))</f>
        <v>0</v>
      </c>
      <c r="V369" s="19">
        <f>IF(VLOOKUP($D369,$C$5:$AJ$470,20,)=0,0,((VLOOKUP($D369,$C$5:$AJ$470,20,)/VLOOKUP($D369,$C$5:$AJ$470,4,))*$F369))</f>
        <v>0</v>
      </c>
      <c r="W369" s="19">
        <f>IF(VLOOKUP($D369,$C$5:$AJ$470,21,)=0,0,((VLOOKUP($D369,$C$5:$AJ$470,21,)/VLOOKUP($D369,$C$5:$AJ$470,4,))*$F369))</f>
        <v>0</v>
      </c>
      <c r="X369" s="19">
        <f>IF(VLOOKUP($D369,$C$5:$AJ$470,22,)=0,0,((VLOOKUP($D369,$C$5:$AJ$470,22,)/VLOOKUP($D369,$C$5:$AJ$470,4,))*$F369))</f>
        <v>0</v>
      </c>
      <c r="Y369" s="19">
        <f>IF(VLOOKUP($D369,$C$5:$AJ$470,23,)=0,0,((VLOOKUP($D369,$C$5:$AJ$470,23,)/VLOOKUP($D369,$C$5:$AJ$470,4,))*$F369))</f>
        <v>0</v>
      </c>
      <c r="Z369" s="19">
        <f>IF(VLOOKUP($D369,$C$5:$AJ$470,24,)=0,0,((VLOOKUP($D369,$C$5:$AJ$470,24,)/VLOOKUP($D369,$C$5:$AJ$470,4,))*$F369))</f>
        <v>0</v>
      </c>
      <c r="AA369" s="19">
        <f>IF(VLOOKUP($D369,$C$5:$AJ$470,25,)=0,0,((VLOOKUP($D369,$C$5:$AJ$470,25,)/VLOOKUP($D369,$C$5:$AJ$470,4,))*$F369))</f>
        <v>0</v>
      </c>
      <c r="AB369" s="19">
        <f>IF(VLOOKUP($D369,$C$5:$AJ$470,26,)=0,0,((VLOOKUP($D369,$C$5:$AJ$470,26,)/VLOOKUP($D369,$C$5:$AJ$470,4,))*$F369))</f>
        <v>0</v>
      </c>
      <c r="AC369" s="19">
        <f>IF(VLOOKUP($D369,$C$5:$AJ$470,27,)=0,0,((VLOOKUP($D369,$C$5:$AJ$470,27,)/VLOOKUP($D369,$C$5:$AJ$470,4,))*$F369))</f>
        <v>0</v>
      </c>
      <c r="AD369" s="19">
        <f>IF(VLOOKUP($D369,$C$5:$AJ$470,28,)=0,0,((VLOOKUP($D369,$C$5:$AJ$470,28,)/VLOOKUP($D369,$C$5:$AJ$470,4,))*$F369))</f>
        <v>0</v>
      </c>
      <c r="AE369" s="19"/>
      <c r="AF369" s="19">
        <f>IF(VLOOKUP($D369,$C$5:$AJ$470,30,)=0,0,((VLOOKUP($D369,$C$5:$AJ$470,30,)/VLOOKUP($D369,$C$5:$AJ$470,4,))*$F369))</f>
        <v>0</v>
      </c>
      <c r="AG369" s="19"/>
      <c r="AH369" s="19">
        <f>IF(VLOOKUP($D369,$C$5:$AJ$470,32,)=0,0,((VLOOKUP($D369,$C$5:$AJ$470,32,)/VLOOKUP($D369,$C$5:$AJ$470,4,))*$F369))</f>
        <v>0</v>
      </c>
      <c r="AI369" s="19"/>
      <c r="AJ369" s="19">
        <f>IF(VLOOKUP($D369,$C$5:$AJ$470,34,)=0,0,((VLOOKUP($D369,$C$5:$AJ$470,34,)/VLOOKUP($D369,$C$5:$AJ$470,4,))*$F369))</f>
        <v>0</v>
      </c>
      <c r="AK369" s="19">
        <f>SUM(H369:AJ369)</f>
        <v>0</v>
      </c>
      <c r="AL369" s="15" t="str">
        <f>IF(ABS(AK369-F369)&lt;1,"ok","err")</f>
        <v>ok</v>
      </c>
    </row>
    <row r="370" spans="1:38" x14ac:dyDescent="0.3">
      <c r="A370" s="3"/>
      <c r="F370" s="43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5"/>
    </row>
    <row r="371" spans="1:38" x14ac:dyDescent="0.3">
      <c r="A371" s="2" t="s">
        <v>429</v>
      </c>
      <c r="C371" s="2" t="s">
        <v>430</v>
      </c>
      <c r="F371" s="44">
        <f>SUM(F365:F370)</f>
        <v>0</v>
      </c>
      <c r="G371" s="18">
        <f>SUM(G365:G370)</f>
        <v>0</v>
      </c>
      <c r="H371" s="18">
        <f t="shared" ref="H371:M371" si="425">SUM(H365:H370)</f>
        <v>0</v>
      </c>
      <c r="I371" s="18">
        <f t="shared" si="425"/>
        <v>0</v>
      </c>
      <c r="J371" s="18">
        <f t="shared" si="425"/>
        <v>0</v>
      </c>
      <c r="K371" s="18">
        <f t="shared" si="425"/>
        <v>0</v>
      </c>
      <c r="L371" s="18">
        <f t="shared" si="425"/>
        <v>0</v>
      </c>
      <c r="M371" s="18">
        <f t="shared" si="425"/>
        <v>0</v>
      </c>
      <c r="N371" s="19"/>
      <c r="O371" s="18">
        <f>SUM(O365:O370)</f>
        <v>0</v>
      </c>
      <c r="P371" s="18">
        <f>SUM(P365:P370)</f>
        <v>0</v>
      </c>
      <c r="Q371" s="18">
        <f>SUM(Q365:Q370)</f>
        <v>0</v>
      </c>
      <c r="R371" s="19"/>
      <c r="S371" s="18">
        <f t="shared" ref="S371:AD371" si="426">SUM(S365:S370)</f>
        <v>0</v>
      </c>
      <c r="T371" s="18">
        <f t="shared" si="426"/>
        <v>0</v>
      </c>
      <c r="U371" s="18">
        <f t="shared" si="426"/>
        <v>0</v>
      </c>
      <c r="V371" s="18">
        <f t="shared" si="426"/>
        <v>0</v>
      </c>
      <c r="W371" s="18">
        <f t="shared" si="426"/>
        <v>0</v>
      </c>
      <c r="X371" s="18">
        <f t="shared" si="426"/>
        <v>0</v>
      </c>
      <c r="Y371" s="18">
        <f t="shared" si="426"/>
        <v>0</v>
      </c>
      <c r="Z371" s="18">
        <f t="shared" si="426"/>
        <v>0</v>
      </c>
      <c r="AA371" s="18">
        <f t="shared" si="426"/>
        <v>0</v>
      </c>
      <c r="AB371" s="18">
        <f t="shared" si="426"/>
        <v>0</v>
      </c>
      <c r="AC371" s="18">
        <f t="shared" si="426"/>
        <v>0</v>
      </c>
      <c r="AD371" s="18">
        <f t="shared" si="426"/>
        <v>0</v>
      </c>
      <c r="AE371" s="19"/>
      <c r="AF371" s="18">
        <f>SUM(AF365:AF370)</f>
        <v>0</v>
      </c>
      <c r="AG371" s="19"/>
      <c r="AH371" s="18">
        <f>SUM(AH365:AH370)</f>
        <v>0</v>
      </c>
      <c r="AI371" s="19"/>
      <c r="AJ371" s="18">
        <f>SUM(AJ365:AJ370)</f>
        <v>0</v>
      </c>
      <c r="AK371" s="19">
        <f>SUM(H371:AJ371)</f>
        <v>0</v>
      </c>
      <c r="AL371" s="15" t="str">
        <f>IF(ABS(AK371-F371)&lt;1,"ok","err")</f>
        <v>ok</v>
      </c>
    </row>
    <row r="372" spans="1:38" x14ac:dyDescent="0.3">
      <c r="F372" s="43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L372" s="15"/>
    </row>
    <row r="373" spans="1:38" x14ac:dyDescent="0.3">
      <c r="A373" s="3" t="s">
        <v>280</v>
      </c>
      <c r="F373" s="43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L373" s="15"/>
    </row>
    <row r="374" spans="1:38" x14ac:dyDescent="0.3">
      <c r="A374" s="2">
        <v>907</v>
      </c>
      <c r="B374" s="2" t="s">
        <v>281</v>
      </c>
      <c r="C374" s="2" t="s">
        <v>431</v>
      </c>
      <c r="D374" s="2" t="s">
        <v>62</v>
      </c>
      <c r="F374" s="44">
        <v>0</v>
      </c>
      <c r="H374" s="19">
        <f t="shared" ref="H374:H384" si="427">IF(VLOOKUP($D374,$C$5:$AJ$470,6,)=0,0,((VLOOKUP($D374,$C$5:$AJ$470,6,)/VLOOKUP($D374,$C$5:$AJ$470,4,))*$F374))</f>
        <v>0</v>
      </c>
      <c r="I374" s="19">
        <f t="shared" ref="I374:I384" si="428">IF(VLOOKUP($D374,$C$5:$AJ$470,7,)=0,0,((VLOOKUP($D374,$C$5:$AJ$470,7,)/VLOOKUP($D374,$C$5:$AJ$470,4,))*$F374))</f>
        <v>0</v>
      </c>
      <c r="J374" s="19">
        <f t="shared" ref="J374:J384" si="429">IF(VLOOKUP($D374,$C$5:$AJ$470,8,)=0,0,((VLOOKUP($D374,$C$5:$AJ$470,8,)/VLOOKUP($D374,$C$5:$AJ$470,4,))*$F374))</f>
        <v>0</v>
      </c>
      <c r="K374" s="19">
        <f t="shared" ref="K374:K384" si="430">IF(VLOOKUP($D374,$C$5:$AJ$470,9,)=0,0,((VLOOKUP($D374,$C$5:$AJ$470,9,)/VLOOKUP($D374,$C$5:$AJ$470,4,))*$F374))</f>
        <v>0</v>
      </c>
      <c r="L374" s="19">
        <f t="shared" ref="L374:L384" si="431">IF(VLOOKUP($D374,$C$5:$AJ$470,10,)=0,0,((VLOOKUP($D374,$C$5:$AJ$470,10,)/VLOOKUP($D374,$C$5:$AJ$470,4,))*$F374))</f>
        <v>0</v>
      </c>
      <c r="M374" s="19">
        <f t="shared" ref="M374:M384" si="432">IF(VLOOKUP($D374,$C$5:$AJ$470,11,)=0,0,((VLOOKUP($D374,$C$5:$AJ$470,11,)/VLOOKUP($D374,$C$5:$AJ$470,4,))*$F374))</f>
        <v>0</v>
      </c>
      <c r="N374" s="19"/>
      <c r="O374" s="19">
        <f t="shared" ref="O374:O384" si="433">IF(VLOOKUP($D374,$C$5:$AJ$470,13,)=0,0,((VLOOKUP($D374,$C$5:$AJ$470,13,)/VLOOKUP($D374,$C$5:$AJ$470,4,))*$F374))</f>
        <v>0</v>
      </c>
      <c r="P374" s="19">
        <f t="shared" ref="P374:P384" si="434">IF(VLOOKUP($D374,$C$5:$AJ$470,14,)=0,0,((VLOOKUP($D374,$C$5:$AJ$470,14,)/VLOOKUP($D374,$C$5:$AJ$470,4,))*$F374))</f>
        <v>0</v>
      </c>
      <c r="Q374" s="19">
        <f t="shared" ref="Q374:Q384" si="435">IF(VLOOKUP($D374,$C$5:$AJ$470,15,)=0,0,((VLOOKUP($D374,$C$5:$AJ$470,15,)/VLOOKUP($D374,$C$5:$AJ$470,4,))*$F374))</f>
        <v>0</v>
      </c>
      <c r="R374" s="19"/>
      <c r="S374" s="19">
        <f t="shared" ref="S374:S384" si="436">IF(VLOOKUP($D374,$C$5:$AJ$470,17,)=0,0,((VLOOKUP($D374,$C$5:$AJ$470,17,)/VLOOKUP($D374,$C$5:$AJ$470,4,))*$F374))</f>
        <v>0</v>
      </c>
      <c r="T374" s="19">
        <f t="shared" ref="T374:T384" si="437">IF(VLOOKUP($D374,$C$5:$AJ$470,18,)=0,0,((VLOOKUP($D374,$C$5:$AJ$470,18,)/VLOOKUP($D374,$C$5:$AJ$470,4,))*$F374))</f>
        <v>0</v>
      </c>
      <c r="U374" s="19">
        <f t="shared" ref="U374:U384" si="438">IF(VLOOKUP($D374,$C$5:$AJ$470,19,)=0,0,((VLOOKUP($D374,$C$5:$AJ$470,19,)/VLOOKUP($D374,$C$5:$AJ$470,4,))*$F374))</f>
        <v>0</v>
      </c>
      <c r="V374" s="19">
        <f t="shared" ref="V374:V384" si="439">IF(VLOOKUP($D374,$C$5:$AJ$470,20,)=0,0,((VLOOKUP($D374,$C$5:$AJ$470,20,)/VLOOKUP($D374,$C$5:$AJ$470,4,))*$F374))</f>
        <v>0</v>
      </c>
      <c r="W374" s="19">
        <f t="shared" ref="W374:W384" si="440">IF(VLOOKUP($D374,$C$5:$AJ$470,21,)=0,0,((VLOOKUP($D374,$C$5:$AJ$470,21,)/VLOOKUP($D374,$C$5:$AJ$470,4,))*$F374))</f>
        <v>0</v>
      </c>
      <c r="X374" s="19">
        <f t="shared" ref="X374:X384" si="441">IF(VLOOKUP($D374,$C$5:$AJ$470,22,)=0,0,((VLOOKUP($D374,$C$5:$AJ$470,22,)/VLOOKUP($D374,$C$5:$AJ$470,4,))*$F374))</f>
        <v>0</v>
      </c>
      <c r="Y374" s="19">
        <f t="shared" ref="Y374:Y384" si="442">IF(VLOOKUP($D374,$C$5:$AJ$470,23,)=0,0,((VLOOKUP($D374,$C$5:$AJ$470,23,)/VLOOKUP($D374,$C$5:$AJ$470,4,))*$F374))</f>
        <v>0</v>
      </c>
      <c r="Z374" s="19">
        <f t="shared" ref="Z374:Z384" si="443">IF(VLOOKUP($D374,$C$5:$AJ$470,24,)=0,0,((VLOOKUP($D374,$C$5:$AJ$470,24,)/VLOOKUP($D374,$C$5:$AJ$470,4,))*$F374))</f>
        <v>0</v>
      </c>
      <c r="AA374" s="19">
        <f t="shared" ref="AA374:AA384" si="444">IF(VLOOKUP($D374,$C$5:$AJ$470,25,)=0,0,((VLOOKUP($D374,$C$5:$AJ$470,25,)/VLOOKUP($D374,$C$5:$AJ$470,4,))*$F374))</f>
        <v>0</v>
      </c>
      <c r="AB374" s="19">
        <f t="shared" ref="AB374:AB384" si="445">IF(VLOOKUP($D374,$C$5:$AJ$470,26,)=0,0,((VLOOKUP($D374,$C$5:$AJ$470,26,)/VLOOKUP($D374,$C$5:$AJ$470,4,))*$F374))</f>
        <v>0</v>
      </c>
      <c r="AC374" s="19">
        <f t="shared" ref="AC374:AC384" si="446">IF(VLOOKUP($D374,$C$5:$AJ$470,27,)=0,0,((VLOOKUP($D374,$C$5:$AJ$470,27,)/VLOOKUP($D374,$C$5:$AJ$470,4,))*$F374))</f>
        <v>0</v>
      </c>
      <c r="AD374" s="19">
        <f t="shared" ref="AD374:AD384" si="447">IF(VLOOKUP($D374,$C$5:$AJ$470,28,)=0,0,((VLOOKUP($D374,$C$5:$AJ$470,28,)/VLOOKUP($D374,$C$5:$AJ$470,4,))*$F374))</f>
        <v>0</v>
      </c>
      <c r="AE374" s="19"/>
      <c r="AF374" s="19">
        <f t="shared" ref="AF374:AF384" si="448">IF(VLOOKUP($D374,$C$5:$AJ$470,30,)=0,0,((VLOOKUP($D374,$C$5:$AJ$470,30,)/VLOOKUP($D374,$C$5:$AJ$470,4,))*$F374))</f>
        <v>0</v>
      </c>
      <c r="AG374" s="19"/>
      <c r="AH374" s="19">
        <f t="shared" ref="AH374:AH384" si="449">IF(VLOOKUP($D374,$C$5:$AJ$470,32,)=0,0,((VLOOKUP($D374,$C$5:$AJ$470,32,)/VLOOKUP($D374,$C$5:$AJ$470,4,))*$F374))</f>
        <v>0</v>
      </c>
      <c r="AI374" s="19"/>
      <c r="AJ374" s="19">
        <f t="shared" ref="AJ374:AJ384" si="450">IF(VLOOKUP($D374,$C$5:$AJ$470,34,)=0,0,((VLOOKUP($D374,$C$5:$AJ$470,34,)/VLOOKUP($D374,$C$5:$AJ$470,4,))*$F374))</f>
        <v>0</v>
      </c>
      <c r="AK374" s="19">
        <f t="shared" ref="AK374:AK384" si="451">SUM(H374:AJ374)</f>
        <v>0</v>
      </c>
      <c r="AL374" s="15" t="str">
        <f t="shared" ref="AL374:AL384" si="452">IF(ABS(AK374-F374)&lt;1,"ok","err")</f>
        <v>ok</v>
      </c>
    </row>
    <row r="375" spans="1:38" x14ac:dyDescent="0.3">
      <c r="A375" s="2">
        <v>908</v>
      </c>
      <c r="B375" s="2" t="s">
        <v>283</v>
      </c>
      <c r="C375" s="2" t="s">
        <v>432</v>
      </c>
      <c r="D375" s="2" t="s">
        <v>62</v>
      </c>
      <c r="F375" s="43">
        <v>1861077.53</v>
      </c>
      <c r="H375" s="19">
        <f t="shared" si="427"/>
        <v>627686.59845853655</v>
      </c>
      <c r="I375" s="19">
        <f t="shared" si="428"/>
        <v>774397.91810244485</v>
      </c>
      <c r="J375" s="19">
        <f t="shared" si="429"/>
        <v>0</v>
      </c>
      <c r="K375" s="19">
        <f t="shared" si="430"/>
        <v>0</v>
      </c>
      <c r="L375" s="19">
        <f t="shared" si="431"/>
        <v>8990.8632785801383</v>
      </c>
      <c r="M375" s="19">
        <f t="shared" si="432"/>
        <v>314836.79264217388</v>
      </c>
      <c r="N375" s="19"/>
      <c r="O375" s="19">
        <f t="shared" si="433"/>
        <v>133379.71162978883</v>
      </c>
      <c r="P375" s="19">
        <f t="shared" si="434"/>
        <v>1785.6458884757965</v>
      </c>
      <c r="Q375" s="19">
        <f t="shared" si="435"/>
        <v>0</v>
      </c>
      <c r="R375" s="19"/>
      <c r="S375" s="19">
        <f t="shared" si="436"/>
        <v>0</v>
      </c>
      <c r="T375" s="19">
        <f t="shared" si="437"/>
        <v>0</v>
      </c>
      <c r="U375" s="19">
        <f t="shared" si="438"/>
        <v>0</v>
      </c>
      <c r="V375" s="19">
        <f t="shared" si="439"/>
        <v>0</v>
      </c>
      <c r="W375" s="19">
        <f t="shared" si="440"/>
        <v>0</v>
      </c>
      <c r="X375" s="19">
        <f t="shared" si="441"/>
        <v>0</v>
      </c>
      <c r="Y375" s="19">
        <f t="shared" si="442"/>
        <v>0</v>
      </c>
      <c r="Z375" s="19">
        <f t="shared" si="443"/>
        <v>0</v>
      </c>
      <c r="AA375" s="19">
        <f t="shared" si="444"/>
        <v>0</v>
      </c>
      <c r="AB375" s="19">
        <f t="shared" si="445"/>
        <v>0</v>
      </c>
      <c r="AC375" s="19">
        <f t="shared" si="446"/>
        <v>0</v>
      </c>
      <c r="AD375" s="19">
        <f t="shared" si="447"/>
        <v>0</v>
      </c>
      <c r="AE375" s="19"/>
      <c r="AF375" s="19">
        <f t="shared" si="448"/>
        <v>0</v>
      </c>
      <c r="AG375" s="19"/>
      <c r="AH375" s="19">
        <f t="shared" si="449"/>
        <v>0</v>
      </c>
      <c r="AI375" s="19"/>
      <c r="AJ375" s="19">
        <f t="shared" si="450"/>
        <v>0</v>
      </c>
      <c r="AK375" s="19">
        <f t="shared" si="451"/>
        <v>1861077.53</v>
      </c>
      <c r="AL375" s="15" t="str">
        <f t="shared" si="452"/>
        <v>ok</v>
      </c>
    </row>
    <row r="376" spans="1:38" x14ac:dyDescent="0.3">
      <c r="A376" s="2">
        <v>908</v>
      </c>
      <c r="B376" s="2" t="s">
        <v>433</v>
      </c>
      <c r="C376" s="2" t="s">
        <v>434</v>
      </c>
      <c r="D376" s="2" t="s">
        <v>62</v>
      </c>
      <c r="F376" s="43">
        <v>0</v>
      </c>
      <c r="H376" s="19">
        <f t="shared" si="427"/>
        <v>0</v>
      </c>
      <c r="I376" s="19">
        <f t="shared" si="428"/>
        <v>0</v>
      </c>
      <c r="J376" s="19">
        <f t="shared" si="429"/>
        <v>0</v>
      </c>
      <c r="K376" s="19">
        <f t="shared" si="430"/>
        <v>0</v>
      </c>
      <c r="L376" s="19">
        <f t="shared" si="431"/>
        <v>0</v>
      </c>
      <c r="M376" s="19">
        <f t="shared" si="432"/>
        <v>0</v>
      </c>
      <c r="N376" s="19"/>
      <c r="O376" s="19">
        <f t="shared" si="433"/>
        <v>0</v>
      </c>
      <c r="P376" s="19">
        <f t="shared" si="434"/>
        <v>0</v>
      </c>
      <c r="Q376" s="19">
        <f t="shared" si="435"/>
        <v>0</v>
      </c>
      <c r="R376" s="19"/>
      <c r="S376" s="19">
        <f t="shared" si="436"/>
        <v>0</v>
      </c>
      <c r="T376" s="19">
        <f t="shared" si="437"/>
        <v>0</v>
      </c>
      <c r="U376" s="19">
        <f t="shared" si="438"/>
        <v>0</v>
      </c>
      <c r="V376" s="19">
        <f t="shared" si="439"/>
        <v>0</v>
      </c>
      <c r="W376" s="19">
        <f t="shared" si="440"/>
        <v>0</v>
      </c>
      <c r="X376" s="19">
        <f t="shared" si="441"/>
        <v>0</v>
      </c>
      <c r="Y376" s="19">
        <f t="shared" si="442"/>
        <v>0</v>
      </c>
      <c r="Z376" s="19">
        <f t="shared" si="443"/>
        <v>0</v>
      </c>
      <c r="AA376" s="19">
        <f t="shared" si="444"/>
        <v>0</v>
      </c>
      <c r="AB376" s="19">
        <f t="shared" si="445"/>
        <v>0</v>
      </c>
      <c r="AC376" s="19">
        <f t="shared" si="446"/>
        <v>0</v>
      </c>
      <c r="AD376" s="19">
        <f t="shared" si="447"/>
        <v>0</v>
      </c>
      <c r="AE376" s="19"/>
      <c r="AF376" s="19">
        <f t="shared" si="448"/>
        <v>0</v>
      </c>
      <c r="AG376" s="19"/>
      <c r="AH376" s="19">
        <f t="shared" si="449"/>
        <v>0</v>
      </c>
      <c r="AI376" s="19"/>
      <c r="AJ376" s="19">
        <f t="shared" si="450"/>
        <v>0</v>
      </c>
      <c r="AK376" s="19">
        <f t="shared" si="451"/>
        <v>0</v>
      </c>
      <c r="AL376" s="15" t="str">
        <f t="shared" si="452"/>
        <v>ok</v>
      </c>
    </row>
    <row r="377" spans="1:38" x14ac:dyDescent="0.3">
      <c r="A377" s="2">
        <v>909</v>
      </c>
      <c r="B377" s="2" t="s">
        <v>287</v>
      </c>
      <c r="C377" s="2" t="s">
        <v>435</v>
      </c>
      <c r="D377" s="2" t="s">
        <v>62</v>
      </c>
      <c r="F377" s="43">
        <v>31302.97</v>
      </c>
      <c r="H377" s="19">
        <f t="shared" si="427"/>
        <v>10557.569173891223</v>
      </c>
      <c r="I377" s="19">
        <f t="shared" si="428"/>
        <v>13025.225659687207</v>
      </c>
      <c r="J377" s="19">
        <f t="shared" si="429"/>
        <v>0</v>
      </c>
      <c r="K377" s="19">
        <f t="shared" si="430"/>
        <v>0</v>
      </c>
      <c r="L377" s="19">
        <f t="shared" si="431"/>
        <v>151.22460990837698</v>
      </c>
      <c r="M377" s="19">
        <f t="shared" si="432"/>
        <v>5295.4949571467823</v>
      </c>
      <c r="N377" s="19"/>
      <c r="O377" s="19">
        <f t="shared" si="433"/>
        <v>2243.4213752266041</v>
      </c>
      <c r="P377" s="19">
        <f t="shared" si="434"/>
        <v>30.034224139808515</v>
      </c>
      <c r="Q377" s="19">
        <f t="shared" si="435"/>
        <v>0</v>
      </c>
      <c r="R377" s="19"/>
      <c r="S377" s="19">
        <f t="shared" si="436"/>
        <v>0</v>
      </c>
      <c r="T377" s="19">
        <f t="shared" si="437"/>
        <v>0</v>
      </c>
      <c r="U377" s="19">
        <f t="shared" si="438"/>
        <v>0</v>
      </c>
      <c r="V377" s="19">
        <f t="shared" si="439"/>
        <v>0</v>
      </c>
      <c r="W377" s="19">
        <f t="shared" si="440"/>
        <v>0</v>
      </c>
      <c r="X377" s="19">
        <f t="shared" si="441"/>
        <v>0</v>
      </c>
      <c r="Y377" s="19">
        <f t="shared" si="442"/>
        <v>0</v>
      </c>
      <c r="Z377" s="19">
        <f t="shared" si="443"/>
        <v>0</v>
      </c>
      <c r="AA377" s="19">
        <f t="shared" si="444"/>
        <v>0</v>
      </c>
      <c r="AB377" s="19">
        <f t="shared" si="445"/>
        <v>0</v>
      </c>
      <c r="AC377" s="19">
        <f t="shared" si="446"/>
        <v>0</v>
      </c>
      <c r="AD377" s="19">
        <f t="shared" si="447"/>
        <v>0</v>
      </c>
      <c r="AE377" s="19"/>
      <c r="AF377" s="19">
        <f t="shared" si="448"/>
        <v>0</v>
      </c>
      <c r="AG377" s="19"/>
      <c r="AH377" s="19">
        <f t="shared" si="449"/>
        <v>0</v>
      </c>
      <c r="AI377" s="19"/>
      <c r="AJ377" s="19">
        <f t="shared" si="450"/>
        <v>0</v>
      </c>
      <c r="AK377" s="19">
        <f t="shared" si="451"/>
        <v>31302.970000000005</v>
      </c>
      <c r="AL377" s="15" t="str">
        <f t="shared" si="452"/>
        <v>ok</v>
      </c>
    </row>
    <row r="378" spans="1:38" x14ac:dyDescent="0.3">
      <c r="A378" s="2">
        <v>909</v>
      </c>
      <c r="B378" s="2" t="s">
        <v>289</v>
      </c>
      <c r="C378" s="2" t="s">
        <v>436</v>
      </c>
      <c r="D378" s="2" t="s">
        <v>62</v>
      </c>
      <c r="F378" s="43">
        <v>0</v>
      </c>
      <c r="H378" s="19">
        <f t="shared" si="427"/>
        <v>0</v>
      </c>
      <c r="I378" s="19">
        <f t="shared" si="428"/>
        <v>0</v>
      </c>
      <c r="J378" s="19">
        <f t="shared" si="429"/>
        <v>0</v>
      </c>
      <c r="K378" s="19">
        <f t="shared" si="430"/>
        <v>0</v>
      </c>
      <c r="L378" s="19">
        <f t="shared" si="431"/>
        <v>0</v>
      </c>
      <c r="M378" s="19">
        <f t="shared" si="432"/>
        <v>0</v>
      </c>
      <c r="N378" s="19"/>
      <c r="O378" s="19">
        <f t="shared" si="433"/>
        <v>0</v>
      </c>
      <c r="P378" s="19">
        <f t="shared" si="434"/>
        <v>0</v>
      </c>
      <c r="Q378" s="19">
        <f t="shared" si="435"/>
        <v>0</v>
      </c>
      <c r="R378" s="19"/>
      <c r="S378" s="19">
        <f t="shared" si="436"/>
        <v>0</v>
      </c>
      <c r="T378" s="19">
        <f t="shared" si="437"/>
        <v>0</v>
      </c>
      <c r="U378" s="19">
        <f t="shared" si="438"/>
        <v>0</v>
      </c>
      <c r="V378" s="19">
        <f t="shared" si="439"/>
        <v>0</v>
      </c>
      <c r="W378" s="19">
        <f t="shared" si="440"/>
        <v>0</v>
      </c>
      <c r="X378" s="19">
        <f t="shared" si="441"/>
        <v>0</v>
      </c>
      <c r="Y378" s="19">
        <f t="shared" si="442"/>
        <v>0</v>
      </c>
      <c r="Z378" s="19">
        <f t="shared" si="443"/>
        <v>0</v>
      </c>
      <c r="AA378" s="19">
        <f t="shared" si="444"/>
        <v>0</v>
      </c>
      <c r="AB378" s="19">
        <f t="shared" si="445"/>
        <v>0</v>
      </c>
      <c r="AC378" s="19">
        <f t="shared" si="446"/>
        <v>0</v>
      </c>
      <c r="AD378" s="19">
        <f t="shared" si="447"/>
        <v>0</v>
      </c>
      <c r="AE378" s="19"/>
      <c r="AF378" s="19">
        <f t="shared" si="448"/>
        <v>0</v>
      </c>
      <c r="AG378" s="19"/>
      <c r="AH378" s="19">
        <f t="shared" si="449"/>
        <v>0</v>
      </c>
      <c r="AI378" s="19"/>
      <c r="AJ378" s="19">
        <f t="shared" si="450"/>
        <v>0</v>
      </c>
      <c r="AK378" s="19">
        <f t="shared" si="451"/>
        <v>0</v>
      </c>
      <c r="AL378" s="15" t="str">
        <f t="shared" si="452"/>
        <v>ok</v>
      </c>
    </row>
    <row r="379" spans="1:38" x14ac:dyDescent="0.3">
      <c r="A379" s="2">
        <v>910</v>
      </c>
      <c r="B379" s="2" t="s">
        <v>291</v>
      </c>
      <c r="C379" s="2" t="s">
        <v>437</v>
      </c>
      <c r="D379" s="2" t="s">
        <v>62</v>
      </c>
      <c r="F379" s="43">
        <v>0</v>
      </c>
      <c r="H379" s="19">
        <f t="shared" si="427"/>
        <v>0</v>
      </c>
      <c r="I379" s="19">
        <f t="shared" si="428"/>
        <v>0</v>
      </c>
      <c r="J379" s="19">
        <f t="shared" si="429"/>
        <v>0</v>
      </c>
      <c r="K379" s="19">
        <f t="shared" si="430"/>
        <v>0</v>
      </c>
      <c r="L379" s="19">
        <f t="shared" si="431"/>
        <v>0</v>
      </c>
      <c r="M379" s="19">
        <f t="shared" si="432"/>
        <v>0</v>
      </c>
      <c r="N379" s="19"/>
      <c r="O379" s="19">
        <f t="shared" si="433"/>
        <v>0</v>
      </c>
      <c r="P379" s="19">
        <f t="shared" si="434"/>
        <v>0</v>
      </c>
      <c r="Q379" s="19">
        <f t="shared" si="435"/>
        <v>0</v>
      </c>
      <c r="R379" s="19"/>
      <c r="S379" s="19">
        <f t="shared" si="436"/>
        <v>0</v>
      </c>
      <c r="T379" s="19">
        <f t="shared" si="437"/>
        <v>0</v>
      </c>
      <c r="U379" s="19">
        <f t="shared" si="438"/>
        <v>0</v>
      </c>
      <c r="V379" s="19">
        <f t="shared" si="439"/>
        <v>0</v>
      </c>
      <c r="W379" s="19">
        <f t="shared" si="440"/>
        <v>0</v>
      </c>
      <c r="X379" s="19">
        <f t="shared" si="441"/>
        <v>0</v>
      </c>
      <c r="Y379" s="19">
        <f t="shared" si="442"/>
        <v>0</v>
      </c>
      <c r="Z379" s="19">
        <f t="shared" si="443"/>
        <v>0</v>
      </c>
      <c r="AA379" s="19">
        <f t="shared" si="444"/>
        <v>0</v>
      </c>
      <c r="AB379" s="19">
        <f t="shared" si="445"/>
        <v>0</v>
      </c>
      <c r="AC379" s="19">
        <f t="shared" si="446"/>
        <v>0</v>
      </c>
      <c r="AD379" s="19">
        <f t="shared" si="447"/>
        <v>0</v>
      </c>
      <c r="AE379" s="19"/>
      <c r="AF379" s="19">
        <f t="shared" si="448"/>
        <v>0</v>
      </c>
      <c r="AG379" s="19"/>
      <c r="AH379" s="19">
        <f t="shared" si="449"/>
        <v>0</v>
      </c>
      <c r="AI379" s="19"/>
      <c r="AJ379" s="19">
        <f t="shared" si="450"/>
        <v>0</v>
      </c>
      <c r="AK379" s="19">
        <f t="shared" si="451"/>
        <v>0</v>
      </c>
      <c r="AL379" s="15" t="str">
        <f t="shared" si="452"/>
        <v>ok</v>
      </c>
    </row>
    <row r="380" spans="1:38" x14ac:dyDescent="0.3">
      <c r="A380" s="2">
        <v>911</v>
      </c>
      <c r="B380" s="2" t="s">
        <v>293</v>
      </c>
      <c r="C380" s="2" t="s">
        <v>438</v>
      </c>
      <c r="D380" s="2" t="s">
        <v>62</v>
      </c>
      <c r="F380" s="43">
        <v>0</v>
      </c>
      <c r="H380" s="19">
        <f t="shared" si="427"/>
        <v>0</v>
      </c>
      <c r="I380" s="19">
        <f t="shared" si="428"/>
        <v>0</v>
      </c>
      <c r="J380" s="19">
        <f t="shared" si="429"/>
        <v>0</v>
      </c>
      <c r="K380" s="19">
        <f t="shared" si="430"/>
        <v>0</v>
      </c>
      <c r="L380" s="19">
        <f t="shared" si="431"/>
        <v>0</v>
      </c>
      <c r="M380" s="19">
        <f t="shared" si="432"/>
        <v>0</v>
      </c>
      <c r="N380" s="19"/>
      <c r="O380" s="19">
        <f t="shared" si="433"/>
        <v>0</v>
      </c>
      <c r="P380" s="19">
        <f t="shared" si="434"/>
        <v>0</v>
      </c>
      <c r="Q380" s="19">
        <f t="shared" si="435"/>
        <v>0</v>
      </c>
      <c r="R380" s="19"/>
      <c r="S380" s="19">
        <f t="shared" si="436"/>
        <v>0</v>
      </c>
      <c r="T380" s="19">
        <f t="shared" si="437"/>
        <v>0</v>
      </c>
      <c r="U380" s="19">
        <f t="shared" si="438"/>
        <v>0</v>
      </c>
      <c r="V380" s="19">
        <f t="shared" si="439"/>
        <v>0</v>
      </c>
      <c r="W380" s="19">
        <f t="shared" si="440"/>
        <v>0</v>
      </c>
      <c r="X380" s="19">
        <f t="shared" si="441"/>
        <v>0</v>
      </c>
      <c r="Y380" s="19">
        <f t="shared" si="442"/>
        <v>0</v>
      </c>
      <c r="Z380" s="19">
        <f t="shared" si="443"/>
        <v>0</v>
      </c>
      <c r="AA380" s="19">
        <f t="shared" si="444"/>
        <v>0</v>
      </c>
      <c r="AB380" s="19">
        <f t="shared" si="445"/>
        <v>0</v>
      </c>
      <c r="AC380" s="19">
        <f t="shared" si="446"/>
        <v>0</v>
      </c>
      <c r="AD380" s="19">
        <f t="shared" si="447"/>
        <v>0</v>
      </c>
      <c r="AE380" s="19"/>
      <c r="AF380" s="19">
        <f t="shared" si="448"/>
        <v>0</v>
      </c>
      <c r="AG380" s="19"/>
      <c r="AH380" s="19">
        <f t="shared" si="449"/>
        <v>0</v>
      </c>
      <c r="AI380" s="19"/>
      <c r="AJ380" s="19">
        <f t="shared" si="450"/>
        <v>0</v>
      </c>
      <c r="AK380" s="19">
        <f t="shared" si="451"/>
        <v>0</v>
      </c>
      <c r="AL380" s="15" t="str">
        <f t="shared" si="452"/>
        <v>ok</v>
      </c>
    </row>
    <row r="381" spans="1:38" x14ac:dyDescent="0.3">
      <c r="A381" s="2">
        <v>912</v>
      </c>
      <c r="B381" s="2" t="s">
        <v>293</v>
      </c>
      <c r="C381" s="2" t="s">
        <v>439</v>
      </c>
      <c r="D381" s="2" t="s">
        <v>62</v>
      </c>
      <c r="F381" s="43">
        <v>0</v>
      </c>
      <c r="H381" s="19">
        <f t="shared" si="427"/>
        <v>0</v>
      </c>
      <c r="I381" s="19">
        <f t="shared" si="428"/>
        <v>0</v>
      </c>
      <c r="J381" s="19">
        <f t="shared" si="429"/>
        <v>0</v>
      </c>
      <c r="K381" s="19">
        <f t="shared" si="430"/>
        <v>0</v>
      </c>
      <c r="L381" s="19">
        <f t="shared" si="431"/>
        <v>0</v>
      </c>
      <c r="M381" s="19">
        <f t="shared" si="432"/>
        <v>0</v>
      </c>
      <c r="N381" s="19"/>
      <c r="O381" s="19">
        <f t="shared" si="433"/>
        <v>0</v>
      </c>
      <c r="P381" s="19">
        <f t="shared" si="434"/>
        <v>0</v>
      </c>
      <c r="Q381" s="19">
        <f t="shared" si="435"/>
        <v>0</v>
      </c>
      <c r="R381" s="19"/>
      <c r="S381" s="19">
        <f t="shared" si="436"/>
        <v>0</v>
      </c>
      <c r="T381" s="19">
        <f t="shared" si="437"/>
        <v>0</v>
      </c>
      <c r="U381" s="19">
        <f t="shared" si="438"/>
        <v>0</v>
      </c>
      <c r="V381" s="19">
        <f t="shared" si="439"/>
        <v>0</v>
      </c>
      <c r="W381" s="19">
        <f t="shared" si="440"/>
        <v>0</v>
      </c>
      <c r="X381" s="19">
        <f t="shared" si="441"/>
        <v>0</v>
      </c>
      <c r="Y381" s="19">
        <f t="shared" si="442"/>
        <v>0</v>
      </c>
      <c r="Z381" s="19">
        <f t="shared" si="443"/>
        <v>0</v>
      </c>
      <c r="AA381" s="19">
        <f t="shared" si="444"/>
        <v>0</v>
      </c>
      <c r="AB381" s="19">
        <f t="shared" si="445"/>
        <v>0</v>
      </c>
      <c r="AC381" s="19">
        <f t="shared" si="446"/>
        <v>0</v>
      </c>
      <c r="AD381" s="19">
        <f t="shared" si="447"/>
        <v>0</v>
      </c>
      <c r="AE381" s="19"/>
      <c r="AF381" s="19">
        <f t="shared" si="448"/>
        <v>0</v>
      </c>
      <c r="AG381" s="19"/>
      <c r="AH381" s="19">
        <f t="shared" si="449"/>
        <v>0</v>
      </c>
      <c r="AI381" s="19"/>
      <c r="AJ381" s="19">
        <f t="shared" si="450"/>
        <v>0</v>
      </c>
      <c r="AK381" s="19">
        <f t="shared" si="451"/>
        <v>0</v>
      </c>
      <c r="AL381" s="15" t="str">
        <f t="shared" si="452"/>
        <v>ok</v>
      </c>
    </row>
    <row r="382" spans="1:38" x14ac:dyDescent="0.3">
      <c r="A382" s="2">
        <v>913</v>
      </c>
      <c r="B382" s="2" t="s">
        <v>440</v>
      </c>
      <c r="C382" s="2" t="s">
        <v>441</v>
      </c>
      <c r="D382" s="2" t="s">
        <v>62</v>
      </c>
      <c r="F382" s="43">
        <v>23610.92</v>
      </c>
      <c r="H382" s="19">
        <f t="shared" si="427"/>
        <v>7963.2674202866929</v>
      </c>
      <c r="I382" s="19">
        <f t="shared" si="428"/>
        <v>9824.5489495987713</v>
      </c>
      <c r="J382" s="19">
        <f t="shared" si="429"/>
        <v>0</v>
      </c>
      <c r="K382" s="19">
        <f t="shared" si="430"/>
        <v>0</v>
      </c>
      <c r="L382" s="19">
        <f t="shared" si="431"/>
        <v>114.06432573579745</v>
      </c>
      <c r="M382" s="19">
        <f t="shared" si="432"/>
        <v>3994.237856458863</v>
      </c>
      <c r="N382" s="19"/>
      <c r="O382" s="19">
        <f t="shared" si="433"/>
        <v>1692.1475060278729</v>
      </c>
      <c r="P382" s="19">
        <f t="shared" si="434"/>
        <v>22.653941892002184</v>
      </c>
      <c r="Q382" s="19">
        <f t="shared" si="435"/>
        <v>0</v>
      </c>
      <c r="R382" s="19"/>
      <c r="S382" s="19">
        <f t="shared" si="436"/>
        <v>0</v>
      </c>
      <c r="T382" s="19">
        <f t="shared" si="437"/>
        <v>0</v>
      </c>
      <c r="U382" s="19">
        <f t="shared" si="438"/>
        <v>0</v>
      </c>
      <c r="V382" s="19">
        <f t="shared" si="439"/>
        <v>0</v>
      </c>
      <c r="W382" s="19">
        <f t="shared" si="440"/>
        <v>0</v>
      </c>
      <c r="X382" s="19">
        <f t="shared" si="441"/>
        <v>0</v>
      </c>
      <c r="Y382" s="19">
        <f t="shared" si="442"/>
        <v>0</v>
      </c>
      <c r="Z382" s="19">
        <f t="shared" si="443"/>
        <v>0</v>
      </c>
      <c r="AA382" s="19">
        <f t="shared" si="444"/>
        <v>0</v>
      </c>
      <c r="AB382" s="19">
        <f t="shared" si="445"/>
        <v>0</v>
      </c>
      <c r="AC382" s="19">
        <f t="shared" si="446"/>
        <v>0</v>
      </c>
      <c r="AD382" s="19">
        <f t="shared" si="447"/>
        <v>0</v>
      </c>
      <c r="AE382" s="19"/>
      <c r="AF382" s="19">
        <f t="shared" si="448"/>
        <v>0</v>
      </c>
      <c r="AG382" s="19"/>
      <c r="AH382" s="19">
        <f t="shared" si="449"/>
        <v>0</v>
      </c>
      <c r="AI382" s="19"/>
      <c r="AJ382" s="19">
        <f t="shared" si="450"/>
        <v>0</v>
      </c>
      <c r="AK382" s="19">
        <f t="shared" si="451"/>
        <v>23610.92</v>
      </c>
      <c r="AL382" s="15" t="str">
        <f t="shared" si="452"/>
        <v>ok</v>
      </c>
    </row>
    <row r="383" spans="1:38" x14ac:dyDescent="0.3">
      <c r="A383" s="2">
        <v>915</v>
      </c>
      <c r="B383" s="2" t="s">
        <v>298</v>
      </c>
      <c r="C383" s="2" t="s">
        <v>442</v>
      </c>
      <c r="D383" s="2" t="s">
        <v>62</v>
      </c>
      <c r="F383" s="43">
        <v>0</v>
      </c>
      <c r="H383" s="19">
        <f t="shared" si="427"/>
        <v>0</v>
      </c>
      <c r="I383" s="19">
        <f t="shared" si="428"/>
        <v>0</v>
      </c>
      <c r="J383" s="19">
        <f t="shared" si="429"/>
        <v>0</v>
      </c>
      <c r="K383" s="19">
        <f t="shared" si="430"/>
        <v>0</v>
      </c>
      <c r="L383" s="19">
        <f t="shared" si="431"/>
        <v>0</v>
      </c>
      <c r="M383" s="19">
        <f t="shared" si="432"/>
        <v>0</v>
      </c>
      <c r="N383" s="19"/>
      <c r="O383" s="19">
        <f t="shared" si="433"/>
        <v>0</v>
      </c>
      <c r="P383" s="19">
        <f t="shared" si="434"/>
        <v>0</v>
      </c>
      <c r="Q383" s="19">
        <f t="shared" si="435"/>
        <v>0</v>
      </c>
      <c r="R383" s="19"/>
      <c r="S383" s="19">
        <f t="shared" si="436"/>
        <v>0</v>
      </c>
      <c r="T383" s="19">
        <f t="shared" si="437"/>
        <v>0</v>
      </c>
      <c r="U383" s="19">
        <f t="shared" si="438"/>
        <v>0</v>
      </c>
      <c r="V383" s="19">
        <f t="shared" si="439"/>
        <v>0</v>
      </c>
      <c r="W383" s="19">
        <f t="shared" si="440"/>
        <v>0</v>
      </c>
      <c r="X383" s="19">
        <f t="shared" si="441"/>
        <v>0</v>
      </c>
      <c r="Y383" s="19">
        <f t="shared" si="442"/>
        <v>0</v>
      </c>
      <c r="Z383" s="19">
        <f t="shared" si="443"/>
        <v>0</v>
      </c>
      <c r="AA383" s="19">
        <f t="shared" si="444"/>
        <v>0</v>
      </c>
      <c r="AB383" s="19">
        <f t="shared" si="445"/>
        <v>0</v>
      </c>
      <c r="AC383" s="19">
        <f t="shared" si="446"/>
        <v>0</v>
      </c>
      <c r="AD383" s="19">
        <f t="shared" si="447"/>
        <v>0</v>
      </c>
      <c r="AE383" s="19"/>
      <c r="AF383" s="19">
        <f t="shared" si="448"/>
        <v>0</v>
      </c>
      <c r="AG383" s="19"/>
      <c r="AH383" s="19">
        <f t="shared" si="449"/>
        <v>0</v>
      </c>
      <c r="AI383" s="19"/>
      <c r="AJ383" s="19">
        <f t="shared" si="450"/>
        <v>0</v>
      </c>
      <c r="AK383" s="19">
        <f t="shared" si="451"/>
        <v>0</v>
      </c>
      <c r="AL383" s="15" t="str">
        <f t="shared" si="452"/>
        <v>ok</v>
      </c>
    </row>
    <row r="384" spans="1:38" x14ac:dyDescent="0.3">
      <c r="A384" s="2">
        <v>916</v>
      </c>
      <c r="B384" s="2" t="s">
        <v>300</v>
      </c>
      <c r="C384" s="2" t="s">
        <v>443</v>
      </c>
      <c r="D384" s="2" t="s">
        <v>62</v>
      </c>
      <c r="F384" s="43">
        <v>0</v>
      </c>
      <c r="H384" s="19">
        <f t="shared" si="427"/>
        <v>0</v>
      </c>
      <c r="I384" s="19">
        <f t="shared" si="428"/>
        <v>0</v>
      </c>
      <c r="J384" s="19">
        <f t="shared" si="429"/>
        <v>0</v>
      </c>
      <c r="K384" s="19">
        <f t="shared" si="430"/>
        <v>0</v>
      </c>
      <c r="L384" s="19">
        <f t="shared" si="431"/>
        <v>0</v>
      </c>
      <c r="M384" s="19">
        <f t="shared" si="432"/>
        <v>0</v>
      </c>
      <c r="N384" s="19"/>
      <c r="O384" s="19">
        <f t="shared" si="433"/>
        <v>0</v>
      </c>
      <c r="P384" s="19">
        <f t="shared" si="434"/>
        <v>0</v>
      </c>
      <c r="Q384" s="19">
        <f t="shared" si="435"/>
        <v>0</v>
      </c>
      <c r="R384" s="19"/>
      <c r="S384" s="19">
        <f t="shared" si="436"/>
        <v>0</v>
      </c>
      <c r="T384" s="19">
        <f t="shared" si="437"/>
        <v>0</v>
      </c>
      <c r="U384" s="19">
        <f t="shared" si="438"/>
        <v>0</v>
      </c>
      <c r="V384" s="19">
        <f t="shared" si="439"/>
        <v>0</v>
      </c>
      <c r="W384" s="19">
        <f t="shared" si="440"/>
        <v>0</v>
      </c>
      <c r="X384" s="19">
        <f t="shared" si="441"/>
        <v>0</v>
      </c>
      <c r="Y384" s="19">
        <f t="shared" si="442"/>
        <v>0</v>
      </c>
      <c r="Z384" s="19">
        <f t="shared" si="443"/>
        <v>0</v>
      </c>
      <c r="AA384" s="19">
        <f t="shared" si="444"/>
        <v>0</v>
      </c>
      <c r="AB384" s="19">
        <f t="shared" si="445"/>
        <v>0</v>
      </c>
      <c r="AC384" s="19">
        <f t="shared" si="446"/>
        <v>0</v>
      </c>
      <c r="AD384" s="19">
        <f t="shared" si="447"/>
        <v>0</v>
      </c>
      <c r="AE384" s="19"/>
      <c r="AF384" s="19">
        <f t="shared" si="448"/>
        <v>0</v>
      </c>
      <c r="AG384" s="19"/>
      <c r="AH384" s="19">
        <f t="shared" si="449"/>
        <v>0</v>
      </c>
      <c r="AI384" s="19"/>
      <c r="AJ384" s="19">
        <f t="shared" si="450"/>
        <v>0</v>
      </c>
      <c r="AK384" s="19">
        <f t="shared" si="451"/>
        <v>0</v>
      </c>
      <c r="AL384" s="15" t="str">
        <f t="shared" si="452"/>
        <v>ok</v>
      </c>
    </row>
    <row r="385" spans="1:38" x14ac:dyDescent="0.3">
      <c r="F385" s="43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5"/>
    </row>
    <row r="386" spans="1:38" x14ac:dyDescent="0.3">
      <c r="A386" s="2" t="s">
        <v>444</v>
      </c>
      <c r="C386" s="2" t="s">
        <v>445</v>
      </c>
      <c r="F386" s="44">
        <f>SUM(F374:F385)</f>
        <v>1915991.42</v>
      </c>
      <c r="G386" s="18">
        <f>SUM(G374:G385)</f>
        <v>0</v>
      </c>
      <c r="H386" s="18">
        <f t="shared" ref="H386:M386" si="453">SUM(H374:H385)</f>
        <v>646207.43505271443</v>
      </c>
      <c r="I386" s="18">
        <f t="shared" si="453"/>
        <v>797247.69271173084</v>
      </c>
      <c r="J386" s="18">
        <f t="shared" si="453"/>
        <v>0</v>
      </c>
      <c r="K386" s="18">
        <f t="shared" si="453"/>
        <v>0</v>
      </c>
      <c r="L386" s="18">
        <f t="shared" si="453"/>
        <v>9256.152214224312</v>
      </c>
      <c r="M386" s="18">
        <f t="shared" si="453"/>
        <v>324126.52545577951</v>
      </c>
      <c r="N386" s="19"/>
      <c r="O386" s="18">
        <f>SUM(O374:O385)</f>
        <v>137315.2805110433</v>
      </c>
      <c r="P386" s="18">
        <f>SUM(P374:P385)</f>
        <v>1838.3340545076071</v>
      </c>
      <c r="Q386" s="18">
        <f>SUM(Q374:Q385)</f>
        <v>0</v>
      </c>
      <c r="R386" s="19"/>
      <c r="S386" s="18">
        <f t="shared" ref="S386:AD386" si="454">SUM(S374:S385)</f>
        <v>0</v>
      </c>
      <c r="T386" s="18">
        <f t="shared" si="454"/>
        <v>0</v>
      </c>
      <c r="U386" s="18">
        <f t="shared" si="454"/>
        <v>0</v>
      </c>
      <c r="V386" s="18">
        <f t="shared" si="454"/>
        <v>0</v>
      </c>
      <c r="W386" s="18">
        <f t="shared" si="454"/>
        <v>0</v>
      </c>
      <c r="X386" s="18">
        <f t="shared" si="454"/>
        <v>0</v>
      </c>
      <c r="Y386" s="18">
        <f t="shared" si="454"/>
        <v>0</v>
      </c>
      <c r="Z386" s="18">
        <f t="shared" si="454"/>
        <v>0</v>
      </c>
      <c r="AA386" s="18">
        <f t="shared" si="454"/>
        <v>0</v>
      </c>
      <c r="AB386" s="18">
        <f t="shared" si="454"/>
        <v>0</v>
      </c>
      <c r="AC386" s="18">
        <f t="shared" si="454"/>
        <v>0</v>
      </c>
      <c r="AD386" s="18">
        <f t="shared" si="454"/>
        <v>0</v>
      </c>
      <c r="AE386" s="19"/>
      <c r="AF386" s="18">
        <f>SUM(AF374:AF385)</f>
        <v>0</v>
      </c>
      <c r="AG386" s="19"/>
      <c r="AH386" s="18">
        <f>SUM(AH374:AH385)</f>
        <v>0</v>
      </c>
      <c r="AI386" s="19"/>
      <c r="AJ386" s="18">
        <f>SUM(AJ374:AJ385)</f>
        <v>0</v>
      </c>
      <c r="AK386" s="19">
        <f>SUM(H386:AJ386)</f>
        <v>1915991.42</v>
      </c>
      <c r="AL386" s="15" t="str">
        <f>IF(ABS(AK386-F386)&lt;1,"ok","err")</f>
        <v>ok</v>
      </c>
    </row>
    <row r="387" spans="1:38" x14ac:dyDescent="0.3">
      <c r="F387" s="43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L387" s="15"/>
    </row>
    <row r="388" spans="1:38" x14ac:dyDescent="0.3">
      <c r="A388" s="2" t="s">
        <v>446</v>
      </c>
      <c r="C388" s="2" t="s">
        <v>308</v>
      </c>
      <c r="F388" s="43">
        <f>F362+F371+F386</f>
        <v>63147750.370000005</v>
      </c>
      <c r="G388" s="19"/>
      <c r="H388" s="19">
        <f t="shared" ref="H388:AJ388" si="455">H362+H371+H386</f>
        <v>15070402.704006795</v>
      </c>
      <c r="I388" s="19">
        <f t="shared" si="455"/>
        <v>18592859.091796007</v>
      </c>
      <c r="J388" s="19">
        <f t="shared" si="455"/>
        <v>6473183.976190079</v>
      </c>
      <c r="K388" s="19">
        <f t="shared" si="455"/>
        <v>7067127.653812631</v>
      </c>
      <c r="L388" s="19">
        <f t="shared" si="455"/>
        <v>434029.74010181002</v>
      </c>
      <c r="M388" s="19">
        <f t="shared" si="455"/>
        <v>14140094.559527135</v>
      </c>
      <c r="N388" s="19"/>
      <c r="O388" s="19">
        <f t="shared" si="455"/>
        <v>1320140.4765056421</v>
      </c>
      <c r="P388" s="19">
        <f t="shared" si="455"/>
        <v>49912.168059908792</v>
      </c>
      <c r="Q388" s="19">
        <f t="shared" si="455"/>
        <v>0</v>
      </c>
      <c r="R388" s="19"/>
      <c r="S388" s="19">
        <f t="shared" si="455"/>
        <v>0</v>
      </c>
      <c r="T388" s="19">
        <f t="shared" si="455"/>
        <v>0</v>
      </c>
      <c r="U388" s="19">
        <f t="shared" si="455"/>
        <v>0</v>
      </c>
      <c r="V388" s="19">
        <f t="shared" si="455"/>
        <v>0</v>
      </c>
      <c r="W388" s="19">
        <f t="shared" si="455"/>
        <v>0</v>
      </c>
      <c r="X388" s="19">
        <f t="shared" si="455"/>
        <v>0</v>
      </c>
      <c r="Y388" s="19">
        <f t="shared" si="455"/>
        <v>0</v>
      </c>
      <c r="Z388" s="19">
        <f t="shared" si="455"/>
        <v>0</v>
      </c>
      <c r="AA388" s="19">
        <f t="shared" si="455"/>
        <v>0</v>
      </c>
      <c r="AB388" s="19">
        <f t="shared" si="455"/>
        <v>0</v>
      </c>
      <c r="AC388" s="19">
        <f t="shared" si="455"/>
        <v>0</v>
      </c>
      <c r="AD388" s="19">
        <f t="shared" si="455"/>
        <v>0</v>
      </c>
      <c r="AE388" s="19"/>
      <c r="AF388" s="19">
        <f t="shared" si="455"/>
        <v>0</v>
      </c>
      <c r="AG388" s="19"/>
      <c r="AH388" s="19">
        <f t="shared" si="455"/>
        <v>0</v>
      </c>
      <c r="AI388" s="19"/>
      <c r="AJ388" s="19">
        <f t="shared" si="455"/>
        <v>0</v>
      </c>
      <c r="AK388" s="19">
        <f>SUM(H388:AJ388)</f>
        <v>63147750.370000005</v>
      </c>
      <c r="AL388" s="15" t="str">
        <f>IF(ABS(AK388-F388)&lt;1,"ok","err")</f>
        <v>ok</v>
      </c>
    </row>
    <row r="389" spans="1:38" x14ac:dyDescent="0.3">
      <c r="F389" s="43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L389" s="15"/>
    </row>
    <row r="390" spans="1:38" x14ac:dyDescent="0.3">
      <c r="A390" s="16" t="s">
        <v>353</v>
      </c>
      <c r="F390" s="43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L390" s="15"/>
    </row>
    <row r="391" spans="1:38" x14ac:dyDescent="0.3">
      <c r="F391" s="43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L391" s="15"/>
    </row>
    <row r="392" spans="1:38" x14ac:dyDescent="0.3">
      <c r="A392" s="3" t="s">
        <v>305</v>
      </c>
      <c r="F392" s="43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L392" s="15"/>
    </row>
    <row r="393" spans="1:38" x14ac:dyDescent="0.3">
      <c r="A393" s="2">
        <v>920</v>
      </c>
      <c r="B393" s="2" t="s">
        <v>306</v>
      </c>
      <c r="C393" s="2" t="s">
        <v>447</v>
      </c>
      <c r="D393" s="2" t="s">
        <v>308</v>
      </c>
      <c r="F393" s="44">
        <v>14226871.140000001</v>
      </c>
      <c r="H393" s="19">
        <f t="shared" ref="H393:H404" si="456">IF(VLOOKUP($D393,$C$5:$AJ$470,6,)=0,0,((VLOOKUP($D393,$C$5:$AJ$470,6,)/VLOOKUP($D393,$C$5:$AJ$470,4,))*$F393))</f>
        <v>3395286.0718165948</v>
      </c>
      <c r="I393" s="19">
        <f t="shared" ref="I393:I404" si="457">IF(VLOOKUP($D393,$C$5:$AJ$470,7,)=0,0,((VLOOKUP($D393,$C$5:$AJ$470,7,)/VLOOKUP($D393,$C$5:$AJ$470,4,))*$F393))</f>
        <v>4188877.8123254501</v>
      </c>
      <c r="J393" s="19">
        <f t="shared" ref="J393:J404" si="458">IF(VLOOKUP($D393,$C$5:$AJ$470,8,)=0,0,((VLOOKUP($D393,$C$5:$AJ$470,8,)/VLOOKUP($D393,$C$5:$AJ$470,4,))*$F393))</f>
        <v>1458375.8527448724</v>
      </c>
      <c r="K393" s="19">
        <f t="shared" ref="K393:K404" si="459">IF(VLOOKUP($D393,$C$5:$AJ$470,9,)=0,0,((VLOOKUP($D393,$C$5:$AJ$470,9,)/VLOOKUP($D393,$C$5:$AJ$470,4,))*$F393))</f>
        <v>1592188.3815593291</v>
      </c>
      <c r="L393" s="19">
        <f t="shared" ref="L393:L404" si="460">IF(VLOOKUP($D393,$C$5:$AJ$470,10,)=0,0,((VLOOKUP($D393,$C$5:$AJ$470,10,)/VLOOKUP($D393,$C$5:$AJ$470,4,))*$F393))</f>
        <v>97784.721501174543</v>
      </c>
      <c r="M393" s="19">
        <f t="shared" ref="M393:M404" si="461">IF(VLOOKUP($D393,$C$5:$AJ$470,11,)=0,0,((VLOOKUP($D393,$C$5:$AJ$470,11,)/VLOOKUP($D393,$C$5:$AJ$470,4,))*$F393))</f>
        <v>3185692.3172575654</v>
      </c>
      <c r="N393" s="19"/>
      <c r="O393" s="19">
        <f t="shared" ref="O393:O404" si="462">IF(VLOOKUP($D393,$C$5:$AJ$470,13,)=0,0,((VLOOKUP($D393,$C$5:$AJ$470,13,)/VLOOKUP($D393,$C$5:$AJ$470,4,))*$F393))</f>
        <v>297421.02190336457</v>
      </c>
      <c r="P393" s="19">
        <f t="shared" ref="P393:P404" si="463">IF(VLOOKUP($D393,$C$5:$AJ$470,14,)=0,0,((VLOOKUP($D393,$C$5:$AJ$470,14,)/VLOOKUP($D393,$C$5:$AJ$470,4,))*$F393))</f>
        <v>11244.960891650306</v>
      </c>
      <c r="Q393" s="19">
        <f t="shared" ref="Q393:Q404" si="464">IF(VLOOKUP($D393,$C$5:$AJ$470,15,)=0,0,((VLOOKUP($D393,$C$5:$AJ$470,15,)/VLOOKUP($D393,$C$5:$AJ$470,4,))*$F393))</f>
        <v>0</v>
      </c>
      <c r="R393" s="19"/>
      <c r="S393" s="19">
        <f t="shared" ref="S393:S404" si="465">IF(VLOOKUP($D393,$C$5:$AJ$470,17,)=0,0,((VLOOKUP($D393,$C$5:$AJ$470,17,)/VLOOKUP($D393,$C$5:$AJ$470,4,))*$F393))</f>
        <v>0</v>
      </c>
      <c r="T393" s="19">
        <f t="shared" ref="T393:T404" si="466">IF(VLOOKUP($D393,$C$5:$AJ$470,18,)=0,0,((VLOOKUP($D393,$C$5:$AJ$470,18,)/VLOOKUP($D393,$C$5:$AJ$470,4,))*$F393))</f>
        <v>0</v>
      </c>
      <c r="U393" s="19">
        <f t="shared" ref="U393:U404" si="467">IF(VLOOKUP($D393,$C$5:$AJ$470,19,)=0,0,((VLOOKUP($D393,$C$5:$AJ$470,19,)/VLOOKUP($D393,$C$5:$AJ$470,4,))*$F393))</f>
        <v>0</v>
      </c>
      <c r="V393" s="19">
        <f t="shared" ref="V393:V404" si="468">IF(VLOOKUP($D393,$C$5:$AJ$470,20,)=0,0,((VLOOKUP($D393,$C$5:$AJ$470,20,)/VLOOKUP($D393,$C$5:$AJ$470,4,))*$F393))</f>
        <v>0</v>
      </c>
      <c r="W393" s="19">
        <f t="shared" ref="W393:W404" si="469">IF(VLOOKUP($D393,$C$5:$AJ$470,21,)=0,0,((VLOOKUP($D393,$C$5:$AJ$470,21,)/VLOOKUP($D393,$C$5:$AJ$470,4,))*$F393))</f>
        <v>0</v>
      </c>
      <c r="X393" s="19">
        <f t="shared" ref="X393:X404" si="470">IF(VLOOKUP($D393,$C$5:$AJ$470,22,)=0,0,((VLOOKUP($D393,$C$5:$AJ$470,22,)/VLOOKUP($D393,$C$5:$AJ$470,4,))*$F393))</f>
        <v>0</v>
      </c>
      <c r="Y393" s="19">
        <f t="shared" ref="Y393:Y404" si="471">IF(VLOOKUP($D393,$C$5:$AJ$470,23,)=0,0,((VLOOKUP($D393,$C$5:$AJ$470,23,)/VLOOKUP($D393,$C$5:$AJ$470,4,))*$F393))</f>
        <v>0</v>
      </c>
      <c r="Z393" s="19">
        <f t="shared" ref="Z393:Z404" si="472">IF(VLOOKUP($D393,$C$5:$AJ$470,24,)=0,0,((VLOOKUP($D393,$C$5:$AJ$470,24,)/VLOOKUP($D393,$C$5:$AJ$470,4,))*$F393))</f>
        <v>0</v>
      </c>
      <c r="AA393" s="19">
        <f t="shared" ref="AA393:AA404" si="473">IF(VLOOKUP($D393,$C$5:$AJ$470,25,)=0,0,((VLOOKUP($D393,$C$5:$AJ$470,25,)/VLOOKUP($D393,$C$5:$AJ$470,4,))*$F393))</f>
        <v>0</v>
      </c>
      <c r="AB393" s="19">
        <f t="shared" ref="AB393:AB404" si="474">IF(VLOOKUP($D393,$C$5:$AJ$470,26,)=0,0,((VLOOKUP($D393,$C$5:$AJ$470,26,)/VLOOKUP($D393,$C$5:$AJ$470,4,))*$F393))</f>
        <v>0</v>
      </c>
      <c r="AC393" s="19">
        <f t="shared" ref="AC393:AC404" si="475">IF(VLOOKUP($D393,$C$5:$AJ$470,27,)=0,0,((VLOOKUP($D393,$C$5:$AJ$470,27,)/VLOOKUP($D393,$C$5:$AJ$470,4,))*$F393))</f>
        <v>0</v>
      </c>
      <c r="AD393" s="19">
        <f t="shared" ref="AD393:AD404" si="476">IF(VLOOKUP($D393,$C$5:$AJ$470,28,)=0,0,((VLOOKUP($D393,$C$5:$AJ$470,28,)/VLOOKUP($D393,$C$5:$AJ$470,4,))*$F393))</f>
        <v>0</v>
      </c>
      <c r="AE393" s="19"/>
      <c r="AF393" s="19">
        <f t="shared" ref="AF393:AF404" si="477">IF(VLOOKUP($D393,$C$5:$AJ$470,30,)=0,0,((VLOOKUP($D393,$C$5:$AJ$470,30,)/VLOOKUP($D393,$C$5:$AJ$470,4,))*$F393))</f>
        <v>0</v>
      </c>
      <c r="AG393" s="19"/>
      <c r="AH393" s="19">
        <f t="shared" ref="AH393:AH404" si="478">IF(VLOOKUP($D393,$C$5:$AJ$470,32,)=0,0,((VLOOKUP($D393,$C$5:$AJ$470,32,)/VLOOKUP($D393,$C$5:$AJ$470,4,))*$F393))</f>
        <v>0</v>
      </c>
      <c r="AI393" s="19"/>
      <c r="AJ393" s="19">
        <f t="shared" ref="AJ393:AJ404" si="479">IF(VLOOKUP($D393,$C$5:$AJ$470,34,)=0,0,((VLOOKUP($D393,$C$5:$AJ$470,34,)/VLOOKUP($D393,$C$5:$AJ$470,4,))*$F393))</f>
        <v>0</v>
      </c>
      <c r="AK393" s="19">
        <f t="shared" ref="AK393:AK404" si="480">SUM(H393:AJ393)</f>
        <v>14226871.140000001</v>
      </c>
      <c r="AL393" s="15" t="str">
        <f t="shared" ref="AL393:AL404" si="481">IF(ABS(AK393-F393)&lt;1,"ok","err")</f>
        <v>ok</v>
      </c>
    </row>
    <row r="394" spans="1:38" x14ac:dyDescent="0.3">
      <c r="A394" s="2">
        <v>921</v>
      </c>
      <c r="B394" s="2" t="s">
        <v>309</v>
      </c>
      <c r="C394" s="2" t="s">
        <v>448</v>
      </c>
      <c r="D394" s="2" t="s">
        <v>308</v>
      </c>
      <c r="F394" s="43">
        <v>0</v>
      </c>
      <c r="H394" s="19">
        <f t="shared" si="456"/>
        <v>0</v>
      </c>
      <c r="I394" s="19">
        <f t="shared" si="457"/>
        <v>0</v>
      </c>
      <c r="J394" s="19">
        <f t="shared" si="458"/>
        <v>0</v>
      </c>
      <c r="K394" s="19">
        <f t="shared" si="459"/>
        <v>0</v>
      </c>
      <c r="L394" s="19">
        <f t="shared" si="460"/>
        <v>0</v>
      </c>
      <c r="M394" s="19">
        <f t="shared" si="461"/>
        <v>0</v>
      </c>
      <c r="N394" s="19"/>
      <c r="O394" s="19">
        <f t="shared" si="462"/>
        <v>0</v>
      </c>
      <c r="P394" s="19">
        <f t="shared" si="463"/>
        <v>0</v>
      </c>
      <c r="Q394" s="19">
        <f t="shared" si="464"/>
        <v>0</v>
      </c>
      <c r="R394" s="19"/>
      <c r="S394" s="19">
        <f t="shared" si="465"/>
        <v>0</v>
      </c>
      <c r="T394" s="19">
        <f t="shared" si="466"/>
        <v>0</v>
      </c>
      <c r="U394" s="19">
        <f t="shared" si="467"/>
        <v>0</v>
      </c>
      <c r="V394" s="19">
        <f t="shared" si="468"/>
        <v>0</v>
      </c>
      <c r="W394" s="19">
        <f t="shared" si="469"/>
        <v>0</v>
      </c>
      <c r="X394" s="19">
        <f t="shared" si="470"/>
        <v>0</v>
      </c>
      <c r="Y394" s="19">
        <f t="shared" si="471"/>
        <v>0</v>
      </c>
      <c r="Z394" s="19">
        <f t="shared" si="472"/>
        <v>0</v>
      </c>
      <c r="AA394" s="19">
        <f t="shared" si="473"/>
        <v>0</v>
      </c>
      <c r="AB394" s="19">
        <f t="shared" si="474"/>
        <v>0</v>
      </c>
      <c r="AC394" s="19">
        <f t="shared" si="475"/>
        <v>0</v>
      </c>
      <c r="AD394" s="19">
        <f t="shared" si="476"/>
        <v>0</v>
      </c>
      <c r="AE394" s="19"/>
      <c r="AF394" s="19">
        <f t="shared" si="477"/>
        <v>0</v>
      </c>
      <c r="AG394" s="19"/>
      <c r="AH394" s="19">
        <f t="shared" si="478"/>
        <v>0</v>
      </c>
      <c r="AI394" s="19"/>
      <c r="AJ394" s="19">
        <f t="shared" si="479"/>
        <v>0</v>
      </c>
      <c r="AK394" s="19">
        <f t="shared" si="480"/>
        <v>0</v>
      </c>
      <c r="AL394" s="15" t="str">
        <f t="shared" si="481"/>
        <v>ok</v>
      </c>
    </row>
    <row r="395" spans="1:38" x14ac:dyDescent="0.3">
      <c r="A395" s="2">
        <v>922</v>
      </c>
      <c r="B395" s="2" t="s">
        <v>449</v>
      </c>
      <c r="C395" s="2" t="s">
        <v>450</v>
      </c>
      <c r="D395" s="2" t="s">
        <v>308</v>
      </c>
      <c r="F395" s="43">
        <v>0</v>
      </c>
      <c r="H395" s="19">
        <f t="shared" si="456"/>
        <v>0</v>
      </c>
      <c r="I395" s="19">
        <f t="shared" si="457"/>
        <v>0</v>
      </c>
      <c r="J395" s="19">
        <f t="shared" si="458"/>
        <v>0</v>
      </c>
      <c r="K395" s="19">
        <f t="shared" si="459"/>
        <v>0</v>
      </c>
      <c r="L395" s="19">
        <f t="shared" si="460"/>
        <v>0</v>
      </c>
      <c r="M395" s="19">
        <f t="shared" si="461"/>
        <v>0</v>
      </c>
      <c r="N395" s="19"/>
      <c r="O395" s="19">
        <f t="shared" si="462"/>
        <v>0</v>
      </c>
      <c r="P395" s="19">
        <f t="shared" si="463"/>
        <v>0</v>
      </c>
      <c r="Q395" s="19">
        <f t="shared" si="464"/>
        <v>0</v>
      </c>
      <c r="R395" s="19"/>
      <c r="S395" s="19">
        <f t="shared" si="465"/>
        <v>0</v>
      </c>
      <c r="T395" s="19">
        <f t="shared" si="466"/>
        <v>0</v>
      </c>
      <c r="U395" s="19">
        <f t="shared" si="467"/>
        <v>0</v>
      </c>
      <c r="V395" s="19">
        <f t="shared" si="468"/>
        <v>0</v>
      </c>
      <c r="W395" s="19">
        <f t="shared" si="469"/>
        <v>0</v>
      </c>
      <c r="X395" s="19">
        <f t="shared" si="470"/>
        <v>0</v>
      </c>
      <c r="Y395" s="19">
        <f t="shared" si="471"/>
        <v>0</v>
      </c>
      <c r="Z395" s="19">
        <f t="shared" si="472"/>
        <v>0</v>
      </c>
      <c r="AA395" s="19">
        <f t="shared" si="473"/>
        <v>0</v>
      </c>
      <c r="AB395" s="19">
        <f t="shared" si="474"/>
        <v>0</v>
      </c>
      <c r="AC395" s="19">
        <f t="shared" si="475"/>
        <v>0</v>
      </c>
      <c r="AD395" s="19">
        <f t="shared" si="476"/>
        <v>0</v>
      </c>
      <c r="AE395" s="19"/>
      <c r="AF395" s="19">
        <f t="shared" si="477"/>
        <v>0</v>
      </c>
      <c r="AG395" s="19"/>
      <c r="AH395" s="19">
        <f t="shared" si="478"/>
        <v>0</v>
      </c>
      <c r="AI395" s="19"/>
      <c r="AJ395" s="19">
        <f t="shared" si="479"/>
        <v>0</v>
      </c>
      <c r="AK395" s="19">
        <f t="shared" si="480"/>
        <v>0</v>
      </c>
      <c r="AL395" s="15" t="str">
        <f t="shared" si="481"/>
        <v>ok</v>
      </c>
    </row>
    <row r="396" spans="1:38" x14ac:dyDescent="0.3">
      <c r="A396" s="2">
        <v>923</v>
      </c>
      <c r="B396" s="2" t="s">
        <v>313</v>
      </c>
      <c r="C396" s="2" t="s">
        <v>451</v>
      </c>
      <c r="D396" s="2" t="s">
        <v>308</v>
      </c>
      <c r="F396" s="43">
        <v>0</v>
      </c>
      <c r="H396" s="19">
        <f t="shared" si="456"/>
        <v>0</v>
      </c>
      <c r="I396" s="19">
        <f t="shared" si="457"/>
        <v>0</v>
      </c>
      <c r="J396" s="19">
        <f t="shared" si="458"/>
        <v>0</v>
      </c>
      <c r="K396" s="19">
        <f t="shared" si="459"/>
        <v>0</v>
      </c>
      <c r="L396" s="19">
        <f t="shared" si="460"/>
        <v>0</v>
      </c>
      <c r="M396" s="19">
        <f t="shared" si="461"/>
        <v>0</v>
      </c>
      <c r="N396" s="19"/>
      <c r="O396" s="19">
        <f t="shared" si="462"/>
        <v>0</v>
      </c>
      <c r="P396" s="19">
        <f t="shared" si="463"/>
        <v>0</v>
      </c>
      <c r="Q396" s="19">
        <f t="shared" si="464"/>
        <v>0</v>
      </c>
      <c r="R396" s="19"/>
      <c r="S396" s="19">
        <f t="shared" si="465"/>
        <v>0</v>
      </c>
      <c r="T396" s="19">
        <f t="shared" si="466"/>
        <v>0</v>
      </c>
      <c r="U396" s="19">
        <f t="shared" si="467"/>
        <v>0</v>
      </c>
      <c r="V396" s="19">
        <f t="shared" si="468"/>
        <v>0</v>
      </c>
      <c r="W396" s="19">
        <f t="shared" si="469"/>
        <v>0</v>
      </c>
      <c r="X396" s="19">
        <f t="shared" si="470"/>
        <v>0</v>
      </c>
      <c r="Y396" s="19">
        <f t="shared" si="471"/>
        <v>0</v>
      </c>
      <c r="Z396" s="19">
        <f t="shared" si="472"/>
        <v>0</v>
      </c>
      <c r="AA396" s="19">
        <f t="shared" si="473"/>
        <v>0</v>
      </c>
      <c r="AB396" s="19">
        <f t="shared" si="474"/>
        <v>0</v>
      </c>
      <c r="AC396" s="19">
        <f t="shared" si="475"/>
        <v>0</v>
      </c>
      <c r="AD396" s="19">
        <f t="shared" si="476"/>
        <v>0</v>
      </c>
      <c r="AE396" s="19"/>
      <c r="AF396" s="19">
        <f t="shared" si="477"/>
        <v>0</v>
      </c>
      <c r="AG396" s="19"/>
      <c r="AH396" s="19">
        <f t="shared" si="478"/>
        <v>0</v>
      </c>
      <c r="AI396" s="19"/>
      <c r="AJ396" s="19">
        <f t="shared" si="479"/>
        <v>0</v>
      </c>
      <c r="AK396" s="19">
        <f t="shared" si="480"/>
        <v>0</v>
      </c>
      <c r="AL396" s="15" t="str">
        <f t="shared" si="481"/>
        <v>ok</v>
      </c>
    </row>
    <row r="397" spans="1:38" x14ac:dyDescent="0.3">
      <c r="A397" s="2">
        <v>924</v>
      </c>
      <c r="B397" s="2" t="s">
        <v>315</v>
      </c>
      <c r="C397" s="2" t="s">
        <v>452</v>
      </c>
      <c r="D397" s="2" t="s">
        <v>62</v>
      </c>
      <c r="F397" s="43">
        <v>0</v>
      </c>
      <c r="H397" s="19">
        <f t="shared" si="456"/>
        <v>0</v>
      </c>
      <c r="I397" s="19">
        <f t="shared" si="457"/>
        <v>0</v>
      </c>
      <c r="J397" s="19">
        <f t="shared" si="458"/>
        <v>0</v>
      </c>
      <c r="K397" s="19">
        <f t="shared" si="459"/>
        <v>0</v>
      </c>
      <c r="L397" s="19">
        <f t="shared" si="460"/>
        <v>0</v>
      </c>
      <c r="M397" s="19">
        <f t="shared" si="461"/>
        <v>0</v>
      </c>
      <c r="N397" s="19"/>
      <c r="O397" s="19">
        <f t="shared" si="462"/>
        <v>0</v>
      </c>
      <c r="P397" s="19">
        <f t="shared" si="463"/>
        <v>0</v>
      </c>
      <c r="Q397" s="19">
        <f t="shared" si="464"/>
        <v>0</v>
      </c>
      <c r="R397" s="19"/>
      <c r="S397" s="19">
        <f t="shared" si="465"/>
        <v>0</v>
      </c>
      <c r="T397" s="19">
        <f t="shared" si="466"/>
        <v>0</v>
      </c>
      <c r="U397" s="19">
        <f t="shared" si="467"/>
        <v>0</v>
      </c>
      <c r="V397" s="19">
        <f t="shared" si="468"/>
        <v>0</v>
      </c>
      <c r="W397" s="19">
        <f t="shared" si="469"/>
        <v>0</v>
      </c>
      <c r="X397" s="19">
        <f t="shared" si="470"/>
        <v>0</v>
      </c>
      <c r="Y397" s="19">
        <f t="shared" si="471"/>
        <v>0</v>
      </c>
      <c r="Z397" s="19">
        <f t="shared" si="472"/>
        <v>0</v>
      </c>
      <c r="AA397" s="19">
        <f t="shared" si="473"/>
        <v>0</v>
      </c>
      <c r="AB397" s="19">
        <f t="shared" si="474"/>
        <v>0</v>
      </c>
      <c r="AC397" s="19">
        <f t="shared" si="475"/>
        <v>0</v>
      </c>
      <c r="AD397" s="19">
        <f t="shared" si="476"/>
        <v>0</v>
      </c>
      <c r="AE397" s="19"/>
      <c r="AF397" s="19">
        <f t="shared" si="477"/>
        <v>0</v>
      </c>
      <c r="AG397" s="19"/>
      <c r="AH397" s="19">
        <f t="shared" si="478"/>
        <v>0</v>
      </c>
      <c r="AI397" s="19"/>
      <c r="AJ397" s="19">
        <f t="shared" si="479"/>
        <v>0</v>
      </c>
      <c r="AK397" s="19">
        <f t="shared" si="480"/>
        <v>0</v>
      </c>
      <c r="AL397" s="15" t="str">
        <f t="shared" si="481"/>
        <v>ok</v>
      </c>
    </row>
    <row r="398" spans="1:38" x14ac:dyDescent="0.3">
      <c r="A398" s="2">
        <v>925</v>
      </c>
      <c r="B398" s="2" t="s">
        <v>317</v>
      </c>
      <c r="C398" s="2" t="s">
        <v>453</v>
      </c>
      <c r="D398" s="2" t="s">
        <v>308</v>
      </c>
      <c r="F398" s="43">
        <v>0</v>
      </c>
      <c r="H398" s="19">
        <f t="shared" si="456"/>
        <v>0</v>
      </c>
      <c r="I398" s="19">
        <f t="shared" si="457"/>
        <v>0</v>
      </c>
      <c r="J398" s="19">
        <f t="shared" si="458"/>
        <v>0</v>
      </c>
      <c r="K398" s="19">
        <f t="shared" si="459"/>
        <v>0</v>
      </c>
      <c r="L398" s="19">
        <f t="shared" si="460"/>
        <v>0</v>
      </c>
      <c r="M398" s="19">
        <f t="shared" si="461"/>
        <v>0</v>
      </c>
      <c r="N398" s="19"/>
      <c r="O398" s="19">
        <f t="shared" si="462"/>
        <v>0</v>
      </c>
      <c r="P398" s="19">
        <f t="shared" si="463"/>
        <v>0</v>
      </c>
      <c r="Q398" s="19">
        <f t="shared" si="464"/>
        <v>0</v>
      </c>
      <c r="R398" s="19"/>
      <c r="S398" s="19">
        <f t="shared" si="465"/>
        <v>0</v>
      </c>
      <c r="T398" s="19">
        <f t="shared" si="466"/>
        <v>0</v>
      </c>
      <c r="U398" s="19">
        <f t="shared" si="467"/>
        <v>0</v>
      </c>
      <c r="V398" s="19">
        <f t="shared" si="468"/>
        <v>0</v>
      </c>
      <c r="W398" s="19">
        <f t="shared" si="469"/>
        <v>0</v>
      </c>
      <c r="X398" s="19">
        <f t="shared" si="470"/>
        <v>0</v>
      </c>
      <c r="Y398" s="19">
        <f t="shared" si="471"/>
        <v>0</v>
      </c>
      <c r="Z398" s="19">
        <f t="shared" si="472"/>
        <v>0</v>
      </c>
      <c r="AA398" s="19">
        <f t="shared" si="473"/>
        <v>0</v>
      </c>
      <c r="AB398" s="19">
        <f t="shared" si="474"/>
        <v>0</v>
      </c>
      <c r="AC398" s="19">
        <f t="shared" si="475"/>
        <v>0</v>
      </c>
      <c r="AD398" s="19">
        <f t="shared" si="476"/>
        <v>0</v>
      </c>
      <c r="AE398" s="19"/>
      <c r="AF398" s="19">
        <f t="shared" si="477"/>
        <v>0</v>
      </c>
      <c r="AG398" s="19"/>
      <c r="AH398" s="19">
        <f t="shared" si="478"/>
        <v>0</v>
      </c>
      <c r="AI398" s="19"/>
      <c r="AJ398" s="19">
        <f t="shared" si="479"/>
        <v>0</v>
      </c>
      <c r="AK398" s="19">
        <f t="shared" si="480"/>
        <v>0</v>
      </c>
      <c r="AL398" s="15" t="str">
        <f t="shared" si="481"/>
        <v>ok</v>
      </c>
    </row>
    <row r="399" spans="1:38" x14ac:dyDescent="0.3">
      <c r="A399" s="2">
        <v>926</v>
      </c>
      <c r="B399" s="2" t="s">
        <v>319</v>
      </c>
      <c r="C399" s="2" t="s">
        <v>454</v>
      </c>
      <c r="D399" s="2" t="s">
        <v>308</v>
      </c>
      <c r="F399" s="43">
        <v>0</v>
      </c>
      <c r="H399" s="19">
        <f t="shared" si="456"/>
        <v>0</v>
      </c>
      <c r="I399" s="19">
        <f t="shared" si="457"/>
        <v>0</v>
      </c>
      <c r="J399" s="19">
        <f t="shared" si="458"/>
        <v>0</v>
      </c>
      <c r="K399" s="19">
        <f t="shared" si="459"/>
        <v>0</v>
      </c>
      <c r="L399" s="19">
        <f t="shared" si="460"/>
        <v>0</v>
      </c>
      <c r="M399" s="19">
        <f t="shared" si="461"/>
        <v>0</v>
      </c>
      <c r="N399" s="19"/>
      <c r="O399" s="19">
        <f t="shared" si="462"/>
        <v>0</v>
      </c>
      <c r="P399" s="19">
        <f t="shared" si="463"/>
        <v>0</v>
      </c>
      <c r="Q399" s="19">
        <f t="shared" si="464"/>
        <v>0</v>
      </c>
      <c r="R399" s="19"/>
      <c r="S399" s="19">
        <f t="shared" si="465"/>
        <v>0</v>
      </c>
      <c r="T399" s="19">
        <f t="shared" si="466"/>
        <v>0</v>
      </c>
      <c r="U399" s="19">
        <f t="shared" si="467"/>
        <v>0</v>
      </c>
      <c r="V399" s="19">
        <f t="shared" si="468"/>
        <v>0</v>
      </c>
      <c r="W399" s="19">
        <f t="shared" si="469"/>
        <v>0</v>
      </c>
      <c r="X399" s="19">
        <f t="shared" si="470"/>
        <v>0</v>
      </c>
      <c r="Y399" s="19">
        <f t="shared" si="471"/>
        <v>0</v>
      </c>
      <c r="Z399" s="19">
        <f t="shared" si="472"/>
        <v>0</v>
      </c>
      <c r="AA399" s="19">
        <f t="shared" si="473"/>
        <v>0</v>
      </c>
      <c r="AB399" s="19">
        <f t="shared" si="474"/>
        <v>0</v>
      </c>
      <c r="AC399" s="19">
        <f t="shared" si="475"/>
        <v>0</v>
      </c>
      <c r="AD399" s="19">
        <f t="shared" si="476"/>
        <v>0</v>
      </c>
      <c r="AE399" s="19"/>
      <c r="AF399" s="19">
        <f t="shared" si="477"/>
        <v>0</v>
      </c>
      <c r="AG399" s="19"/>
      <c r="AH399" s="19">
        <f t="shared" si="478"/>
        <v>0</v>
      </c>
      <c r="AI399" s="19"/>
      <c r="AJ399" s="19">
        <f t="shared" si="479"/>
        <v>0</v>
      </c>
      <c r="AK399" s="19">
        <f t="shared" si="480"/>
        <v>0</v>
      </c>
      <c r="AL399" s="15" t="str">
        <f t="shared" si="481"/>
        <v>ok</v>
      </c>
    </row>
    <row r="400" spans="1:38" x14ac:dyDescent="0.3">
      <c r="A400" s="2">
        <v>928</v>
      </c>
      <c r="B400" s="2" t="s">
        <v>323</v>
      </c>
      <c r="C400" s="2" t="s">
        <v>455</v>
      </c>
      <c r="D400" s="2" t="s">
        <v>62</v>
      </c>
      <c r="F400" s="43">
        <v>0</v>
      </c>
      <c r="H400" s="19">
        <f t="shared" si="456"/>
        <v>0</v>
      </c>
      <c r="I400" s="19">
        <f t="shared" si="457"/>
        <v>0</v>
      </c>
      <c r="J400" s="19">
        <f t="shared" si="458"/>
        <v>0</v>
      </c>
      <c r="K400" s="19">
        <f t="shared" si="459"/>
        <v>0</v>
      </c>
      <c r="L400" s="19">
        <f t="shared" si="460"/>
        <v>0</v>
      </c>
      <c r="M400" s="19">
        <f t="shared" si="461"/>
        <v>0</v>
      </c>
      <c r="N400" s="19"/>
      <c r="O400" s="19">
        <f t="shared" si="462"/>
        <v>0</v>
      </c>
      <c r="P400" s="19">
        <f t="shared" si="463"/>
        <v>0</v>
      </c>
      <c r="Q400" s="19">
        <f t="shared" si="464"/>
        <v>0</v>
      </c>
      <c r="R400" s="19"/>
      <c r="S400" s="19">
        <f t="shared" si="465"/>
        <v>0</v>
      </c>
      <c r="T400" s="19">
        <f t="shared" si="466"/>
        <v>0</v>
      </c>
      <c r="U400" s="19">
        <f t="shared" si="467"/>
        <v>0</v>
      </c>
      <c r="V400" s="19">
        <f t="shared" si="468"/>
        <v>0</v>
      </c>
      <c r="W400" s="19">
        <f t="shared" si="469"/>
        <v>0</v>
      </c>
      <c r="X400" s="19">
        <f t="shared" si="470"/>
        <v>0</v>
      </c>
      <c r="Y400" s="19">
        <f t="shared" si="471"/>
        <v>0</v>
      </c>
      <c r="Z400" s="19">
        <f t="shared" si="472"/>
        <v>0</v>
      </c>
      <c r="AA400" s="19">
        <f t="shared" si="473"/>
        <v>0</v>
      </c>
      <c r="AB400" s="19">
        <f t="shared" si="474"/>
        <v>0</v>
      </c>
      <c r="AC400" s="19">
        <f t="shared" si="475"/>
        <v>0</v>
      </c>
      <c r="AD400" s="19">
        <f t="shared" si="476"/>
        <v>0</v>
      </c>
      <c r="AE400" s="19"/>
      <c r="AF400" s="19">
        <f t="shared" si="477"/>
        <v>0</v>
      </c>
      <c r="AG400" s="19"/>
      <c r="AH400" s="19">
        <f t="shared" si="478"/>
        <v>0</v>
      </c>
      <c r="AI400" s="19"/>
      <c r="AJ400" s="19">
        <f t="shared" si="479"/>
        <v>0</v>
      </c>
      <c r="AK400" s="19">
        <f t="shared" si="480"/>
        <v>0</v>
      </c>
      <c r="AL400" s="15" t="str">
        <f t="shared" si="481"/>
        <v>ok</v>
      </c>
    </row>
    <row r="401" spans="1:38" x14ac:dyDescent="0.3">
      <c r="A401" s="2">
        <v>929</v>
      </c>
      <c r="B401" s="2" t="s">
        <v>325</v>
      </c>
      <c r="C401" s="2" t="s">
        <v>456</v>
      </c>
      <c r="D401" s="2" t="s">
        <v>308</v>
      </c>
      <c r="F401" s="43">
        <v>0</v>
      </c>
      <c r="H401" s="19">
        <f t="shared" si="456"/>
        <v>0</v>
      </c>
      <c r="I401" s="19">
        <f t="shared" si="457"/>
        <v>0</v>
      </c>
      <c r="J401" s="19">
        <f t="shared" si="458"/>
        <v>0</v>
      </c>
      <c r="K401" s="19">
        <f t="shared" si="459"/>
        <v>0</v>
      </c>
      <c r="L401" s="19">
        <f t="shared" si="460"/>
        <v>0</v>
      </c>
      <c r="M401" s="19">
        <f t="shared" si="461"/>
        <v>0</v>
      </c>
      <c r="N401" s="19"/>
      <c r="O401" s="19">
        <f t="shared" si="462"/>
        <v>0</v>
      </c>
      <c r="P401" s="19">
        <f t="shared" si="463"/>
        <v>0</v>
      </c>
      <c r="Q401" s="19">
        <f t="shared" si="464"/>
        <v>0</v>
      </c>
      <c r="R401" s="19"/>
      <c r="S401" s="19">
        <f t="shared" si="465"/>
        <v>0</v>
      </c>
      <c r="T401" s="19">
        <f t="shared" si="466"/>
        <v>0</v>
      </c>
      <c r="U401" s="19">
        <f t="shared" si="467"/>
        <v>0</v>
      </c>
      <c r="V401" s="19">
        <f t="shared" si="468"/>
        <v>0</v>
      </c>
      <c r="W401" s="19">
        <f t="shared" si="469"/>
        <v>0</v>
      </c>
      <c r="X401" s="19">
        <f t="shared" si="470"/>
        <v>0</v>
      </c>
      <c r="Y401" s="19">
        <f t="shared" si="471"/>
        <v>0</v>
      </c>
      <c r="Z401" s="19">
        <f t="shared" si="472"/>
        <v>0</v>
      </c>
      <c r="AA401" s="19">
        <f t="shared" si="473"/>
        <v>0</v>
      </c>
      <c r="AB401" s="19">
        <f t="shared" si="474"/>
        <v>0</v>
      </c>
      <c r="AC401" s="19">
        <f t="shared" si="475"/>
        <v>0</v>
      </c>
      <c r="AD401" s="19">
        <f t="shared" si="476"/>
        <v>0</v>
      </c>
      <c r="AE401" s="19"/>
      <c r="AF401" s="19">
        <f t="shared" si="477"/>
        <v>0</v>
      </c>
      <c r="AG401" s="19"/>
      <c r="AH401" s="19">
        <f t="shared" si="478"/>
        <v>0</v>
      </c>
      <c r="AI401" s="19"/>
      <c r="AJ401" s="19">
        <f t="shared" si="479"/>
        <v>0</v>
      </c>
      <c r="AK401" s="19">
        <f t="shared" si="480"/>
        <v>0</v>
      </c>
      <c r="AL401" s="15" t="str">
        <f t="shared" si="481"/>
        <v>ok</v>
      </c>
    </row>
    <row r="402" spans="1:38" x14ac:dyDescent="0.3">
      <c r="A402" s="2">
        <v>930</v>
      </c>
      <c r="B402" s="2" t="s">
        <v>327</v>
      </c>
      <c r="C402" s="2" t="s">
        <v>457</v>
      </c>
      <c r="D402" s="2" t="s">
        <v>308</v>
      </c>
      <c r="F402" s="43">
        <v>669147.92999999993</v>
      </c>
      <c r="H402" s="19">
        <f t="shared" si="456"/>
        <v>159694.18885970913</v>
      </c>
      <c r="I402" s="19">
        <f t="shared" si="457"/>
        <v>197020.0537811649</v>
      </c>
      <c r="J402" s="19">
        <f t="shared" si="458"/>
        <v>68593.38033100481</v>
      </c>
      <c r="K402" s="19">
        <f t="shared" si="459"/>
        <v>74887.130782747437</v>
      </c>
      <c r="L402" s="19">
        <f t="shared" si="460"/>
        <v>4599.2153393565795</v>
      </c>
      <c r="M402" s="19">
        <f t="shared" si="461"/>
        <v>149836.13745655975</v>
      </c>
      <c r="N402" s="19"/>
      <c r="O402" s="19">
        <f t="shared" si="462"/>
        <v>13988.926952853601</v>
      </c>
      <c r="P402" s="19">
        <f t="shared" si="463"/>
        <v>528.89649660373288</v>
      </c>
      <c r="Q402" s="19">
        <f t="shared" si="464"/>
        <v>0</v>
      </c>
      <c r="R402" s="19"/>
      <c r="S402" s="19">
        <f t="shared" si="465"/>
        <v>0</v>
      </c>
      <c r="T402" s="19">
        <f t="shared" si="466"/>
        <v>0</v>
      </c>
      <c r="U402" s="19">
        <f t="shared" si="467"/>
        <v>0</v>
      </c>
      <c r="V402" s="19">
        <f t="shared" si="468"/>
        <v>0</v>
      </c>
      <c r="W402" s="19">
        <f t="shared" si="469"/>
        <v>0</v>
      </c>
      <c r="X402" s="19">
        <f t="shared" si="470"/>
        <v>0</v>
      </c>
      <c r="Y402" s="19">
        <f t="shared" si="471"/>
        <v>0</v>
      </c>
      <c r="Z402" s="19">
        <f t="shared" si="472"/>
        <v>0</v>
      </c>
      <c r="AA402" s="19">
        <f t="shared" si="473"/>
        <v>0</v>
      </c>
      <c r="AB402" s="19">
        <f t="shared" si="474"/>
        <v>0</v>
      </c>
      <c r="AC402" s="19">
        <f t="shared" si="475"/>
        <v>0</v>
      </c>
      <c r="AD402" s="19">
        <f t="shared" si="476"/>
        <v>0</v>
      </c>
      <c r="AE402" s="19"/>
      <c r="AF402" s="19">
        <f t="shared" si="477"/>
        <v>0</v>
      </c>
      <c r="AG402" s="19"/>
      <c r="AH402" s="19">
        <f t="shared" si="478"/>
        <v>0</v>
      </c>
      <c r="AI402" s="19"/>
      <c r="AJ402" s="19">
        <f t="shared" si="479"/>
        <v>0</v>
      </c>
      <c r="AK402" s="19">
        <f t="shared" si="480"/>
        <v>669147.92999999993</v>
      </c>
      <c r="AL402" s="15" t="str">
        <f t="shared" si="481"/>
        <v>ok</v>
      </c>
    </row>
    <row r="403" spans="1:38" x14ac:dyDescent="0.3">
      <c r="A403" s="2">
        <v>931</v>
      </c>
      <c r="B403" s="2" t="s">
        <v>329</v>
      </c>
      <c r="C403" s="2" t="s">
        <v>458</v>
      </c>
      <c r="D403" s="2" t="s">
        <v>37</v>
      </c>
      <c r="F403" s="43">
        <v>0</v>
      </c>
      <c r="H403" s="19">
        <f t="shared" si="456"/>
        <v>0</v>
      </c>
      <c r="I403" s="19">
        <f t="shared" si="457"/>
        <v>0</v>
      </c>
      <c r="J403" s="19">
        <f t="shared" si="458"/>
        <v>0</v>
      </c>
      <c r="K403" s="19">
        <f t="shared" si="459"/>
        <v>0</v>
      </c>
      <c r="L403" s="19">
        <f t="shared" si="460"/>
        <v>0</v>
      </c>
      <c r="M403" s="19">
        <f t="shared" si="461"/>
        <v>0</v>
      </c>
      <c r="N403" s="19"/>
      <c r="O403" s="19">
        <f t="shared" si="462"/>
        <v>0</v>
      </c>
      <c r="P403" s="19">
        <f t="shared" si="463"/>
        <v>0</v>
      </c>
      <c r="Q403" s="19">
        <f t="shared" si="464"/>
        <v>0</v>
      </c>
      <c r="R403" s="19"/>
      <c r="S403" s="19">
        <f t="shared" si="465"/>
        <v>0</v>
      </c>
      <c r="T403" s="19">
        <f t="shared" si="466"/>
        <v>0</v>
      </c>
      <c r="U403" s="19">
        <f t="shared" si="467"/>
        <v>0</v>
      </c>
      <c r="V403" s="19">
        <f t="shared" si="468"/>
        <v>0</v>
      </c>
      <c r="W403" s="19">
        <f t="shared" si="469"/>
        <v>0</v>
      </c>
      <c r="X403" s="19">
        <f t="shared" si="470"/>
        <v>0</v>
      </c>
      <c r="Y403" s="19">
        <f t="shared" si="471"/>
        <v>0</v>
      </c>
      <c r="Z403" s="19">
        <f t="shared" si="472"/>
        <v>0</v>
      </c>
      <c r="AA403" s="19">
        <f t="shared" si="473"/>
        <v>0</v>
      </c>
      <c r="AB403" s="19">
        <f t="shared" si="474"/>
        <v>0</v>
      </c>
      <c r="AC403" s="19">
        <f t="shared" si="475"/>
        <v>0</v>
      </c>
      <c r="AD403" s="19">
        <f t="shared" si="476"/>
        <v>0</v>
      </c>
      <c r="AE403" s="19"/>
      <c r="AF403" s="19">
        <f t="shared" si="477"/>
        <v>0</v>
      </c>
      <c r="AG403" s="19"/>
      <c r="AH403" s="19">
        <f t="shared" si="478"/>
        <v>0</v>
      </c>
      <c r="AI403" s="19"/>
      <c r="AJ403" s="19">
        <f t="shared" si="479"/>
        <v>0</v>
      </c>
      <c r="AK403" s="19">
        <f t="shared" si="480"/>
        <v>0</v>
      </c>
      <c r="AL403" s="15" t="str">
        <f t="shared" si="481"/>
        <v>ok</v>
      </c>
    </row>
    <row r="404" spans="1:38" x14ac:dyDescent="0.3">
      <c r="A404" s="2">
        <v>935</v>
      </c>
      <c r="B404" s="2" t="s">
        <v>331</v>
      </c>
      <c r="C404" s="2" t="s">
        <v>459</v>
      </c>
      <c r="D404" s="2" t="s">
        <v>37</v>
      </c>
      <c r="F404" s="43">
        <v>583500.41</v>
      </c>
      <c r="H404" s="19">
        <f t="shared" si="456"/>
        <v>199162.17029357361</v>
      </c>
      <c r="I404" s="19">
        <f t="shared" si="457"/>
        <v>245713.02050874688</v>
      </c>
      <c r="J404" s="19">
        <f t="shared" si="458"/>
        <v>0</v>
      </c>
      <c r="K404" s="19">
        <f t="shared" si="459"/>
        <v>0</v>
      </c>
      <c r="L404" s="19">
        <f t="shared" si="460"/>
        <v>2839.8391975306427</v>
      </c>
      <c r="M404" s="19">
        <f t="shared" si="461"/>
        <v>94513.092738342631</v>
      </c>
      <c r="N404" s="19"/>
      <c r="O404" s="19">
        <f t="shared" si="462"/>
        <v>40727.04629614632</v>
      </c>
      <c r="P404" s="19">
        <f t="shared" si="463"/>
        <v>545.24096565999048</v>
      </c>
      <c r="Q404" s="19">
        <f t="shared" si="464"/>
        <v>0</v>
      </c>
      <c r="R404" s="19"/>
      <c r="S404" s="19">
        <f t="shared" si="465"/>
        <v>0</v>
      </c>
      <c r="T404" s="19">
        <f t="shared" si="466"/>
        <v>0</v>
      </c>
      <c r="U404" s="19">
        <f t="shared" si="467"/>
        <v>0</v>
      </c>
      <c r="V404" s="19">
        <f t="shared" si="468"/>
        <v>0</v>
      </c>
      <c r="W404" s="19">
        <f t="shared" si="469"/>
        <v>0</v>
      </c>
      <c r="X404" s="19">
        <f t="shared" si="470"/>
        <v>0</v>
      </c>
      <c r="Y404" s="19">
        <f t="shared" si="471"/>
        <v>0</v>
      </c>
      <c r="Z404" s="19">
        <f t="shared" si="472"/>
        <v>0</v>
      </c>
      <c r="AA404" s="19">
        <f t="shared" si="473"/>
        <v>0</v>
      </c>
      <c r="AB404" s="19">
        <f t="shared" si="474"/>
        <v>0</v>
      </c>
      <c r="AC404" s="19">
        <f t="shared" si="475"/>
        <v>0</v>
      </c>
      <c r="AD404" s="19">
        <f t="shared" si="476"/>
        <v>0</v>
      </c>
      <c r="AE404" s="19"/>
      <c r="AF404" s="19">
        <f t="shared" si="477"/>
        <v>0</v>
      </c>
      <c r="AG404" s="19"/>
      <c r="AH404" s="19">
        <f t="shared" si="478"/>
        <v>0</v>
      </c>
      <c r="AI404" s="19"/>
      <c r="AJ404" s="19">
        <f t="shared" si="479"/>
        <v>0</v>
      </c>
      <c r="AK404" s="19">
        <f t="shared" si="480"/>
        <v>583500.41</v>
      </c>
      <c r="AL404" s="15" t="str">
        <f t="shared" si="481"/>
        <v>ok</v>
      </c>
    </row>
    <row r="405" spans="1:38" x14ac:dyDescent="0.3">
      <c r="F405" s="43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5"/>
    </row>
    <row r="406" spans="1:38" x14ac:dyDescent="0.3">
      <c r="A406" s="2" t="s">
        <v>333</v>
      </c>
      <c r="C406" s="2" t="s">
        <v>460</v>
      </c>
      <c r="F406" s="44">
        <f t="shared" ref="F406:M406" si="482">SUM(F393:F405)</f>
        <v>15479519.48</v>
      </c>
      <c r="G406" s="18">
        <f t="shared" si="482"/>
        <v>0</v>
      </c>
      <c r="H406" s="18">
        <f t="shared" si="482"/>
        <v>3754142.4309698776</v>
      </c>
      <c r="I406" s="18">
        <f t="shared" si="482"/>
        <v>4631610.886615362</v>
      </c>
      <c r="J406" s="18">
        <f t="shared" si="482"/>
        <v>1526969.2330758772</v>
      </c>
      <c r="K406" s="18">
        <f t="shared" si="482"/>
        <v>1667075.5123420765</v>
      </c>
      <c r="L406" s="18">
        <f t="shared" si="482"/>
        <v>105223.77603806177</v>
      </c>
      <c r="M406" s="18">
        <f t="shared" si="482"/>
        <v>3430041.5474524675</v>
      </c>
      <c r="N406" s="19"/>
      <c r="O406" s="18">
        <f>SUM(O393:O405)</f>
        <v>352136.99515236448</v>
      </c>
      <c r="P406" s="18">
        <f>SUM(P393:P405)</f>
        <v>12319.098353914029</v>
      </c>
      <c r="Q406" s="18">
        <f>SUM(Q393:Q405)</f>
        <v>0</v>
      </c>
      <c r="R406" s="19"/>
      <c r="S406" s="18">
        <f t="shared" ref="S406:AD406" si="483">SUM(S393:S405)</f>
        <v>0</v>
      </c>
      <c r="T406" s="18">
        <f t="shared" si="483"/>
        <v>0</v>
      </c>
      <c r="U406" s="18">
        <f t="shared" si="483"/>
        <v>0</v>
      </c>
      <c r="V406" s="18">
        <f t="shared" si="483"/>
        <v>0</v>
      </c>
      <c r="W406" s="18">
        <f t="shared" si="483"/>
        <v>0</v>
      </c>
      <c r="X406" s="18">
        <f t="shared" si="483"/>
        <v>0</v>
      </c>
      <c r="Y406" s="18">
        <f t="shared" si="483"/>
        <v>0</v>
      </c>
      <c r="Z406" s="18">
        <f t="shared" si="483"/>
        <v>0</v>
      </c>
      <c r="AA406" s="18">
        <f t="shared" si="483"/>
        <v>0</v>
      </c>
      <c r="AB406" s="18">
        <f t="shared" si="483"/>
        <v>0</v>
      </c>
      <c r="AC406" s="18">
        <f t="shared" si="483"/>
        <v>0</v>
      </c>
      <c r="AD406" s="18">
        <f t="shared" si="483"/>
        <v>0</v>
      </c>
      <c r="AE406" s="19"/>
      <c r="AF406" s="18">
        <f>SUM(AF393:AF405)</f>
        <v>0</v>
      </c>
      <c r="AG406" s="19"/>
      <c r="AH406" s="18">
        <f>SUM(AH393:AH405)</f>
        <v>0</v>
      </c>
      <c r="AI406" s="19"/>
      <c r="AJ406" s="18">
        <f>SUM(AJ393:AJ405)</f>
        <v>0</v>
      </c>
      <c r="AK406" s="19">
        <f>SUM(H406:AJ406)</f>
        <v>15479519.480000004</v>
      </c>
      <c r="AL406" s="15" t="str">
        <f>IF(ABS(AK406-F406)&lt;1,"ok","err")</f>
        <v>ok</v>
      </c>
    </row>
    <row r="407" spans="1:38" x14ac:dyDescent="0.3">
      <c r="F407" s="43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5"/>
    </row>
    <row r="408" spans="1:38" x14ac:dyDescent="0.3">
      <c r="A408" s="2" t="s">
        <v>335</v>
      </c>
      <c r="C408" s="2" t="s">
        <v>95</v>
      </c>
      <c r="F408" s="44">
        <f>F362+F371+F386+F406</f>
        <v>78627269.850000009</v>
      </c>
      <c r="G408" s="18"/>
      <c r="H408" s="18">
        <f t="shared" ref="H408:M408" si="484">H362+H371+H386+H406</f>
        <v>18824545.134976674</v>
      </c>
      <c r="I408" s="18">
        <f t="shared" si="484"/>
        <v>23224469.978411369</v>
      </c>
      <c r="J408" s="18">
        <f t="shared" si="484"/>
        <v>8000153.2092659567</v>
      </c>
      <c r="K408" s="18">
        <f t="shared" si="484"/>
        <v>8734203.1661547069</v>
      </c>
      <c r="L408" s="18">
        <f t="shared" si="484"/>
        <v>539253.51613987179</v>
      </c>
      <c r="M408" s="18">
        <f t="shared" si="484"/>
        <v>17570136.106979601</v>
      </c>
      <c r="N408" s="18"/>
      <c r="O408" s="18">
        <f>O362+O371+O386+O406</f>
        <v>1672277.4716580065</v>
      </c>
      <c r="P408" s="18">
        <f>P362+P371+P386+P406</f>
        <v>62231.266413822821</v>
      </c>
      <c r="Q408" s="18">
        <f>Q362+Q371+Q386+Q406</f>
        <v>0</v>
      </c>
      <c r="R408" s="18"/>
      <c r="S408" s="18">
        <f t="shared" ref="S408:AD408" si="485">S362+S371+S386+S406</f>
        <v>0</v>
      </c>
      <c r="T408" s="18">
        <f t="shared" si="485"/>
        <v>0</v>
      </c>
      <c r="U408" s="18">
        <f t="shared" si="485"/>
        <v>0</v>
      </c>
      <c r="V408" s="18">
        <f t="shared" si="485"/>
        <v>0</v>
      </c>
      <c r="W408" s="18">
        <f t="shared" si="485"/>
        <v>0</v>
      </c>
      <c r="X408" s="18">
        <f t="shared" si="485"/>
        <v>0</v>
      </c>
      <c r="Y408" s="18">
        <f t="shared" si="485"/>
        <v>0</v>
      </c>
      <c r="Z408" s="18">
        <f t="shared" si="485"/>
        <v>0</v>
      </c>
      <c r="AA408" s="18">
        <f t="shared" si="485"/>
        <v>0</v>
      </c>
      <c r="AB408" s="18">
        <f t="shared" si="485"/>
        <v>0</v>
      </c>
      <c r="AC408" s="18">
        <f t="shared" si="485"/>
        <v>0</v>
      </c>
      <c r="AD408" s="18">
        <f t="shared" si="485"/>
        <v>0</v>
      </c>
      <c r="AE408" s="18"/>
      <c r="AF408" s="18">
        <f>AF362+AF371+AF386+AF406</f>
        <v>0</v>
      </c>
      <c r="AG408" s="18"/>
      <c r="AH408" s="18">
        <f>AH362+AH371+AH386+AH406</f>
        <v>0</v>
      </c>
      <c r="AI408" s="18"/>
      <c r="AJ408" s="18">
        <f>AJ362+AJ371+AJ386+AJ406</f>
        <v>0</v>
      </c>
      <c r="AK408" s="19">
        <f>SUM(H408:AJ408)</f>
        <v>78627269.850000009</v>
      </c>
      <c r="AL408" s="15" t="str">
        <f>IF(ABS(AK408-F408)&lt;1,"ok","err")</f>
        <v>ok</v>
      </c>
    </row>
    <row r="409" spans="1:38" x14ac:dyDescent="0.3">
      <c r="F409" s="43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5"/>
    </row>
    <row r="410" spans="1:38" x14ac:dyDescent="0.3">
      <c r="A410" s="2" t="s">
        <v>461</v>
      </c>
      <c r="C410" s="2" t="s">
        <v>462</v>
      </c>
      <c r="F410" s="20">
        <f t="shared" ref="F410:M410" si="486">F408-F302</f>
        <v>78627269.850000009</v>
      </c>
      <c r="G410" s="20">
        <f t="shared" si="486"/>
        <v>0</v>
      </c>
      <c r="H410" s="20">
        <f t="shared" si="486"/>
        <v>18824545.134976674</v>
      </c>
      <c r="I410" s="20">
        <f t="shared" si="486"/>
        <v>23224469.978411369</v>
      </c>
      <c r="J410" s="20">
        <f t="shared" si="486"/>
        <v>8000153.2092659567</v>
      </c>
      <c r="K410" s="20">
        <f t="shared" si="486"/>
        <v>8734203.1661547069</v>
      </c>
      <c r="L410" s="20">
        <f t="shared" si="486"/>
        <v>539253.51613987179</v>
      </c>
      <c r="M410" s="20">
        <f t="shared" si="486"/>
        <v>17570136.106979601</v>
      </c>
      <c r="N410" s="20"/>
      <c r="O410" s="20">
        <f>O408-O302</f>
        <v>1672277.4716580065</v>
      </c>
      <c r="P410" s="20">
        <f>P408-P302</f>
        <v>62231.266413822821</v>
      </c>
      <c r="Q410" s="20">
        <f>Q408-Q302</f>
        <v>0</v>
      </c>
      <c r="R410" s="20"/>
      <c r="S410" s="20">
        <f t="shared" ref="S410:AD410" si="487">S408-S302</f>
        <v>0</v>
      </c>
      <c r="T410" s="20">
        <f t="shared" si="487"/>
        <v>0</v>
      </c>
      <c r="U410" s="20">
        <f t="shared" si="487"/>
        <v>0</v>
      </c>
      <c r="V410" s="20">
        <f t="shared" si="487"/>
        <v>0</v>
      </c>
      <c r="W410" s="20">
        <f t="shared" si="487"/>
        <v>0</v>
      </c>
      <c r="X410" s="20">
        <f t="shared" si="487"/>
        <v>0</v>
      </c>
      <c r="Y410" s="20">
        <f t="shared" si="487"/>
        <v>0</v>
      </c>
      <c r="Z410" s="20">
        <f t="shared" si="487"/>
        <v>0</v>
      </c>
      <c r="AA410" s="20">
        <f t="shared" si="487"/>
        <v>0</v>
      </c>
      <c r="AB410" s="20">
        <f t="shared" si="487"/>
        <v>0</v>
      </c>
      <c r="AC410" s="20">
        <f t="shared" si="487"/>
        <v>0</v>
      </c>
      <c r="AD410" s="20">
        <f t="shared" si="487"/>
        <v>0</v>
      </c>
      <c r="AE410" s="20"/>
      <c r="AF410" s="20">
        <f>AF408-AF302</f>
        <v>0</v>
      </c>
      <c r="AG410" s="20"/>
      <c r="AH410" s="20">
        <f>AH408-AH302</f>
        <v>0</v>
      </c>
      <c r="AI410" s="20"/>
      <c r="AJ410" s="20">
        <f>AJ408-AJ302</f>
        <v>0</v>
      </c>
      <c r="AK410" s="19">
        <f>SUM(H410:AJ410)</f>
        <v>78627269.850000009</v>
      </c>
      <c r="AL410" s="15" t="str">
        <f>IF(ABS(AK410-F410)&lt;1,"ok","err")</f>
        <v>ok</v>
      </c>
    </row>
    <row r="411" spans="1:38" x14ac:dyDescent="0.3"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19"/>
      <c r="AL411" s="15"/>
    </row>
    <row r="412" spans="1:38" x14ac:dyDescent="0.3">
      <c r="A412" s="16" t="s">
        <v>463</v>
      </c>
      <c r="AL412" s="15"/>
    </row>
    <row r="413" spans="1:38" x14ac:dyDescent="0.3">
      <c r="AL413" s="15"/>
    </row>
    <row r="414" spans="1:38" x14ac:dyDescent="0.3">
      <c r="A414" s="3" t="s">
        <v>464</v>
      </c>
      <c r="AL414" s="15"/>
    </row>
    <row r="415" spans="1:38" x14ac:dyDescent="0.3">
      <c r="A415" s="21" t="s">
        <v>465</v>
      </c>
      <c r="C415" s="2" t="s">
        <v>466</v>
      </c>
      <c r="D415" s="2" t="s">
        <v>27</v>
      </c>
      <c r="F415" s="43">
        <f>96379569.43</f>
        <v>96379569.430000007</v>
      </c>
      <c r="H415" s="43">
        <f t="shared" ref="H415:H422" si="488">IF(VLOOKUP($D415,$C$5:$AJ$470,6,)=0,0,((VLOOKUP($D415,$C$5:$AJ$470,6,)/VLOOKUP($D415,$C$5:$AJ$470,4,))*$F415))</f>
        <v>42895356.415683746</v>
      </c>
      <c r="I415" s="43">
        <f t="shared" ref="I415:I422" si="489">IF(VLOOKUP($D415,$C$5:$AJ$470,7,)=0,0,((VLOOKUP($D415,$C$5:$AJ$470,7,)/VLOOKUP($D415,$C$5:$AJ$470,4,))*$F415))</f>
        <v>52921433.699786313</v>
      </c>
      <c r="J415" s="43">
        <f t="shared" ref="J415:J422" si="490">IF(VLOOKUP($D415,$C$5:$AJ$470,8,)=0,0,((VLOOKUP($D415,$C$5:$AJ$470,8,)/VLOOKUP($D415,$C$5:$AJ$470,4,))*$F415))</f>
        <v>0</v>
      </c>
      <c r="K415" s="43">
        <f t="shared" ref="K415:K422" si="491">IF(VLOOKUP($D415,$C$5:$AJ$470,9,)=0,0,((VLOOKUP($D415,$C$5:$AJ$470,9,)/VLOOKUP($D415,$C$5:$AJ$470,4,))*$F415))</f>
        <v>0</v>
      </c>
      <c r="L415" s="43">
        <f t="shared" ref="L415:L422" si="492">IF(VLOOKUP($D415,$C$5:$AJ$470,10,)=0,0,((VLOOKUP($D415,$C$5:$AJ$470,10,)/VLOOKUP($D415,$C$5:$AJ$470,4,))*$F415))</f>
        <v>562779.31452994945</v>
      </c>
      <c r="M415" s="43">
        <f t="shared" ref="M415:M422" si="493">IF(VLOOKUP($D415,$C$5:$AJ$470,11,)=0,0,((VLOOKUP($D415,$C$5:$AJ$470,11,)/VLOOKUP($D415,$C$5:$AJ$470,4,))*$F415))</f>
        <v>0</v>
      </c>
      <c r="N415" s="43"/>
      <c r="O415" s="43">
        <f t="shared" ref="O415:O422" si="494">IF(VLOOKUP($D415,$C$5:$AJ$470,13,)=0,0,((VLOOKUP($D415,$C$5:$AJ$470,13,)/VLOOKUP($D415,$C$5:$AJ$470,4,))*$F415))</f>
        <v>0</v>
      </c>
      <c r="P415" s="43">
        <f t="shared" ref="P415:P422" si="495">IF(VLOOKUP($D415,$C$5:$AJ$470,14,)=0,0,((VLOOKUP($D415,$C$5:$AJ$470,14,)/VLOOKUP($D415,$C$5:$AJ$470,4,))*$F415))</f>
        <v>0</v>
      </c>
      <c r="Q415" s="43">
        <f t="shared" ref="Q415:Q422" si="496">IF(VLOOKUP($D415,$C$5:$AJ$470,15,)=0,0,((VLOOKUP($D415,$C$5:$AJ$470,15,)/VLOOKUP($D415,$C$5:$AJ$470,4,))*$F415))</f>
        <v>0</v>
      </c>
      <c r="R415" s="43"/>
      <c r="S415" s="43">
        <f t="shared" ref="S415:S422" si="497">IF(VLOOKUP($D415,$C$5:$AJ$470,17,)=0,0,((VLOOKUP($D415,$C$5:$AJ$470,17,)/VLOOKUP($D415,$C$5:$AJ$470,4,))*$F415))</f>
        <v>0</v>
      </c>
      <c r="T415" s="43">
        <f t="shared" ref="T415:T422" si="498">IF(VLOOKUP($D415,$C$5:$AJ$470,18,)=0,0,((VLOOKUP($D415,$C$5:$AJ$470,18,)/VLOOKUP($D415,$C$5:$AJ$470,4,))*$F415))</f>
        <v>0</v>
      </c>
      <c r="U415" s="43">
        <f t="shared" ref="U415:U422" si="499">IF(VLOOKUP($D415,$C$5:$AJ$470,19,)=0,0,((VLOOKUP($D415,$C$5:$AJ$470,19,)/VLOOKUP($D415,$C$5:$AJ$470,4,))*$F415))</f>
        <v>0</v>
      </c>
      <c r="V415" s="43">
        <f t="shared" ref="V415:V422" si="500">IF(VLOOKUP($D415,$C$5:$AJ$470,20,)=0,0,((VLOOKUP($D415,$C$5:$AJ$470,20,)/VLOOKUP($D415,$C$5:$AJ$470,4,))*$F415))</f>
        <v>0</v>
      </c>
      <c r="W415" s="43">
        <f t="shared" ref="W415:W422" si="501">IF(VLOOKUP($D415,$C$5:$AJ$470,21,)=0,0,((VLOOKUP($D415,$C$5:$AJ$470,21,)/VLOOKUP($D415,$C$5:$AJ$470,4,))*$F415))</f>
        <v>0</v>
      </c>
      <c r="X415" s="43">
        <f t="shared" ref="X415:X422" si="502">IF(VLOOKUP($D415,$C$5:$AJ$470,22,)=0,0,((VLOOKUP($D415,$C$5:$AJ$470,22,)/VLOOKUP($D415,$C$5:$AJ$470,4,))*$F415))</f>
        <v>0</v>
      </c>
      <c r="Y415" s="43">
        <f t="shared" ref="Y415:Y422" si="503">IF(VLOOKUP($D415,$C$5:$AJ$470,23,)=0,0,((VLOOKUP($D415,$C$5:$AJ$470,23,)/VLOOKUP($D415,$C$5:$AJ$470,4,))*$F415))</f>
        <v>0</v>
      </c>
      <c r="Z415" s="43">
        <f t="shared" ref="Z415:Z422" si="504">IF(VLOOKUP($D415,$C$5:$AJ$470,24,)=0,0,((VLOOKUP($D415,$C$5:$AJ$470,24,)/VLOOKUP($D415,$C$5:$AJ$470,4,))*$F415))</f>
        <v>0</v>
      </c>
      <c r="AA415" s="43">
        <f t="shared" ref="AA415:AA422" si="505">IF(VLOOKUP($D415,$C$5:$AJ$470,25,)=0,0,((VLOOKUP($D415,$C$5:$AJ$470,25,)/VLOOKUP($D415,$C$5:$AJ$470,4,))*$F415))</f>
        <v>0</v>
      </c>
      <c r="AB415" s="43">
        <f t="shared" ref="AB415:AB422" si="506">IF(VLOOKUP($D415,$C$5:$AJ$470,26,)=0,0,((VLOOKUP($D415,$C$5:$AJ$470,26,)/VLOOKUP($D415,$C$5:$AJ$470,4,))*$F415))</f>
        <v>0</v>
      </c>
      <c r="AC415" s="43">
        <f t="shared" ref="AC415:AC422" si="507">IF(VLOOKUP($D415,$C$5:$AJ$470,27,)=0,0,((VLOOKUP($D415,$C$5:$AJ$470,27,)/VLOOKUP($D415,$C$5:$AJ$470,4,))*$F415))</f>
        <v>0</v>
      </c>
      <c r="AD415" s="43">
        <f t="shared" ref="AD415:AD422" si="508">IF(VLOOKUP($D415,$C$5:$AJ$470,28,)=0,0,((VLOOKUP($D415,$C$5:$AJ$470,28,)/VLOOKUP($D415,$C$5:$AJ$470,4,))*$F415))</f>
        <v>0</v>
      </c>
      <c r="AE415" s="43"/>
      <c r="AF415" s="43">
        <f t="shared" ref="AF415:AF422" si="509">IF(VLOOKUP($D415,$C$5:$AJ$470,30,)=0,0,((VLOOKUP($D415,$C$5:$AJ$470,30,)/VLOOKUP($D415,$C$5:$AJ$470,4,))*$F415))</f>
        <v>0</v>
      </c>
      <c r="AG415" s="43"/>
      <c r="AH415" s="43">
        <f t="shared" ref="AH415:AH422" si="510">IF(VLOOKUP($D415,$C$5:$AJ$470,32,)=0,0,((VLOOKUP($D415,$C$5:$AJ$470,32,)/VLOOKUP($D415,$C$5:$AJ$470,4,))*$F415))</f>
        <v>0</v>
      </c>
      <c r="AI415" s="43"/>
      <c r="AJ415" s="43">
        <f t="shared" ref="AJ415:AJ422" si="511">IF(VLOOKUP($D415,$C$5:$AJ$470,34,)=0,0,((VLOOKUP($D415,$C$5:$AJ$470,34,)/VLOOKUP($D415,$C$5:$AJ$470,4,))*$F415))</f>
        <v>0</v>
      </c>
      <c r="AK415" s="43">
        <f t="shared" ref="AK415:AK422" si="512">SUM(H415:AJ415)</f>
        <v>96379569.430000007</v>
      </c>
      <c r="AL415" s="15" t="str">
        <f t="shared" ref="AL415:AL422" si="513">IF(ABS(AK415-F415)&lt;1,"ok","err")</f>
        <v>ok</v>
      </c>
    </row>
    <row r="416" spans="1:38" x14ac:dyDescent="0.3">
      <c r="A416" s="21" t="s">
        <v>467</v>
      </c>
      <c r="C416" s="2" t="s">
        <v>468</v>
      </c>
      <c r="D416" s="2" t="s">
        <v>27</v>
      </c>
      <c r="F416" s="43">
        <f>17453706.53+712705.92+85311.53+724949.04</f>
        <v>18976673.020000003</v>
      </c>
      <c r="H416" s="43">
        <f t="shared" si="488"/>
        <v>8445889.0778506957</v>
      </c>
      <c r="I416" s="43">
        <f t="shared" si="489"/>
        <v>10419975.405678194</v>
      </c>
      <c r="J416" s="43">
        <f t="shared" si="490"/>
        <v>0</v>
      </c>
      <c r="K416" s="43">
        <f t="shared" si="491"/>
        <v>0</v>
      </c>
      <c r="L416" s="43">
        <f t="shared" si="492"/>
        <v>110808.53647111573</v>
      </c>
      <c r="M416" s="43">
        <f t="shared" si="493"/>
        <v>0</v>
      </c>
      <c r="N416" s="43"/>
      <c r="O416" s="43">
        <f t="shared" si="494"/>
        <v>0</v>
      </c>
      <c r="P416" s="43">
        <f t="shared" si="495"/>
        <v>0</v>
      </c>
      <c r="Q416" s="43">
        <f t="shared" si="496"/>
        <v>0</v>
      </c>
      <c r="R416" s="43"/>
      <c r="S416" s="43">
        <f t="shared" si="497"/>
        <v>0</v>
      </c>
      <c r="T416" s="43">
        <f t="shared" si="498"/>
        <v>0</v>
      </c>
      <c r="U416" s="43">
        <f t="shared" si="499"/>
        <v>0</v>
      </c>
      <c r="V416" s="43">
        <f t="shared" si="500"/>
        <v>0</v>
      </c>
      <c r="W416" s="43">
        <f t="shared" si="501"/>
        <v>0</v>
      </c>
      <c r="X416" s="43">
        <f t="shared" si="502"/>
        <v>0</v>
      </c>
      <c r="Y416" s="43">
        <f t="shared" si="503"/>
        <v>0</v>
      </c>
      <c r="Z416" s="43">
        <f t="shared" si="504"/>
        <v>0</v>
      </c>
      <c r="AA416" s="43">
        <f t="shared" si="505"/>
        <v>0</v>
      </c>
      <c r="AB416" s="43">
        <f t="shared" si="506"/>
        <v>0</v>
      </c>
      <c r="AC416" s="43">
        <f t="shared" si="507"/>
        <v>0</v>
      </c>
      <c r="AD416" s="43">
        <f t="shared" si="508"/>
        <v>0</v>
      </c>
      <c r="AE416" s="43"/>
      <c r="AF416" s="43">
        <f t="shared" si="509"/>
        <v>0</v>
      </c>
      <c r="AG416" s="43"/>
      <c r="AH416" s="43">
        <f t="shared" si="510"/>
        <v>0</v>
      </c>
      <c r="AI416" s="43"/>
      <c r="AJ416" s="43">
        <f t="shared" si="511"/>
        <v>0</v>
      </c>
      <c r="AK416" s="43">
        <f t="shared" si="512"/>
        <v>18976673.020000007</v>
      </c>
      <c r="AL416" s="15" t="str">
        <f t="shared" si="513"/>
        <v>ok</v>
      </c>
    </row>
    <row r="417" spans="1:38" x14ac:dyDescent="0.3">
      <c r="A417" s="2" t="s">
        <v>66</v>
      </c>
      <c r="C417" s="2" t="s">
        <v>469</v>
      </c>
      <c r="D417" s="2" t="s">
        <v>30</v>
      </c>
      <c r="F417" s="43">
        <f>18286325.33</f>
        <v>18286325.329999998</v>
      </c>
      <c r="H417" s="43">
        <f t="shared" si="488"/>
        <v>0</v>
      </c>
      <c r="I417" s="43">
        <f t="shared" si="489"/>
        <v>0</v>
      </c>
      <c r="J417" s="43">
        <f t="shared" si="490"/>
        <v>0</v>
      </c>
      <c r="K417" s="43">
        <f t="shared" si="491"/>
        <v>0</v>
      </c>
      <c r="L417" s="43">
        <f t="shared" si="492"/>
        <v>43789.0622236294</v>
      </c>
      <c r="M417" s="43">
        <f t="shared" si="493"/>
        <v>18242536.26777637</v>
      </c>
      <c r="N417" s="43"/>
      <c r="O417" s="43">
        <f t="shared" si="494"/>
        <v>0</v>
      </c>
      <c r="P417" s="43">
        <f t="shared" si="495"/>
        <v>0</v>
      </c>
      <c r="Q417" s="43">
        <f t="shared" si="496"/>
        <v>0</v>
      </c>
      <c r="R417" s="43"/>
      <c r="S417" s="43">
        <f t="shared" si="497"/>
        <v>0</v>
      </c>
      <c r="T417" s="43">
        <f t="shared" si="498"/>
        <v>0</v>
      </c>
      <c r="U417" s="43">
        <f t="shared" si="499"/>
        <v>0</v>
      </c>
      <c r="V417" s="43">
        <f t="shared" si="500"/>
        <v>0</v>
      </c>
      <c r="W417" s="43">
        <f t="shared" si="501"/>
        <v>0</v>
      </c>
      <c r="X417" s="43">
        <f t="shared" si="502"/>
        <v>0</v>
      </c>
      <c r="Y417" s="43">
        <f t="shared" si="503"/>
        <v>0</v>
      </c>
      <c r="Z417" s="43">
        <f t="shared" si="504"/>
        <v>0</v>
      </c>
      <c r="AA417" s="43">
        <f t="shared" si="505"/>
        <v>0</v>
      </c>
      <c r="AB417" s="43">
        <f t="shared" si="506"/>
        <v>0</v>
      </c>
      <c r="AC417" s="43">
        <f t="shared" si="507"/>
        <v>0</v>
      </c>
      <c r="AD417" s="43">
        <f t="shared" si="508"/>
        <v>0</v>
      </c>
      <c r="AE417" s="43"/>
      <c r="AF417" s="43">
        <f t="shared" si="509"/>
        <v>0</v>
      </c>
      <c r="AG417" s="43"/>
      <c r="AH417" s="43">
        <f t="shared" si="510"/>
        <v>0</v>
      </c>
      <c r="AI417" s="43"/>
      <c r="AJ417" s="43">
        <f t="shared" si="511"/>
        <v>0</v>
      </c>
      <c r="AK417" s="43">
        <f t="shared" si="512"/>
        <v>18286325.329999998</v>
      </c>
      <c r="AL417" s="15" t="str">
        <f t="shared" si="513"/>
        <v>ok</v>
      </c>
    </row>
    <row r="418" spans="1:38" x14ac:dyDescent="0.3">
      <c r="A418" s="2" t="s">
        <v>68</v>
      </c>
      <c r="C418" s="2" t="s">
        <v>470</v>
      </c>
      <c r="D418" s="2" t="s">
        <v>33</v>
      </c>
      <c r="F418" s="43">
        <v>7898650.1299999999</v>
      </c>
      <c r="H418" s="43">
        <f t="shared" si="488"/>
        <v>0</v>
      </c>
      <c r="I418" s="43">
        <f t="shared" si="489"/>
        <v>0</v>
      </c>
      <c r="J418" s="43">
        <f t="shared" si="490"/>
        <v>0</v>
      </c>
      <c r="K418" s="43">
        <f t="shared" si="491"/>
        <v>0</v>
      </c>
      <c r="L418" s="43">
        <f t="shared" si="492"/>
        <v>0</v>
      </c>
      <c r="M418" s="43">
        <f t="shared" si="493"/>
        <v>0</v>
      </c>
      <c r="N418" s="43"/>
      <c r="O418" s="43">
        <f t="shared" si="494"/>
        <v>7794302.4451485956</v>
      </c>
      <c r="P418" s="43">
        <f t="shared" si="495"/>
        <v>104347.68485140469</v>
      </c>
      <c r="Q418" s="43">
        <f t="shared" si="496"/>
        <v>0</v>
      </c>
      <c r="R418" s="43"/>
      <c r="S418" s="43">
        <f t="shared" si="497"/>
        <v>0</v>
      </c>
      <c r="T418" s="43">
        <f t="shared" si="498"/>
        <v>0</v>
      </c>
      <c r="U418" s="43">
        <f t="shared" si="499"/>
        <v>0</v>
      </c>
      <c r="V418" s="43">
        <f t="shared" si="500"/>
        <v>0</v>
      </c>
      <c r="W418" s="43">
        <f t="shared" si="501"/>
        <v>0</v>
      </c>
      <c r="X418" s="43">
        <f t="shared" si="502"/>
        <v>0</v>
      </c>
      <c r="Y418" s="43">
        <f t="shared" si="503"/>
        <v>0</v>
      </c>
      <c r="Z418" s="43">
        <f t="shared" si="504"/>
        <v>0</v>
      </c>
      <c r="AA418" s="43">
        <f t="shared" si="505"/>
        <v>0</v>
      </c>
      <c r="AB418" s="43">
        <f t="shared" si="506"/>
        <v>0</v>
      </c>
      <c r="AC418" s="43">
        <f t="shared" si="507"/>
        <v>0</v>
      </c>
      <c r="AD418" s="43">
        <f t="shared" si="508"/>
        <v>0</v>
      </c>
      <c r="AE418" s="43"/>
      <c r="AF418" s="43">
        <f t="shared" si="509"/>
        <v>0</v>
      </c>
      <c r="AG418" s="43"/>
      <c r="AH418" s="43">
        <f t="shared" si="510"/>
        <v>0</v>
      </c>
      <c r="AI418" s="43"/>
      <c r="AJ418" s="43">
        <f t="shared" si="511"/>
        <v>0</v>
      </c>
      <c r="AK418" s="43">
        <f t="shared" si="512"/>
        <v>7898650.1299999999</v>
      </c>
      <c r="AL418" s="15" t="str">
        <f t="shared" si="513"/>
        <v>ok</v>
      </c>
    </row>
    <row r="419" spans="1:38" x14ac:dyDescent="0.3">
      <c r="A419" s="21" t="s">
        <v>70</v>
      </c>
      <c r="C419" s="2" t="s">
        <v>471</v>
      </c>
      <c r="D419" s="2" t="s">
        <v>37</v>
      </c>
      <c r="F419" s="43">
        <v>530317.12</v>
      </c>
      <c r="H419" s="43">
        <f t="shared" si="488"/>
        <v>181009.48474575623</v>
      </c>
      <c r="I419" s="43">
        <f t="shared" si="489"/>
        <v>223317.44613975432</v>
      </c>
      <c r="J419" s="43">
        <f t="shared" si="490"/>
        <v>0</v>
      </c>
      <c r="K419" s="43">
        <f t="shared" si="491"/>
        <v>0</v>
      </c>
      <c r="L419" s="43">
        <f t="shared" si="492"/>
        <v>2581.0013475355768</v>
      </c>
      <c r="M419" s="43">
        <f t="shared" si="493"/>
        <v>85898.673393032877</v>
      </c>
      <c r="N419" s="43"/>
      <c r="O419" s="43">
        <f t="shared" si="494"/>
        <v>37014.969531690615</v>
      </c>
      <c r="P419" s="43">
        <f t="shared" si="495"/>
        <v>495.5448422304022</v>
      </c>
      <c r="Q419" s="43">
        <f t="shared" si="496"/>
        <v>0</v>
      </c>
      <c r="R419" s="43"/>
      <c r="S419" s="43">
        <f t="shared" si="497"/>
        <v>0</v>
      </c>
      <c r="T419" s="43">
        <f t="shared" si="498"/>
        <v>0</v>
      </c>
      <c r="U419" s="43">
        <f t="shared" si="499"/>
        <v>0</v>
      </c>
      <c r="V419" s="43">
        <f t="shared" si="500"/>
        <v>0</v>
      </c>
      <c r="W419" s="43">
        <f t="shared" si="501"/>
        <v>0</v>
      </c>
      <c r="X419" s="43">
        <f t="shared" si="502"/>
        <v>0</v>
      </c>
      <c r="Y419" s="43">
        <f t="shared" si="503"/>
        <v>0</v>
      </c>
      <c r="Z419" s="43">
        <f t="shared" si="504"/>
        <v>0</v>
      </c>
      <c r="AA419" s="43">
        <f t="shared" si="505"/>
        <v>0</v>
      </c>
      <c r="AB419" s="43">
        <f t="shared" si="506"/>
        <v>0</v>
      </c>
      <c r="AC419" s="43">
        <f t="shared" si="507"/>
        <v>0</v>
      </c>
      <c r="AD419" s="43">
        <f t="shared" si="508"/>
        <v>0</v>
      </c>
      <c r="AE419" s="43"/>
      <c r="AF419" s="43">
        <f t="shared" si="509"/>
        <v>0</v>
      </c>
      <c r="AG419" s="43"/>
      <c r="AH419" s="43">
        <f t="shared" si="510"/>
        <v>0</v>
      </c>
      <c r="AI419" s="43"/>
      <c r="AJ419" s="43">
        <f t="shared" si="511"/>
        <v>0</v>
      </c>
      <c r="AK419" s="43">
        <f t="shared" si="512"/>
        <v>530317.12</v>
      </c>
      <c r="AL419" s="15" t="str">
        <f t="shared" si="513"/>
        <v>ok</v>
      </c>
    </row>
    <row r="420" spans="1:38" x14ac:dyDescent="0.3">
      <c r="A420" s="21" t="s">
        <v>472</v>
      </c>
      <c r="C420" s="2" t="s">
        <v>473</v>
      </c>
      <c r="D420" s="2" t="s">
        <v>27</v>
      </c>
      <c r="F420" s="43">
        <f>-18264608.89</f>
        <v>-18264608.890000001</v>
      </c>
      <c r="H420" s="43">
        <f t="shared" si="488"/>
        <v>-8128972.901239655</v>
      </c>
      <c r="I420" s="43">
        <f t="shared" si="489"/>
        <v>-10028985.335182387</v>
      </c>
      <c r="J420" s="43">
        <f t="shared" si="490"/>
        <v>0</v>
      </c>
      <c r="K420" s="43">
        <f t="shared" si="491"/>
        <v>0</v>
      </c>
      <c r="L420" s="43">
        <f t="shared" si="492"/>
        <v>-106650.65357795944</v>
      </c>
      <c r="M420" s="43">
        <f t="shared" si="493"/>
        <v>0</v>
      </c>
      <c r="N420" s="43"/>
      <c r="O420" s="43">
        <f t="shared" si="494"/>
        <v>0</v>
      </c>
      <c r="P420" s="43">
        <f t="shared" si="495"/>
        <v>0</v>
      </c>
      <c r="Q420" s="43">
        <f t="shared" si="496"/>
        <v>0</v>
      </c>
      <c r="R420" s="43"/>
      <c r="S420" s="43">
        <f t="shared" si="497"/>
        <v>0</v>
      </c>
      <c r="T420" s="43">
        <f t="shared" si="498"/>
        <v>0</v>
      </c>
      <c r="U420" s="43">
        <f t="shared" si="499"/>
        <v>0</v>
      </c>
      <c r="V420" s="43">
        <f t="shared" si="500"/>
        <v>0</v>
      </c>
      <c r="W420" s="43">
        <f t="shared" si="501"/>
        <v>0</v>
      </c>
      <c r="X420" s="43">
        <f t="shared" si="502"/>
        <v>0</v>
      </c>
      <c r="Y420" s="43">
        <f t="shared" si="503"/>
        <v>0</v>
      </c>
      <c r="Z420" s="43">
        <f t="shared" si="504"/>
        <v>0</v>
      </c>
      <c r="AA420" s="43">
        <f t="shared" si="505"/>
        <v>0</v>
      </c>
      <c r="AB420" s="43">
        <f t="shared" si="506"/>
        <v>0</v>
      </c>
      <c r="AC420" s="43">
        <f t="shared" si="507"/>
        <v>0</v>
      </c>
      <c r="AD420" s="43">
        <f t="shared" si="508"/>
        <v>0</v>
      </c>
      <c r="AE420" s="43"/>
      <c r="AF420" s="43">
        <f t="shared" si="509"/>
        <v>0</v>
      </c>
      <c r="AG420" s="43"/>
      <c r="AH420" s="43">
        <f t="shared" si="510"/>
        <v>0</v>
      </c>
      <c r="AI420" s="43"/>
      <c r="AJ420" s="43">
        <f t="shared" si="511"/>
        <v>0</v>
      </c>
      <c r="AK420" s="43">
        <f>SUM(H420:AJ420)</f>
        <v>-18264608.890000004</v>
      </c>
      <c r="AL420" s="15" t="str">
        <f>IF(ABS(AK420-F420)&lt;1,"ok","err")</f>
        <v>ok</v>
      </c>
    </row>
    <row r="421" spans="1:38" x14ac:dyDescent="0.3">
      <c r="A421" s="21" t="s">
        <v>474</v>
      </c>
      <c r="C421" s="2" t="s">
        <v>475</v>
      </c>
      <c r="D421" s="2" t="s">
        <v>27</v>
      </c>
      <c r="F421" s="43">
        <f>6433291.92</f>
        <v>6433291.9199999999</v>
      </c>
      <c r="H421" s="43">
        <f t="shared" si="488"/>
        <v>2863245.3067241139</v>
      </c>
      <c r="I421" s="43">
        <f t="shared" si="489"/>
        <v>3532481.3529378204</v>
      </c>
      <c r="J421" s="43">
        <f t="shared" si="490"/>
        <v>0</v>
      </c>
      <c r="K421" s="43">
        <f t="shared" si="491"/>
        <v>0</v>
      </c>
      <c r="L421" s="43">
        <f t="shared" si="492"/>
        <v>37565.260338066044</v>
      </c>
      <c r="M421" s="43">
        <f t="shared" si="493"/>
        <v>0</v>
      </c>
      <c r="N421" s="43"/>
      <c r="O421" s="43">
        <f t="shared" si="494"/>
        <v>0</v>
      </c>
      <c r="P421" s="43">
        <f t="shared" si="495"/>
        <v>0</v>
      </c>
      <c r="Q421" s="43">
        <f t="shared" si="496"/>
        <v>0</v>
      </c>
      <c r="R421" s="43"/>
      <c r="S421" s="43">
        <f t="shared" si="497"/>
        <v>0</v>
      </c>
      <c r="T421" s="43">
        <f t="shared" si="498"/>
        <v>0</v>
      </c>
      <c r="U421" s="43">
        <f t="shared" si="499"/>
        <v>0</v>
      </c>
      <c r="V421" s="43">
        <f t="shared" si="500"/>
        <v>0</v>
      </c>
      <c r="W421" s="43">
        <f t="shared" si="501"/>
        <v>0</v>
      </c>
      <c r="X421" s="43">
        <f t="shared" si="502"/>
        <v>0</v>
      </c>
      <c r="Y421" s="43">
        <f t="shared" si="503"/>
        <v>0</v>
      </c>
      <c r="Z421" s="43">
        <f t="shared" si="504"/>
        <v>0</v>
      </c>
      <c r="AA421" s="43">
        <f t="shared" si="505"/>
        <v>0</v>
      </c>
      <c r="AB421" s="43">
        <f t="shared" si="506"/>
        <v>0</v>
      </c>
      <c r="AC421" s="43">
        <f t="shared" si="507"/>
        <v>0</v>
      </c>
      <c r="AD421" s="43">
        <f t="shared" si="508"/>
        <v>0</v>
      </c>
      <c r="AE421" s="43"/>
      <c r="AF421" s="43">
        <f t="shared" si="509"/>
        <v>0</v>
      </c>
      <c r="AG421" s="43"/>
      <c r="AH421" s="43">
        <f t="shared" si="510"/>
        <v>0</v>
      </c>
      <c r="AI421" s="43"/>
      <c r="AJ421" s="43">
        <f t="shared" si="511"/>
        <v>0</v>
      </c>
      <c r="AK421" s="43">
        <f>SUM(H421:AJ421)</f>
        <v>6433291.9199999999</v>
      </c>
      <c r="AL421" s="15" t="str">
        <f>IF(ABS(AK421-F421)&lt;1,"ok","err")</f>
        <v>ok</v>
      </c>
    </row>
    <row r="422" spans="1:38" x14ac:dyDescent="0.3">
      <c r="A422" s="21" t="s">
        <v>476</v>
      </c>
      <c r="C422" s="2" t="s">
        <v>477</v>
      </c>
      <c r="D422" s="2" t="s">
        <v>47</v>
      </c>
      <c r="F422" s="43">
        <f>90380.08+911704.52+10924750.26</f>
        <v>11926834.859999999</v>
      </c>
      <c r="H422" s="43">
        <f t="shared" si="488"/>
        <v>4070911.4850969878</v>
      </c>
      <c r="I422" s="43">
        <f t="shared" si="489"/>
        <v>5022419.4471895918</v>
      </c>
      <c r="J422" s="43">
        <f t="shared" si="490"/>
        <v>0</v>
      </c>
      <c r="K422" s="43">
        <f t="shared" si="491"/>
        <v>0</v>
      </c>
      <c r="L422" s="43">
        <f t="shared" si="492"/>
        <v>58046.801628072542</v>
      </c>
      <c r="M422" s="43">
        <f t="shared" si="493"/>
        <v>1931850.3711423909</v>
      </c>
      <c r="N422" s="43"/>
      <c r="O422" s="43">
        <f t="shared" si="494"/>
        <v>832462.01370812673</v>
      </c>
      <c r="P422" s="43">
        <f t="shared" si="495"/>
        <v>11144.741234829673</v>
      </c>
      <c r="Q422" s="43">
        <f t="shared" si="496"/>
        <v>0</v>
      </c>
      <c r="R422" s="43"/>
      <c r="S422" s="43">
        <f t="shared" si="497"/>
        <v>0</v>
      </c>
      <c r="T422" s="43">
        <f t="shared" si="498"/>
        <v>0</v>
      </c>
      <c r="U422" s="43">
        <f t="shared" si="499"/>
        <v>0</v>
      </c>
      <c r="V422" s="43">
        <f t="shared" si="500"/>
        <v>0</v>
      </c>
      <c r="W422" s="43">
        <f t="shared" si="501"/>
        <v>0</v>
      </c>
      <c r="X422" s="43">
        <f t="shared" si="502"/>
        <v>0</v>
      </c>
      <c r="Y422" s="43">
        <f t="shared" si="503"/>
        <v>0</v>
      </c>
      <c r="Z422" s="43">
        <f t="shared" si="504"/>
        <v>0</v>
      </c>
      <c r="AA422" s="43">
        <f t="shared" si="505"/>
        <v>0</v>
      </c>
      <c r="AB422" s="43">
        <f t="shared" si="506"/>
        <v>0</v>
      </c>
      <c r="AC422" s="43">
        <f t="shared" si="507"/>
        <v>0</v>
      </c>
      <c r="AD422" s="43">
        <f t="shared" si="508"/>
        <v>0</v>
      </c>
      <c r="AE422" s="43"/>
      <c r="AF422" s="43">
        <f t="shared" si="509"/>
        <v>0</v>
      </c>
      <c r="AG422" s="43"/>
      <c r="AH422" s="43">
        <f t="shared" si="510"/>
        <v>0</v>
      </c>
      <c r="AI422" s="43"/>
      <c r="AJ422" s="43">
        <f t="shared" si="511"/>
        <v>0</v>
      </c>
      <c r="AK422" s="43">
        <f t="shared" si="512"/>
        <v>11926834.859999998</v>
      </c>
      <c r="AL422" s="15" t="str">
        <f t="shared" si="513"/>
        <v>ok</v>
      </c>
    </row>
    <row r="423" spans="1:38" x14ac:dyDescent="0.3">
      <c r="F423" s="43"/>
      <c r="AL423" s="15"/>
    </row>
    <row r="424" spans="1:38" x14ac:dyDescent="0.3">
      <c r="A424" s="2" t="s">
        <v>478</v>
      </c>
      <c r="C424" s="2" t="s">
        <v>479</v>
      </c>
      <c r="F424" s="44">
        <f>SUM(F415:F423)</f>
        <v>142167052.92000002</v>
      </c>
      <c r="H424" s="43">
        <f t="shared" ref="H424:M424" si="514">SUM(H415:H423)</f>
        <v>50327438.868861653</v>
      </c>
      <c r="I424" s="43">
        <f t="shared" si="514"/>
        <v>62090642.016549282</v>
      </c>
      <c r="J424" s="43">
        <f t="shared" si="514"/>
        <v>0</v>
      </c>
      <c r="K424" s="43">
        <f t="shared" si="514"/>
        <v>0</v>
      </c>
      <c r="L424" s="43">
        <f t="shared" si="514"/>
        <v>708919.32296040934</v>
      </c>
      <c r="M424" s="43">
        <f t="shared" si="514"/>
        <v>20260285.312311795</v>
      </c>
      <c r="N424" s="43"/>
      <c r="O424" s="43">
        <f>SUM(O415:O423)</f>
        <v>8663779.428388413</v>
      </c>
      <c r="P424" s="43">
        <f>SUM(P415:P423)</f>
        <v>115987.97092846477</v>
      </c>
      <c r="Q424" s="43">
        <f>SUM(Q415:Q423)</f>
        <v>0</v>
      </c>
      <c r="S424" s="43">
        <f t="shared" ref="S424:AD424" si="515">SUM(S415:S423)</f>
        <v>0</v>
      </c>
      <c r="T424" s="43">
        <f t="shared" si="515"/>
        <v>0</v>
      </c>
      <c r="U424" s="43">
        <f t="shared" si="515"/>
        <v>0</v>
      </c>
      <c r="V424" s="43">
        <f t="shared" si="515"/>
        <v>0</v>
      </c>
      <c r="W424" s="43">
        <f t="shared" si="515"/>
        <v>0</v>
      </c>
      <c r="X424" s="43">
        <f t="shared" si="515"/>
        <v>0</v>
      </c>
      <c r="Y424" s="43">
        <f t="shared" si="515"/>
        <v>0</v>
      </c>
      <c r="Z424" s="43">
        <f t="shared" si="515"/>
        <v>0</v>
      </c>
      <c r="AA424" s="43">
        <f t="shared" si="515"/>
        <v>0</v>
      </c>
      <c r="AB424" s="43">
        <f t="shared" si="515"/>
        <v>0</v>
      </c>
      <c r="AC424" s="43">
        <f t="shared" si="515"/>
        <v>0</v>
      </c>
      <c r="AD424" s="43">
        <f t="shared" si="515"/>
        <v>0</v>
      </c>
      <c r="AF424" s="43">
        <f>SUM(AF415:AF423)</f>
        <v>0</v>
      </c>
      <c r="AH424" s="43">
        <f>SUM(AH415:AH423)</f>
        <v>0</v>
      </c>
      <c r="AJ424" s="43">
        <f>SUM(AJ415:AJ423)</f>
        <v>0</v>
      </c>
      <c r="AK424" s="43">
        <f>SUM(H424:AJ424)</f>
        <v>142167052.92000002</v>
      </c>
      <c r="AL424" s="15" t="str">
        <f>IF(ABS(AK424-F424)&lt;1,"ok","err")</f>
        <v>ok</v>
      </c>
    </row>
    <row r="425" spans="1:38" x14ac:dyDescent="0.3">
      <c r="F425" s="44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F425" s="43"/>
      <c r="AH425" s="43"/>
      <c r="AJ425" s="43"/>
      <c r="AK425" s="43"/>
      <c r="AL425" s="15"/>
    </row>
    <row r="426" spans="1:38" x14ac:dyDescent="0.3">
      <c r="A426" s="3" t="s">
        <v>480</v>
      </c>
      <c r="F426" s="44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5"/>
    </row>
    <row r="427" spans="1:38" x14ac:dyDescent="0.3">
      <c r="A427" s="3"/>
      <c r="B427" s="2" t="s">
        <v>481</v>
      </c>
      <c r="C427" s="2" t="s">
        <v>482</v>
      </c>
      <c r="D427" s="2" t="s">
        <v>483</v>
      </c>
      <c r="F427" s="44">
        <v>1576871</v>
      </c>
      <c r="H427" s="19">
        <f>IF(VLOOKUP($D427,$C$5:$AJ$470,6,)=0,0,((VLOOKUP($D427,$C$5:$AJ$470,6,)/VLOOKUP($D427,$C$5:$AJ$470,4,))*$F427))</f>
        <v>1576871</v>
      </c>
      <c r="I427" s="19">
        <f>IF(VLOOKUP($D427,$C$5:$AJ$470,7,)=0,0,((VLOOKUP($D427,$C$5:$AJ$470,7,)/VLOOKUP($D427,$C$5:$AJ$470,4,))*$F427))</f>
        <v>0</v>
      </c>
      <c r="J427" s="19">
        <f>IF(VLOOKUP($D427,$C$5:$AJ$470,8,)=0,0,((VLOOKUP($D427,$C$5:$AJ$470,8,)/VLOOKUP($D427,$C$5:$AJ$470,4,))*$F427))</f>
        <v>0</v>
      </c>
      <c r="K427" s="19">
        <f>IF(VLOOKUP($D427,$C$5:$AJ$470,9,)=0,0,((VLOOKUP($D427,$C$5:$AJ$470,9,)/VLOOKUP($D427,$C$5:$AJ$470,4,))*$F427))</f>
        <v>0</v>
      </c>
      <c r="L427" s="19">
        <f>IF(VLOOKUP($D427,$C$5:$AJ$470,10,)=0,0,((VLOOKUP($D427,$C$5:$AJ$470,10,)/VLOOKUP($D427,$C$5:$AJ$470,4,))*$F427))</f>
        <v>0</v>
      </c>
      <c r="M427" s="19">
        <f>IF(VLOOKUP($D427,$C$5:$AJ$470,11,)=0,0,((VLOOKUP($D427,$C$5:$AJ$470,11,)/VLOOKUP($D427,$C$5:$AJ$470,4,))*$F427))</f>
        <v>0</v>
      </c>
      <c r="N427" s="19"/>
      <c r="O427" s="19">
        <f>IF(VLOOKUP($D427,$C$5:$AJ$470,13,)=0,0,((VLOOKUP($D427,$C$5:$AJ$470,13,)/VLOOKUP($D427,$C$5:$AJ$470,4,))*$F427))</f>
        <v>0</v>
      </c>
      <c r="P427" s="19">
        <f>IF(VLOOKUP($D427,$C$5:$AJ$470,14,)=0,0,((VLOOKUP($D427,$C$5:$AJ$470,14,)/VLOOKUP($D427,$C$5:$AJ$470,4,))*$F427))</f>
        <v>0</v>
      </c>
      <c r="Q427" s="19">
        <f>IF(VLOOKUP($D427,$C$5:$AJ$470,15,)=0,0,((VLOOKUP($D427,$C$5:$AJ$470,15,)/VLOOKUP($D427,$C$5:$AJ$470,4,))*$F427))</f>
        <v>0</v>
      </c>
      <c r="R427" s="19"/>
      <c r="S427" s="19">
        <f>IF(VLOOKUP($D427,$C$5:$AJ$470,17,)=0,0,((VLOOKUP($D427,$C$5:$AJ$470,17,)/VLOOKUP($D427,$C$5:$AJ$470,4,))*$F427))</f>
        <v>0</v>
      </c>
      <c r="T427" s="19">
        <f>IF(VLOOKUP($D427,$C$5:$AJ$470,18,)=0,0,((VLOOKUP($D427,$C$5:$AJ$470,18,)/VLOOKUP($D427,$C$5:$AJ$470,4,))*$F427))</f>
        <v>0</v>
      </c>
      <c r="U427" s="19">
        <f>IF(VLOOKUP($D427,$C$5:$AJ$470,19,)=0,0,((VLOOKUP($D427,$C$5:$AJ$470,19,)/VLOOKUP($D427,$C$5:$AJ$470,4,))*$F427))</f>
        <v>0</v>
      </c>
      <c r="V427" s="19">
        <f>IF(VLOOKUP($D427,$C$5:$AJ$470,20,)=0,0,((VLOOKUP($D427,$C$5:$AJ$470,20,)/VLOOKUP($D427,$C$5:$AJ$470,4,))*$F427))</f>
        <v>0</v>
      </c>
      <c r="W427" s="19">
        <f>IF(VLOOKUP($D427,$C$5:$AJ$470,21,)=0,0,((VLOOKUP($D427,$C$5:$AJ$470,21,)/VLOOKUP($D427,$C$5:$AJ$470,4,))*$F427))</f>
        <v>0</v>
      </c>
      <c r="X427" s="19">
        <f>IF(VLOOKUP($D427,$C$5:$AJ$470,22,)=0,0,((VLOOKUP($D427,$C$5:$AJ$470,22,)/VLOOKUP($D427,$C$5:$AJ$470,4,))*$F427))</f>
        <v>0</v>
      </c>
      <c r="Y427" s="19">
        <f>IF(VLOOKUP($D427,$C$5:$AJ$470,23,)=0,0,((VLOOKUP($D427,$C$5:$AJ$470,23,)/VLOOKUP($D427,$C$5:$AJ$470,4,))*$F427))</f>
        <v>0</v>
      </c>
      <c r="Z427" s="19">
        <f>IF(VLOOKUP($D427,$C$5:$AJ$470,24,)=0,0,((VLOOKUP($D427,$C$5:$AJ$470,24,)/VLOOKUP($D427,$C$5:$AJ$470,4,))*$F427))</f>
        <v>0</v>
      </c>
      <c r="AA427" s="19">
        <f>IF(VLOOKUP($D427,$C$5:$AJ$470,25,)=0,0,((VLOOKUP($D427,$C$5:$AJ$470,25,)/VLOOKUP($D427,$C$5:$AJ$470,4,))*$F427))</f>
        <v>0</v>
      </c>
      <c r="AB427" s="19">
        <f>IF(VLOOKUP($D427,$C$5:$AJ$470,26,)=0,0,((VLOOKUP($D427,$C$5:$AJ$470,26,)/VLOOKUP($D427,$C$5:$AJ$470,4,))*$F427))</f>
        <v>0</v>
      </c>
      <c r="AC427" s="19">
        <f>IF(VLOOKUP($D427,$C$5:$AJ$470,27,)=0,0,((VLOOKUP($D427,$C$5:$AJ$470,27,)/VLOOKUP($D427,$C$5:$AJ$470,4,))*$F427))</f>
        <v>0</v>
      </c>
      <c r="AD427" s="19">
        <f>IF(VLOOKUP($D427,$C$5:$AJ$470,28,)=0,0,((VLOOKUP($D427,$C$5:$AJ$470,28,)/VLOOKUP($D427,$C$5:$AJ$470,4,))*$F427))</f>
        <v>0</v>
      </c>
      <c r="AE427" s="19"/>
      <c r="AF427" s="19">
        <f>IF(VLOOKUP($D427,$C$5:$AJ$470,30,)=0,0,((VLOOKUP($D427,$C$5:$AJ$470,30,)/VLOOKUP($D427,$C$5:$AJ$470,4,))*$F427))</f>
        <v>0</v>
      </c>
      <c r="AG427" s="19"/>
      <c r="AH427" s="19">
        <f>IF(VLOOKUP($D427,$C$5:$AJ$470,32,)=0,0,((VLOOKUP($D427,$C$5:$AJ$470,32,)/VLOOKUP($D427,$C$5:$AJ$470,4,))*$F427))</f>
        <v>0</v>
      </c>
      <c r="AI427" s="19"/>
      <c r="AJ427" s="19">
        <f>IF(VLOOKUP($D427,$C$5:$AJ$470,34,)=0,0,((VLOOKUP($D427,$C$5:$AJ$470,34,)/VLOOKUP($D427,$C$5:$AJ$470,4,))*$F427))</f>
        <v>0</v>
      </c>
      <c r="AK427" s="19">
        <f>SUM(H427:AJ427)</f>
        <v>1576871</v>
      </c>
      <c r="AL427" s="15" t="str">
        <f>IF(ABS(AK427-F427)&lt;1,"ok","err")</f>
        <v>ok</v>
      </c>
    </row>
    <row r="428" spans="1:38" x14ac:dyDescent="0.3">
      <c r="A428" s="3"/>
      <c r="B428" s="2" t="s">
        <v>5</v>
      </c>
      <c r="C428" s="2" t="s">
        <v>484</v>
      </c>
      <c r="D428" s="2" t="s">
        <v>30</v>
      </c>
      <c r="F428" s="44">
        <v>0</v>
      </c>
      <c r="H428" s="19">
        <f>IF(VLOOKUP($D428,$C$5:$AJ$470,6,)=0,0,((VLOOKUP($D428,$C$5:$AJ$470,6,)/VLOOKUP($D428,$C$5:$AJ$470,4,))*$F428))</f>
        <v>0</v>
      </c>
      <c r="I428" s="19">
        <f>IF(VLOOKUP($D428,$C$5:$AJ$470,7,)=0,0,((VLOOKUP($D428,$C$5:$AJ$470,7,)/VLOOKUP($D428,$C$5:$AJ$470,4,))*$F428))</f>
        <v>0</v>
      </c>
      <c r="J428" s="19">
        <f>IF(VLOOKUP($D428,$C$5:$AJ$470,8,)=0,0,((VLOOKUP($D428,$C$5:$AJ$470,8,)/VLOOKUP($D428,$C$5:$AJ$470,4,))*$F428))</f>
        <v>0</v>
      </c>
      <c r="K428" s="19">
        <f>IF(VLOOKUP($D428,$C$5:$AJ$470,9,)=0,0,((VLOOKUP($D428,$C$5:$AJ$470,9,)/VLOOKUP($D428,$C$5:$AJ$470,4,))*$F428))</f>
        <v>0</v>
      </c>
      <c r="L428" s="19">
        <f>IF(VLOOKUP($D428,$C$5:$AJ$470,10,)=0,0,((VLOOKUP($D428,$C$5:$AJ$470,10,)/VLOOKUP($D428,$C$5:$AJ$470,4,))*$F428))</f>
        <v>0</v>
      </c>
      <c r="M428" s="19">
        <f>IF(VLOOKUP($D428,$C$5:$AJ$470,11,)=0,0,((VLOOKUP($D428,$C$5:$AJ$470,11,)/VLOOKUP($D428,$C$5:$AJ$470,4,))*$F428))</f>
        <v>0</v>
      </c>
      <c r="N428" s="19"/>
      <c r="O428" s="19">
        <f>IF(VLOOKUP($D428,$C$5:$AJ$470,13,)=0,0,((VLOOKUP($D428,$C$5:$AJ$470,13,)/VLOOKUP($D428,$C$5:$AJ$470,4,))*$F428))</f>
        <v>0</v>
      </c>
      <c r="P428" s="19">
        <f>IF(VLOOKUP($D428,$C$5:$AJ$470,14,)=0,0,((VLOOKUP($D428,$C$5:$AJ$470,14,)/VLOOKUP($D428,$C$5:$AJ$470,4,))*$F428))</f>
        <v>0</v>
      </c>
      <c r="Q428" s="19">
        <f>IF(VLOOKUP($D428,$C$5:$AJ$470,15,)=0,0,((VLOOKUP($D428,$C$5:$AJ$470,15,)/VLOOKUP($D428,$C$5:$AJ$470,4,))*$F428))</f>
        <v>0</v>
      </c>
      <c r="R428" s="19"/>
      <c r="S428" s="19">
        <f>IF(VLOOKUP($D428,$C$5:$AJ$470,17,)=0,0,((VLOOKUP($D428,$C$5:$AJ$470,17,)/VLOOKUP($D428,$C$5:$AJ$470,4,))*$F428))</f>
        <v>0</v>
      </c>
      <c r="T428" s="19">
        <f>IF(VLOOKUP($D428,$C$5:$AJ$470,18,)=0,0,((VLOOKUP($D428,$C$5:$AJ$470,18,)/VLOOKUP($D428,$C$5:$AJ$470,4,))*$F428))</f>
        <v>0</v>
      </c>
      <c r="U428" s="19">
        <f>IF(VLOOKUP($D428,$C$5:$AJ$470,19,)=0,0,((VLOOKUP($D428,$C$5:$AJ$470,19,)/VLOOKUP($D428,$C$5:$AJ$470,4,))*$F428))</f>
        <v>0</v>
      </c>
      <c r="V428" s="19">
        <f>IF(VLOOKUP($D428,$C$5:$AJ$470,20,)=0,0,((VLOOKUP($D428,$C$5:$AJ$470,20,)/VLOOKUP($D428,$C$5:$AJ$470,4,))*$F428))</f>
        <v>0</v>
      </c>
      <c r="W428" s="19">
        <f>IF(VLOOKUP($D428,$C$5:$AJ$470,21,)=0,0,((VLOOKUP($D428,$C$5:$AJ$470,21,)/VLOOKUP($D428,$C$5:$AJ$470,4,))*$F428))</f>
        <v>0</v>
      </c>
      <c r="X428" s="19">
        <f>IF(VLOOKUP($D428,$C$5:$AJ$470,22,)=0,0,((VLOOKUP($D428,$C$5:$AJ$470,22,)/VLOOKUP($D428,$C$5:$AJ$470,4,))*$F428))</f>
        <v>0</v>
      </c>
      <c r="Y428" s="19">
        <f>IF(VLOOKUP($D428,$C$5:$AJ$470,23,)=0,0,((VLOOKUP($D428,$C$5:$AJ$470,23,)/VLOOKUP($D428,$C$5:$AJ$470,4,))*$F428))</f>
        <v>0</v>
      </c>
      <c r="Z428" s="19">
        <f>IF(VLOOKUP($D428,$C$5:$AJ$470,24,)=0,0,((VLOOKUP($D428,$C$5:$AJ$470,24,)/VLOOKUP($D428,$C$5:$AJ$470,4,))*$F428))</f>
        <v>0</v>
      </c>
      <c r="AA428" s="19">
        <f>IF(VLOOKUP($D428,$C$5:$AJ$470,25,)=0,0,((VLOOKUP($D428,$C$5:$AJ$470,25,)/VLOOKUP($D428,$C$5:$AJ$470,4,))*$F428))</f>
        <v>0</v>
      </c>
      <c r="AB428" s="19">
        <f>IF(VLOOKUP($D428,$C$5:$AJ$470,26,)=0,0,((VLOOKUP($D428,$C$5:$AJ$470,26,)/VLOOKUP($D428,$C$5:$AJ$470,4,))*$F428))</f>
        <v>0</v>
      </c>
      <c r="AC428" s="19">
        <f>IF(VLOOKUP($D428,$C$5:$AJ$470,27,)=0,0,((VLOOKUP($D428,$C$5:$AJ$470,27,)/VLOOKUP($D428,$C$5:$AJ$470,4,))*$F428))</f>
        <v>0</v>
      </c>
      <c r="AD428" s="19">
        <f>IF(VLOOKUP($D428,$C$5:$AJ$470,28,)=0,0,((VLOOKUP($D428,$C$5:$AJ$470,28,)/VLOOKUP($D428,$C$5:$AJ$470,4,))*$F428))</f>
        <v>0</v>
      </c>
      <c r="AE428" s="19"/>
      <c r="AF428" s="19">
        <f>IF(VLOOKUP($D428,$C$5:$AJ$470,30,)=0,0,((VLOOKUP($D428,$C$5:$AJ$470,30,)/VLOOKUP($D428,$C$5:$AJ$470,4,))*$F428))</f>
        <v>0</v>
      </c>
      <c r="AG428" s="19"/>
      <c r="AH428" s="19">
        <f>IF(VLOOKUP($D428,$C$5:$AJ$470,32,)=0,0,((VLOOKUP($D428,$C$5:$AJ$470,32,)/VLOOKUP($D428,$C$5:$AJ$470,4,))*$F428))</f>
        <v>0</v>
      </c>
      <c r="AI428" s="19"/>
      <c r="AJ428" s="19">
        <f>IF(VLOOKUP($D428,$C$5:$AJ$470,34,)=0,0,((VLOOKUP($D428,$C$5:$AJ$470,34,)/VLOOKUP($D428,$C$5:$AJ$470,4,))*$F428))</f>
        <v>0</v>
      </c>
      <c r="AK428" s="19">
        <f>SUM(H428:AJ428)</f>
        <v>0</v>
      </c>
      <c r="AL428" s="15" t="str">
        <f>IF(ABS(AK428-F428)&lt;1,"ok","err")</f>
        <v>ok</v>
      </c>
    </row>
    <row r="429" spans="1:38" x14ac:dyDescent="0.3">
      <c r="A429" s="3"/>
      <c r="B429" s="2" t="s">
        <v>6</v>
      </c>
      <c r="C429" s="2" t="s">
        <v>485</v>
      </c>
      <c r="D429" s="2" t="s">
        <v>33</v>
      </c>
      <c r="F429" s="44">
        <v>0</v>
      </c>
      <c r="H429" s="19">
        <f>IF(VLOOKUP($D429,$C$5:$AJ$470,6,)=0,0,((VLOOKUP($D429,$C$5:$AJ$470,6,)/VLOOKUP($D429,$C$5:$AJ$470,4,))*$F429))</f>
        <v>0</v>
      </c>
      <c r="I429" s="19">
        <f>IF(VLOOKUP($D429,$C$5:$AJ$470,7,)=0,0,((VLOOKUP($D429,$C$5:$AJ$470,7,)/VLOOKUP($D429,$C$5:$AJ$470,4,))*$F429))</f>
        <v>0</v>
      </c>
      <c r="J429" s="19">
        <f>IF(VLOOKUP($D429,$C$5:$AJ$470,8,)=0,0,((VLOOKUP($D429,$C$5:$AJ$470,8,)/VLOOKUP($D429,$C$5:$AJ$470,4,))*$F429))</f>
        <v>0</v>
      </c>
      <c r="K429" s="19">
        <f>IF(VLOOKUP($D429,$C$5:$AJ$470,9,)=0,0,((VLOOKUP($D429,$C$5:$AJ$470,9,)/VLOOKUP($D429,$C$5:$AJ$470,4,))*$F429))</f>
        <v>0</v>
      </c>
      <c r="L429" s="19">
        <f>IF(VLOOKUP($D429,$C$5:$AJ$470,10,)=0,0,((VLOOKUP($D429,$C$5:$AJ$470,10,)/VLOOKUP($D429,$C$5:$AJ$470,4,))*$F429))</f>
        <v>0</v>
      </c>
      <c r="M429" s="19">
        <f>IF(VLOOKUP($D429,$C$5:$AJ$470,11,)=0,0,((VLOOKUP($D429,$C$5:$AJ$470,11,)/VLOOKUP($D429,$C$5:$AJ$470,4,))*$F429))</f>
        <v>0</v>
      </c>
      <c r="N429" s="19"/>
      <c r="O429" s="19">
        <f>IF(VLOOKUP($D429,$C$5:$AJ$470,13,)=0,0,((VLOOKUP($D429,$C$5:$AJ$470,13,)/VLOOKUP($D429,$C$5:$AJ$470,4,))*$F429))</f>
        <v>0</v>
      </c>
      <c r="P429" s="19">
        <f>IF(VLOOKUP($D429,$C$5:$AJ$470,14,)=0,0,((VLOOKUP($D429,$C$5:$AJ$470,14,)/VLOOKUP($D429,$C$5:$AJ$470,4,))*$F429))</f>
        <v>0</v>
      </c>
      <c r="Q429" s="19">
        <f>IF(VLOOKUP($D429,$C$5:$AJ$470,15,)=0,0,((VLOOKUP($D429,$C$5:$AJ$470,15,)/VLOOKUP($D429,$C$5:$AJ$470,4,))*$F429))</f>
        <v>0</v>
      </c>
      <c r="R429" s="19"/>
      <c r="S429" s="19">
        <f>IF(VLOOKUP($D429,$C$5:$AJ$470,17,)=0,0,((VLOOKUP($D429,$C$5:$AJ$470,17,)/VLOOKUP($D429,$C$5:$AJ$470,4,))*$F429))</f>
        <v>0</v>
      </c>
      <c r="T429" s="19">
        <f>IF(VLOOKUP($D429,$C$5:$AJ$470,18,)=0,0,((VLOOKUP($D429,$C$5:$AJ$470,18,)/VLOOKUP($D429,$C$5:$AJ$470,4,))*$F429))</f>
        <v>0</v>
      </c>
      <c r="U429" s="19">
        <f>IF(VLOOKUP($D429,$C$5:$AJ$470,19,)=0,0,((VLOOKUP($D429,$C$5:$AJ$470,19,)/VLOOKUP($D429,$C$5:$AJ$470,4,))*$F429))</f>
        <v>0</v>
      </c>
      <c r="V429" s="19">
        <f>IF(VLOOKUP($D429,$C$5:$AJ$470,20,)=0,0,((VLOOKUP($D429,$C$5:$AJ$470,20,)/VLOOKUP($D429,$C$5:$AJ$470,4,))*$F429))</f>
        <v>0</v>
      </c>
      <c r="W429" s="19">
        <f>IF(VLOOKUP($D429,$C$5:$AJ$470,21,)=0,0,((VLOOKUP($D429,$C$5:$AJ$470,21,)/VLOOKUP($D429,$C$5:$AJ$470,4,))*$F429))</f>
        <v>0</v>
      </c>
      <c r="X429" s="19">
        <f>IF(VLOOKUP($D429,$C$5:$AJ$470,22,)=0,0,((VLOOKUP($D429,$C$5:$AJ$470,22,)/VLOOKUP($D429,$C$5:$AJ$470,4,))*$F429))</f>
        <v>0</v>
      </c>
      <c r="Y429" s="19">
        <f>IF(VLOOKUP($D429,$C$5:$AJ$470,23,)=0,0,((VLOOKUP($D429,$C$5:$AJ$470,23,)/VLOOKUP($D429,$C$5:$AJ$470,4,))*$F429))</f>
        <v>0</v>
      </c>
      <c r="Z429" s="19">
        <f>IF(VLOOKUP($D429,$C$5:$AJ$470,24,)=0,0,((VLOOKUP($D429,$C$5:$AJ$470,24,)/VLOOKUP($D429,$C$5:$AJ$470,4,))*$F429))</f>
        <v>0</v>
      </c>
      <c r="AA429" s="19">
        <f>IF(VLOOKUP($D429,$C$5:$AJ$470,25,)=0,0,((VLOOKUP($D429,$C$5:$AJ$470,25,)/VLOOKUP($D429,$C$5:$AJ$470,4,))*$F429))</f>
        <v>0</v>
      </c>
      <c r="AB429" s="19">
        <f>IF(VLOOKUP($D429,$C$5:$AJ$470,26,)=0,0,((VLOOKUP($D429,$C$5:$AJ$470,26,)/VLOOKUP($D429,$C$5:$AJ$470,4,))*$F429))</f>
        <v>0</v>
      </c>
      <c r="AC429" s="19">
        <f>IF(VLOOKUP($D429,$C$5:$AJ$470,27,)=0,0,((VLOOKUP($D429,$C$5:$AJ$470,27,)/VLOOKUP($D429,$C$5:$AJ$470,4,))*$F429))</f>
        <v>0</v>
      </c>
      <c r="AD429" s="19">
        <f>IF(VLOOKUP($D429,$C$5:$AJ$470,28,)=0,0,((VLOOKUP($D429,$C$5:$AJ$470,28,)/VLOOKUP($D429,$C$5:$AJ$470,4,))*$F429))</f>
        <v>0</v>
      </c>
      <c r="AE429" s="19"/>
      <c r="AF429" s="19">
        <f>IF(VLOOKUP($D429,$C$5:$AJ$470,30,)=0,0,((VLOOKUP($D429,$C$5:$AJ$470,30,)/VLOOKUP($D429,$C$5:$AJ$470,4,))*$F429))</f>
        <v>0</v>
      </c>
      <c r="AG429" s="19"/>
      <c r="AH429" s="19">
        <f>IF(VLOOKUP($D429,$C$5:$AJ$470,32,)=0,0,((VLOOKUP($D429,$C$5:$AJ$470,32,)/VLOOKUP($D429,$C$5:$AJ$470,4,))*$F429))</f>
        <v>0</v>
      </c>
      <c r="AI429" s="19"/>
      <c r="AJ429" s="19">
        <f>IF(VLOOKUP($D429,$C$5:$AJ$470,34,)=0,0,((VLOOKUP($D429,$C$5:$AJ$470,34,)/VLOOKUP($D429,$C$5:$AJ$470,4,))*$F429))</f>
        <v>0</v>
      </c>
      <c r="AK429" s="19">
        <f>SUM(H429:AJ429)</f>
        <v>0</v>
      </c>
      <c r="AL429" s="15" t="str">
        <f>IF(ABS(AK429-F429)&lt;1,"ok","err")</f>
        <v>ok</v>
      </c>
    </row>
    <row r="430" spans="1:38" x14ac:dyDescent="0.3">
      <c r="A430" s="3"/>
      <c r="F430" s="44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5"/>
    </row>
    <row r="431" spans="1:38" x14ac:dyDescent="0.3">
      <c r="A431" s="2" t="s">
        <v>486</v>
      </c>
      <c r="C431" s="2" t="s">
        <v>487</v>
      </c>
      <c r="F431" s="44">
        <f>SUM(F427:F430)</f>
        <v>1576871</v>
      </c>
      <c r="H431" s="18">
        <f>SUM(H427:H430)</f>
        <v>1576871</v>
      </c>
      <c r="I431" s="18">
        <f t="shared" ref="I431:Y431" si="516">SUM(I427:I430)</f>
        <v>0</v>
      </c>
      <c r="J431" s="18">
        <f t="shared" si="516"/>
        <v>0</v>
      </c>
      <c r="K431" s="18">
        <f t="shared" si="516"/>
        <v>0</v>
      </c>
      <c r="L431" s="18">
        <f t="shared" si="516"/>
        <v>0</v>
      </c>
      <c r="M431" s="18">
        <f t="shared" si="516"/>
        <v>0</v>
      </c>
      <c r="N431" s="19"/>
      <c r="O431" s="18">
        <f t="shared" si="516"/>
        <v>0</v>
      </c>
      <c r="P431" s="18">
        <f t="shared" si="516"/>
        <v>0</v>
      </c>
      <c r="Q431" s="18">
        <f t="shared" si="516"/>
        <v>0</v>
      </c>
      <c r="S431" s="18">
        <f t="shared" si="516"/>
        <v>0</v>
      </c>
      <c r="T431" s="18">
        <f t="shared" si="516"/>
        <v>0</v>
      </c>
      <c r="U431" s="18">
        <f t="shared" si="516"/>
        <v>0</v>
      </c>
      <c r="V431" s="18">
        <f t="shared" si="516"/>
        <v>0</v>
      </c>
      <c r="W431" s="18">
        <f t="shared" si="516"/>
        <v>0</v>
      </c>
      <c r="X431" s="18">
        <f t="shared" si="516"/>
        <v>0</v>
      </c>
      <c r="Y431" s="18">
        <f t="shared" si="516"/>
        <v>0</v>
      </c>
      <c r="Z431" s="18">
        <f>SUM(Z427:Z430)</f>
        <v>0</v>
      </c>
      <c r="AA431" s="18">
        <f>SUM(AA427:AA430)</f>
        <v>0</v>
      </c>
      <c r="AB431" s="18">
        <f>SUM(AB427:AB430)</f>
        <v>0</v>
      </c>
      <c r="AC431" s="18">
        <f>SUM(AC427:AC430)</f>
        <v>0</v>
      </c>
      <c r="AD431" s="18">
        <f t="shared" ref="AD431:AJ431" si="517">SUM(AD427:AD430)</f>
        <v>0</v>
      </c>
      <c r="AF431" s="18">
        <f t="shared" si="517"/>
        <v>0</v>
      </c>
      <c r="AH431" s="18">
        <f t="shared" si="517"/>
        <v>0</v>
      </c>
      <c r="AJ431" s="18">
        <f t="shared" si="517"/>
        <v>0</v>
      </c>
      <c r="AK431" s="19">
        <f>SUM(H431:AJ431)</f>
        <v>1576871</v>
      </c>
      <c r="AL431" s="15" t="str">
        <f>IF(ABS(AK431-F431)&lt;1,"ok","err")</f>
        <v>ok</v>
      </c>
    </row>
    <row r="432" spans="1:38" x14ac:dyDescent="0.3">
      <c r="F432" s="43"/>
      <c r="AL432" s="15"/>
    </row>
    <row r="433" spans="1:38" x14ac:dyDescent="0.3">
      <c r="A433" s="2" t="s">
        <v>488</v>
      </c>
      <c r="C433" s="2" t="s">
        <v>489</v>
      </c>
      <c r="D433" s="2" t="s">
        <v>62</v>
      </c>
      <c r="F433" s="44">
        <v>248465.79</v>
      </c>
      <c r="H433" s="19">
        <f>IF(VLOOKUP($D433,$C$5:$AJ$470,6,)=0,0,((VLOOKUP($D433,$C$5:$AJ$470,6,)/VLOOKUP($D433,$C$5:$AJ$470,4,))*$F433))</f>
        <v>83800.187818297432</v>
      </c>
      <c r="I433" s="19">
        <f>IF(VLOOKUP($D433,$C$5:$AJ$470,7,)=0,0,((VLOOKUP($D433,$C$5:$AJ$470,7,)/VLOOKUP($D433,$C$5:$AJ$470,4,))*$F433))</f>
        <v>103387.0902173964</v>
      </c>
      <c r="J433" s="19">
        <f>IF(VLOOKUP($D433,$C$5:$AJ$470,8,)=0,0,((VLOOKUP($D433,$C$5:$AJ$470,8,)/VLOOKUP($D433,$C$5:$AJ$470,4,))*$F433))</f>
        <v>0</v>
      </c>
      <c r="K433" s="19">
        <f>IF(VLOOKUP($D433,$C$5:$AJ$470,9,)=0,0,((VLOOKUP($D433,$C$5:$AJ$470,9,)/VLOOKUP($D433,$C$5:$AJ$470,4,))*$F433))</f>
        <v>0</v>
      </c>
      <c r="L433" s="19">
        <f>IF(VLOOKUP($D433,$C$5:$AJ$470,10,)=0,0,((VLOOKUP($D433,$C$5:$AJ$470,10,)/VLOOKUP($D433,$C$5:$AJ$470,4,))*$F433))</f>
        <v>1200.3379285839878</v>
      </c>
      <c r="M433" s="19">
        <f>IF(VLOOKUP($D433,$C$5:$AJ$470,11,)=0,0,((VLOOKUP($D433,$C$5:$AJ$470,11,)/VLOOKUP($D433,$C$5:$AJ$470,4,))*$F433))</f>
        <v>42032.731653529729</v>
      </c>
      <c r="N433" s="19"/>
      <c r="O433" s="19">
        <f>IF(VLOOKUP($D433,$C$5:$AJ$470,13,)=0,0,((VLOOKUP($D433,$C$5:$AJ$470,13,)/VLOOKUP($D433,$C$5:$AJ$470,4,))*$F433))</f>
        <v>17807.047200267723</v>
      </c>
      <c r="P433" s="19">
        <f>IF(VLOOKUP($D433,$C$5:$AJ$470,14,)=0,0,((VLOOKUP($D433,$C$5:$AJ$470,14,)/VLOOKUP($D433,$C$5:$AJ$470,4,))*$F433))</f>
        <v>238.39518192473727</v>
      </c>
      <c r="Q433" s="19">
        <f>IF(VLOOKUP($D433,$C$5:$AJ$470,15,)=0,0,((VLOOKUP($D433,$C$5:$AJ$470,15,)/VLOOKUP($D433,$C$5:$AJ$470,4,))*$F433))</f>
        <v>0</v>
      </c>
      <c r="R433" s="19"/>
      <c r="S433" s="19">
        <f>IF(VLOOKUP($D433,$C$5:$AJ$470,17,)=0,0,((VLOOKUP($D433,$C$5:$AJ$470,17,)/VLOOKUP($D433,$C$5:$AJ$470,4,))*$F433))</f>
        <v>0</v>
      </c>
      <c r="T433" s="19">
        <f>IF(VLOOKUP($D433,$C$5:$AJ$470,18,)=0,0,((VLOOKUP($D433,$C$5:$AJ$470,18,)/VLOOKUP($D433,$C$5:$AJ$470,4,))*$F433))</f>
        <v>0</v>
      </c>
      <c r="U433" s="19">
        <f>IF(VLOOKUP($D433,$C$5:$AJ$470,19,)=0,0,((VLOOKUP($D433,$C$5:$AJ$470,19,)/VLOOKUP($D433,$C$5:$AJ$470,4,))*$F433))</f>
        <v>0</v>
      </c>
      <c r="V433" s="19">
        <f>IF(VLOOKUP($D433,$C$5:$AJ$470,20,)=0,0,((VLOOKUP($D433,$C$5:$AJ$470,20,)/VLOOKUP($D433,$C$5:$AJ$470,4,))*$F433))</f>
        <v>0</v>
      </c>
      <c r="W433" s="19">
        <f>IF(VLOOKUP($D433,$C$5:$AJ$470,21,)=0,0,((VLOOKUP($D433,$C$5:$AJ$470,21,)/VLOOKUP($D433,$C$5:$AJ$470,4,))*$F433))</f>
        <v>0</v>
      </c>
      <c r="X433" s="19">
        <f>IF(VLOOKUP($D433,$C$5:$AJ$470,22,)=0,0,((VLOOKUP($D433,$C$5:$AJ$470,22,)/VLOOKUP($D433,$C$5:$AJ$470,4,))*$F433))</f>
        <v>0</v>
      </c>
      <c r="Y433" s="19">
        <f>IF(VLOOKUP($D433,$C$5:$AJ$470,23,)=0,0,((VLOOKUP($D433,$C$5:$AJ$470,23,)/VLOOKUP($D433,$C$5:$AJ$470,4,))*$F433))</f>
        <v>0</v>
      </c>
      <c r="Z433" s="19">
        <f>IF(VLOOKUP($D433,$C$5:$AJ$470,24,)=0,0,((VLOOKUP($D433,$C$5:$AJ$470,24,)/VLOOKUP($D433,$C$5:$AJ$470,4,))*$F433))</f>
        <v>0</v>
      </c>
      <c r="AA433" s="19">
        <f>IF(VLOOKUP($D433,$C$5:$AJ$470,25,)=0,0,((VLOOKUP($D433,$C$5:$AJ$470,25,)/VLOOKUP($D433,$C$5:$AJ$470,4,))*$F433))</f>
        <v>0</v>
      </c>
      <c r="AB433" s="19">
        <f>IF(VLOOKUP($D433,$C$5:$AJ$470,26,)=0,0,((VLOOKUP($D433,$C$5:$AJ$470,26,)/VLOOKUP($D433,$C$5:$AJ$470,4,))*$F433))</f>
        <v>0</v>
      </c>
      <c r="AC433" s="19">
        <f>IF(VLOOKUP($D433,$C$5:$AJ$470,27,)=0,0,((VLOOKUP($D433,$C$5:$AJ$470,27,)/VLOOKUP($D433,$C$5:$AJ$470,4,))*$F433))</f>
        <v>0</v>
      </c>
      <c r="AD433" s="19">
        <f>IF(VLOOKUP($D433,$C$5:$AJ$470,28,)=0,0,((VLOOKUP($D433,$C$5:$AJ$470,28,)/VLOOKUP($D433,$C$5:$AJ$470,4,))*$F433))</f>
        <v>0</v>
      </c>
      <c r="AE433" s="19"/>
      <c r="AF433" s="19">
        <f>IF(VLOOKUP($D433,$C$5:$AJ$470,30,)=0,0,((VLOOKUP($D433,$C$5:$AJ$470,30,)/VLOOKUP($D433,$C$5:$AJ$470,4,))*$F433))</f>
        <v>0</v>
      </c>
      <c r="AG433" s="19"/>
      <c r="AH433" s="19">
        <f>IF(VLOOKUP($D433,$C$5:$AJ$470,32,)=0,0,((VLOOKUP($D433,$C$5:$AJ$470,32,)/VLOOKUP($D433,$C$5:$AJ$470,4,))*$F433))</f>
        <v>0</v>
      </c>
      <c r="AI433" s="19"/>
      <c r="AJ433" s="19">
        <f>IF(VLOOKUP($D433,$C$5:$AJ$470,34,)=0,0,((VLOOKUP($D433,$C$5:$AJ$470,34,)/VLOOKUP($D433,$C$5:$AJ$470,4,))*$F433))</f>
        <v>0</v>
      </c>
      <c r="AK433" s="19">
        <f>SUM(H433:AJ433)</f>
        <v>248465.79000000004</v>
      </c>
      <c r="AL433" s="15" t="str">
        <f>IF(ABS(AK433-F433)&lt;1,"ok","err")</f>
        <v>ok</v>
      </c>
    </row>
    <row r="434" spans="1:38" x14ac:dyDescent="0.3">
      <c r="AL434" s="15"/>
    </row>
    <row r="435" spans="1:38" x14ac:dyDescent="0.3">
      <c r="A435" s="2" t="s">
        <v>490</v>
      </c>
      <c r="C435" s="2" t="s">
        <v>491</v>
      </c>
      <c r="D435" s="2" t="s">
        <v>62</v>
      </c>
      <c r="F435" s="44">
        <v>0</v>
      </c>
      <c r="G435" s="44">
        <v>600157</v>
      </c>
      <c r="H435" s="43">
        <f>IF(VLOOKUP($D435,$C$5:$AJ$470,6,)=0,0,((VLOOKUP($D435,$C$5:$AJ$470,6,)/VLOOKUP($D435,$C$5:$AJ$470,4,))*$F435))</f>
        <v>0</v>
      </c>
      <c r="I435" s="43">
        <f>IF(VLOOKUP($D435,$C$5:$AJ$470,7,)=0,0,((VLOOKUP($D435,$C$5:$AJ$470,7,)/VLOOKUP($D435,$C$5:$AJ$470,4,))*$F435))</f>
        <v>0</v>
      </c>
      <c r="J435" s="43">
        <f>IF(VLOOKUP($D435,$C$5:$AJ$470,8,)=0,0,((VLOOKUP($D435,$C$5:$AJ$470,8,)/VLOOKUP($D435,$C$5:$AJ$470,4,))*$F435))</f>
        <v>0</v>
      </c>
      <c r="K435" s="43">
        <f>IF(VLOOKUP($D435,$C$5:$AJ$470,9,)=0,0,((VLOOKUP($D435,$C$5:$AJ$470,9,)/VLOOKUP($D435,$C$5:$AJ$470,4,))*$F435))</f>
        <v>0</v>
      </c>
      <c r="L435" s="43">
        <f>IF(VLOOKUP($D435,$C$5:$AJ$470,10,)=0,0,((VLOOKUP($D435,$C$5:$AJ$470,10,)/VLOOKUP($D435,$C$5:$AJ$470,4,))*$F435))</f>
        <v>0</v>
      </c>
      <c r="M435" s="43">
        <f>IF(VLOOKUP($D435,$C$5:$AJ$470,11,)=0,0,((VLOOKUP($D435,$C$5:$AJ$470,11,)/VLOOKUP($D435,$C$5:$AJ$470,4,))*$F435))</f>
        <v>0</v>
      </c>
      <c r="N435" s="43"/>
      <c r="O435" s="43">
        <f>IF(VLOOKUP($D435,$C$5:$AJ$470,13,)=0,0,((VLOOKUP($D435,$C$5:$AJ$470,13,)/VLOOKUP($D435,$C$5:$AJ$470,4,))*$F435))</f>
        <v>0</v>
      </c>
      <c r="P435" s="43">
        <f>IF(VLOOKUP($D435,$C$5:$AJ$470,14,)=0,0,((VLOOKUP($D435,$C$5:$AJ$470,14,)/VLOOKUP($D435,$C$5:$AJ$470,4,))*$F435))</f>
        <v>0</v>
      </c>
      <c r="Q435" s="43">
        <f>IF(VLOOKUP($D435,$C$5:$AJ$470,15,)=0,0,((VLOOKUP($D435,$C$5:$AJ$470,15,)/VLOOKUP($D435,$C$5:$AJ$470,4,))*$F435))</f>
        <v>0</v>
      </c>
      <c r="R435" s="43"/>
      <c r="S435" s="43">
        <f>IF(VLOOKUP($D435,$C$5:$AJ$470,17,)=0,0,((VLOOKUP($D435,$C$5:$AJ$470,17,)/VLOOKUP($D435,$C$5:$AJ$470,4,))*$F435))</f>
        <v>0</v>
      </c>
      <c r="T435" s="43">
        <f>IF(VLOOKUP($D435,$C$5:$AJ$470,18,)=0,0,((VLOOKUP($D435,$C$5:$AJ$470,18,)/VLOOKUP($D435,$C$5:$AJ$470,4,))*$F435))</f>
        <v>0</v>
      </c>
      <c r="U435" s="43">
        <f>IF(VLOOKUP($D435,$C$5:$AJ$470,19,)=0,0,((VLOOKUP($D435,$C$5:$AJ$470,19,)/VLOOKUP($D435,$C$5:$AJ$470,4,))*$F435))</f>
        <v>0</v>
      </c>
      <c r="V435" s="43">
        <f>IF(VLOOKUP($D435,$C$5:$AJ$470,20,)=0,0,((VLOOKUP($D435,$C$5:$AJ$470,20,)/VLOOKUP($D435,$C$5:$AJ$470,4,))*$F435))</f>
        <v>0</v>
      </c>
      <c r="W435" s="43">
        <f>IF(VLOOKUP($D435,$C$5:$AJ$470,21,)=0,0,((VLOOKUP($D435,$C$5:$AJ$470,21,)/VLOOKUP($D435,$C$5:$AJ$470,4,))*$F435))</f>
        <v>0</v>
      </c>
      <c r="X435" s="43">
        <f>IF(VLOOKUP($D435,$C$5:$AJ$470,22,)=0,0,((VLOOKUP($D435,$C$5:$AJ$470,22,)/VLOOKUP($D435,$C$5:$AJ$470,4,))*$F435))</f>
        <v>0</v>
      </c>
      <c r="Y435" s="43">
        <f>IF(VLOOKUP($D435,$C$5:$AJ$470,23,)=0,0,((VLOOKUP($D435,$C$5:$AJ$470,23,)/VLOOKUP($D435,$C$5:$AJ$470,4,))*$F435))</f>
        <v>0</v>
      </c>
      <c r="Z435" s="43">
        <f>IF(VLOOKUP($D435,$C$5:$AJ$470,24,)=0,0,((VLOOKUP($D435,$C$5:$AJ$470,24,)/VLOOKUP($D435,$C$5:$AJ$470,4,))*$F435))</f>
        <v>0</v>
      </c>
      <c r="AA435" s="43">
        <f>IF(VLOOKUP($D435,$C$5:$AJ$470,25,)=0,0,((VLOOKUP($D435,$C$5:$AJ$470,25,)/VLOOKUP($D435,$C$5:$AJ$470,4,))*$F435))</f>
        <v>0</v>
      </c>
      <c r="AB435" s="43">
        <f>IF(VLOOKUP($D435,$C$5:$AJ$470,26,)=0,0,((VLOOKUP($D435,$C$5:$AJ$470,26,)/VLOOKUP($D435,$C$5:$AJ$470,4,))*$F435))</f>
        <v>0</v>
      </c>
      <c r="AC435" s="43">
        <f>IF(VLOOKUP($D435,$C$5:$AJ$470,27,)=0,0,((VLOOKUP($D435,$C$5:$AJ$470,27,)/VLOOKUP($D435,$C$5:$AJ$470,4,))*$F435))</f>
        <v>0</v>
      </c>
      <c r="AD435" s="43">
        <f>IF(VLOOKUP($D435,$C$5:$AJ$470,28,)=0,0,((VLOOKUP($D435,$C$5:$AJ$470,28,)/VLOOKUP($D435,$C$5:$AJ$470,4,))*$F435))</f>
        <v>0</v>
      </c>
      <c r="AE435" s="43"/>
      <c r="AF435" s="43">
        <f>IF(VLOOKUP($D435,$C$5:$AJ$470,30,)=0,0,((VLOOKUP($D435,$C$5:$AJ$470,30,)/VLOOKUP($D435,$C$5:$AJ$470,4,))*$F435))</f>
        <v>0</v>
      </c>
      <c r="AG435" s="43"/>
      <c r="AH435" s="43">
        <f>IF(VLOOKUP($D435,$C$5:$AJ$470,32,)=0,0,((VLOOKUP($D435,$C$5:$AJ$470,32,)/VLOOKUP($D435,$C$5:$AJ$470,4,))*$F435))</f>
        <v>0</v>
      </c>
      <c r="AI435" s="43"/>
      <c r="AJ435" s="43">
        <f>IF(VLOOKUP($D435,$C$5:$AJ$470,34,)=0,0,((VLOOKUP($D435,$C$5:$AJ$470,34,)/VLOOKUP($D435,$C$5:$AJ$470,4,))*$F435))</f>
        <v>0</v>
      </c>
      <c r="AK435" s="43">
        <f>SUM(H435:AJ435)</f>
        <v>0</v>
      </c>
      <c r="AL435" s="15" t="str">
        <f>IF(ABS(AK435-F435)&lt;1,"ok","err")</f>
        <v>ok</v>
      </c>
    </row>
    <row r="436" spans="1:38" x14ac:dyDescent="0.3">
      <c r="Y436" s="2"/>
    </row>
    <row r="437" spans="1:38" x14ac:dyDescent="0.3">
      <c r="A437" s="2" t="s">
        <v>463</v>
      </c>
      <c r="C437" s="2" t="s">
        <v>492</v>
      </c>
      <c r="D437" s="2" t="s">
        <v>62</v>
      </c>
      <c r="F437" s="44">
        <v>0</v>
      </c>
      <c r="G437" s="18">
        <v>600157</v>
      </c>
      <c r="H437" s="19">
        <f>IF(VLOOKUP($D437,$C$5:$AJ$470,6,)=0,0,((VLOOKUP($D437,$C$5:$AJ$470,6,)/VLOOKUP($D437,$C$5:$AJ$470,4,))*$F437))</f>
        <v>0</v>
      </c>
      <c r="I437" s="19">
        <f>IF(VLOOKUP($D437,$C$5:$AJ$470,7,)=0,0,((VLOOKUP($D437,$C$5:$AJ$470,7,)/VLOOKUP($D437,$C$5:$AJ$470,4,))*$F437))</f>
        <v>0</v>
      </c>
      <c r="J437" s="19">
        <f>IF(VLOOKUP($D437,$C$5:$AJ$470,8,)=0,0,((VLOOKUP($D437,$C$5:$AJ$470,8,)/VLOOKUP($D437,$C$5:$AJ$470,4,))*$F437))</f>
        <v>0</v>
      </c>
      <c r="K437" s="19">
        <f>IF(VLOOKUP($D437,$C$5:$AJ$470,9,)=0,0,((VLOOKUP($D437,$C$5:$AJ$470,9,)/VLOOKUP($D437,$C$5:$AJ$470,4,))*$F437))</f>
        <v>0</v>
      </c>
      <c r="L437" s="19">
        <f>IF(VLOOKUP($D437,$C$5:$AJ$470,10,)=0,0,((VLOOKUP($D437,$C$5:$AJ$470,10,)/VLOOKUP($D437,$C$5:$AJ$470,4,))*$F437))</f>
        <v>0</v>
      </c>
      <c r="M437" s="19">
        <f>IF(VLOOKUP($D437,$C$5:$AJ$470,11,)=0,0,((VLOOKUP($D437,$C$5:$AJ$470,11,)/VLOOKUP($D437,$C$5:$AJ$470,4,))*$F437))</f>
        <v>0</v>
      </c>
      <c r="N437" s="19"/>
      <c r="O437" s="19">
        <f>IF(VLOOKUP($D437,$C$5:$AJ$470,13,)=0,0,((VLOOKUP($D437,$C$5:$AJ$470,13,)/VLOOKUP($D437,$C$5:$AJ$470,4,))*$F437))</f>
        <v>0</v>
      </c>
      <c r="P437" s="19">
        <f>IF(VLOOKUP($D437,$C$5:$AJ$470,14,)=0,0,((VLOOKUP($D437,$C$5:$AJ$470,14,)/VLOOKUP($D437,$C$5:$AJ$470,4,))*$F437))</f>
        <v>0</v>
      </c>
      <c r="Q437" s="19">
        <f>IF(VLOOKUP($D437,$C$5:$AJ$470,15,)=0,0,((VLOOKUP($D437,$C$5:$AJ$470,15,)/VLOOKUP($D437,$C$5:$AJ$470,4,))*$F437))</f>
        <v>0</v>
      </c>
      <c r="R437" s="19"/>
      <c r="S437" s="19">
        <f>IF(VLOOKUP($D437,$C$5:$AJ$470,17,)=0,0,((VLOOKUP($D437,$C$5:$AJ$470,17,)/VLOOKUP($D437,$C$5:$AJ$470,4,))*$F437))</f>
        <v>0</v>
      </c>
      <c r="T437" s="19">
        <f>IF(VLOOKUP($D437,$C$5:$AJ$470,18,)=0,0,((VLOOKUP($D437,$C$5:$AJ$470,18,)/VLOOKUP($D437,$C$5:$AJ$470,4,))*$F437))</f>
        <v>0</v>
      </c>
      <c r="U437" s="19">
        <f>IF(VLOOKUP($D437,$C$5:$AJ$470,19,)=0,0,((VLOOKUP($D437,$C$5:$AJ$470,19,)/VLOOKUP($D437,$C$5:$AJ$470,4,))*$F437))</f>
        <v>0</v>
      </c>
      <c r="V437" s="19">
        <f>IF(VLOOKUP($D437,$C$5:$AJ$470,20,)=0,0,((VLOOKUP($D437,$C$5:$AJ$470,20,)/VLOOKUP($D437,$C$5:$AJ$470,4,))*$F437))</f>
        <v>0</v>
      </c>
      <c r="W437" s="19">
        <f>IF(VLOOKUP($D437,$C$5:$AJ$470,21,)=0,0,((VLOOKUP($D437,$C$5:$AJ$470,21,)/VLOOKUP($D437,$C$5:$AJ$470,4,))*$F437))</f>
        <v>0</v>
      </c>
      <c r="X437" s="19">
        <f>IF(VLOOKUP($D437,$C$5:$AJ$470,22,)=0,0,((VLOOKUP($D437,$C$5:$AJ$470,22,)/VLOOKUP($D437,$C$5:$AJ$470,4,))*$F437))</f>
        <v>0</v>
      </c>
      <c r="Y437" s="19">
        <f>IF(VLOOKUP($D437,$C$5:$AJ$470,23,)=0,0,((VLOOKUP($D437,$C$5:$AJ$470,23,)/VLOOKUP($D437,$C$5:$AJ$470,4,))*$F437))</f>
        <v>0</v>
      </c>
      <c r="Z437" s="19">
        <f>IF(VLOOKUP($D437,$C$5:$AJ$470,24,)=0,0,((VLOOKUP($D437,$C$5:$AJ$470,24,)/VLOOKUP($D437,$C$5:$AJ$470,4,))*$F437))</f>
        <v>0</v>
      </c>
      <c r="AA437" s="19">
        <f>IF(VLOOKUP($D437,$C$5:$AJ$470,25,)=0,0,((VLOOKUP($D437,$C$5:$AJ$470,25,)/VLOOKUP($D437,$C$5:$AJ$470,4,))*$F437))</f>
        <v>0</v>
      </c>
      <c r="AB437" s="19">
        <f>IF(VLOOKUP($D437,$C$5:$AJ$470,26,)=0,0,((VLOOKUP($D437,$C$5:$AJ$470,26,)/VLOOKUP($D437,$C$5:$AJ$470,4,))*$F437))</f>
        <v>0</v>
      </c>
      <c r="AC437" s="19">
        <f>IF(VLOOKUP($D437,$C$5:$AJ$470,27,)=0,0,((VLOOKUP($D437,$C$5:$AJ$470,27,)/VLOOKUP($D437,$C$5:$AJ$470,4,))*$F437))</f>
        <v>0</v>
      </c>
      <c r="AD437" s="19">
        <f>IF(VLOOKUP($D437,$C$5:$AJ$470,28,)=0,0,((VLOOKUP($D437,$C$5:$AJ$470,28,)/VLOOKUP($D437,$C$5:$AJ$470,4,))*$F437))</f>
        <v>0</v>
      </c>
      <c r="AE437" s="19"/>
      <c r="AF437" s="19">
        <f>IF(VLOOKUP($D437,$C$5:$AJ$470,30,)=0,0,((VLOOKUP($D437,$C$5:$AJ$470,30,)/VLOOKUP($D437,$C$5:$AJ$470,4,))*$F437))</f>
        <v>0</v>
      </c>
      <c r="AG437" s="19"/>
      <c r="AH437" s="19">
        <f>IF(VLOOKUP($D437,$C$5:$AJ$470,32,)=0,0,((VLOOKUP($D437,$C$5:$AJ$470,32,)/VLOOKUP($D437,$C$5:$AJ$470,4,))*$F437))</f>
        <v>0</v>
      </c>
      <c r="AI437" s="19"/>
      <c r="AJ437" s="19">
        <f>IF(VLOOKUP($D437,$C$5:$AJ$470,34,)=0,0,((VLOOKUP($D437,$C$5:$AJ$470,34,)/VLOOKUP($D437,$C$5:$AJ$470,4,))*$F437))</f>
        <v>0</v>
      </c>
      <c r="AK437" s="19">
        <f>SUM(H437:AJ437)</f>
        <v>0</v>
      </c>
      <c r="AL437" s="15" t="str">
        <f>IF(ABS(AK437-F437)&lt;1,"ok","err")</f>
        <v>ok</v>
      </c>
    </row>
    <row r="438" spans="1:38" x14ac:dyDescent="0.3">
      <c r="Y438" s="2"/>
    </row>
    <row r="439" spans="1:38" x14ac:dyDescent="0.3">
      <c r="A439" s="2" t="s">
        <v>493</v>
      </c>
      <c r="C439" s="2" t="s">
        <v>494</v>
      </c>
      <c r="D439" s="2" t="s">
        <v>62</v>
      </c>
      <c r="F439" s="44">
        <f>107001951+358803</f>
        <v>107360754</v>
      </c>
      <c r="H439" s="19">
        <f>IF(VLOOKUP($D439,$C$5:$AJ$470,6,)=0,0,((VLOOKUP($D439,$C$5:$AJ$470,6,)/VLOOKUP($D439,$C$5:$AJ$470,4,))*$F439))</f>
        <v>36209618.030369602</v>
      </c>
      <c r="I439" s="19">
        <f>IF(VLOOKUP($D439,$C$5:$AJ$470,7,)=0,0,((VLOOKUP($D439,$C$5:$AJ$470,7,)/VLOOKUP($D439,$C$5:$AJ$470,4,))*$F439))</f>
        <v>44673014.983695343</v>
      </c>
      <c r="J439" s="19">
        <f>IF(VLOOKUP($D439,$C$5:$AJ$470,8,)=0,0,((VLOOKUP($D439,$C$5:$AJ$470,8,)/VLOOKUP($D439,$C$5:$AJ$470,4,))*$F439))</f>
        <v>0</v>
      </c>
      <c r="K439" s="19">
        <f>IF(VLOOKUP($D439,$C$5:$AJ$470,9,)=0,0,((VLOOKUP($D439,$C$5:$AJ$470,9,)/VLOOKUP($D439,$C$5:$AJ$470,4,))*$F439))</f>
        <v>0</v>
      </c>
      <c r="L439" s="19">
        <f>IF(VLOOKUP($D439,$C$5:$AJ$470,10,)=0,0,((VLOOKUP($D439,$C$5:$AJ$470,10,)/VLOOKUP($D439,$C$5:$AJ$470,4,))*$F439))</f>
        <v>518659.67168991378</v>
      </c>
      <c r="M439" s="19">
        <f>IF(VLOOKUP($D439,$C$5:$AJ$470,11,)=0,0,((VLOOKUP($D439,$C$5:$AJ$470,11,)/VLOOKUP($D439,$C$5:$AJ$470,4,))*$F439))</f>
        <v>18162121.083158441</v>
      </c>
      <c r="N439" s="19"/>
      <c r="O439" s="19">
        <f>IF(VLOOKUP($D439,$C$5:$AJ$470,13,)=0,0,((VLOOKUP($D439,$C$5:$AJ$470,13,)/VLOOKUP($D439,$C$5:$AJ$470,4,))*$F439))</f>
        <v>7694330.9335837821</v>
      </c>
      <c r="P439" s="19">
        <f>IF(VLOOKUP($D439,$C$5:$AJ$470,14,)=0,0,((VLOOKUP($D439,$C$5:$AJ$470,14,)/VLOOKUP($D439,$C$5:$AJ$470,4,))*$F439))</f>
        <v>103009.29750291565</v>
      </c>
      <c r="Q439" s="19">
        <f>IF(VLOOKUP($D439,$C$5:$AJ$470,15,)=0,0,((VLOOKUP($D439,$C$5:$AJ$470,15,)/VLOOKUP($D439,$C$5:$AJ$470,4,))*$F439))</f>
        <v>0</v>
      </c>
      <c r="R439" s="19"/>
      <c r="S439" s="19">
        <f>IF(VLOOKUP($D439,$C$5:$AJ$470,17,)=0,0,((VLOOKUP($D439,$C$5:$AJ$470,17,)/VLOOKUP($D439,$C$5:$AJ$470,4,))*$F439))</f>
        <v>0</v>
      </c>
      <c r="T439" s="19">
        <f>IF(VLOOKUP($D439,$C$5:$AJ$470,18,)=0,0,((VLOOKUP($D439,$C$5:$AJ$470,18,)/VLOOKUP($D439,$C$5:$AJ$470,4,))*$F439))</f>
        <v>0</v>
      </c>
      <c r="U439" s="19">
        <f>IF(VLOOKUP($D439,$C$5:$AJ$470,19,)=0,0,((VLOOKUP($D439,$C$5:$AJ$470,19,)/VLOOKUP($D439,$C$5:$AJ$470,4,))*$F439))</f>
        <v>0</v>
      </c>
      <c r="V439" s="19">
        <f>IF(VLOOKUP($D439,$C$5:$AJ$470,20,)=0,0,((VLOOKUP($D439,$C$5:$AJ$470,20,)/VLOOKUP($D439,$C$5:$AJ$470,4,))*$F439))</f>
        <v>0</v>
      </c>
      <c r="W439" s="19">
        <f>IF(VLOOKUP($D439,$C$5:$AJ$470,21,)=0,0,((VLOOKUP($D439,$C$5:$AJ$470,21,)/VLOOKUP($D439,$C$5:$AJ$470,4,))*$F439))</f>
        <v>0</v>
      </c>
      <c r="X439" s="19">
        <f>IF(VLOOKUP($D439,$C$5:$AJ$470,22,)=0,0,((VLOOKUP($D439,$C$5:$AJ$470,22,)/VLOOKUP($D439,$C$5:$AJ$470,4,))*$F439))</f>
        <v>0</v>
      </c>
      <c r="Y439" s="19">
        <f>IF(VLOOKUP($D439,$C$5:$AJ$470,23,)=0,0,((VLOOKUP($D439,$C$5:$AJ$470,23,)/VLOOKUP($D439,$C$5:$AJ$470,4,))*$F439))</f>
        <v>0</v>
      </c>
      <c r="Z439" s="19">
        <f>IF(VLOOKUP($D439,$C$5:$AJ$470,24,)=0,0,((VLOOKUP($D439,$C$5:$AJ$470,24,)/VLOOKUP($D439,$C$5:$AJ$470,4,))*$F439))</f>
        <v>0</v>
      </c>
      <c r="AA439" s="19">
        <f>IF(VLOOKUP($D439,$C$5:$AJ$470,25,)=0,0,((VLOOKUP($D439,$C$5:$AJ$470,25,)/VLOOKUP($D439,$C$5:$AJ$470,4,))*$F439))</f>
        <v>0</v>
      </c>
      <c r="AB439" s="19">
        <f>IF(VLOOKUP($D439,$C$5:$AJ$470,26,)=0,0,((VLOOKUP($D439,$C$5:$AJ$470,26,)/VLOOKUP($D439,$C$5:$AJ$470,4,))*$F439))</f>
        <v>0</v>
      </c>
      <c r="AC439" s="19">
        <f>IF(VLOOKUP($D439,$C$5:$AJ$470,27,)=0,0,((VLOOKUP($D439,$C$5:$AJ$470,27,)/VLOOKUP($D439,$C$5:$AJ$470,4,))*$F439))</f>
        <v>0</v>
      </c>
      <c r="AD439" s="19">
        <f>IF(VLOOKUP($D439,$C$5:$AJ$470,28,)=0,0,((VLOOKUP($D439,$C$5:$AJ$470,28,)/VLOOKUP($D439,$C$5:$AJ$470,4,))*$F439))</f>
        <v>0</v>
      </c>
      <c r="AE439" s="19"/>
      <c r="AF439" s="19">
        <f>IF(VLOOKUP($D439,$C$5:$AJ$470,30,)=0,0,((VLOOKUP($D439,$C$5:$AJ$470,30,)/VLOOKUP($D439,$C$5:$AJ$470,4,))*$F439))</f>
        <v>0</v>
      </c>
      <c r="AG439" s="19"/>
      <c r="AH439" s="19">
        <f>IF(VLOOKUP($D439,$C$5:$AJ$470,32,)=0,0,((VLOOKUP($D439,$C$5:$AJ$470,32,)/VLOOKUP($D439,$C$5:$AJ$470,4,))*$F439))</f>
        <v>0</v>
      </c>
      <c r="AI439" s="19"/>
      <c r="AJ439" s="19">
        <f>IF(VLOOKUP($D439,$C$5:$AJ$470,34,)=0,0,((VLOOKUP($D439,$C$5:$AJ$470,34,)/VLOOKUP($D439,$C$5:$AJ$470,4,))*$F439))</f>
        <v>0</v>
      </c>
      <c r="AK439" s="19">
        <f>SUM(H439:AJ439)</f>
        <v>107360754</v>
      </c>
      <c r="AL439" s="15" t="str">
        <f>IF(ABS(AK439-F439)&lt;1,"ok","err")</f>
        <v>ok</v>
      </c>
    </row>
    <row r="440" spans="1:38" x14ac:dyDescent="0.3">
      <c r="F440" s="44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5"/>
    </row>
    <row r="441" spans="1:38" x14ac:dyDescent="0.3">
      <c r="A441" s="2" t="s">
        <v>495</v>
      </c>
      <c r="C441" s="2" t="s">
        <v>496</v>
      </c>
      <c r="D441" s="2" t="s">
        <v>62</v>
      </c>
      <c r="F441" s="44">
        <v>1195294.26</v>
      </c>
      <c r="H441" s="19">
        <f>IF(VLOOKUP($D441,$C$5:$AJ$470,6,)=0,0,((VLOOKUP($D441,$C$5:$AJ$470,6,)/VLOOKUP($D441,$C$5:$AJ$470,4,))*$F441))</f>
        <v>403137.52442995412</v>
      </c>
      <c r="I441" s="19">
        <f>IF(VLOOKUP($D441,$C$5:$AJ$470,7,)=0,0,((VLOOKUP($D441,$C$5:$AJ$470,7,)/VLOOKUP($D441,$C$5:$AJ$470,4,))*$F441))</f>
        <v>497364.2266605639</v>
      </c>
      <c r="J441" s="19">
        <f>IF(VLOOKUP($D441,$C$5:$AJ$470,8,)=0,0,((VLOOKUP($D441,$C$5:$AJ$470,8,)/VLOOKUP($D441,$C$5:$AJ$470,4,))*$F441))</f>
        <v>0</v>
      </c>
      <c r="K441" s="19">
        <f>IF(VLOOKUP($D441,$C$5:$AJ$470,9,)=0,0,((VLOOKUP($D441,$C$5:$AJ$470,9,)/VLOOKUP($D441,$C$5:$AJ$470,4,))*$F441))</f>
        <v>0</v>
      </c>
      <c r="L441" s="19">
        <f>IF(VLOOKUP($D441,$C$5:$AJ$470,10,)=0,0,((VLOOKUP($D441,$C$5:$AJ$470,10,)/VLOOKUP($D441,$C$5:$AJ$470,4,))*$F441))</f>
        <v>5774.465112870188</v>
      </c>
      <c r="M441" s="19">
        <f>IF(VLOOKUP($D441,$C$5:$AJ$470,11,)=0,0,((VLOOKUP($D441,$C$5:$AJ$470,11,)/VLOOKUP($D441,$C$5:$AJ$470,4,))*$F441))</f>
        <v>202206.84254997192</v>
      </c>
      <c r="N441" s="19"/>
      <c r="O441" s="19">
        <f>IF(VLOOKUP($D441,$C$5:$AJ$470,13,)=0,0,((VLOOKUP($D441,$C$5:$AJ$470,13,)/VLOOKUP($D441,$C$5:$AJ$470,4,))*$F441))</f>
        <v>85664.353656207881</v>
      </c>
      <c r="P441" s="19">
        <f>IF(VLOOKUP($D441,$C$5:$AJ$470,14,)=0,0,((VLOOKUP($D441,$C$5:$AJ$470,14,)/VLOOKUP($D441,$C$5:$AJ$470,4,))*$F441))</f>
        <v>1146.8475904320437</v>
      </c>
      <c r="Q441" s="19">
        <f>IF(VLOOKUP($D441,$C$5:$AJ$470,15,)=0,0,((VLOOKUP($D441,$C$5:$AJ$470,15,)/VLOOKUP($D441,$C$5:$AJ$470,4,))*$F441))</f>
        <v>0</v>
      </c>
      <c r="R441" s="19"/>
      <c r="S441" s="19">
        <f>IF(VLOOKUP($D441,$C$5:$AJ$470,17,)=0,0,((VLOOKUP($D441,$C$5:$AJ$470,17,)/VLOOKUP($D441,$C$5:$AJ$470,4,))*$F441))</f>
        <v>0</v>
      </c>
      <c r="T441" s="19">
        <f>IF(VLOOKUP($D441,$C$5:$AJ$470,18,)=0,0,((VLOOKUP($D441,$C$5:$AJ$470,18,)/VLOOKUP($D441,$C$5:$AJ$470,4,))*$F441))</f>
        <v>0</v>
      </c>
      <c r="U441" s="19">
        <f>IF(VLOOKUP($D441,$C$5:$AJ$470,19,)=0,0,((VLOOKUP($D441,$C$5:$AJ$470,19,)/VLOOKUP($D441,$C$5:$AJ$470,4,))*$F441))</f>
        <v>0</v>
      </c>
      <c r="V441" s="19">
        <f>IF(VLOOKUP($D441,$C$5:$AJ$470,20,)=0,0,((VLOOKUP($D441,$C$5:$AJ$470,20,)/VLOOKUP($D441,$C$5:$AJ$470,4,))*$F441))</f>
        <v>0</v>
      </c>
      <c r="W441" s="19">
        <f>IF(VLOOKUP($D441,$C$5:$AJ$470,21,)=0,0,((VLOOKUP($D441,$C$5:$AJ$470,21,)/VLOOKUP($D441,$C$5:$AJ$470,4,))*$F441))</f>
        <v>0</v>
      </c>
      <c r="X441" s="19">
        <f>IF(VLOOKUP($D441,$C$5:$AJ$470,22,)=0,0,((VLOOKUP($D441,$C$5:$AJ$470,22,)/VLOOKUP($D441,$C$5:$AJ$470,4,))*$F441))</f>
        <v>0</v>
      </c>
      <c r="Y441" s="19">
        <f>IF(VLOOKUP($D441,$C$5:$AJ$470,23,)=0,0,((VLOOKUP($D441,$C$5:$AJ$470,23,)/VLOOKUP($D441,$C$5:$AJ$470,4,))*$F441))</f>
        <v>0</v>
      </c>
      <c r="Z441" s="19">
        <f>IF(VLOOKUP($D441,$C$5:$AJ$470,24,)=0,0,((VLOOKUP($D441,$C$5:$AJ$470,24,)/VLOOKUP($D441,$C$5:$AJ$470,4,))*$F441))</f>
        <v>0</v>
      </c>
      <c r="AA441" s="19">
        <f>IF(VLOOKUP($D441,$C$5:$AJ$470,25,)=0,0,((VLOOKUP($D441,$C$5:$AJ$470,25,)/VLOOKUP($D441,$C$5:$AJ$470,4,))*$F441))</f>
        <v>0</v>
      </c>
      <c r="AB441" s="19">
        <f>IF(VLOOKUP($D441,$C$5:$AJ$470,26,)=0,0,((VLOOKUP($D441,$C$5:$AJ$470,26,)/VLOOKUP($D441,$C$5:$AJ$470,4,))*$F441))</f>
        <v>0</v>
      </c>
      <c r="AC441" s="19">
        <f>IF(VLOOKUP($D441,$C$5:$AJ$470,27,)=0,0,((VLOOKUP($D441,$C$5:$AJ$470,27,)/VLOOKUP($D441,$C$5:$AJ$470,4,))*$F441))</f>
        <v>0</v>
      </c>
      <c r="AD441" s="19">
        <f>IF(VLOOKUP($D441,$C$5:$AJ$470,28,)=0,0,((VLOOKUP($D441,$C$5:$AJ$470,28,)/VLOOKUP($D441,$C$5:$AJ$470,4,))*$F441))</f>
        <v>0</v>
      </c>
      <c r="AE441" s="19"/>
      <c r="AF441" s="19">
        <f>IF(VLOOKUP($D441,$C$5:$AJ$470,30,)=0,0,((VLOOKUP($D441,$C$5:$AJ$470,30,)/VLOOKUP($D441,$C$5:$AJ$470,4,))*$F441))</f>
        <v>0</v>
      </c>
      <c r="AG441" s="19"/>
      <c r="AH441" s="19">
        <f>IF(VLOOKUP($D441,$C$5:$AJ$470,32,)=0,0,((VLOOKUP($D441,$C$5:$AJ$470,32,)/VLOOKUP($D441,$C$5:$AJ$470,4,))*$F441))</f>
        <v>0</v>
      </c>
      <c r="AI441" s="19"/>
      <c r="AJ441" s="19">
        <f>IF(VLOOKUP($D441,$C$5:$AJ$470,34,)=0,0,((VLOOKUP($D441,$C$5:$AJ$470,34,)/VLOOKUP($D441,$C$5:$AJ$470,4,))*$F441))</f>
        <v>0</v>
      </c>
      <c r="AK441" s="19">
        <f>SUM(H441:AJ441)</f>
        <v>1195294.26</v>
      </c>
      <c r="AL441" s="15" t="str">
        <f>IF(ABS(AK441-F441)&lt;1,"ok","err")</f>
        <v>ok</v>
      </c>
    </row>
    <row r="442" spans="1:38" x14ac:dyDescent="0.3">
      <c r="AK442" s="19"/>
      <c r="AL442" s="15"/>
    </row>
    <row r="443" spans="1:38" x14ac:dyDescent="0.3">
      <c r="A443" s="3" t="s">
        <v>497</v>
      </c>
      <c r="C443" s="2" t="s">
        <v>498</v>
      </c>
      <c r="F443" s="20">
        <f>F424+F431+F433+F435+F437+F439+F441</f>
        <v>252548437.97</v>
      </c>
      <c r="G443" s="20"/>
      <c r="H443" s="20">
        <f t="shared" ref="H443:M443" si="518">H424+H431+H433+H435+H437+H439+H441</f>
        <v>88600865.611479491</v>
      </c>
      <c r="I443" s="20">
        <f t="shared" si="518"/>
        <v>107364408.31712259</v>
      </c>
      <c r="J443" s="20">
        <f t="shared" si="518"/>
        <v>0</v>
      </c>
      <c r="K443" s="20">
        <f t="shared" si="518"/>
        <v>0</v>
      </c>
      <c r="L443" s="20">
        <f t="shared" si="518"/>
        <v>1234553.7976917771</v>
      </c>
      <c r="M443" s="20">
        <f t="shared" si="518"/>
        <v>38666645.969673738</v>
      </c>
      <c r="N443" s="20"/>
      <c r="O443" s="20">
        <f>O424+O431+O433+O435+O437+O439+O441</f>
        <v>16461581.762828672</v>
      </c>
      <c r="P443" s="20">
        <f>P424+P431+P433+P435+P437+P439+P441</f>
        <v>220382.51120373717</v>
      </c>
      <c r="Q443" s="20">
        <f>Q424+Q431+Q433+Q435+Q437+Q439+Q441</f>
        <v>0</v>
      </c>
      <c r="R443" s="20"/>
      <c r="S443" s="20">
        <f t="shared" ref="S443:AD443" si="519">S424+S431+S433+S435+S437+S439+S441</f>
        <v>0</v>
      </c>
      <c r="T443" s="20">
        <f t="shared" si="519"/>
        <v>0</v>
      </c>
      <c r="U443" s="20">
        <f t="shared" si="519"/>
        <v>0</v>
      </c>
      <c r="V443" s="20">
        <f t="shared" si="519"/>
        <v>0</v>
      </c>
      <c r="W443" s="20">
        <f t="shared" si="519"/>
        <v>0</v>
      </c>
      <c r="X443" s="20">
        <f t="shared" si="519"/>
        <v>0</v>
      </c>
      <c r="Y443" s="20">
        <f t="shared" si="519"/>
        <v>0</v>
      </c>
      <c r="Z443" s="20">
        <f t="shared" si="519"/>
        <v>0</v>
      </c>
      <c r="AA443" s="20">
        <f t="shared" si="519"/>
        <v>0</v>
      </c>
      <c r="AB443" s="20">
        <f t="shared" si="519"/>
        <v>0</v>
      </c>
      <c r="AC443" s="20">
        <f t="shared" si="519"/>
        <v>0</v>
      </c>
      <c r="AD443" s="20">
        <f t="shared" si="519"/>
        <v>0</v>
      </c>
      <c r="AE443" s="20"/>
      <c r="AF443" s="20">
        <f>AF424+AF431+AF433+AF435+AF437+AF439+AF441</f>
        <v>0</v>
      </c>
      <c r="AG443" s="20"/>
      <c r="AH443" s="20">
        <f>AH424+AH431+AH433+AH435+AH437+AH439+AH441</f>
        <v>0</v>
      </c>
      <c r="AI443" s="20"/>
      <c r="AJ443" s="20">
        <f>AJ424+AJ431+AJ433+AJ435+AJ437+AJ439+AJ441</f>
        <v>0</v>
      </c>
      <c r="AK443" s="19">
        <f>SUM(H443:AJ443)</f>
        <v>252548437.97000003</v>
      </c>
      <c r="AL443" s="15" t="str">
        <f>IF(ABS(AK443-F443)&lt;1,"ok","err")</f>
        <v>ok</v>
      </c>
    </row>
    <row r="444" spans="1:38" x14ac:dyDescent="0.3">
      <c r="AL444" s="15"/>
    </row>
    <row r="445" spans="1:38" x14ac:dyDescent="0.3">
      <c r="A445" s="3" t="s">
        <v>499</v>
      </c>
      <c r="F445" s="20">
        <f t="shared" ref="F445:M445" si="520">F247+F443</f>
        <v>1108794340.473</v>
      </c>
      <c r="G445" s="20">
        <f t="shared" si="520"/>
        <v>0</v>
      </c>
      <c r="H445" s="20">
        <f t="shared" si="520"/>
        <v>157420923.48326322</v>
      </c>
      <c r="I445" s="20">
        <f t="shared" si="520"/>
        <v>192270011.95829952</v>
      </c>
      <c r="J445" s="20">
        <f t="shared" si="520"/>
        <v>289780957.19425559</v>
      </c>
      <c r="K445" s="20">
        <f t="shared" si="520"/>
        <v>312164434.28502363</v>
      </c>
      <c r="L445" s="20">
        <f t="shared" si="520"/>
        <v>8617846.3645231649</v>
      </c>
      <c r="M445" s="20">
        <f t="shared" si="520"/>
        <v>125086344.38248093</v>
      </c>
      <c r="N445" s="20"/>
      <c r="O445" s="20">
        <f>O247+O443</f>
        <v>23010040.800578635</v>
      </c>
      <c r="P445" s="20">
        <f>P247+P443</f>
        <v>443782.00457535358</v>
      </c>
      <c r="Q445" s="20">
        <f>Q247+Q443</f>
        <v>0</v>
      </c>
      <c r="R445" s="20"/>
      <c r="S445" s="20">
        <f t="shared" ref="S445:AJ445" si="521">S247+S443</f>
        <v>0</v>
      </c>
      <c r="T445" s="20">
        <f t="shared" si="521"/>
        <v>0</v>
      </c>
      <c r="U445" s="20">
        <f t="shared" si="521"/>
        <v>0</v>
      </c>
      <c r="V445" s="20">
        <f t="shared" si="521"/>
        <v>0</v>
      </c>
      <c r="W445" s="20">
        <f t="shared" si="521"/>
        <v>0</v>
      </c>
      <c r="X445" s="20">
        <f t="shared" si="521"/>
        <v>0</v>
      </c>
      <c r="Y445" s="20">
        <f t="shared" si="521"/>
        <v>0</v>
      </c>
      <c r="Z445" s="20">
        <f t="shared" si="521"/>
        <v>0</v>
      </c>
      <c r="AA445" s="20">
        <f t="shared" si="521"/>
        <v>0</v>
      </c>
      <c r="AB445" s="20">
        <f t="shared" si="521"/>
        <v>0</v>
      </c>
      <c r="AC445" s="20">
        <f t="shared" si="521"/>
        <v>0</v>
      </c>
      <c r="AD445" s="20">
        <f t="shared" si="521"/>
        <v>0</v>
      </c>
      <c r="AE445" s="20">
        <f t="shared" si="521"/>
        <v>0</v>
      </c>
      <c r="AF445" s="20">
        <f t="shared" si="521"/>
        <v>0</v>
      </c>
      <c r="AG445" s="20">
        <f t="shared" si="521"/>
        <v>0</v>
      </c>
      <c r="AH445" s="20">
        <f t="shared" si="521"/>
        <v>0</v>
      </c>
      <c r="AI445" s="20">
        <f t="shared" si="521"/>
        <v>0</v>
      </c>
      <c r="AJ445" s="20">
        <f t="shared" si="521"/>
        <v>0</v>
      </c>
      <c r="AK445" s="19">
        <f>SUM(H445:AJ445)</f>
        <v>1108794340.4729998</v>
      </c>
      <c r="AL445" s="15" t="str">
        <f>IF(ABS(AK445-F445)&lt;1,"ok","err")</f>
        <v>ok</v>
      </c>
    </row>
    <row r="446" spans="1:38" x14ac:dyDescent="0.3">
      <c r="AL446" s="15"/>
    </row>
    <row r="447" spans="1:38" x14ac:dyDescent="0.3">
      <c r="AL447" s="15"/>
    </row>
    <row r="448" spans="1:38" x14ac:dyDescent="0.3">
      <c r="F448" s="43"/>
      <c r="AL448" s="15"/>
    </row>
    <row r="449" spans="1:38" x14ac:dyDescent="0.3">
      <c r="A449" s="16" t="s">
        <v>500</v>
      </c>
      <c r="AL449" s="15"/>
    </row>
    <row r="450" spans="1:38" x14ac:dyDescent="0.3">
      <c r="H450" s="105">
        <f>1-I450</f>
        <v>0.447681</v>
      </c>
      <c r="I450" s="105">
        <f>ROUND('A&amp;E Adjustments'!H25,6)</f>
        <v>0.552319</v>
      </c>
      <c r="AL450" s="15"/>
    </row>
    <row r="451" spans="1:38" x14ac:dyDescent="0.3">
      <c r="A451" s="2" t="s">
        <v>26</v>
      </c>
      <c r="C451" s="2" t="s">
        <v>28</v>
      </c>
      <c r="F451" s="43">
        <f>F8</f>
        <v>3501081434</v>
      </c>
      <c r="G451" s="25"/>
      <c r="H451" s="102">
        <f>(F451-L451)*H450</f>
        <v>1558215468.6926489</v>
      </c>
      <c r="I451" s="102">
        <f>(F451-L451)*I450</f>
        <v>1922422460.3073511</v>
      </c>
      <c r="J451" s="26">
        <v>0</v>
      </c>
      <c r="K451" s="26">
        <v>0</v>
      </c>
      <c r="L451" s="43">
        <v>20443505</v>
      </c>
      <c r="M451" s="71">
        <v>0</v>
      </c>
      <c r="N451" s="26"/>
      <c r="O451" s="26">
        <v>0</v>
      </c>
      <c r="P451" s="26">
        <v>0</v>
      </c>
      <c r="Q451" s="26">
        <v>0</v>
      </c>
      <c r="R451" s="25"/>
      <c r="S451" s="26">
        <v>0</v>
      </c>
      <c r="T451" s="26">
        <v>0</v>
      </c>
      <c r="U451" s="26">
        <v>0</v>
      </c>
      <c r="V451" s="26">
        <v>0</v>
      </c>
      <c r="W451" s="26">
        <v>0</v>
      </c>
      <c r="X451" s="26">
        <v>0</v>
      </c>
      <c r="Y451" s="26">
        <v>0</v>
      </c>
      <c r="Z451" s="25">
        <v>0</v>
      </c>
      <c r="AA451" s="25">
        <v>0</v>
      </c>
      <c r="AB451" s="25">
        <v>0</v>
      </c>
      <c r="AC451" s="25">
        <v>0</v>
      </c>
      <c r="AD451" s="25">
        <v>0</v>
      </c>
      <c r="AE451" s="25"/>
      <c r="AF451" s="25">
        <v>0</v>
      </c>
      <c r="AG451" s="25"/>
      <c r="AH451" s="25">
        <v>0</v>
      </c>
      <c r="AI451" s="25"/>
      <c r="AJ451" s="25">
        <v>0</v>
      </c>
      <c r="AK451" s="19">
        <f>SUM(H451:AJ451)</f>
        <v>3501081434</v>
      </c>
      <c r="AL451" s="15" t="str">
        <f t="shared" ref="AL451:AL461" si="522">IF(ABS(AK451-F451)&lt;0.0000001,"ok","err")</f>
        <v>ok</v>
      </c>
    </row>
    <row r="452" spans="1:38" x14ac:dyDescent="0.3">
      <c r="A452" s="2" t="s">
        <v>29</v>
      </c>
      <c r="C452" s="2" t="s">
        <v>31</v>
      </c>
      <c r="F452" s="43">
        <f>F9</f>
        <v>741231487</v>
      </c>
      <c r="G452" s="25"/>
      <c r="H452" s="26">
        <v>0</v>
      </c>
      <c r="I452" s="26">
        <v>0</v>
      </c>
      <c r="J452" s="26">
        <v>0</v>
      </c>
      <c r="K452" s="26">
        <v>0</v>
      </c>
      <c r="L452" s="43">
        <v>1774978.3579047997</v>
      </c>
      <c r="M452" s="43">
        <f>F9-L452</f>
        <v>739456508.64209521</v>
      </c>
      <c r="N452" s="26"/>
      <c r="O452" s="26">
        <v>0</v>
      </c>
      <c r="P452" s="26">
        <v>0</v>
      </c>
      <c r="Q452" s="26">
        <v>0</v>
      </c>
      <c r="R452" s="25"/>
      <c r="S452" s="26">
        <v>0</v>
      </c>
      <c r="T452" s="26">
        <v>0</v>
      </c>
      <c r="U452" s="26">
        <v>0</v>
      </c>
      <c r="V452" s="26">
        <v>0</v>
      </c>
      <c r="W452" s="26">
        <v>0</v>
      </c>
      <c r="X452" s="26">
        <v>0</v>
      </c>
      <c r="Y452" s="26">
        <v>0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  <c r="AE452" s="25"/>
      <c r="AF452" s="25">
        <v>0</v>
      </c>
      <c r="AG452" s="25"/>
      <c r="AH452" s="25">
        <v>0</v>
      </c>
      <c r="AI452" s="25"/>
      <c r="AJ452" s="25">
        <v>0</v>
      </c>
      <c r="AK452" s="19">
        <f t="shared" ref="AK452:AK461" si="523">SUM(H452:AJ452)</f>
        <v>741231487</v>
      </c>
      <c r="AL452" s="15" t="str">
        <f t="shared" si="522"/>
        <v>ok</v>
      </c>
    </row>
    <row r="453" spans="1:38" x14ac:dyDescent="0.3">
      <c r="A453" s="2" t="s">
        <v>32</v>
      </c>
      <c r="C453" s="2" t="s">
        <v>34</v>
      </c>
      <c r="F453" s="43">
        <f>F10</f>
        <v>322908293</v>
      </c>
      <c r="G453" s="25"/>
      <c r="H453" s="71">
        <v>0</v>
      </c>
      <c r="I453" s="26">
        <v>0</v>
      </c>
      <c r="J453" s="26">
        <v>0</v>
      </c>
      <c r="K453" s="71">
        <v>0</v>
      </c>
      <c r="L453" s="71">
        <v>0</v>
      </c>
      <c r="M453" s="71">
        <v>0</v>
      </c>
      <c r="N453" s="26"/>
      <c r="O453" s="43">
        <f>F10-P453</f>
        <v>318642408.04000002</v>
      </c>
      <c r="P453" s="43">
        <v>4265884.96</v>
      </c>
      <c r="Q453" s="26">
        <v>0</v>
      </c>
      <c r="R453" s="25"/>
      <c r="S453" s="26">
        <v>0</v>
      </c>
      <c r="T453" s="26">
        <v>0</v>
      </c>
      <c r="U453" s="26">
        <v>0</v>
      </c>
      <c r="V453" s="26">
        <v>0</v>
      </c>
      <c r="W453" s="26">
        <v>0</v>
      </c>
      <c r="X453" s="26">
        <v>0</v>
      </c>
      <c r="Y453" s="26">
        <v>0</v>
      </c>
      <c r="Z453" s="25">
        <v>0</v>
      </c>
      <c r="AA453" s="25">
        <v>0</v>
      </c>
      <c r="AB453" s="25">
        <v>0</v>
      </c>
      <c r="AC453" s="25">
        <v>0</v>
      </c>
      <c r="AD453" s="25">
        <v>0</v>
      </c>
      <c r="AE453" s="25"/>
      <c r="AF453" s="25">
        <v>0</v>
      </c>
      <c r="AG453" s="25"/>
      <c r="AH453" s="25">
        <v>0</v>
      </c>
      <c r="AI453" s="25"/>
      <c r="AJ453" s="25">
        <v>0</v>
      </c>
      <c r="AK453" s="19">
        <f t="shared" si="523"/>
        <v>322908293</v>
      </c>
      <c r="AL453" s="15" t="str">
        <f t="shared" si="522"/>
        <v>ok</v>
      </c>
    </row>
    <row r="454" spans="1:38" x14ac:dyDescent="0.3">
      <c r="A454" s="2" t="s">
        <v>26</v>
      </c>
      <c r="C454" s="2" t="s">
        <v>483</v>
      </c>
      <c r="F454" s="25">
        <v>1</v>
      </c>
      <c r="G454" s="25"/>
      <c r="H454" s="26">
        <v>1</v>
      </c>
      <c r="I454" s="26">
        <v>0</v>
      </c>
      <c r="J454" s="26">
        <v>0</v>
      </c>
      <c r="K454" s="26">
        <v>0</v>
      </c>
      <c r="L454" s="26">
        <v>0</v>
      </c>
      <c r="M454" s="26">
        <v>0</v>
      </c>
      <c r="N454" s="26"/>
      <c r="O454" s="26">
        <v>0</v>
      </c>
      <c r="P454" s="26">
        <v>0</v>
      </c>
      <c r="Q454" s="26">
        <v>0</v>
      </c>
      <c r="R454" s="25"/>
      <c r="S454" s="26">
        <v>0</v>
      </c>
      <c r="T454" s="26">
        <v>0</v>
      </c>
      <c r="U454" s="26">
        <v>0</v>
      </c>
      <c r="V454" s="26">
        <v>0</v>
      </c>
      <c r="W454" s="26">
        <v>0</v>
      </c>
      <c r="X454" s="26">
        <v>0</v>
      </c>
      <c r="Y454" s="26">
        <v>0</v>
      </c>
      <c r="Z454" s="25">
        <v>0</v>
      </c>
      <c r="AA454" s="25">
        <v>0</v>
      </c>
      <c r="AB454" s="25">
        <v>0</v>
      </c>
      <c r="AC454" s="25">
        <v>0</v>
      </c>
      <c r="AD454" s="25">
        <v>0</v>
      </c>
      <c r="AE454" s="25"/>
      <c r="AF454" s="25">
        <v>0</v>
      </c>
      <c r="AG454" s="25"/>
      <c r="AH454" s="25">
        <v>0</v>
      </c>
      <c r="AI454" s="25"/>
      <c r="AJ454" s="25">
        <v>0</v>
      </c>
      <c r="AK454" s="26">
        <f t="shared" si="523"/>
        <v>1</v>
      </c>
      <c r="AL454" s="15" t="str">
        <f t="shared" si="522"/>
        <v>ok</v>
      </c>
    </row>
    <row r="455" spans="1:38" x14ac:dyDescent="0.3">
      <c r="A455" s="2" t="s">
        <v>501</v>
      </c>
      <c r="C455" s="2" t="s">
        <v>151</v>
      </c>
      <c r="F455" s="25">
        <v>1</v>
      </c>
      <c r="G455" s="25"/>
      <c r="H455" s="26">
        <v>0</v>
      </c>
      <c r="I455" s="26">
        <v>0</v>
      </c>
      <c r="J455" s="71">
        <v>0.48909999999999998</v>
      </c>
      <c r="K455" s="71">
        <f>1-J455</f>
        <v>0.51090000000000002</v>
      </c>
      <c r="L455" s="71">
        <v>0</v>
      </c>
      <c r="M455" s="26">
        <v>0</v>
      </c>
      <c r="N455" s="26"/>
      <c r="O455" s="26">
        <v>0</v>
      </c>
      <c r="P455" s="26">
        <v>0</v>
      </c>
      <c r="Q455" s="26">
        <v>0</v>
      </c>
      <c r="R455" s="25"/>
      <c r="S455" s="26">
        <v>0</v>
      </c>
      <c r="T455" s="26">
        <v>0</v>
      </c>
      <c r="U455" s="26">
        <v>0</v>
      </c>
      <c r="V455" s="26">
        <v>0</v>
      </c>
      <c r="W455" s="26">
        <v>0</v>
      </c>
      <c r="X455" s="26">
        <v>0</v>
      </c>
      <c r="Y455" s="26">
        <v>0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  <c r="AE455" s="25"/>
      <c r="AF455" s="25">
        <v>0</v>
      </c>
      <c r="AG455" s="25"/>
      <c r="AH455" s="25">
        <v>0</v>
      </c>
      <c r="AI455" s="25"/>
      <c r="AJ455" s="25">
        <v>0</v>
      </c>
      <c r="AK455" s="26">
        <f t="shared" si="523"/>
        <v>1</v>
      </c>
      <c r="AL455" s="15" t="str">
        <f t="shared" si="522"/>
        <v>ok</v>
      </c>
    </row>
    <row r="456" spans="1:38" x14ac:dyDescent="0.3">
      <c r="A456" s="2" t="s">
        <v>502</v>
      </c>
      <c r="C456" s="2" t="s">
        <v>89</v>
      </c>
      <c r="F456" s="43">
        <v>13292869958</v>
      </c>
      <c r="G456" s="25"/>
      <c r="H456" s="26">
        <v>0</v>
      </c>
      <c r="I456" s="26">
        <v>0</v>
      </c>
      <c r="J456" s="43">
        <v>6261311509</v>
      </c>
      <c r="K456" s="43">
        <v>6835814937</v>
      </c>
      <c r="L456" s="43">
        <v>195743512</v>
      </c>
      <c r="M456" s="26">
        <v>0</v>
      </c>
      <c r="N456" s="26"/>
      <c r="O456" s="26">
        <v>0</v>
      </c>
      <c r="P456" s="26">
        <v>0</v>
      </c>
      <c r="Q456" s="26">
        <v>0</v>
      </c>
      <c r="R456" s="25"/>
      <c r="S456" s="26">
        <v>0</v>
      </c>
      <c r="T456" s="26">
        <v>0</v>
      </c>
      <c r="U456" s="26">
        <v>0</v>
      </c>
      <c r="V456" s="26">
        <v>0</v>
      </c>
      <c r="W456" s="26">
        <v>0</v>
      </c>
      <c r="X456" s="26">
        <v>0</v>
      </c>
      <c r="Y456" s="26">
        <v>0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  <c r="AE456" s="25"/>
      <c r="AF456" s="25">
        <v>0</v>
      </c>
      <c r="AG456" s="25"/>
      <c r="AH456" s="25">
        <v>0</v>
      </c>
      <c r="AI456" s="25"/>
      <c r="AJ456" s="25">
        <v>0</v>
      </c>
      <c r="AK456" s="19">
        <f>SUM(H456:AJ456)</f>
        <v>13292869958</v>
      </c>
      <c r="AL456" s="15" t="str">
        <f>IF(ABS(AK456-F456)&lt;0.0000001,"ok","err")</f>
        <v>ok</v>
      </c>
    </row>
    <row r="457" spans="1:38" x14ac:dyDescent="0.3">
      <c r="A457" s="2" t="s">
        <v>503</v>
      </c>
      <c r="C457" s="2" t="s">
        <v>503</v>
      </c>
      <c r="F457" s="25">
        <v>1</v>
      </c>
      <c r="G457" s="25"/>
      <c r="H457" s="26">
        <v>1</v>
      </c>
      <c r="I457" s="26">
        <v>0</v>
      </c>
      <c r="J457" s="26">
        <v>0</v>
      </c>
      <c r="K457" s="26">
        <v>0</v>
      </c>
      <c r="L457" s="26">
        <v>0</v>
      </c>
      <c r="M457" s="26">
        <v>0</v>
      </c>
      <c r="N457" s="26"/>
      <c r="O457" s="26">
        <v>0</v>
      </c>
      <c r="P457" s="26">
        <v>0</v>
      </c>
      <c r="Q457" s="26">
        <v>0</v>
      </c>
      <c r="R457" s="25"/>
      <c r="S457" s="26">
        <v>0</v>
      </c>
      <c r="T457" s="26">
        <v>0</v>
      </c>
      <c r="U457" s="26">
        <v>0</v>
      </c>
      <c r="V457" s="26">
        <v>0</v>
      </c>
      <c r="W457" s="26">
        <v>0</v>
      </c>
      <c r="X457" s="26">
        <v>0</v>
      </c>
      <c r="Y457" s="26">
        <v>0</v>
      </c>
      <c r="Z457" s="25">
        <v>0</v>
      </c>
      <c r="AA457" s="25">
        <v>0</v>
      </c>
      <c r="AB457" s="25">
        <v>0</v>
      </c>
      <c r="AC457" s="25">
        <v>0</v>
      </c>
      <c r="AD457" s="25">
        <v>0</v>
      </c>
      <c r="AE457" s="25"/>
      <c r="AF457" s="25">
        <v>0</v>
      </c>
      <c r="AG457" s="25"/>
      <c r="AH457" s="25">
        <v>0</v>
      </c>
      <c r="AI457" s="25"/>
      <c r="AJ457" s="25">
        <v>0</v>
      </c>
      <c r="AK457" s="26">
        <f t="shared" si="523"/>
        <v>1</v>
      </c>
      <c r="AL457" s="15" t="str">
        <f t="shared" si="522"/>
        <v>ok</v>
      </c>
    </row>
    <row r="458" spans="1:38" x14ac:dyDescent="0.3">
      <c r="A458" s="2" t="s">
        <v>504</v>
      </c>
      <c r="C458" s="2" t="s">
        <v>396</v>
      </c>
      <c r="F458" s="60">
        <f>F330+F331+F332+F333+F334+F335+F336+F337+F338+F339</f>
        <v>734123.53</v>
      </c>
      <c r="G458" s="25"/>
      <c r="H458" s="24">
        <f>H330+H331+H332+H333+H334+H335+H336+H337+H338+H339</f>
        <v>0</v>
      </c>
      <c r="I458" s="24">
        <f t="shared" ref="I458:AJ458" si="524">I330+I331+I332+I333+I334+I335+I336+I337+I338+I339</f>
        <v>0</v>
      </c>
      <c r="J458" s="24">
        <f t="shared" si="524"/>
        <v>0</v>
      </c>
      <c r="K458" s="24">
        <f t="shared" si="524"/>
        <v>0</v>
      </c>
      <c r="L458" s="24">
        <f t="shared" si="524"/>
        <v>0</v>
      </c>
      <c r="M458" s="24">
        <f t="shared" si="524"/>
        <v>0</v>
      </c>
      <c r="N458" s="24">
        <f t="shared" si="524"/>
        <v>0</v>
      </c>
      <c r="O458" s="19">
        <f t="shared" si="524"/>
        <v>692612.51020496816</v>
      </c>
      <c r="P458" s="19">
        <f t="shared" si="524"/>
        <v>41511.019795031927</v>
      </c>
      <c r="Q458" s="24">
        <f t="shared" si="524"/>
        <v>0</v>
      </c>
      <c r="R458" s="24">
        <f t="shared" si="524"/>
        <v>0</v>
      </c>
      <c r="S458" s="24">
        <f t="shared" si="524"/>
        <v>0</v>
      </c>
      <c r="T458" s="24">
        <f t="shared" si="524"/>
        <v>0</v>
      </c>
      <c r="U458" s="24">
        <f t="shared" si="524"/>
        <v>0</v>
      </c>
      <c r="V458" s="24">
        <f t="shared" si="524"/>
        <v>0</v>
      </c>
      <c r="W458" s="24">
        <f t="shared" si="524"/>
        <v>0</v>
      </c>
      <c r="X458" s="24">
        <f t="shared" si="524"/>
        <v>0</v>
      </c>
      <c r="Y458" s="24">
        <f t="shared" si="524"/>
        <v>0</v>
      </c>
      <c r="Z458" s="24">
        <f t="shared" si="524"/>
        <v>0</v>
      </c>
      <c r="AA458" s="24">
        <f t="shared" si="524"/>
        <v>0</v>
      </c>
      <c r="AB458" s="24">
        <f t="shared" si="524"/>
        <v>0</v>
      </c>
      <c r="AC458" s="24">
        <f t="shared" si="524"/>
        <v>0</v>
      </c>
      <c r="AD458" s="24">
        <f t="shared" si="524"/>
        <v>0</v>
      </c>
      <c r="AE458" s="24">
        <f t="shared" si="524"/>
        <v>0</v>
      </c>
      <c r="AF458" s="24">
        <f t="shared" si="524"/>
        <v>0</v>
      </c>
      <c r="AG458" s="24">
        <f t="shared" si="524"/>
        <v>0</v>
      </c>
      <c r="AH458" s="24">
        <f t="shared" si="524"/>
        <v>0</v>
      </c>
      <c r="AI458" s="24">
        <f t="shared" si="524"/>
        <v>0</v>
      </c>
      <c r="AJ458" s="24">
        <f t="shared" si="524"/>
        <v>0</v>
      </c>
      <c r="AK458" s="19">
        <f t="shared" si="523"/>
        <v>734123.53</v>
      </c>
      <c r="AL458" s="15" t="str">
        <f t="shared" si="522"/>
        <v>ok</v>
      </c>
    </row>
    <row r="459" spans="1:38" x14ac:dyDescent="0.3">
      <c r="A459" s="2" t="s">
        <v>505</v>
      </c>
      <c r="C459" s="2" t="s">
        <v>410</v>
      </c>
      <c r="F459" s="60">
        <f>F347+F348+F349+F350+F351+F352+F353+F354</f>
        <v>496775.5</v>
      </c>
      <c r="G459" s="25"/>
      <c r="H459" s="24">
        <f>H347+H348+H349+H350+H351+H352+H353+H354</f>
        <v>0</v>
      </c>
      <c r="I459" s="24">
        <f t="shared" ref="I459:AJ459" si="525">I347+I348+I349+I350+I351+I352+I353+I354</f>
        <v>0</v>
      </c>
      <c r="J459" s="24">
        <f t="shared" si="525"/>
        <v>0</v>
      </c>
      <c r="K459" s="24">
        <f t="shared" si="525"/>
        <v>0</v>
      </c>
      <c r="L459" s="24">
        <f t="shared" si="525"/>
        <v>0</v>
      </c>
      <c r="M459" s="24">
        <f t="shared" si="525"/>
        <v>0</v>
      </c>
      <c r="N459" s="24">
        <f t="shared" si="525"/>
        <v>0</v>
      </c>
      <c r="O459" s="19">
        <f t="shared" si="525"/>
        <v>490212.68578963075</v>
      </c>
      <c r="P459" s="19">
        <f t="shared" si="525"/>
        <v>6562.814210369258</v>
      </c>
      <c r="Q459" s="24">
        <f t="shared" si="525"/>
        <v>0</v>
      </c>
      <c r="R459" s="24">
        <f t="shared" si="525"/>
        <v>0</v>
      </c>
      <c r="S459" s="24">
        <f t="shared" si="525"/>
        <v>0</v>
      </c>
      <c r="T459" s="24">
        <f t="shared" si="525"/>
        <v>0</v>
      </c>
      <c r="U459" s="24">
        <f t="shared" si="525"/>
        <v>0</v>
      </c>
      <c r="V459" s="24">
        <f t="shared" si="525"/>
        <v>0</v>
      </c>
      <c r="W459" s="24">
        <f t="shared" si="525"/>
        <v>0</v>
      </c>
      <c r="X459" s="24">
        <f t="shared" si="525"/>
        <v>0</v>
      </c>
      <c r="Y459" s="24">
        <f t="shared" si="525"/>
        <v>0</v>
      </c>
      <c r="Z459" s="24">
        <f t="shared" si="525"/>
        <v>0</v>
      </c>
      <c r="AA459" s="24">
        <f t="shared" si="525"/>
        <v>0</v>
      </c>
      <c r="AB459" s="24">
        <f t="shared" si="525"/>
        <v>0</v>
      </c>
      <c r="AC459" s="24">
        <f t="shared" si="525"/>
        <v>0</v>
      </c>
      <c r="AD459" s="24">
        <f t="shared" si="525"/>
        <v>0</v>
      </c>
      <c r="AE459" s="24">
        <f t="shared" si="525"/>
        <v>0</v>
      </c>
      <c r="AF459" s="24">
        <f t="shared" si="525"/>
        <v>0</v>
      </c>
      <c r="AG459" s="24">
        <f t="shared" si="525"/>
        <v>0</v>
      </c>
      <c r="AH459" s="24">
        <f t="shared" si="525"/>
        <v>0</v>
      </c>
      <c r="AI459" s="24">
        <f t="shared" si="525"/>
        <v>0</v>
      </c>
      <c r="AJ459" s="24">
        <f t="shared" si="525"/>
        <v>0</v>
      </c>
      <c r="AK459" s="19">
        <f t="shared" si="523"/>
        <v>496775.5</v>
      </c>
      <c r="AL459" s="15" t="str">
        <f t="shared" si="522"/>
        <v>ok</v>
      </c>
    </row>
    <row r="460" spans="1:38" x14ac:dyDescent="0.3">
      <c r="A460" s="2" t="s">
        <v>267</v>
      </c>
      <c r="C460" s="2" t="s">
        <v>270</v>
      </c>
      <c r="F460" s="25">
        <v>1</v>
      </c>
      <c r="G460" s="25"/>
      <c r="H460" s="26">
        <v>0</v>
      </c>
      <c r="I460" s="26">
        <v>0</v>
      </c>
      <c r="J460" s="26">
        <v>0</v>
      </c>
      <c r="K460" s="26">
        <v>0</v>
      </c>
      <c r="L460" s="26">
        <v>0</v>
      </c>
      <c r="M460" s="26">
        <v>0</v>
      </c>
      <c r="N460" s="26"/>
      <c r="O460" s="26">
        <v>0</v>
      </c>
      <c r="P460" s="26">
        <v>1</v>
      </c>
      <c r="Q460" s="26">
        <v>0</v>
      </c>
      <c r="R460" s="25"/>
      <c r="S460" s="26">
        <v>0</v>
      </c>
      <c r="T460" s="26">
        <v>0</v>
      </c>
      <c r="U460" s="26">
        <v>0</v>
      </c>
      <c r="V460" s="26">
        <v>0</v>
      </c>
      <c r="W460" s="26">
        <v>0</v>
      </c>
      <c r="X460" s="26">
        <v>0</v>
      </c>
      <c r="Y460" s="26">
        <v>0</v>
      </c>
      <c r="Z460" s="25">
        <v>0</v>
      </c>
      <c r="AA460" s="25">
        <v>0</v>
      </c>
      <c r="AB460" s="25">
        <v>0</v>
      </c>
      <c r="AC460" s="25">
        <v>0</v>
      </c>
      <c r="AD460" s="25">
        <v>0</v>
      </c>
      <c r="AE460" s="25"/>
      <c r="AF460" s="25">
        <v>0</v>
      </c>
      <c r="AG460" s="25"/>
      <c r="AH460" s="25">
        <v>0</v>
      </c>
      <c r="AI460" s="25"/>
      <c r="AJ460" s="25">
        <v>0</v>
      </c>
      <c r="AK460" s="26">
        <f t="shared" si="523"/>
        <v>1</v>
      </c>
      <c r="AL460" s="15" t="str">
        <f t="shared" si="522"/>
        <v>ok</v>
      </c>
    </row>
    <row r="461" spans="1:38" x14ac:dyDescent="0.3">
      <c r="A461" s="2" t="s">
        <v>280</v>
      </c>
      <c r="C461" s="2" t="s">
        <v>506</v>
      </c>
      <c r="F461" s="25">
        <v>1</v>
      </c>
      <c r="G461" s="25"/>
      <c r="H461" s="26">
        <v>0</v>
      </c>
      <c r="I461" s="26">
        <v>0</v>
      </c>
      <c r="J461" s="26">
        <v>0</v>
      </c>
      <c r="K461" s="26">
        <v>0</v>
      </c>
      <c r="L461" s="26">
        <v>0</v>
      </c>
      <c r="M461" s="26">
        <v>0</v>
      </c>
      <c r="N461" s="26"/>
      <c r="O461" s="26">
        <v>0</v>
      </c>
      <c r="P461" s="26">
        <v>1</v>
      </c>
      <c r="Q461" s="26">
        <v>0</v>
      </c>
      <c r="R461" s="25"/>
      <c r="S461" s="26">
        <v>0</v>
      </c>
      <c r="T461" s="26">
        <v>0</v>
      </c>
      <c r="U461" s="26">
        <v>0</v>
      </c>
      <c r="V461" s="26">
        <v>0</v>
      </c>
      <c r="W461" s="26">
        <v>0</v>
      </c>
      <c r="X461" s="26">
        <v>0</v>
      </c>
      <c r="Y461" s="26">
        <v>0</v>
      </c>
      <c r="Z461" s="25">
        <v>0</v>
      </c>
      <c r="AA461" s="25">
        <v>0</v>
      </c>
      <c r="AB461" s="25">
        <v>0</v>
      </c>
      <c r="AC461" s="25">
        <v>0</v>
      </c>
      <c r="AD461" s="25">
        <v>0</v>
      </c>
      <c r="AE461" s="25"/>
      <c r="AF461" s="25">
        <v>0</v>
      </c>
      <c r="AG461" s="25"/>
      <c r="AH461" s="25">
        <v>0</v>
      </c>
      <c r="AI461" s="25"/>
      <c r="AJ461" s="25">
        <v>0</v>
      </c>
      <c r="AK461" s="26">
        <f t="shared" si="523"/>
        <v>1</v>
      </c>
      <c r="AL461" s="15" t="str">
        <f t="shared" si="522"/>
        <v>ok</v>
      </c>
    </row>
    <row r="462" spans="1:38" x14ac:dyDescent="0.3">
      <c r="A462" s="2" t="s">
        <v>507</v>
      </c>
      <c r="C462" s="2" t="s">
        <v>222</v>
      </c>
      <c r="F462" s="25">
        <v>1</v>
      </c>
      <c r="G462" s="25"/>
      <c r="H462" s="26">
        <v>0</v>
      </c>
      <c r="I462" s="26">
        <v>0</v>
      </c>
      <c r="J462" s="26">
        <v>0</v>
      </c>
      <c r="K462" s="26">
        <v>0</v>
      </c>
      <c r="L462" s="26">
        <v>0</v>
      </c>
      <c r="M462" s="26">
        <v>0</v>
      </c>
      <c r="N462" s="26"/>
      <c r="O462" s="26">
        <v>0</v>
      </c>
      <c r="P462" s="26">
        <v>1</v>
      </c>
      <c r="Q462" s="26">
        <v>0</v>
      </c>
      <c r="R462" s="25"/>
      <c r="S462" s="26">
        <v>0</v>
      </c>
      <c r="T462" s="26">
        <v>0</v>
      </c>
      <c r="U462" s="26">
        <v>0</v>
      </c>
      <c r="V462" s="26">
        <v>0</v>
      </c>
      <c r="W462" s="26">
        <v>0</v>
      </c>
      <c r="X462" s="26">
        <v>0</v>
      </c>
      <c r="Y462" s="26">
        <v>0</v>
      </c>
      <c r="Z462" s="25">
        <v>0</v>
      </c>
      <c r="AA462" s="25">
        <v>0</v>
      </c>
      <c r="AB462" s="25">
        <v>0</v>
      </c>
      <c r="AC462" s="25">
        <v>0</v>
      </c>
      <c r="AD462" s="25">
        <v>0</v>
      </c>
      <c r="AE462" s="25"/>
      <c r="AF462" s="25">
        <v>0</v>
      </c>
      <c r="AG462" s="25"/>
      <c r="AH462" s="25">
        <v>0</v>
      </c>
      <c r="AI462" s="25"/>
      <c r="AJ462" s="25">
        <v>0</v>
      </c>
      <c r="AK462" s="26">
        <f t="shared" ref="AK462" si="526">SUM(H462:AJ462)</f>
        <v>1</v>
      </c>
      <c r="AL462" s="15" t="str">
        <f t="shared" ref="AL462" si="527">IF(ABS(AK462-F462)&lt;0.0000001,"ok","err")</f>
        <v>ok</v>
      </c>
    </row>
    <row r="463" spans="1:38" x14ac:dyDescent="0.3">
      <c r="F463" s="60"/>
      <c r="G463" s="25"/>
      <c r="H463" s="24"/>
      <c r="I463" s="24"/>
      <c r="J463" s="24"/>
      <c r="K463" s="24"/>
      <c r="L463" s="24"/>
      <c r="M463" s="24"/>
      <c r="N463" s="26"/>
      <c r="O463" s="24"/>
      <c r="P463" s="24"/>
      <c r="Q463" s="24"/>
      <c r="R463" s="25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5"/>
      <c r="AF463" s="24"/>
      <c r="AG463" s="25"/>
      <c r="AH463" s="24"/>
      <c r="AI463" s="25"/>
      <c r="AJ463" s="24"/>
      <c r="AK463" s="24"/>
      <c r="AL463" s="15"/>
    </row>
    <row r="464" spans="1:38" x14ac:dyDescent="0.3">
      <c r="A464" s="3" t="s">
        <v>508</v>
      </c>
      <c r="C464" s="2" t="s">
        <v>171</v>
      </c>
      <c r="D464" s="20"/>
      <c r="F464" s="59">
        <v>1</v>
      </c>
      <c r="G464" s="19"/>
      <c r="H464" s="19">
        <v>0</v>
      </c>
      <c r="I464" s="43">
        <v>0</v>
      </c>
      <c r="J464" s="71">
        <f>J455</f>
        <v>0.48909999999999998</v>
      </c>
      <c r="K464" s="71">
        <f>K455</f>
        <v>0.51090000000000002</v>
      </c>
      <c r="L464" s="43">
        <v>0</v>
      </c>
      <c r="M464" s="43">
        <v>0</v>
      </c>
      <c r="N464" s="43"/>
      <c r="O464" s="43">
        <v>0</v>
      </c>
      <c r="P464" s="43">
        <v>0</v>
      </c>
      <c r="Q464" s="43">
        <v>0</v>
      </c>
      <c r="R464" s="43"/>
      <c r="S464" s="43">
        <v>0</v>
      </c>
      <c r="T464" s="43">
        <v>0</v>
      </c>
      <c r="U464" s="43">
        <v>0</v>
      </c>
      <c r="V464" s="43">
        <v>0</v>
      </c>
      <c r="W464" s="43">
        <v>0</v>
      </c>
      <c r="X464" s="43">
        <v>0</v>
      </c>
      <c r="Y464" s="43">
        <v>0</v>
      </c>
      <c r="Z464" s="43">
        <v>0</v>
      </c>
      <c r="AA464" s="43">
        <v>0</v>
      </c>
      <c r="AB464" s="43">
        <v>0</v>
      </c>
      <c r="AC464" s="43">
        <v>0</v>
      </c>
      <c r="AD464" s="43">
        <v>0</v>
      </c>
      <c r="AE464" s="43"/>
      <c r="AF464" s="43">
        <v>0</v>
      </c>
      <c r="AG464" s="43"/>
      <c r="AH464" s="43">
        <v>0</v>
      </c>
      <c r="AI464" s="43"/>
      <c r="AJ464" s="43">
        <v>0</v>
      </c>
      <c r="AK464" s="27">
        <f>SUM(H464:AJ464)</f>
        <v>1</v>
      </c>
      <c r="AL464" s="15" t="str">
        <f>IF(ABS(AK464-F464)&lt;1,"ok","err")</f>
        <v>ok</v>
      </c>
    </row>
    <row r="465" spans="1:38" x14ac:dyDescent="0.3">
      <c r="Y465" s="2"/>
      <c r="AL465" s="15"/>
    </row>
    <row r="466" spans="1:38" x14ac:dyDescent="0.3">
      <c r="A466" s="2" t="s">
        <v>3</v>
      </c>
      <c r="C466" s="2" t="s">
        <v>122</v>
      </c>
      <c r="F466" s="25">
        <v>1</v>
      </c>
      <c r="G466" s="25"/>
      <c r="H466" s="26">
        <v>0</v>
      </c>
      <c r="I466" s="26">
        <v>0</v>
      </c>
      <c r="J466" s="71">
        <f>(J456/$F$456)</f>
        <v>0.47102781632432789</v>
      </c>
      <c r="K466" s="71">
        <f>(K456/$F$456)</f>
        <v>0.51424673216531591</v>
      </c>
      <c r="L466" s="71">
        <f>(L456/$F$456)</f>
        <v>1.4725451510356227E-2</v>
      </c>
      <c r="M466" s="51">
        <v>0</v>
      </c>
      <c r="N466" s="26"/>
      <c r="O466" s="26">
        <v>0</v>
      </c>
      <c r="P466" s="26">
        <v>0</v>
      </c>
      <c r="Q466" s="26">
        <v>0</v>
      </c>
      <c r="R466" s="25"/>
      <c r="S466" s="26">
        <v>0</v>
      </c>
      <c r="T466" s="26">
        <v>0</v>
      </c>
      <c r="U466" s="26">
        <v>0</v>
      </c>
      <c r="V466" s="26">
        <v>0</v>
      </c>
      <c r="W466" s="26">
        <v>0</v>
      </c>
      <c r="X466" s="26">
        <v>0</v>
      </c>
      <c r="Y466" s="26">
        <v>0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  <c r="AE466" s="25"/>
      <c r="AF466" s="25">
        <v>0</v>
      </c>
      <c r="AG466" s="25"/>
      <c r="AH466" s="25">
        <v>0</v>
      </c>
      <c r="AI466" s="25"/>
      <c r="AJ466" s="25">
        <v>0</v>
      </c>
      <c r="AK466" s="26">
        <f>SUM(H466:AJ466)</f>
        <v>1</v>
      </c>
      <c r="AL466" s="15" t="str">
        <f>IF(ABS(AK466-F466)&lt;0.0000001,"ok","err")</f>
        <v>ok</v>
      </c>
    </row>
    <row r="467" spans="1:38" x14ac:dyDescent="0.3">
      <c r="AL467" s="15"/>
    </row>
    <row r="468" spans="1:38" x14ac:dyDescent="0.3">
      <c r="A468" s="3" t="s">
        <v>509</v>
      </c>
      <c r="AL468" s="15"/>
    </row>
    <row r="469" spans="1:38" x14ac:dyDescent="0.3">
      <c r="A469" s="2" t="s">
        <v>510</v>
      </c>
      <c r="D469" s="2" t="s">
        <v>25</v>
      </c>
      <c r="F469" s="25">
        <v>1</v>
      </c>
      <c r="H469" s="59">
        <f>IF(VLOOKUP($D469,$C$5:$AJ$470,6,)=0,0,((VLOOKUP($D469,$C$5:$AJ$470,6,)/VLOOKUP($D469,$C$5:$AJ$470,4,))*$F469))</f>
        <v>0.34132310257258192</v>
      </c>
      <c r="I469" s="59">
        <f>IF(VLOOKUP($D469,$C$5:$AJ$470,7,)=0,0,((VLOOKUP($D469,$C$5:$AJ$470,7,)/VLOOKUP($D469,$C$5:$AJ$470,4,))*$F469))</f>
        <v>0.42110171012347164</v>
      </c>
      <c r="J469" s="59">
        <f>IF(VLOOKUP($D469,$C$5:$AJ$470,8,)=0,0,((VLOOKUP($D469,$C$5:$AJ$470,8,)/VLOOKUP($D469,$C$5:$AJ$470,4,))*$F469))</f>
        <v>0</v>
      </c>
      <c r="K469" s="59">
        <f>IF(VLOOKUP($D469,$C$5:$AJ$470,9,)=0,0,((VLOOKUP($D469,$C$5:$AJ$470,9,)/VLOOKUP($D469,$C$5:$AJ$470,4,))*$F469))</f>
        <v>0</v>
      </c>
      <c r="L469" s="59">
        <f>IF(VLOOKUP($D469,$C$5:$AJ$470,10,)=0,0,((VLOOKUP($D469,$C$5:$AJ$470,10,)/VLOOKUP($D469,$C$5:$AJ$470,4,))*$F469))</f>
        <v>4.8669018030863811E-3</v>
      </c>
      <c r="M469" s="59">
        <f>IF(VLOOKUP($D469,$C$5:$AJ$470,11,)=0,0,((VLOOKUP($D469,$C$5:$AJ$470,11,)/VLOOKUP($D469,$C$5:$AJ$470,4,))*$F469))</f>
        <v>0.16197605197628331</v>
      </c>
      <c r="N469" s="59"/>
      <c r="O469" s="59">
        <f>IF(VLOOKUP($D469,$C$5:$AJ$470,13,)=0,0,((VLOOKUP($D469,$C$5:$AJ$470,13,)/VLOOKUP($D469,$C$5:$AJ$470,4,))*$F469))</f>
        <v>6.9797802363405909E-2</v>
      </c>
      <c r="P469" s="59">
        <f>IF(VLOOKUP($D469,$C$5:$AJ$470,14,)=0,0,((VLOOKUP($D469,$C$5:$AJ$470,14,)/VLOOKUP($D469,$C$5:$AJ$470,4,))*$F469))</f>
        <v>9.3443116117089E-4</v>
      </c>
      <c r="Q469" s="59">
        <f>IF(VLOOKUP($D469,$C$5:$AJ$470,15,)=0,0,((VLOOKUP($D469,$C$5:$AJ$470,15,)/VLOOKUP($D469,$C$5:$AJ$470,4,))*$F469))</f>
        <v>0</v>
      </c>
      <c r="R469" s="59"/>
      <c r="S469" s="59">
        <f>IF(VLOOKUP($D469,$C$5:$AJ$470,17,)=0,0,((VLOOKUP($D469,$C$5:$AJ$470,17,)/VLOOKUP($D469,$C$5:$AJ$470,4,))*$F469))</f>
        <v>0</v>
      </c>
      <c r="T469" s="59">
        <f>IF(VLOOKUP($D469,$C$5:$AJ$470,18,)=0,0,((VLOOKUP($D469,$C$5:$AJ$470,18,)/VLOOKUP($D469,$C$5:$AJ$470,4,))*$F469))</f>
        <v>0</v>
      </c>
      <c r="U469" s="59">
        <f>IF(VLOOKUP($D469,$C$5:$AJ$470,19,)=0,0,((VLOOKUP($D469,$C$5:$AJ$470,19,)/VLOOKUP($D469,$C$5:$AJ$470,4,))*$F469))</f>
        <v>0</v>
      </c>
      <c r="V469" s="59">
        <f>IF(VLOOKUP($D469,$C$5:$AJ$470,20,)=0,0,((VLOOKUP($D469,$C$5:$AJ$470,20,)/VLOOKUP($D469,$C$5:$AJ$470,4,))*$F469))</f>
        <v>0</v>
      </c>
      <c r="W469" s="59">
        <f>IF(VLOOKUP($D469,$C$5:$AJ$470,21,)=0,0,((VLOOKUP($D469,$C$5:$AJ$470,21,)/VLOOKUP($D469,$C$5:$AJ$470,4,))*$F469))</f>
        <v>0</v>
      </c>
      <c r="X469" s="59">
        <f>IF(VLOOKUP($D469,$C$5:$AJ$470,22,)=0,0,((VLOOKUP($D469,$C$5:$AJ$470,22,)/VLOOKUP($D469,$C$5:$AJ$470,4,))*$F469))</f>
        <v>0</v>
      </c>
      <c r="Y469" s="59">
        <f>IF(VLOOKUP($D469,$C$5:$AJ$470,23,)=0,0,((VLOOKUP($D469,$C$5:$AJ$470,23,)/VLOOKUP($D469,$C$5:$AJ$470,4,))*$F469))</f>
        <v>0</v>
      </c>
      <c r="Z469" s="59">
        <f>IF(VLOOKUP($D469,$C$5:$AJ$470,24,)=0,0,((VLOOKUP($D469,$C$5:$AJ$470,24,)/VLOOKUP($D469,$C$5:$AJ$470,4,))*$F469))</f>
        <v>0</v>
      </c>
      <c r="AA469" s="59">
        <f>IF(VLOOKUP($D469,$C$5:$AJ$470,25,)=0,0,((VLOOKUP($D469,$C$5:$AJ$470,25,)/VLOOKUP($D469,$C$5:$AJ$470,4,))*$F469))</f>
        <v>0</v>
      </c>
      <c r="AB469" s="59">
        <f>IF(VLOOKUP($D469,$C$5:$AJ$470,26,)=0,0,((VLOOKUP($D469,$C$5:$AJ$470,26,)/VLOOKUP($D469,$C$5:$AJ$470,4,))*$F469))</f>
        <v>0</v>
      </c>
      <c r="AC469" s="59">
        <f>IF(VLOOKUP($D469,$C$5:$AJ$470,27,)=0,0,((VLOOKUP($D469,$C$5:$AJ$470,27,)/VLOOKUP($D469,$C$5:$AJ$470,4,))*$F469))</f>
        <v>0</v>
      </c>
      <c r="AD469" s="59">
        <f>IF(VLOOKUP($D469,$C$5:$AJ$470,28,)=0,0,((VLOOKUP($D469,$C$5:$AJ$470,28,)/VLOOKUP($D469,$C$5:$AJ$470,4,))*$F469))</f>
        <v>0</v>
      </c>
      <c r="AE469" s="59"/>
      <c r="AF469" s="59">
        <f>IF(VLOOKUP($D469,$C$5:$AJ$470,30,)=0,0,((VLOOKUP($D469,$C$5:$AJ$470,30,)/VLOOKUP($D469,$C$5:$AJ$470,4,))*$F469))</f>
        <v>0</v>
      </c>
      <c r="AG469" s="59"/>
      <c r="AH469" s="59">
        <f>IF(VLOOKUP($D469,$C$5:$AJ$470,32,)=0,0,((VLOOKUP($D469,$C$5:$AJ$470,32,)/VLOOKUP($D469,$C$5:$AJ$470,4,))*$F469))</f>
        <v>0</v>
      </c>
      <c r="AI469" s="59"/>
      <c r="AJ469" s="59">
        <f>IF(VLOOKUP($D469,$C$5:$AJ$470,34,)=0,0,((VLOOKUP($D469,$C$5:$AJ$470,34,)/VLOOKUP($D469,$C$5:$AJ$470,4,))*$F469))</f>
        <v>0</v>
      </c>
      <c r="AK469" s="59">
        <f>SUM(H469:AJ469)</f>
        <v>1</v>
      </c>
      <c r="AL469" s="69" t="str">
        <f>IF(ABS(AK469-F469)&lt;1,"ok","err")</f>
        <v>ok</v>
      </c>
    </row>
    <row r="470" spans="1:38" x14ac:dyDescent="0.3">
      <c r="A470" s="2" t="s">
        <v>511</v>
      </c>
      <c r="D470" s="2" t="s">
        <v>30</v>
      </c>
      <c r="F470" s="25">
        <v>1</v>
      </c>
      <c r="H470" s="59">
        <f>IF(VLOOKUP($D470,$C$5:$AJ$470,6,)=0,0,((VLOOKUP($D470,$C$5:$AJ$470,6,)/VLOOKUP($D470,$C$5:$AJ$470,4,))*$F470))</f>
        <v>0</v>
      </c>
      <c r="I470" s="59">
        <f>IF(VLOOKUP($D470,$C$5:$AJ$470,7,)=0,0,((VLOOKUP($D470,$C$5:$AJ$470,7,)/VLOOKUP($D470,$C$5:$AJ$470,4,))*$F470))</f>
        <v>0</v>
      </c>
      <c r="J470" s="59">
        <f>IF(VLOOKUP($D470,$C$5:$AJ$470,8,)=0,0,((VLOOKUP($D470,$C$5:$AJ$470,8,)/VLOOKUP($D470,$C$5:$AJ$470,4,))*$F470))</f>
        <v>0</v>
      </c>
      <c r="K470" s="59">
        <f>IF(VLOOKUP($D470,$C$5:$AJ$470,9,)=0,0,((VLOOKUP($D470,$C$5:$AJ$470,9,)/VLOOKUP($D470,$C$5:$AJ$470,4,))*$F470))</f>
        <v>0</v>
      </c>
      <c r="L470" s="59">
        <f>IF(VLOOKUP($D470,$C$5:$AJ$470,10,)=0,0,((VLOOKUP($D470,$C$5:$AJ$470,10,)/VLOOKUP($D470,$C$5:$AJ$470,4,))*$F470))</f>
        <v>2.3946343200943916E-3</v>
      </c>
      <c r="M470" s="59">
        <f>IF(VLOOKUP($D470,$C$5:$AJ$470,11,)=0,0,((VLOOKUP($D470,$C$5:$AJ$470,11,)/VLOOKUP($D470,$C$5:$AJ$470,4,))*$F470))</f>
        <v>0.99760536567990565</v>
      </c>
      <c r="N470" s="59"/>
      <c r="O470" s="59">
        <f>IF(VLOOKUP($D470,$C$5:$AJ$470,13,)=0,0,((VLOOKUP($D470,$C$5:$AJ$470,13,)/VLOOKUP($D470,$C$5:$AJ$470,4,))*$F470))</f>
        <v>0</v>
      </c>
      <c r="P470" s="59">
        <f>IF(VLOOKUP($D470,$C$5:$AJ$470,14,)=0,0,((VLOOKUP($D470,$C$5:$AJ$470,14,)/VLOOKUP($D470,$C$5:$AJ$470,4,))*$F470))</f>
        <v>0</v>
      </c>
      <c r="Q470" s="59">
        <f>IF(VLOOKUP($D470,$C$5:$AJ$470,15,)=0,0,((VLOOKUP($D470,$C$5:$AJ$470,15,)/VLOOKUP($D470,$C$5:$AJ$470,4,))*$F470))</f>
        <v>0</v>
      </c>
      <c r="R470" s="59"/>
      <c r="S470" s="59">
        <f>IF(VLOOKUP($D470,$C$5:$AJ$470,17,)=0,0,((VLOOKUP($D470,$C$5:$AJ$470,17,)/VLOOKUP($D470,$C$5:$AJ$470,4,))*$F470))</f>
        <v>0</v>
      </c>
      <c r="T470" s="59">
        <f>IF(VLOOKUP($D470,$C$5:$AJ$470,18,)=0,0,((VLOOKUP($D470,$C$5:$AJ$470,18,)/VLOOKUP($D470,$C$5:$AJ$470,4,))*$F470))</f>
        <v>0</v>
      </c>
      <c r="U470" s="59">
        <f>IF(VLOOKUP($D470,$C$5:$AJ$470,19,)=0,0,((VLOOKUP($D470,$C$5:$AJ$470,19,)/VLOOKUP($D470,$C$5:$AJ$470,4,))*$F470))</f>
        <v>0</v>
      </c>
      <c r="V470" s="59">
        <f>IF(VLOOKUP($D470,$C$5:$AJ$470,20,)=0,0,((VLOOKUP($D470,$C$5:$AJ$470,20,)/VLOOKUP($D470,$C$5:$AJ$470,4,))*$F470))</f>
        <v>0</v>
      </c>
      <c r="W470" s="59">
        <f>IF(VLOOKUP($D470,$C$5:$AJ$470,21,)=0,0,((VLOOKUP($D470,$C$5:$AJ$470,21,)/VLOOKUP($D470,$C$5:$AJ$470,4,))*$F470))</f>
        <v>0</v>
      </c>
      <c r="X470" s="59">
        <f>IF(VLOOKUP($D470,$C$5:$AJ$470,22,)=0,0,((VLOOKUP($D470,$C$5:$AJ$470,22,)/VLOOKUP($D470,$C$5:$AJ$470,4,))*$F470))</f>
        <v>0</v>
      </c>
      <c r="Y470" s="59">
        <f>IF(VLOOKUP($D470,$C$5:$AJ$470,23,)=0,0,((VLOOKUP($D470,$C$5:$AJ$470,23,)/VLOOKUP($D470,$C$5:$AJ$470,4,))*$F470))</f>
        <v>0</v>
      </c>
      <c r="Z470" s="59">
        <f>IF(VLOOKUP($D470,$C$5:$AJ$470,24,)=0,0,((VLOOKUP($D470,$C$5:$AJ$470,24,)/VLOOKUP($D470,$C$5:$AJ$470,4,))*$F470))</f>
        <v>0</v>
      </c>
      <c r="AA470" s="59">
        <f>IF(VLOOKUP($D470,$C$5:$AJ$470,25,)=0,0,((VLOOKUP($D470,$C$5:$AJ$470,25,)/VLOOKUP($D470,$C$5:$AJ$470,4,))*$F470))</f>
        <v>0</v>
      </c>
      <c r="AB470" s="59">
        <f>IF(VLOOKUP($D470,$C$5:$AJ$470,26,)=0,0,((VLOOKUP($D470,$C$5:$AJ$470,26,)/VLOOKUP($D470,$C$5:$AJ$470,4,))*$F470))</f>
        <v>0</v>
      </c>
      <c r="AC470" s="59">
        <f>IF(VLOOKUP($D470,$C$5:$AJ$470,27,)=0,0,((VLOOKUP($D470,$C$5:$AJ$470,27,)/VLOOKUP($D470,$C$5:$AJ$470,4,))*$F470))</f>
        <v>0</v>
      </c>
      <c r="AD470" s="59">
        <f>IF(VLOOKUP($D470,$C$5:$AJ$470,28,)=0,0,((VLOOKUP($D470,$C$5:$AJ$470,28,)/VLOOKUP($D470,$C$5:$AJ$470,4,))*$F470))</f>
        <v>0</v>
      </c>
      <c r="AE470" s="59"/>
      <c r="AF470" s="59">
        <f>IF(VLOOKUP($D470,$C$5:$AJ$470,30,)=0,0,((VLOOKUP($D470,$C$5:$AJ$470,30,)/VLOOKUP($D470,$C$5:$AJ$470,4,))*$F470))</f>
        <v>0</v>
      </c>
      <c r="AG470" s="59"/>
      <c r="AH470" s="59">
        <f>IF(VLOOKUP($D470,$C$5:$AJ$470,32,)=0,0,((VLOOKUP($D470,$C$5:$AJ$470,32,)/VLOOKUP($D470,$C$5:$AJ$470,4,))*$F470))</f>
        <v>0</v>
      </c>
      <c r="AI470" s="59"/>
      <c r="AJ470" s="59">
        <f>IF(VLOOKUP($D470,$C$5:$AJ$470,34,)=0,0,((VLOOKUP($D470,$C$5:$AJ$470,34,)/VLOOKUP($D470,$C$5:$AJ$470,4,))*$F470))</f>
        <v>0</v>
      </c>
      <c r="AK470" s="59">
        <f>SUM(H470:AJ470)</f>
        <v>1</v>
      </c>
      <c r="AL470" s="69" t="str">
        <f>IF(ABS(AK470-F470)&lt;1,"ok","err")</f>
        <v>ok</v>
      </c>
    </row>
    <row r="471" spans="1:38" x14ac:dyDescent="0.3">
      <c r="A471" s="2" t="s">
        <v>461</v>
      </c>
      <c r="D471" s="2" t="s">
        <v>83</v>
      </c>
      <c r="F471" s="25">
        <v>1</v>
      </c>
      <c r="H471" s="28">
        <f>H249/$F$249</f>
        <v>0.19829806048195564</v>
      </c>
      <c r="I471" s="28">
        <f t="shared" ref="I471:AJ471" si="528">I249/$F$249</f>
        <v>0.24464693937722012</v>
      </c>
      <c r="J471" s="28">
        <f t="shared" si="528"/>
        <v>0.1344138922640857</v>
      </c>
      <c r="K471" s="28">
        <f t="shared" si="528"/>
        <v>0.14672929128806883</v>
      </c>
      <c r="L471" s="28">
        <f t="shared" si="528"/>
        <v>7.3897378989989599E-3</v>
      </c>
      <c r="M471" s="28">
        <f t="shared" si="528"/>
        <v>0.24900965085821775</v>
      </c>
      <c r="N471" s="28"/>
      <c r="O471" s="28">
        <f t="shared" si="528"/>
        <v>1.8868724707419293E-2</v>
      </c>
      <c r="P471" s="28">
        <f t="shared" si="528"/>
        <v>6.437031240336394E-4</v>
      </c>
      <c r="Q471" s="28">
        <f t="shared" si="528"/>
        <v>0</v>
      </c>
      <c r="R471" s="28"/>
      <c r="S471" s="28">
        <f t="shared" si="528"/>
        <v>0</v>
      </c>
      <c r="T471" s="28">
        <f t="shared" si="528"/>
        <v>0</v>
      </c>
      <c r="U471" s="28">
        <f t="shared" si="528"/>
        <v>0</v>
      </c>
      <c r="V471" s="28">
        <f t="shared" si="528"/>
        <v>0</v>
      </c>
      <c r="W471" s="28">
        <f t="shared" si="528"/>
        <v>0</v>
      </c>
      <c r="X471" s="28">
        <f t="shared" si="528"/>
        <v>0</v>
      </c>
      <c r="Y471" s="28">
        <f t="shared" si="528"/>
        <v>0</v>
      </c>
      <c r="Z471" s="28">
        <f t="shared" si="528"/>
        <v>0</v>
      </c>
      <c r="AA471" s="28">
        <f t="shared" si="528"/>
        <v>0</v>
      </c>
      <c r="AB471" s="28">
        <f t="shared" si="528"/>
        <v>0</v>
      </c>
      <c r="AC471" s="28">
        <f t="shared" si="528"/>
        <v>0</v>
      </c>
      <c r="AD471" s="28">
        <f t="shared" si="528"/>
        <v>0</v>
      </c>
      <c r="AE471" s="28"/>
      <c r="AF471" s="28">
        <f t="shared" si="528"/>
        <v>0</v>
      </c>
      <c r="AG471" s="28"/>
      <c r="AH471" s="28">
        <f t="shared" si="528"/>
        <v>0</v>
      </c>
      <c r="AI471" s="28"/>
      <c r="AJ471" s="28">
        <f t="shared" si="528"/>
        <v>0</v>
      </c>
      <c r="AK471" s="59">
        <f t="shared" ref="AK471:AK482" si="529">SUM(H471:AJ471)</f>
        <v>1</v>
      </c>
      <c r="AL471" s="15" t="str">
        <f t="shared" ref="AL471:AL479" si="530">IF(ABS(AK471-F471)&lt;0.0000001,"ok","err")</f>
        <v>ok</v>
      </c>
    </row>
    <row r="472" spans="1:38" x14ac:dyDescent="0.3">
      <c r="A472" s="2" t="s">
        <v>512</v>
      </c>
      <c r="D472" s="2" t="s">
        <v>47</v>
      </c>
      <c r="F472" s="25">
        <v>1</v>
      </c>
      <c r="H472" s="59">
        <f>IF(VLOOKUP($D472,$C$5:$AJ$470,6,)=0,0,((VLOOKUP($D472,$C$5:$AJ$470,6,)/VLOOKUP($D472,$C$5:$AJ$470,4,))*$F472))</f>
        <v>0.34132370682434249</v>
      </c>
      <c r="I472" s="59">
        <f>IF(VLOOKUP($D472,$C$5:$AJ$470,7,)=0,0,((VLOOKUP($D472,$C$5:$AJ$470,7,)/VLOOKUP($D472,$C$5:$AJ$470,4,))*$F472))</f>
        <v>0.42110245560904769</v>
      </c>
      <c r="J472" s="59">
        <f>IF(VLOOKUP($D472,$C$5:$AJ$470,8,)=0,0,((VLOOKUP($D472,$C$5:$AJ$470,8,)/VLOOKUP($D472,$C$5:$AJ$470,4,))*$F472))</f>
        <v>0</v>
      </c>
      <c r="K472" s="59">
        <f>IF(VLOOKUP($D472,$C$5:$AJ$470,9,)=0,0,((VLOOKUP($D472,$C$5:$AJ$470,9,)/VLOOKUP($D472,$C$5:$AJ$470,4,))*$F472))</f>
        <v>0</v>
      </c>
      <c r="L472" s="59">
        <f>IF(VLOOKUP($D472,$C$5:$AJ$470,10,)=0,0,((VLOOKUP($D472,$C$5:$AJ$470,10,)/VLOOKUP($D472,$C$5:$AJ$470,4,))*$F472))</f>
        <v>4.8669074661835763E-3</v>
      </c>
      <c r="M472" s="59">
        <f>IF(VLOOKUP($D472,$C$5:$AJ$470,11,)=0,0,((VLOOKUP($D472,$C$5:$AJ$470,11,)/VLOOKUP($D472,$C$5:$AJ$470,4,))*$F472))</f>
        <v>0.16197510855301564</v>
      </c>
      <c r="N472" s="59"/>
      <c r="O472" s="59">
        <f>IF(VLOOKUP($D472,$C$5:$AJ$470,13,)=0,0,((VLOOKUP($D472,$C$5:$AJ$470,13,)/VLOOKUP($D472,$C$5:$AJ$470,4,))*$F472))</f>
        <v>6.9797395828798015E-2</v>
      </c>
      <c r="P472" s="59">
        <f>IF(VLOOKUP($D472,$C$5:$AJ$470,14,)=0,0,((VLOOKUP($D472,$C$5:$AJ$470,14,)/VLOOKUP($D472,$C$5:$AJ$470,4,))*$F472))</f>
        <v>9.3442571861263057E-4</v>
      </c>
      <c r="Q472" s="59">
        <f>IF(VLOOKUP($D472,$C$5:$AJ$470,15,)=0,0,((VLOOKUP($D472,$C$5:$AJ$470,15,)/VLOOKUP($D472,$C$5:$AJ$470,4,))*$F472))</f>
        <v>0</v>
      </c>
      <c r="R472" s="59"/>
      <c r="S472" s="59">
        <f>IF(VLOOKUP($D472,$C$5:$AJ$470,17,)=0,0,((VLOOKUP($D472,$C$5:$AJ$470,17,)/VLOOKUP($D472,$C$5:$AJ$470,4,))*$F472))</f>
        <v>0</v>
      </c>
      <c r="T472" s="59">
        <f>IF(VLOOKUP($D472,$C$5:$AJ$470,18,)=0,0,((VLOOKUP($D472,$C$5:$AJ$470,18,)/VLOOKUP($D472,$C$5:$AJ$470,4,))*$F472))</f>
        <v>0</v>
      </c>
      <c r="U472" s="59">
        <f>IF(VLOOKUP($D472,$C$5:$AJ$470,19,)=0,0,((VLOOKUP($D472,$C$5:$AJ$470,19,)/VLOOKUP($D472,$C$5:$AJ$470,4,))*$F472))</f>
        <v>0</v>
      </c>
      <c r="V472" s="59">
        <f>IF(VLOOKUP($D472,$C$5:$AJ$470,20,)=0,0,((VLOOKUP($D472,$C$5:$AJ$470,20,)/VLOOKUP($D472,$C$5:$AJ$470,4,))*$F472))</f>
        <v>0</v>
      </c>
      <c r="W472" s="59">
        <f>IF(VLOOKUP($D472,$C$5:$AJ$470,21,)=0,0,((VLOOKUP($D472,$C$5:$AJ$470,21,)/VLOOKUP($D472,$C$5:$AJ$470,4,))*$F472))</f>
        <v>0</v>
      </c>
      <c r="X472" s="59">
        <f>IF(VLOOKUP($D472,$C$5:$AJ$470,22,)=0,0,((VLOOKUP($D472,$C$5:$AJ$470,22,)/VLOOKUP($D472,$C$5:$AJ$470,4,))*$F472))</f>
        <v>0</v>
      </c>
      <c r="Y472" s="59">
        <f>IF(VLOOKUP($D472,$C$5:$AJ$470,23,)=0,0,((VLOOKUP($D472,$C$5:$AJ$470,23,)/VLOOKUP($D472,$C$5:$AJ$470,4,))*$F472))</f>
        <v>0</v>
      </c>
      <c r="Z472" s="59">
        <f>IF(VLOOKUP($D472,$C$5:$AJ$470,24,)=0,0,((VLOOKUP($D472,$C$5:$AJ$470,24,)/VLOOKUP($D472,$C$5:$AJ$470,4,))*$F472))</f>
        <v>0</v>
      </c>
      <c r="AA472" s="59">
        <f>IF(VLOOKUP($D472,$C$5:$AJ$470,25,)=0,0,((VLOOKUP($D472,$C$5:$AJ$470,25,)/VLOOKUP($D472,$C$5:$AJ$470,4,))*$F472))</f>
        <v>0</v>
      </c>
      <c r="AB472" s="59">
        <f>IF(VLOOKUP($D472,$C$5:$AJ$470,26,)=0,0,((VLOOKUP($D472,$C$5:$AJ$470,26,)/VLOOKUP($D472,$C$5:$AJ$470,4,))*$F472))</f>
        <v>0</v>
      </c>
      <c r="AC472" s="59">
        <f>IF(VLOOKUP($D472,$C$5:$AJ$470,27,)=0,0,((VLOOKUP($D472,$C$5:$AJ$470,27,)/VLOOKUP($D472,$C$5:$AJ$470,4,))*$F472))</f>
        <v>0</v>
      </c>
      <c r="AD472" s="59">
        <f>IF(VLOOKUP($D472,$C$5:$AJ$470,28,)=0,0,((VLOOKUP($D472,$C$5:$AJ$470,28,)/VLOOKUP($D472,$C$5:$AJ$470,4,))*$F472))</f>
        <v>0</v>
      </c>
      <c r="AE472" s="59"/>
      <c r="AF472" s="59">
        <f>IF(VLOOKUP($D472,$C$5:$AJ$470,30,)=0,0,((VLOOKUP($D472,$C$5:$AJ$470,30,)/VLOOKUP($D472,$C$5:$AJ$470,4,))*$F472))</f>
        <v>0</v>
      </c>
      <c r="AG472" s="59"/>
      <c r="AH472" s="59">
        <f>IF(VLOOKUP($D472,$C$5:$AJ$470,32,)=0,0,((VLOOKUP($D472,$C$5:$AJ$470,32,)/VLOOKUP($D472,$C$5:$AJ$470,4,))*$F472))</f>
        <v>0</v>
      </c>
      <c r="AI472" s="59"/>
      <c r="AJ472" s="59">
        <f>IF(VLOOKUP($D472,$C$5:$AJ$470,34,)=0,0,((VLOOKUP($D472,$C$5:$AJ$470,34,)/VLOOKUP($D472,$C$5:$AJ$470,4,))*$F472))</f>
        <v>0</v>
      </c>
      <c r="AK472" s="59">
        <f t="shared" si="529"/>
        <v>1</v>
      </c>
      <c r="AL472" s="69" t="str">
        <f>IF(ABS(AK472-F472)&lt;1,"ok","err")</f>
        <v>ok</v>
      </c>
    </row>
    <row r="473" spans="1:38" x14ac:dyDescent="0.3">
      <c r="A473" s="2" t="s">
        <v>513</v>
      </c>
      <c r="D473" s="2" t="s">
        <v>95</v>
      </c>
      <c r="F473" s="25">
        <v>1</v>
      </c>
      <c r="H473" s="28">
        <f>H408/$F$408</f>
        <v>0.23941496596395775</v>
      </c>
      <c r="I473" s="28">
        <f t="shared" ref="I473:AJ473" si="531">I408/$F$408</f>
        <v>0.29537423876878216</v>
      </c>
      <c r="J473" s="28">
        <f t="shared" si="531"/>
        <v>0.10174781884870387</v>
      </c>
      <c r="K473" s="28">
        <f t="shared" si="531"/>
        <v>0.1110836378118845</v>
      </c>
      <c r="L473" s="28">
        <f t="shared" si="531"/>
        <v>6.8583522888258051E-3</v>
      </c>
      <c r="M473" s="28">
        <f t="shared" si="531"/>
        <v>0.22346109868114158</v>
      </c>
      <c r="N473" s="28"/>
      <c r="O473" s="28">
        <f t="shared" si="531"/>
        <v>2.1268415841581029E-2</v>
      </c>
      <c r="P473" s="28">
        <f t="shared" si="531"/>
        <v>7.9147179512328966E-4</v>
      </c>
      <c r="Q473" s="28">
        <f t="shared" si="531"/>
        <v>0</v>
      </c>
      <c r="R473" s="28"/>
      <c r="S473" s="28">
        <f t="shared" si="531"/>
        <v>0</v>
      </c>
      <c r="T473" s="28">
        <f t="shared" si="531"/>
        <v>0</v>
      </c>
      <c r="U473" s="28">
        <f t="shared" si="531"/>
        <v>0</v>
      </c>
      <c r="V473" s="28">
        <f t="shared" si="531"/>
        <v>0</v>
      </c>
      <c r="W473" s="28">
        <f t="shared" si="531"/>
        <v>0</v>
      </c>
      <c r="X473" s="28">
        <f t="shared" si="531"/>
        <v>0</v>
      </c>
      <c r="Y473" s="28">
        <f t="shared" si="531"/>
        <v>0</v>
      </c>
      <c r="Z473" s="28">
        <f t="shared" si="531"/>
        <v>0</v>
      </c>
      <c r="AA473" s="28">
        <f t="shared" si="531"/>
        <v>0</v>
      </c>
      <c r="AB473" s="28">
        <f t="shared" si="531"/>
        <v>0</v>
      </c>
      <c r="AC473" s="28">
        <f t="shared" si="531"/>
        <v>0</v>
      </c>
      <c r="AD473" s="28">
        <f t="shared" si="531"/>
        <v>0</v>
      </c>
      <c r="AE473" s="28"/>
      <c r="AF473" s="28">
        <f t="shared" si="531"/>
        <v>0</v>
      </c>
      <c r="AG473" s="28"/>
      <c r="AH473" s="28">
        <f t="shared" si="531"/>
        <v>0</v>
      </c>
      <c r="AI473" s="28"/>
      <c r="AJ473" s="28">
        <f t="shared" si="531"/>
        <v>0</v>
      </c>
      <c r="AK473" s="59">
        <f t="shared" si="529"/>
        <v>1</v>
      </c>
      <c r="AL473" s="15" t="str">
        <f t="shared" si="530"/>
        <v>ok</v>
      </c>
    </row>
    <row r="474" spans="1:38" x14ac:dyDescent="0.3">
      <c r="A474" s="2" t="s">
        <v>304</v>
      </c>
      <c r="D474" s="2" t="s">
        <v>98</v>
      </c>
      <c r="F474" s="25">
        <v>1</v>
      </c>
      <c r="H474" s="28">
        <f>H226/$F$226</f>
        <v>7.0213459908580217E-2</v>
      </c>
      <c r="I474" s="28">
        <f t="shared" ref="I474:AJ474" si="532">I226/$F$226</f>
        <v>8.6624690266612001E-2</v>
      </c>
      <c r="J474" s="28">
        <f t="shared" si="532"/>
        <v>0.35328464005621019</v>
      </c>
      <c r="K474" s="28">
        <f t="shared" si="532"/>
        <v>0.38049257121926466</v>
      </c>
      <c r="L474" s="28">
        <f t="shared" si="532"/>
        <v>8.7406286882088374E-3</v>
      </c>
      <c r="M474" s="28">
        <f t="shared" si="532"/>
        <v>9.3867707039407805E-2</v>
      </c>
      <c r="N474" s="28"/>
      <c r="O474" s="28">
        <f t="shared" si="532"/>
        <v>6.5482662102323104E-3</v>
      </c>
      <c r="P474" s="28">
        <f t="shared" si="532"/>
        <v>2.280366114838062E-4</v>
      </c>
      <c r="Q474" s="28">
        <f t="shared" si="532"/>
        <v>0</v>
      </c>
      <c r="R474" s="28"/>
      <c r="S474" s="28">
        <f t="shared" si="532"/>
        <v>0</v>
      </c>
      <c r="T474" s="28">
        <f t="shared" si="532"/>
        <v>0</v>
      </c>
      <c r="U474" s="28">
        <f t="shared" si="532"/>
        <v>0</v>
      </c>
      <c r="V474" s="28">
        <f t="shared" si="532"/>
        <v>0</v>
      </c>
      <c r="W474" s="28">
        <f t="shared" si="532"/>
        <v>0</v>
      </c>
      <c r="X474" s="28">
        <f t="shared" si="532"/>
        <v>0</v>
      </c>
      <c r="Y474" s="28">
        <f t="shared" si="532"/>
        <v>0</v>
      </c>
      <c r="Z474" s="28">
        <f t="shared" si="532"/>
        <v>0</v>
      </c>
      <c r="AA474" s="28">
        <f t="shared" si="532"/>
        <v>0</v>
      </c>
      <c r="AB474" s="28">
        <f t="shared" si="532"/>
        <v>0</v>
      </c>
      <c r="AC474" s="28">
        <f t="shared" si="532"/>
        <v>0</v>
      </c>
      <c r="AD474" s="28">
        <f t="shared" si="532"/>
        <v>0</v>
      </c>
      <c r="AE474" s="28"/>
      <c r="AF474" s="28">
        <f t="shared" si="532"/>
        <v>0</v>
      </c>
      <c r="AG474" s="28"/>
      <c r="AH474" s="28">
        <f t="shared" si="532"/>
        <v>0</v>
      </c>
      <c r="AI474" s="28"/>
      <c r="AJ474" s="28">
        <f t="shared" si="532"/>
        <v>0</v>
      </c>
      <c r="AK474" s="59">
        <f t="shared" si="529"/>
        <v>0.99999999999999989</v>
      </c>
      <c r="AL474" s="15" t="str">
        <f t="shared" si="530"/>
        <v>ok</v>
      </c>
    </row>
    <row r="475" spans="1:38" x14ac:dyDescent="0.3">
      <c r="A475" s="2" t="s">
        <v>514</v>
      </c>
      <c r="D475" s="2" t="s">
        <v>346</v>
      </c>
      <c r="F475" s="25">
        <v>1</v>
      </c>
      <c r="H475" s="28">
        <f>H262/$F$262</f>
        <v>0.39762611132885506</v>
      </c>
      <c r="I475" s="28">
        <f t="shared" ref="I475:AJ475" si="533">I262/$F$262</f>
        <v>0.49056461226418341</v>
      </c>
      <c r="J475" s="28">
        <f t="shared" si="533"/>
        <v>5.0208029579054472E-2</v>
      </c>
      <c r="K475" s="28">
        <f t="shared" si="533"/>
        <v>5.4814841596765279E-2</v>
      </c>
      <c r="L475" s="28">
        <f t="shared" si="533"/>
        <v>6.7864052311419152E-3</v>
      </c>
      <c r="M475" s="28">
        <f t="shared" si="533"/>
        <v>0</v>
      </c>
      <c r="N475" s="28"/>
      <c r="O475" s="28">
        <f t="shared" si="533"/>
        <v>0</v>
      </c>
      <c r="P475" s="28">
        <f t="shared" si="533"/>
        <v>0</v>
      </c>
      <c r="Q475" s="28">
        <f t="shared" si="533"/>
        <v>0</v>
      </c>
      <c r="R475" s="28"/>
      <c r="S475" s="28">
        <f t="shared" si="533"/>
        <v>0</v>
      </c>
      <c r="T475" s="28">
        <f t="shared" si="533"/>
        <v>0</v>
      </c>
      <c r="U475" s="28">
        <f t="shared" si="533"/>
        <v>0</v>
      </c>
      <c r="V475" s="28">
        <f t="shared" si="533"/>
        <v>0</v>
      </c>
      <c r="W475" s="28">
        <f t="shared" si="533"/>
        <v>0</v>
      </c>
      <c r="X475" s="28">
        <f t="shared" si="533"/>
        <v>0</v>
      </c>
      <c r="Y475" s="28">
        <f t="shared" si="533"/>
        <v>0</v>
      </c>
      <c r="Z475" s="28">
        <f t="shared" si="533"/>
        <v>0</v>
      </c>
      <c r="AA475" s="28">
        <f t="shared" si="533"/>
        <v>0</v>
      </c>
      <c r="AB475" s="28">
        <f t="shared" si="533"/>
        <v>0</v>
      </c>
      <c r="AC475" s="28">
        <f t="shared" si="533"/>
        <v>0</v>
      </c>
      <c r="AD475" s="28">
        <f t="shared" si="533"/>
        <v>0</v>
      </c>
      <c r="AE475" s="28"/>
      <c r="AF475" s="28">
        <f t="shared" si="533"/>
        <v>0</v>
      </c>
      <c r="AG475" s="28"/>
      <c r="AH475" s="28">
        <f t="shared" si="533"/>
        <v>0</v>
      </c>
      <c r="AI475" s="28"/>
      <c r="AJ475" s="28">
        <f t="shared" si="533"/>
        <v>0</v>
      </c>
      <c r="AK475" s="59">
        <f t="shared" si="529"/>
        <v>1</v>
      </c>
      <c r="AL475" s="15" t="str">
        <f t="shared" si="530"/>
        <v>ok</v>
      </c>
    </row>
    <row r="476" spans="1:38" x14ac:dyDescent="0.3">
      <c r="A476" s="2" t="s">
        <v>515</v>
      </c>
      <c r="D476" s="2" t="s">
        <v>352</v>
      </c>
      <c r="F476" s="25">
        <v>1</v>
      </c>
      <c r="H476" s="28">
        <f>H271/$F$271</f>
        <v>4.0167838643832436E-2</v>
      </c>
      <c r="I476" s="28">
        <f t="shared" ref="I476:AJ476" si="534">I271/$F$271</f>
        <v>4.9556403939239969E-2</v>
      </c>
      <c r="J476" s="28">
        <f t="shared" si="534"/>
        <v>0.42851697307103809</v>
      </c>
      <c r="K476" s="28">
        <f t="shared" si="534"/>
        <v>0.46783532828010732</v>
      </c>
      <c r="L476" s="28">
        <f t="shared" si="534"/>
        <v>1.3923456065782268E-2</v>
      </c>
      <c r="M476" s="28">
        <f t="shared" si="534"/>
        <v>0</v>
      </c>
      <c r="N476" s="28"/>
      <c r="O476" s="28">
        <f t="shared" si="534"/>
        <v>0</v>
      </c>
      <c r="P476" s="28">
        <f t="shared" si="534"/>
        <v>0</v>
      </c>
      <c r="Q476" s="28">
        <f t="shared" si="534"/>
        <v>0</v>
      </c>
      <c r="R476" s="28"/>
      <c r="S476" s="28">
        <f t="shared" si="534"/>
        <v>0</v>
      </c>
      <c r="T476" s="28">
        <f t="shared" si="534"/>
        <v>0</v>
      </c>
      <c r="U476" s="28">
        <f t="shared" si="534"/>
        <v>0</v>
      </c>
      <c r="V476" s="28">
        <f t="shared" si="534"/>
        <v>0</v>
      </c>
      <c r="W476" s="28">
        <f t="shared" si="534"/>
        <v>0</v>
      </c>
      <c r="X476" s="28">
        <f t="shared" si="534"/>
        <v>0</v>
      </c>
      <c r="Y476" s="28">
        <f t="shared" si="534"/>
        <v>0</v>
      </c>
      <c r="Z476" s="28">
        <f t="shared" si="534"/>
        <v>0</v>
      </c>
      <c r="AA476" s="28">
        <f t="shared" si="534"/>
        <v>0</v>
      </c>
      <c r="AB476" s="28">
        <f t="shared" si="534"/>
        <v>0</v>
      </c>
      <c r="AC476" s="28">
        <f t="shared" si="534"/>
        <v>0</v>
      </c>
      <c r="AD476" s="28">
        <f t="shared" si="534"/>
        <v>0</v>
      </c>
      <c r="AE476" s="28"/>
      <c r="AF476" s="28">
        <f t="shared" si="534"/>
        <v>0</v>
      </c>
      <c r="AG476" s="28"/>
      <c r="AH476" s="28">
        <f t="shared" si="534"/>
        <v>0</v>
      </c>
      <c r="AI476" s="28"/>
      <c r="AJ476" s="28">
        <f t="shared" si="534"/>
        <v>0</v>
      </c>
      <c r="AK476" s="59">
        <f t="shared" si="529"/>
        <v>1</v>
      </c>
      <c r="AL476" s="15" t="str">
        <f t="shared" si="530"/>
        <v>ok</v>
      </c>
    </row>
    <row r="477" spans="1:38" x14ac:dyDescent="0.3">
      <c r="A477" s="2" t="s">
        <v>516</v>
      </c>
      <c r="D477" s="2" t="s">
        <v>517</v>
      </c>
      <c r="F477" s="25">
        <v>1</v>
      </c>
      <c r="H477" s="28">
        <f>H285/$F$285</f>
        <v>0.4373098766743343</v>
      </c>
      <c r="I477" s="28">
        <f t="shared" ref="I477:AJ477" si="535">I285/$F$285</f>
        <v>0.53952379880962498</v>
      </c>
      <c r="J477" s="28">
        <f t="shared" si="535"/>
        <v>8.2094957953344986E-3</v>
      </c>
      <c r="K477" s="28">
        <f t="shared" si="535"/>
        <v>8.962753873900298E-3</v>
      </c>
      <c r="L477" s="28">
        <f t="shared" si="535"/>
        <v>5.9940748468058601E-3</v>
      </c>
      <c r="M477" s="28">
        <f t="shared" si="535"/>
        <v>0</v>
      </c>
      <c r="N477" s="28">
        <f t="shared" si="535"/>
        <v>0</v>
      </c>
      <c r="O477" s="28">
        <f t="shared" si="535"/>
        <v>0</v>
      </c>
      <c r="P477" s="28">
        <f t="shared" si="535"/>
        <v>0</v>
      </c>
      <c r="Q477" s="28">
        <f t="shared" si="535"/>
        <v>0</v>
      </c>
      <c r="R477" s="28">
        <f t="shared" si="535"/>
        <v>0</v>
      </c>
      <c r="S477" s="28">
        <f t="shared" si="535"/>
        <v>0</v>
      </c>
      <c r="T477" s="28">
        <f t="shared" si="535"/>
        <v>0</v>
      </c>
      <c r="U477" s="28">
        <f t="shared" si="535"/>
        <v>0</v>
      </c>
      <c r="V477" s="28">
        <f t="shared" si="535"/>
        <v>0</v>
      </c>
      <c r="W477" s="28">
        <f t="shared" si="535"/>
        <v>0</v>
      </c>
      <c r="X477" s="28">
        <f t="shared" si="535"/>
        <v>0</v>
      </c>
      <c r="Y477" s="28">
        <f t="shared" si="535"/>
        <v>0</v>
      </c>
      <c r="Z477" s="28">
        <f t="shared" si="535"/>
        <v>0</v>
      </c>
      <c r="AA477" s="28">
        <f t="shared" si="535"/>
        <v>0</v>
      </c>
      <c r="AB477" s="28">
        <f t="shared" si="535"/>
        <v>0</v>
      </c>
      <c r="AC477" s="28">
        <f t="shared" si="535"/>
        <v>0</v>
      </c>
      <c r="AD477" s="28">
        <f t="shared" si="535"/>
        <v>0</v>
      </c>
      <c r="AE477" s="28">
        <f t="shared" si="535"/>
        <v>0</v>
      </c>
      <c r="AF477" s="28">
        <f t="shared" si="535"/>
        <v>0</v>
      </c>
      <c r="AG477" s="28">
        <f t="shared" si="535"/>
        <v>0</v>
      </c>
      <c r="AH477" s="28">
        <f t="shared" si="535"/>
        <v>0</v>
      </c>
      <c r="AI477" s="28">
        <f t="shared" si="535"/>
        <v>0</v>
      </c>
      <c r="AJ477" s="28">
        <f t="shared" si="535"/>
        <v>0</v>
      </c>
      <c r="AK477" s="59">
        <f t="shared" si="529"/>
        <v>0.99999999999999989</v>
      </c>
      <c r="AL477" s="15" t="str">
        <f t="shared" si="530"/>
        <v>ok</v>
      </c>
    </row>
    <row r="478" spans="1:38" x14ac:dyDescent="0.3">
      <c r="A478" s="2" t="s">
        <v>393</v>
      </c>
      <c r="D478" s="2" t="s">
        <v>190</v>
      </c>
      <c r="F478" s="25">
        <v>1</v>
      </c>
      <c r="H478" s="29">
        <f>H326/$F$326</f>
        <v>0</v>
      </c>
      <c r="I478" s="29">
        <f t="shared" ref="I478:AJ478" si="536">I326/$F$326</f>
        <v>0</v>
      </c>
      <c r="J478" s="29">
        <f t="shared" si="536"/>
        <v>0</v>
      </c>
      <c r="K478" s="29">
        <f t="shared" si="536"/>
        <v>0</v>
      </c>
      <c r="L478" s="29">
        <f t="shared" si="536"/>
        <v>2.394634320094392E-3</v>
      </c>
      <c r="M478" s="29">
        <f t="shared" si="536"/>
        <v>0.99760536567990599</v>
      </c>
      <c r="N478" s="29"/>
      <c r="O478" s="29">
        <f t="shared" si="536"/>
        <v>0</v>
      </c>
      <c r="P478" s="29">
        <f t="shared" si="536"/>
        <v>0</v>
      </c>
      <c r="Q478" s="29">
        <f t="shared" si="536"/>
        <v>0</v>
      </c>
      <c r="R478" s="29"/>
      <c r="S478" s="29">
        <f t="shared" si="536"/>
        <v>0</v>
      </c>
      <c r="T478" s="29">
        <f t="shared" si="536"/>
        <v>0</v>
      </c>
      <c r="U478" s="29">
        <f t="shared" si="536"/>
        <v>0</v>
      </c>
      <c r="V478" s="29">
        <f t="shared" si="536"/>
        <v>0</v>
      </c>
      <c r="W478" s="29">
        <f t="shared" si="536"/>
        <v>0</v>
      </c>
      <c r="X478" s="29">
        <f t="shared" si="536"/>
        <v>0</v>
      </c>
      <c r="Y478" s="29">
        <f t="shared" si="536"/>
        <v>0</v>
      </c>
      <c r="Z478" s="29">
        <f t="shared" si="536"/>
        <v>0</v>
      </c>
      <c r="AA478" s="29">
        <f t="shared" si="536"/>
        <v>0</v>
      </c>
      <c r="AB478" s="29">
        <f t="shared" si="536"/>
        <v>0</v>
      </c>
      <c r="AC478" s="29">
        <f t="shared" si="536"/>
        <v>0</v>
      </c>
      <c r="AD478" s="29">
        <f t="shared" si="536"/>
        <v>0</v>
      </c>
      <c r="AE478" s="29"/>
      <c r="AF478" s="29">
        <f t="shared" si="536"/>
        <v>0</v>
      </c>
      <c r="AG478" s="29"/>
      <c r="AH478" s="29">
        <f t="shared" si="536"/>
        <v>0</v>
      </c>
      <c r="AI478" s="29"/>
      <c r="AJ478" s="29">
        <f t="shared" si="536"/>
        <v>0</v>
      </c>
      <c r="AK478" s="59">
        <f t="shared" si="529"/>
        <v>1.0000000000000004</v>
      </c>
      <c r="AL478" s="15" t="str">
        <f t="shared" si="530"/>
        <v>ok</v>
      </c>
    </row>
    <row r="479" spans="1:38" x14ac:dyDescent="0.3">
      <c r="A479" s="2" t="s">
        <v>446</v>
      </c>
      <c r="D479" s="2" t="s">
        <v>359</v>
      </c>
      <c r="F479" s="25">
        <v>1</v>
      </c>
      <c r="H479" s="28">
        <f>H388/$F$388</f>
        <v>0.23865304172682586</v>
      </c>
      <c r="I479" s="28">
        <f t="shared" ref="I479:AJ479" si="537">I388/$F$388</f>
        <v>0.29443422739298458</v>
      </c>
      <c r="J479" s="28">
        <f t="shared" si="537"/>
        <v>0.10250854445743383</v>
      </c>
      <c r="K479" s="28">
        <f t="shared" si="537"/>
        <v>0.1119141634089004</v>
      </c>
      <c r="L479" s="28">
        <f t="shared" si="537"/>
        <v>6.8732415257663276E-3</v>
      </c>
      <c r="M479" s="28">
        <f t="shared" si="537"/>
        <v>0.22392079649198013</v>
      </c>
      <c r="N479" s="28"/>
      <c r="O479" s="28">
        <f t="shared" si="537"/>
        <v>2.0905582047983921E-2</v>
      </c>
      <c r="P479" s="28">
        <f t="shared" si="537"/>
        <v>7.9040294812498775E-4</v>
      </c>
      <c r="Q479" s="28">
        <f t="shared" si="537"/>
        <v>0</v>
      </c>
      <c r="R479" s="28"/>
      <c r="S479" s="28">
        <f t="shared" si="537"/>
        <v>0</v>
      </c>
      <c r="T479" s="28">
        <f t="shared" si="537"/>
        <v>0</v>
      </c>
      <c r="U479" s="28">
        <f t="shared" si="537"/>
        <v>0</v>
      </c>
      <c r="V479" s="28">
        <f t="shared" si="537"/>
        <v>0</v>
      </c>
      <c r="W479" s="28">
        <f t="shared" si="537"/>
        <v>0</v>
      </c>
      <c r="X479" s="28">
        <f t="shared" si="537"/>
        <v>0</v>
      </c>
      <c r="Y479" s="28">
        <f t="shared" si="537"/>
        <v>0</v>
      </c>
      <c r="Z479" s="28">
        <f t="shared" si="537"/>
        <v>0</v>
      </c>
      <c r="AA479" s="28">
        <f t="shared" si="537"/>
        <v>0</v>
      </c>
      <c r="AB479" s="28">
        <f t="shared" si="537"/>
        <v>0</v>
      </c>
      <c r="AC479" s="28">
        <f t="shared" si="537"/>
        <v>0</v>
      </c>
      <c r="AD479" s="28">
        <f t="shared" si="537"/>
        <v>0</v>
      </c>
      <c r="AE479" s="28"/>
      <c r="AF479" s="28">
        <f t="shared" si="537"/>
        <v>0</v>
      </c>
      <c r="AG479" s="28"/>
      <c r="AH479" s="28">
        <f t="shared" si="537"/>
        <v>0</v>
      </c>
      <c r="AI479" s="28"/>
      <c r="AJ479" s="28">
        <f t="shared" si="537"/>
        <v>0</v>
      </c>
      <c r="AK479" s="59">
        <f t="shared" si="529"/>
        <v>0.99999999999999989</v>
      </c>
      <c r="AL479" s="15" t="str">
        <f t="shared" si="530"/>
        <v>ok</v>
      </c>
    </row>
    <row r="480" spans="1:38" x14ac:dyDescent="0.3">
      <c r="A480" s="2" t="s">
        <v>518</v>
      </c>
      <c r="D480" s="2" t="s">
        <v>37</v>
      </c>
      <c r="F480" s="25">
        <v>1</v>
      </c>
      <c r="H480" s="59">
        <f>IF(VLOOKUP($D480,$C$5:$AJ$470,6,)=0,0,((VLOOKUP($D480,$C$5:$AJ$470,6,)/VLOOKUP($D480,$C$5:$AJ$470,4,))*$F480))</f>
        <v>0.34132310257258192</v>
      </c>
      <c r="I480" s="59">
        <f>IF(VLOOKUP($D480,$C$5:$AJ$470,7,)=0,0,((VLOOKUP($D480,$C$5:$AJ$470,7,)/VLOOKUP($D480,$C$5:$AJ$470,4,))*$F480))</f>
        <v>0.42110171012347164</v>
      </c>
      <c r="J480" s="59">
        <f>IF(VLOOKUP($D480,$C$5:$AJ$470,8,)=0,0,((VLOOKUP($D480,$C$5:$AJ$470,8,)/VLOOKUP($D480,$C$5:$AJ$470,4,))*$F480))</f>
        <v>0</v>
      </c>
      <c r="K480" s="59">
        <f>IF(VLOOKUP($D480,$C$5:$AJ$470,9,)=0,0,((VLOOKUP($D480,$C$5:$AJ$470,9,)/VLOOKUP($D480,$C$5:$AJ$470,4,))*$F480))</f>
        <v>0</v>
      </c>
      <c r="L480" s="59">
        <f>IF(VLOOKUP($D480,$C$5:$AJ$470,10,)=0,0,((VLOOKUP($D480,$C$5:$AJ$470,10,)/VLOOKUP($D480,$C$5:$AJ$470,4,))*$F480))</f>
        <v>4.8669018030863811E-3</v>
      </c>
      <c r="M480" s="59">
        <f>IF(VLOOKUP($D480,$C$5:$AJ$470,11,)=0,0,((VLOOKUP($D480,$C$5:$AJ$470,11,)/VLOOKUP($D480,$C$5:$AJ$470,4,))*$F480))</f>
        <v>0.16197605197628331</v>
      </c>
      <c r="N480" s="59"/>
      <c r="O480" s="59">
        <f>IF(VLOOKUP($D480,$C$5:$AJ$470,13,)=0,0,((VLOOKUP($D480,$C$5:$AJ$470,13,)/VLOOKUP($D480,$C$5:$AJ$470,4,))*$F480))</f>
        <v>6.9797802363405909E-2</v>
      </c>
      <c r="P480" s="59">
        <f>IF(VLOOKUP($D480,$C$5:$AJ$470,14,)=0,0,((VLOOKUP($D480,$C$5:$AJ$470,14,)/VLOOKUP($D480,$C$5:$AJ$470,4,))*$F480))</f>
        <v>9.3443116117089E-4</v>
      </c>
      <c r="Q480" s="59">
        <f>IF(VLOOKUP($D480,$C$5:$AJ$470,15,)=0,0,((VLOOKUP($D480,$C$5:$AJ$470,15,)/VLOOKUP($D480,$C$5:$AJ$470,4,))*$F480))</f>
        <v>0</v>
      </c>
      <c r="R480" s="59"/>
      <c r="S480" s="59">
        <f>IF(VLOOKUP($D480,$C$5:$AJ$470,17,)=0,0,((VLOOKUP($D480,$C$5:$AJ$470,17,)/VLOOKUP($D480,$C$5:$AJ$470,4,))*$F480))</f>
        <v>0</v>
      </c>
      <c r="T480" s="59">
        <f>IF(VLOOKUP($D480,$C$5:$AJ$470,18,)=0,0,((VLOOKUP($D480,$C$5:$AJ$470,18,)/VLOOKUP($D480,$C$5:$AJ$470,4,))*$F480))</f>
        <v>0</v>
      </c>
      <c r="U480" s="59">
        <f>IF(VLOOKUP($D480,$C$5:$AJ$470,19,)=0,0,((VLOOKUP($D480,$C$5:$AJ$470,19,)/VLOOKUP($D480,$C$5:$AJ$470,4,))*$F480))</f>
        <v>0</v>
      </c>
      <c r="V480" s="59">
        <f>IF(VLOOKUP($D480,$C$5:$AJ$470,20,)=0,0,((VLOOKUP($D480,$C$5:$AJ$470,20,)/VLOOKUP($D480,$C$5:$AJ$470,4,))*$F480))</f>
        <v>0</v>
      </c>
      <c r="W480" s="59">
        <f>IF(VLOOKUP($D480,$C$5:$AJ$470,21,)=0,0,((VLOOKUP($D480,$C$5:$AJ$470,21,)/VLOOKUP($D480,$C$5:$AJ$470,4,))*$F480))</f>
        <v>0</v>
      </c>
      <c r="X480" s="59">
        <f>IF(VLOOKUP($D480,$C$5:$AJ$470,22,)=0,0,((VLOOKUP($D480,$C$5:$AJ$470,22,)/VLOOKUP($D480,$C$5:$AJ$470,4,))*$F480))</f>
        <v>0</v>
      </c>
      <c r="Y480" s="59">
        <f>IF(VLOOKUP($D480,$C$5:$AJ$470,23,)=0,0,((VLOOKUP($D480,$C$5:$AJ$470,23,)/VLOOKUP($D480,$C$5:$AJ$470,4,))*$F480))</f>
        <v>0</v>
      </c>
      <c r="Z480" s="59">
        <f>IF(VLOOKUP($D480,$C$5:$AJ$470,24,)=0,0,((VLOOKUP($D480,$C$5:$AJ$470,24,)/VLOOKUP($D480,$C$5:$AJ$470,4,))*$F480))</f>
        <v>0</v>
      </c>
      <c r="AA480" s="59">
        <f>IF(VLOOKUP($D480,$C$5:$AJ$470,25,)=0,0,((VLOOKUP($D480,$C$5:$AJ$470,25,)/VLOOKUP($D480,$C$5:$AJ$470,4,))*$F480))</f>
        <v>0</v>
      </c>
      <c r="AB480" s="59">
        <f>IF(VLOOKUP($D480,$C$5:$AJ$470,26,)=0,0,((VLOOKUP($D480,$C$5:$AJ$470,26,)/VLOOKUP($D480,$C$5:$AJ$470,4,))*$F480))</f>
        <v>0</v>
      </c>
      <c r="AC480" s="59">
        <f>IF(VLOOKUP($D480,$C$5:$AJ$470,27,)=0,0,((VLOOKUP($D480,$C$5:$AJ$470,27,)/VLOOKUP($D480,$C$5:$AJ$470,4,))*$F480))</f>
        <v>0</v>
      </c>
      <c r="AD480" s="59">
        <f>IF(VLOOKUP($D480,$C$5:$AJ$470,28,)=0,0,((VLOOKUP($D480,$C$5:$AJ$470,28,)/VLOOKUP($D480,$C$5:$AJ$470,4,))*$F480))</f>
        <v>0</v>
      </c>
      <c r="AE480" s="59"/>
      <c r="AF480" s="59">
        <f>IF(VLOOKUP($D480,$C$5:$AJ$470,30,)=0,0,((VLOOKUP($D480,$C$5:$AJ$470,30,)/VLOOKUP($D480,$C$5:$AJ$470,4,))*$F480))</f>
        <v>0</v>
      </c>
      <c r="AG480" s="59"/>
      <c r="AH480" s="59">
        <f>IF(VLOOKUP($D480,$C$5:$AJ$470,32,)=0,0,((VLOOKUP($D480,$C$5:$AJ$470,32,)/VLOOKUP($D480,$C$5:$AJ$470,4,))*$F480))</f>
        <v>0</v>
      </c>
      <c r="AI480" s="59"/>
      <c r="AJ480" s="59">
        <f>IF(VLOOKUP($D480,$C$5:$AJ$470,34,)=0,0,((VLOOKUP($D480,$C$5:$AJ$470,34,)/VLOOKUP($D480,$C$5:$AJ$470,4,))*$F480))</f>
        <v>0</v>
      </c>
      <c r="AK480" s="59">
        <f t="shared" si="529"/>
        <v>1</v>
      </c>
      <c r="AL480" s="69" t="str">
        <f>IF(ABS(AK480-F480)&lt;1,"ok","err")</f>
        <v>ok</v>
      </c>
    </row>
    <row r="481" spans="1:38" x14ac:dyDescent="0.3">
      <c r="A481" s="2" t="s">
        <v>519</v>
      </c>
      <c r="D481" s="2" t="s">
        <v>27</v>
      </c>
      <c r="F481" s="25">
        <v>1</v>
      </c>
      <c r="H481" s="59">
        <f>IF(VLOOKUP($D481,$C$5:$AJ$470,6,)=0,0,((VLOOKUP($D481,$C$5:$AJ$470,6,)/VLOOKUP($D481,$C$5:$AJ$470,4,))*$F481))</f>
        <v>0.44506690234633622</v>
      </c>
      <c r="I481" s="59">
        <f>IF(VLOOKUP($D481,$C$5:$AJ$470,7,)=0,0,((VLOOKUP($D481,$C$5:$AJ$470,7,)/VLOOKUP($D481,$C$5:$AJ$470,4,))*$F481))</f>
        <v>0.54909390042692485</v>
      </c>
      <c r="J481" s="59">
        <f>IF(VLOOKUP($D481,$C$5:$AJ$470,8,)=0,0,((VLOOKUP($D481,$C$5:$AJ$470,8,)/VLOOKUP($D481,$C$5:$AJ$470,4,))*$F481))</f>
        <v>0</v>
      </c>
      <c r="K481" s="59">
        <f>IF(VLOOKUP($D481,$C$5:$AJ$470,9,)=0,0,((VLOOKUP($D481,$C$5:$AJ$470,9,)/VLOOKUP($D481,$C$5:$AJ$470,4,))*$F481))</f>
        <v>0</v>
      </c>
      <c r="L481" s="59">
        <f>IF(VLOOKUP($D481,$C$5:$AJ$470,10,)=0,0,((VLOOKUP($D481,$C$5:$AJ$470,10,)/VLOOKUP($D481,$C$5:$AJ$470,4,))*$F481))</f>
        <v>5.8391972267389427E-3</v>
      </c>
      <c r="M481" s="59">
        <f>IF(VLOOKUP($D481,$C$5:$AJ$470,11,)=0,0,((VLOOKUP($D481,$C$5:$AJ$470,11,)/VLOOKUP($D481,$C$5:$AJ$470,4,))*$F481))</f>
        <v>0</v>
      </c>
      <c r="N481" s="59"/>
      <c r="O481" s="59">
        <f>IF(VLOOKUP($D481,$C$5:$AJ$470,13,)=0,0,((VLOOKUP($D481,$C$5:$AJ$470,13,)/VLOOKUP($D481,$C$5:$AJ$470,4,))*$F481))</f>
        <v>0</v>
      </c>
      <c r="P481" s="59">
        <f>IF(VLOOKUP($D481,$C$5:$AJ$470,14,)=0,0,((VLOOKUP($D481,$C$5:$AJ$470,14,)/VLOOKUP($D481,$C$5:$AJ$470,4,))*$F481))</f>
        <v>0</v>
      </c>
      <c r="Q481" s="59">
        <f>IF(VLOOKUP($D481,$C$5:$AJ$470,15,)=0,0,((VLOOKUP($D481,$C$5:$AJ$470,15,)/VLOOKUP($D481,$C$5:$AJ$470,4,))*$F481))</f>
        <v>0</v>
      </c>
      <c r="R481" s="59"/>
      <c r="S481" s="59">
        <f>IF(VLOOKUP($D481,$C$5:$AJ$470,17,)=0,0,((VLOOKUP($D481,$C$5:$AJ$470,17,)/VLOOKUP($D481,$C$5:$AJ$470,4,))*$F481))</f>
        <v>0</v>
      </c>
      <c r="T481" s="59">
        <f>IF(VLOOKUP($D481,$C$5:$AJ$470,18,)=0,0,((VLOOKUP($D481,$C$5:$AJ$470,18,)/VLOOKUP($D481,$C$5:$AJ$470,4,))*$F481))</f>
        <v>0</v>
      </c>
      <c r="U481" s="59">
        <f>IF(VLOOKUP($D481,$C$5:$AJ$470,19,)=0,0,((VLOOKUP($D481,$C$5:$AJ$470,19,)/VLOOKUP($D481,$C$5:$AJ$470,4,))*$F481))</f>
        <v>0</v>
      </c>
      <c r="V481" s="59">
        <f>IF(VLOOKUP($D481,$C$5:$AJ$470,20,)=0,0,((VLOOKUP($D481,$C$5:$AJ$470,20,)/VLOOKUP($D481,$C$5:$AJ$470,4,))*$F481))</f>
        <v>0</v>
      </c>
      <c r="W481" s="59">
        <f>IF(VLOOKUP($D481,$C$5:$AJ$470,21,)=0,0,((VLOOKUP($D481,$C$5:$AJ$470,21,)/VLOOKUP($D481,$C$5:$AJ$470,4,))*$F481))</f>
        <v>0</v>
      </c>
      <c r="X481" s="59">
        <f>IF(VLOOKUP($D481,$C$5:$AJ$470,22,)=0,0,((VLOOKUP($D481,$C$5:$AJ$470,22,)/VLOOKUP($D481,$C$5:$AJ$470,4,))*$F481))</f>
        <v>0</v>
      </c>
      <c r="Y481" s="59">
        <f>IF(VLOOKUP($D481,$C$5:$AJ$470,23,)=0,0,((VLOOKUP($D481,$C$5:$AJ$470,23,)/VLOOKUP($D481,$C$5:$AJ$470,4,))*$F481))</f>
        <v>0</v>
      </c>
      <c r="Z481" s="59">
        <f>IF(VLOOKUP($D481,$C$5:$AJ$470,24,)=0,0,((VLOOKUP($D481,$C$5:$AJ$470,24,)/VLOOKUP($D481,$C$5:$AJ$470,4,))*$F481))</f>
        <v>0</v>
      </c>
      <c r="AA481" s="59">
        <f>IF(VLOOKUP($D481,$C$5:$AJ$470,25,)=0,0,((VLOOKUP($D481,$C$5:$AJ$470,25,)/VLOOKUP($D481,$C$5:$AJ$470,4,))*$F481))</f>
        <v>0</v>
      </c>
      <c r="AB481" s="59">
        <f>IF(VLOOKUP($D481,$C$5:$AJ$470,26,)=0,0,((VLOOKUP($D481,$C$5:$AJ$470,26,)/VLOOKUP($D481,$C$5:$AJ$470,4,))*$F481))</f>
        <v>0</v>
      </c>
      <c r="AC481" s="59">
        <f>IF(VLOOKUP($D481,$C$5:$AJ$470,27,)=0,0,((VLOOKUP($D481,$C$5:$AJ$470,27,)/VLOOKUP($D481,$C$5:$AJ$470,4,))*$F481))</f>
        <v>0</v>
      </c>
      <c r="AD481" s="59">
        <f>IF(VLOOKUP($D481,$C$5:$AJ$470,28,)=0,0,((VLOOKUP($D481,$C$5:$AJ$470,28,)/VLOOKUP($D481,$C$5:$AJ$470,4,))*$F481))</f>
        <v>0</v>
      </c>
      <c r="AE481" s="59"/>
      <c r="AF481" s="59">
        <f>IF(VLOOKUP($D481,$C$5:$AJ$470,30,)=0,0,((VLOOKUP($D481,$C$5:$AJ$470,30,)/VLOOKUP($D481,$C$5:$AJ$470,4,))*$F481))</f>
        <v>0</v>
      </c>
      <c r="AG481" s="59"/>
      <c r="AH481" s="59">
        <f>IF(VLOOKUP($D481,$C$5:$AJ$470,32,)=0,0,((VLOOKUP($D481,$C$5:$AJ$470,32,)/VLOOKUP($D481,$C$5:$AJ$470,4,))*$F481))</f>
        <v>0</v>
      </c>
      <c r="AI481" s="59"/>
      <c r="AJ481" s="59">
        <f>IF(VLOOKUP($D481,$C$5:$AJ$470,34,)=0,0,((VLOOKUP($D481,$C$5:$AJ$470,34,)/VLOOKUP($D481,$C$5:$AJ$470,4,))*$F481))</f>
        <v>0</v>
      </c>
      <c r="AK481" s="59">
        <f t="shared" si="529"/>
        <v>1</v>
      </c>
      <c r="AL481" s="69" t="str">
        <f>IF(ABS(AK481-F481)&lt;1,"ok","err")</f>
        <v>ok</v>
      </c>
    </row>
    <row r="482" spans="1:38" x14ac:dyDescent="0.3">
      <c r="A482" s="2" t="s">
        <v>520</v>
      </c>
      <c r="D482" s="2" t="s">
        <v>24</v>
      </c>
      <c r="F482" s="25">
        <v>1</v>
      </c>
      <c r="H482" s="59">
        <f>IF(VLOOKUP($D482,$C$5:$AJ$470,6,)=0,0,((VLOOKUP($D482,$C$5:$AJ$470,6,)/VLOOKUP($D482,$C$5:$AJ$470,4,))*$F482))</f>
        <v>0.34132310257258192</v>
      </c>
      <c r="I482" s="59">
        <f>IF(VLOOKUP($D482,$C$5:$AJ$470,7,)=0,0,((VLOOKUP($D482,$C$5:$AJ$470,7,)/VLOOKUP($D482,$C$5:$AJ$470,4,))*$F482))</f>
        <v>0.42110171012347164</v>
      </c>
      <c r="J482" s="59">
        <f>IF(VLOOKUP($D482,$C$5:$AJ$470,8,)=0,0,((VLOOKUP($D482,$C$5:$AJ$470,8,)/VLOOKUP($D482,$C$5:$AJ$470,4,))*$F482))</f>
        <v>0</v>
      </c>
      <c r="K482" s="59">
        <f>IF(VLOOKUP($D482,$C$5:$AJ$470,9,)=0,0,((VLOOKUP($D482,$C$5:$AJ$470,9,)/VLOOKUP($D482,$C$5:$AJ$470,4,))*$F482))</f>
        <v>0</v>
      </c>
      <c r="L482" s="59">
        <f>IF(VLOOKUP($D482,$C$5:$AJ$470,10,)=0,0,((VLOOKUP($D482,$C$5:$AJ$470,10,)/VLOOKUP($D482,$C$5:$AJ$470,4,))*$F482))</f>
        <v>4.8669018030863811E-3</v>
      </c>
      <c r="M482" s="59">
        <f>IF(VLOOKUP($D482,$C$5:$AJ$470,11,)=0,0,((VLOOKUP($D482,$C$5:$AJ$470,11,)/VLOOKUP($D482,$C$5:$AJ$470,4,))*$F482))</f>
        <v>0.16197605197628331</v>
      </c>
      <c r="N482" s="59"/>
      <c r="O482" s="59">
        <f>IF(VLOOKUP($D482,$C$5:$AJ$470,13,)=0,0,((VLOOKUP($D482,$C$5:$AJ$470,13,)/VLOOKUP($D482,$C$5:$AJ$470,4,))*$F482))</f>
        <v>6.9797802363405909E-2</v>
      </c>
      <c r="P482" s="59">
        <f>IF(VLOOKUP($D482,$C$5:$AJ$470,14,)=0,0,((VLOOKUP($D482,$C$5:$AJ$470,14,)/VLOOKUP($D482,$C$5:$AJ$470,4,))*$F482))</f>
        <v>9.3443116117089E-4</v>
      </c>
      <c r="Q482" s="59">
        <f>IF(VLOOKUP($D482,$C$5:$AJ$470,15,)=0,0,((VLOOKUP($D482,$C$5:$AJ$470,15,)/VLOOKUP($D482,$C$5:$AJ$470,4,))*$F482))</f>
        <v>0</v>
      </c>
      <c r="R482" s="59"/>
      <c r="S482" s="59">
        <f>IF(VLOOKUP($D482,$C$5:$AJ$470,17,)=0,0,((VLOOKUP($D482,$C$5:$AJ$470,17,)/VLOOKUP($D482,$C$5:$AJ$470,4,))*$F482))</f>
        <v>0</v>
      </c>
      <c r="T482" s="59">
        <f>IF(VLOOKUP($D482,$C$5:$AJ$470,18,)=0,0,((VLOOKUP($D482,$C$5:$AJ$470,18,)/VLOOKUP($D482,$C$5:$AJ$470,4,))*$F482))</f>
        <v>0</v>
      </c>
      <c r="U482" s="59">
        <f>IF(VLOOKUP($D482,$C$5:$AJ$470,19,)=0,0,((VLOOKUP($D482,$C$5:$AJ$470,19,)/VLOOKUP($D482,$C$5:$AJ$470,4,))*$F482))</f>
        <v>0</v>
      </c>
      <c r="V482" s="59">
        <f>IF(VLOOKUP($D482,$C$5:$AJ$470,20,)=0,0,((VLOOKUP($D482,$C$5:$AJ$470,20,)/VLOOKUP($D482,$C$5:$AJ$470,4,))*$F482))</f>
        <v>0</v>
      </c>
      <c r="W482" s="59">
        <f>IF(VLOOKUP($D482,$C$5:$AJ$470,21,)=0,0,((VLOOKUP($D482,$C$5:$AJ$470,21,)/VLOOKUP($D482,$C$5:$AJ$470,4,))*$F482))</f>
        <v>0</v>
      </c>
      <c r="X482" s="59">
        <f>IF(VLOOKUP($D482,$C$5:$AJ$470,22,)=0,0,((VLOOKUP($D482,$C$5:$AJ$470,22,)/VLOOKUP($D482,$C$5:$AJ$470,4,))*$F482))</f>
        <v>0</v>
      </c>
      <c r="Y482" s="59">
        <f>IF(VLOOKUP($D482,$C$5:$AJ$470,23,)=0,0,((VLOOKUP($D482,$C$5:$AJ$470,23,)/VLOOKUP($D482,$C$5:$AJ$470,4,))*$F482))</f>
        <v>0</v>
      </c>
      <c r="Z482" s="59">
        <f>IF(VLOOKUP($D482,$C$5:$AJ$470,24,)=0,0,((VLOOKUP($D482,$C$5:$AJ$470,24,)/VLOOKUP($D482,$C$5:$AJ$470,4,))*$F482))</f>
        <v>0</v>
      </c>
      <c r="AA482" s="59">
        <f>IF(VLOOKUP($D482,$C$5:$AJ$470,25,)=0,0,((VLOOKUP($D482,$C$5:$AJ$470,25,)/VLOOKUP($D482,$C$5:$AJ$470,4,))*$F482))</f>
        <v>0</v>
      </c>
      <c r="AB482" s="59">
        <f>IF(VLOOKUP($D482,$C$5:$AJ$470,26,)=0,0,((VLOOKUP($D482,$C$5:$AJ$470,26,)/VLOOKUP($D482,$C$5:$AJ$470,4,))*$F482))</f>
        <v>0</v>
      </c>
      <c r="AC482" s="59">
        <f>IF(VLOOKUP($D482,$C$5:$AJ$470,27,)=0,0,((VLOOKUP($D482,$C$5:$AJ$470,27,)/VLOOKUP($D482,$C$5:$AJ$470,4,))*$F482))</f>
        <v>0</v>
      </c>
      <c r="AD482" s="59">
        <f>IF(VLOOKUP($D482,$C$5:$AJ$470,28,)=0,0,((VLOOKUP($D482,$C$5:$AJ$470,28,)/VLOOKUP($D482,$C$5:$AJ$470,4,))*$F482))</f>
        <v>0</v>
      </c>
      <c r="AE482" s="59"/>
      <c r="AF482" s="59">
        <f>IF(VLOOKUP($D482,$C$5:$AJ$470,30,)=0,0,((VLOOKUP($D482,$C$5:$AJ$470,30,)/VLOOKUP($D482,$C$5:$AJ$470,4,))*$F482))</f>
        <v>0</v>
      </c>
      <c r="AG482" s="59"/>
      <c r="AH482" s="59">
        <f>IF(VLOOKUP($D482,$C$5:$AJ$470,32,)=0,0,((VLOOKUP($D482,$C$5:$AJ$470,32,)/VLOOKUP($D482,$C$5:$AJ$470,4,))*$F482))</f>
        <v>0</v>
      </c>
      <c r="AI482" s="59"/>
      <c r="AJ482" s="59">
        <f>IF(VLOOKUP($D482,$C$5:$AJ$470,34,)=0,0,((VLOOKUP($D482,$C$5:$AJ$470,34,)/VLOOKUP($D482,$C$5:$AJ$470,4,))*$F482))</f>
        <v>0</v>
      </c>
      <c r="AK482" s="59">
        <f t="shared" si="529"/>
        <v>1</v>
      </c>
      <c r="AL482" s="69" t="str">
        <f>IF(ABS(AK482-F482)&lt;1,"ok","err")</f>
        <v>ok</v>
      </c>
    </row>
  </sheetData>
  <mergeCells count="2">
    <mergeCell ref="H2:I2"/>
    <mergeCell ref="J2:K2"/>
  </mergeCells>
  <phoneticPr fontId="0" type="noConversion"/>
  <pageMargins left="0.75" right="0.75" top="1.29" bottom="0.78" header="0.5" footer="0.5"/>
  <pageSetup scale="59" pageOrder="overThenDown" orientation="landscape" r:id="rId1"/>
  <headerFooter alignWithMargins="0">
    <oddHeader>&amp;C&amp;"Arial,Bold"&amp;11EAST KENTUCKY POWER COOPERATIVE, INC.
Cost of Service Study
Functional Assignment and Classification
12 Months Ended
December 31, 2023</oddHeader>
    <oddFooter>&amp;RExhibit JWW-1 
Page &amp;P of &amp;N</oddFooter>
  </headerFooter>
  <rowBreaks count="13" manualBreakCount="13">
    <brk id="34" max="16383" man="1"/>
    <brk id="83" max="16383" man="1"/>
    <brk id="107" max="15" man="1"/>
    <brk id="130" max="15" man="1"/>
    <brk id="179" max="15" man="1"/>
    <brk id="226" max="15" man="1"/>
    <brk id="249" max="15" man="1"/>
    <brk id="274" max="15" man="1"/>
    <brk id="297" max="15" man="1"/>
    <brk id="341" max="15" man="1"/>
    <brk id="388" max="15" man="1"/>
    <brk id="410" max="15" man="1"/>
    <brk id="447" max="15" man="1"/>
  </rowBreaks>
  <colBreaks count="5" manualBreakCount="5">
    <brk id="12" max="480" man="1"/>
    <brk id="17" max="1048575" man="1"/>
    <brk id="23" max="451" man="1"/>
    <brk id="28" max="451" man="1"/>
    <brk id="34" max="45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A7ADD-B959-48E6-A176-A574FEB0602B}">
  <dimension ref="A1:G64"/>
  <sheetViews>
    <sheetView showGridLines="0" zoomScale="130" zoomScaleNormal="130" workbookViewId="0">
      <pane ySplit="6" topLeftCell="A7" activePane="bottomLeft" state="frozen"/>
      <selection activeCell="D1" sqref="D1"/>
      <selection pane="bottomLeft" activeCell="E43" sqref="E43"/>
    </sheetView>
  </sheetViews>
  <sheetFormatPr defaultRowHeight="12.5" x14ac:dyDescent="0.25"/>
  <cols>
    <col min="1" max="1" width="10.54296875" customWidth="1"/>
    <col min="3" max="3" width="16.26953125" customWidth="1"/>
    <col min="4" max="5" width="19.1796875" customWidth="1"/>
    <col min="6" max="6" width="19" bestFit="1" customWidth="1"/>
  </cols>
  <sheetData>
    <row r="1" spans="1:6" ht="13" x14ac:dyDescent="0.3">
      <c r="A1" s="47" t="s">
        <v>835</v>
      </c>
    </row>
    <row r="2" spans="1:6" x14ac:dyDescent="0.25">
      <c r="A2" t="s">
        <v>836</v>
      </c>
    </row>
    <row r="3" spans="1:6" x14ac:dyDescent="0.25">
      <c r="A3" t="s">
        <v>837</v>
      </c>
    </row>
    <row r="4" spans="1:6" x14ac:dyDescent="0.25">
      <c r="A4" s="75"/>
    </row>
    <row r="5" spans="1:6" ht="13" x14ac:dyDescent="0.3">
      <c r="D5" s="48" t="s">
        <v>838</v>
      </c>
      <c r="E5" s="48" t="s">
        <v>839</v>
      </c>
    </row>
    <row r="6" spans="1:6" ht="13.5" thickBot="1" x14ac:dyDescent="0.35">
      <c r="A6" s="53" t="s">
        <v>840</v>
      </c>
      <c r="B6" s="53"/>
      <c r="C6" s="53"/>
      <c r="D6" s="54" t="s">
        <v>841</v>
      </c>
      <c r="E6" s="54" t="s">
        <v>60</v>
      </c>
      <c r="F6" s="54" t="s">
        <v>752</v>
      </c>
    </row>
    <row r="8" spans="1:6" x14ac:dyDescent="0.25">
      <c r="A8" s="75" t="s">
        <v>842</v>
      </c>
    </row>
    <row r="10" spans="1:6" ht="13" x14ac:dyDescent="0.3">
      <c r="A10" s="66" t="s">
        <v>843</v>
      </c>
      <c r="D10" s="49">
        <f>'Allocation by Rate'!G261</f>
        <v>99502866.000833988</v>
      </c>
      <c r="E10" s="49">
        <f>'Allocation by Rate'!G273</f>
        <v>2561046988.9879408</v>
      </c>
      <c r="F10" s="51">
        <f>D10/E10</f>
        <v>3.8852417167150433E-2</v>
      </c>
    </row>
    <row r="11" spans="1:6" ht="13" x14ac:dyDescent="0.3">
      <c r="A11" s="66" t="s">
        <v>844</v>
      </c>
      <c r="D11" s="52">
        <f>'Allocation by Rate'!H261</f>
        <v>7289572.4418907762</v>
      </c>
      <c r="E11" s="52">
        <f>'Allocation by Rate'!H273</f>
        <v>192028527.4653841</v>
      </c>
      <c r="F11" s="51">
        <f t="shared" ref="F11:F18" si="0">D11/E11</f>
        <v>3.796088288603279E-2</v>
      </c>
    </row>
    <row r="12" spans="1:6" ht="13" x14ac:dyDescent="0.3">
      <c r="A12" s="66" t="s">
        <v>845</v>
      </c>
      <c r="D12" s="52">
        <f>'Allocation by Rate'!I261</f>
        <v>3298758.0543969721</v>
      </c>
      <c r="E12" s="52">
        <f>'Allocation by Rate'!I273</f>
        <v>68914367.155168384</v>
      </c>
      <c r="F12" s="51">
        <f t="shared" si="0"/>
        <v>4.786749397218508E-2</v>
      </c>
    </row>
    <row r="13" spans="1:6" ht="13" x14ac:dyDescent="0.3">
      <c r="A13" s="67" t="s">
        <v>846</v>
      </c>
      <c r="D13" s="52">
        <f>'Allocation by Rate'!J261</f>
        <v>4742172.8717391565</v>
      </c>
      <c r="E13" s="52">
        <f>'Allocation by Rate'!J273</f>
        <v>111712514.18810904</v>
      </c>
      <c r="F13" s="51">
        <f t="shared" si="0"/>
        <v>4.2449790931694251E-2</v>
      </c>
    </row>
    <row r="14" spans="1:6" ht="13" x14ac:dyDescent="0.3">
      <c r="A14" s="67" t="s">
        <v>847</v>
      </c>
      <c r="D14" s="52">
        <f>'Allocation by Rate'!K261</f>
        <v>-14659056.806605116</v>
      </c>
      <c r="E14" s="52">
        <f>'Allocation by Rate'!K273</f>
        <v>305006030.35787356</v>
      </c>
      <c r="F14" s="51">
        <f t="shared" si="0"/>
        <v>-4.8061531076632039E-2</v>
      </c>
    </row>
    <row r="15" spans="1:6" ht="13" x14ac:dyDescent="0.3">
      <c r="A15" s="67" t="s">
        <v>848</v>
      </c>
      <c r="D15" s="52">
        <f>'Allocation by Rate'!L261</f>
        <v>1903873.137757143</v>
      </c>
      <c r="E15" s="52">
        <f>'Allocation by Rate'!L273</f>
        <v>10622874.072768502</v>
      </c>
      <c r="F15" s="51">
        <f t="shared" si="0"/>
        <v>0.17922392044895635</v>
      </c>
    </row>
    <row r="16" spans="1:6" ht="13" x14ac:dyDescent="0.3">
      <c r="A16" s="67" t="s">
        <v>529</v>
      </c>
      <c r="D16" s="52">
        <f>'Allocation by Rate'!M261</f>
        <v>6500412.5369870951</v>
      </c>
      <c r="E16" s="52">
        <f>'Allocation by Rate'!M273</f>
        <v>16641252.895726735</v>
      </c>
      <c r="F16" s="51">
        <f t="shared" si="0"/>
        <v>0.39062038043159114</v>
      </c>
    </row>
    <row r="17" spans="1:6" ht="13" x14ac:dyDescent="0.3">
      <c r="A17" s="67"/>
      <c r="F17" s="51"/>
    </row>
    <row r="18" spans="1:6" ht="13" x14ac:dyDescent="0.3">
      <c r="A18" s="67" t="s">
        <v>1</v>
      </c>
      <c r="D18" s="50">
        <f>SUM(D10:D17)</f>
        <v>108578598.23700002</v>
      </c>
      <c r="E18" s="50">
        <f>SUM(E10:E17)</f>
        <v>3265972555.1229711</v>
      </c>
      <c r="F18" s="51">
        <f t="shared" si="0"/>
        <v>3.3245410487814646E-2</v>
      </c>
    </row>
    <row r="19" spans="1:6" x14ac:dyDescent="0.25">
      <c r="F19" s="51"/>
    </row>
    <row r="20" spans="1:6" ht="13" x14ac:dyDescent="0.3">
      <c r="A20" s="47" t="s">
        <v>835</v>
      </c>
      <c r="F20" s="51"/>
    </row>
    <row r="21" spans="1:6" x14ac:dyDescent="0.25">
      <c r="A21" t="s">
        <v>836</v>
      </c>
      <c r="F21" s="51"/>
    </row>
    <row r="22" spans="1:6" x14ac:dyDescent="0.25">
      <c r="A22" t="s">
        <v>837</v>
      </c>
      <c r="F22" s="51"/>
    </row>
    <row r="23" spans="1:6" x14ac:dyDescent="0.25">
      <c r="A23" s="75" t="s">
        <v>849</v>
      </c>
    </row>
    <row r="25" spans="1:6" ht="13" x14ac:dyDescent="0.3">
      <c r="A25" s="66" t="s">
        <v>843</v>
      </c>
      <c r="D25" s="49">
        <f>'Allocation by Rate'!G343</f>
        <v>38507844.21010828</v>
      </c>
      <c r="E25" s="49">
        <f>'Allocation by Rate'!G359</f>
        <v>1974303993.8684771</v>
      </c>
      <c r="F25" s="79">
        <f>D25/E25</f>
        <v>1.950451618884461E-2</v>
      </c>
    </row>
    <row r="26" spans="1:6" ht="13" x14ac:dyDescent="0.3">
      <c r="A26" s="66" t="s">
        <v>844</v>
      </c>
      <c r="D26" s="52">
        <f>'Allocation by Rate'!H343</f>
        <v>584993.9596410282</v>
      </c>
      <c r="E26" s="52">
        <f>'Allocation by Rate'!H359</f>
        <v>142785004.8603681</v>
      </c>
      <c r="F26" s="79">
        <f t="shared" ref="F26:F31" si="1">D26/E26</f>
        <v>4.0970265765169376E-3</v>
      </c>
    </row>
    <row r="27" spans="1:6" ht="13" x14ac:dyDescent="0.3">
      <c r="A27" s="66" t="s">
        <v>845</v>
      </c>
      <c r="D27" s="52">
        <f>'Allocation by Rate'!I343</f>
        <v>666151.1166850552</v>
      </c>
      <c r="E27" s="52">
        <f>'Allocation by Rate'!I359</f>
        <v>51174872.369945399</v>
      </c>
      <c r="F27" s="79">
        <f t="shared" si="1"/>
        <v>1.3017152478064224E-2</v>
      </c>
    </row>
    <row r="28" spans="1:6" ht="13" x14ac:dyDescent="0.3">
      <c r="A28" s="67" t="s">
        <v>846</v>
      </c>
      <c r="D28" s="52">
        <f>'Allocation by Rate'!J343</f>
        <v>-2013879.8967383914</v>
      </c>
      <c r="E28" s="52">
        <f>'Allocation by Rate'!J359</f>
        <v>83077216.946696043</v>
      </c>
      <c r="F28" s="79">
        <f t="shared" si="1"/>
        <v>-2.4241061156761376E-2</v>
      </c>
    </row>
    <row r="29" spans="1:6" ht="13" x14ac:dyDescent="0.3">
      <c r="A29" s="67" t="s">
        <v>847</v>
      </c>
      <c r="D29" s="52">
        <f>'Allocation by Rate'!K343</f>
        <v>-6347954.6159363948</v>
      </c>
      <c r="E29" s="52">
        <f>'Allocation by Rate'!K359</f>
        <v>224387219.45596588</v>
      </c>
      <c r="F29" s="79">
        <f t="shared" si="1"/>
        <v>-2.8290179054436423E-2</v>
      </c>
    </row>
    <row r="30" spans="1:6" ht="13" x14ac:dyDescent="0.3">
      <c r="A30" s="67" t="s">
        <v>848</v>
      </c>
      <c r="D30" s="52">
        <f>'Allocation by Rate'!L343</f>
        <v>113144.11565869488</v>
      </c>
      <c r="E30" s="52">
        <f>'Allocation by Rate'!L359</f>
        <v>10357394.80381141</v>
      </c>
      <c r="F30" s="51">
        <f t="shared" si="1"/>
        <v>1.0923993707091195E-2</v>
      </c>
    </row>
    <row r="31" spans="1:6" ht="13" x14ac:dyDescent="0.3">
      <c r="A31" s="67" t="s">
        <v>529</v>
      </c>
      <c r="D31" s="52">
        <f>'Allocation by Rate'!M343</f>
        <v>4892370.3475816939</v>
      </c>
      <c r="E31" s="52">
        <f>'Allocation by Rate'!M359</f>
        <v>16584764.877707418</v>
      </c>
      <c r="F31" s="51">
        <f t="shared" si="1"/>
        <v>0.29499184243231713</v>
      </c>
    </row>
    <row r="32" spans="1:6" ht="13" x14ac:dyDescent="0.3">
      <c r="A32" s="67"/>
      <c r="F32" s="51"/>
    </row>
    <row r="33" spans="1:6" ht="13" x14ac:dyDescent="0.3">
      <c r="A33" s="67" t="s">
        <v>1</v>
      </c>
      <c r="D33" s="50">
        <f>SUM(D25:D32)</f>
        <v>36402669.236999966</v>
      </c>
      <c r="E33" s="50">
        <f>SUM(E25:E32)</f>
        <v>2502670467.1829715</v>
      </c>
      <c r="F33" s="51">
        <f t="shared" ref="F33" si="2">D33/E33</f>
        <v>1.4545530350216319E-2</v>
      </c>
    </row>
    <row r="35" spans="1:6" ht="13" x14ac:dyDescent="0.3">
      <c r="A35" s="47" t="s">
        <v>835</v>
      </c>
      <c r="F35" s="51"/>
    </row>
    <row r="36" spans="1:6" x14ac:dyDescent="0.25">
      <c r="A36" t="s">
        <v>836</v>
      </c>
      <c r="F36" s="51"/>
    </row>
    <row r="37" spans="1:6" x14ac:dyDescent="0.25">
      <c r="A37" t="s">
        <v>837</v>
      </c>
      <c r="F37" s="51"/>
    </row>
    <row r="38" spans="1:6" x14ac:dyDescent="0.25">
      <c r="A38" s="75" t="s">
        <v>850</v>
      </c>
    </row>
    <row r="40" spans="1:6" ht="13" x14ac:dyDescent="0.3">
      <c r="A40" s="66" t="s">
        <v>843</v>
      </c>
      <c r="D40" s="49">
        <f>'Allocation by Rate'!G387</f>
        <v>94082388.942054629</v>
      </c>
      <c r="E40" s="49">
        <f t="shared" ref="E40:E46" si="3">E25</f>
        <v>1974303993.8684771</v>
      </c>
      <c r="F40" s="51">
        <f>D40/E40</f>
        <v>4.7653446092518086E-2</v>
      </c>
    </row>
    <row r="41" spans="1:6" ht="13" x14ac:dyDescent="0.3">
      <c r="A41" s="66" t="s">
        <v>844</v>
      </c>
      <c r="D41" s="52">
        <f>'Allocation by Rate'!H387</f>
        <v>7475857.5647128159</v>
      </c>
      <c r="E41" s="52">
        <f t="shared" si="3"/>
        <v>142785004.8603681</v>
      </c>
      <c r="F41" s="51">
        <f t="shared" ref="F41:F46" si="4">D41/E41</f>
        <v>5.2357441679702882E-2</v>
      </c>
    </row>
    <row r="42" spans="1:6" ht="13" x14ac:dyDescent="0.3">
      <c r="A42" s="66" t="s">
        <v>845</v>
      </c>
      <c r="D42" s="52">
        <f>'Allocation by Rate'!I387</f>
        <v>3386941.4416835727</v>
      </c>
      <c r="E42" s="52">
        <f t="shared" si="3"/>
        <v>51174872.369945399</v>
      </c>
      <c r="F42" s="51">
        <f t="shared" si="4"/>
        <v>6.6183681264492936E-2</v>
      </c>
    </row>
    <row r="43" spans="1:6" ht="13" x14ac:dyDescent="0.3">
      <c r="A43" s="67" t="s">
        <v>846</v>
      </c>
      <c r="D43" s="52">
        <f>'Allocation by Rate'!J387</f>
        <v>3008894.0732264859</v>
      </c>
      <c r="E43" s="52">
        <f t="shared" si="3"/>
        <v>83077216.946696043</v>
      </c>
      <c r="F43" s="51">
        <f t="shared" si="4"/>
        <v>3.6218041285098063E-2</v>
      </c>
    </row>
    <row r="44" spans="1:6" ht="13" x14ac:dyDescent="0.3">
      <c r="A44" s="67" t="s">
        <v>847</v>
      </c>
      <c r="D44" s="52">
        <f>'Allocation by Rate'!K387</f>
        <v>2703772.847400134</v>
      </c>
      <c r="E44" s="52">
        <f t="shared" si="3"/>
        <v>224387219.45596588</v>
      </c>
      <c r="F44" s="51">
        <f t="shared" si="4"/>
        <v>1.2049584882577178E-2</v>
      </c>
    </row>
    <row r="45" spans="1:6" ht="13" x14ac:dyDescent="0.3">
      <c r="A45" s="67" t="s">
        <v>848</v>
      </c>
      <c r="D45" s="52">
        <f>'Allocation by Rate'!L387</f>
        <v>112741.60422689575</v>
      </c>
      <c r="E45" s="52">
        <f t="shared" si="3"/>
        <v>10357394.80381141</v>
      </c>
      <c r="F45" s="51">
        <f t="shared" si="4"/>
        <v>1.0885131479723845E-2</v>
      </c>
    </row>
    <row r="46" spans="1:6" ht="13" x14ac:dyDescent="0.3">
      <c r="A46" s="67" t="s">
        <v>529</v>
      </c>
      <c r="D46" s="52">
        <f>'Allocation by Rate'!M387</f>
        <v>5240237.0436954191</v>
      </c>
      <c r="E46" s="52">
        <f t="shared" si="3"/>
        <v>16584764.877707418</v>
      </c>
      <c r="F46" s="51">
        <f t="shared" si="4"/>
        <v>0.31596691797175475</v>
      </c>
    </row>
    <row r="47" spans="1:6" ht="13" x14ac:dyDescent="0.3">
      <c r="A47" s="67"/>
      <c r="F47" s="51"/>
    </row>
    <row r="48" spans="1:6" ht="13" x14ac:dyDescent="0.3">
      <c r="A48" s="67" t="s">
        <v>1</v>
      </c>
      <c r="D48" s="50">
        <f>SUM(D40:D47)</f>
        <v>116010833.51699996</v>
      </c>
      <c r="E48" s="50">
        <f>SUM(E40:E47)</f>
        <v>2502670467.1829715</v>
      </c>
      <c r="F48" s="51">
        <f t="shared" ref="F48" si="5">D48/E48</f>
        <v>4.6354817798918133E-2</v>
      </c>
    </row>
    <row r="53" spans="1:7" ht="13" x14ac:dyDescent="0.3">
      <c r="A53" s="47" t="s">
        <v>835</v>
      </c>
      <c r="D53" s="75"/>
    </row>
    <row r="54" spans="1:7" x14ac:dyDescent="0.25">
      <c r="A54" s="75" t="s">
        <v>851</v>
      </c>
      <c r="D54" s="75" t="s">
        <v>852</v>
      </c>
      <c r="E54" s="75" t="s">
        <v>853</v>
      </c>
      <c r="F54" s="75" t="s">
        <v>854</v>
      </c>
      <c r="G54" s="81"/>
    </row>
    <row r="56" spans="1:7" ht="13" x14ac:dyDescent="0.3">
      <c r="A56" s="80" t="str">
        <f>A40</f>
        <v>Schedule E</v>
      </c>
      <c r="D56" s="49">
        <f>'Allocation by Rate'!G364</f>
        <v>53010657.705341354</v>
      </c>
      <c r="E56" s="51">
        <f>'Allocation by Rate'!G365</f>
        <v>6.6082682369074178E-2</v>
      </c>
      <c r="F56" s="51">
        <f>'Allocation by Rate'!G368</f>
        <v>6.942977129576082E-2</v>
      </c>
      <c r="G56" s="55"/>
    </row>
    <row r="57" spans="1:7" ht="13" x14ac:dyDescent="0.3">
      <c r="A57" s="80" t="str">
        <f t="shared" ref="A57:A62" si="6">A41</f>
        <v>Schedule B</v>
      </c>
      <c r="D57" s="52">
        <f>'Allocation by Rate'!H364</f>
        <v>6033778.925078975</v>
      </c>
      <c r="E57" s="51">
        <f>'Allocation by Rate'!H365</f>
        <v>7.8716812371890807E-2</v>
      </c>
      <c r="F57" s="51">
        <f>'Allocation by Rate'!H368</f>
        <v>0.09</v>
      </c>
      <c r="G57" s="55"/>
    </row>
    <row r="58" spans="1:7" ht="13" x14ac:dyDescent="0.3">
      <c r="A58" s="80" t="str">
        <f t="shared" si="6"/>
        <v>Schedule C</v>
      </c>
      <c r="D58" s="52">
        <f>'Allocation by Rate'!I364</f>
        <v>1706050.7679066537</v>
      </c>
      <c r="E58" s="51">
        <f>'Allocation by Rate'!I365</f>
        <v>5.6376635336589487E-2</v>
      </c>
      <c r="F58" s="51">
        <f>'Allocation by Rate'!I368</f>
        <v>0.09</v>
      </c>
      <c r="G58" s="55"/>
    </row>
    <row r="59" spans="1:7" ht="13" x14ac:dyDescent="0.3">
      <c r="A59" s="80" t="str">
        <f t="shared" si="6"/>
        <v>Schedule G</v>
      </c>
      <c r="D59" s="52">
        <f>'Allocation by Rate'!J364</f>
        <v>5864909.1515436806</v>
      </c>
      <c r="E59" s="51">
        <f>'Allocation by Rate'!J365</f>
        <v>0.12833317898108237</v>
      </c>
      <c r="F59" s="51">
        <f>'Allocation by Rate'!J368</f>
        <v>0.11</v>
      </c>
      <c r="G59" s="55"/>
    </row>
    <row r="60" spans="1:7" ht="13" x14ac:dyDescent="0.3">
      <c r="A60" s="80" t="str">
        <f t="shared" si="6"/>
        <v>Large Special Contract</v>
      </c>
      <c r="D60" s="52">
        <f>'Allocation by Rate'!K364</f>
        <v>16749383.29022355</v>
      </c>
      <c r="E60" s="51">
        <f>'Allocation by Rate'!K365</f>
        <v>0.20327173494655595</v>
      </c>
      <c r="F60" s="51">
        <f>'Allocation by Rate'!K368</f>
        <v>0.11</v>
      </c>
      <c r="G60" s="55"/>
    </row>
    <row r="61" spans="1:7" ht="13" x14ac:dyDescent="0.3">
      <c r="A61" s="80" t="str">
        <f t="shared" si="6"/>
        <v>Special Contract - Pumping Stations</v>
      </c>
      <c r="D61" s="52">
        <f>'Allocation by Rate'!L364</f>
        <v>366971.03334344446</v>
      </c>
      <c r="E61" s="51">
        <f>'Allocation by Rate'!L365</f>
        <v>2.786595518034404E-2</v>
      </c>
      <c r="F61" s="51">
        <v>0</v>
      </c>
      <c r="G61" s="55"/>
    </row>
    <row r="62" spans="1:7" ht="13" x14ac:dyDescent="0.3">
      <c r="A62" s="80" t="str">
        <f t="shared" si="6"/>
        <v>Steam Service</v>
      </c>
      <c r="D62" s="52">
        <f>'Allocation by Rate'!M364</f>
        <v>-4123586.5934376698</v>
      </c>
      <c r="E62" s="51">
        <f>'Allocation by Rate'!M365</f>
        <v>-0.29567169082573386</v>
      </c>
      <c r="F62" s="51">
        <v>2.5000000000000001E-2</v>
      </c>
      <c r="G62" s="55"/>
    </row>
    <row r="63" spans="1:7" x14ac:dyDescent="0.25">
      <c r="A63" s="75" t="s">
        <v>1</v>
      </c>
      <c r="D63" s="49">
        <f>'Allocation by Rate'!F364</f>
        <v>79608164.279999986</v>
      </c>
      <c r="E63" s="51">
        <f>'Allocation by Rate'!F365</f>
        <v>7.4797524328446371E-2</v>
      </c>
      <c r="F63" s="51">
        <f>SUM('Allocation by Rate'!G367:M367)/'Allocation by Rate'!F238</f>
        <v>7.4937811414766992E-2</v>
      </c>
    </row>
    <row r="64" spans="1:7" x14ac:dyDescent="0.25">
      <c r="A64" s="75"/>
      <c r="D64" s="50"/>
      <c r="F64" s="55"/>
    </row>
  </sheetData>
  <phoneticPr fontId="9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EE8C0-CA06-48A5-8E39-B3A2BA5C7BAF}">
  <dimension ref="B2:L68"/>
  <sheetViews>
    <sheetView workbookViewId="0">
      <selection activeCell="J5" sqref="J5:J6"/>
    </sheetView>
  </sheetViews>
  <sheetFormatPr defaultRowHeight="12.5" x14ac:dyDescent="0.25"/>
  <cols>
    <col min="1" max="1" width="5.26953125" bestFit="1" customWidth="1"/>
    <col min="2" max="2" width="21.26953125" customWidth="1"/>
    <col min="3" max="3" width="7.26953125" bestFit="1" customWidth="1"/>
    <col min="4" max="4" width="9.453125" customWidth="1"/>
    <col min="5" max="8" width="15.1796875" customWidth="1"/>
    <col min="9" max="9" width="3" customWidth="1"/>
    <col min="10" max="11" width="15.1796875" customWidth="1"/>
    <col min="13" max="13" width="15.26953125" customWidth="1"/>
    <col min="14" max="14" width="20.1796875" bestFit="1" customWidth="1"/>
    <col min="15" max="15" width="14" customWidth="1"/>
    <col min="17" max="17" width="13.54296875" customWidth="1"/>
  </cols>
  <sheetData>
    <row r="2" spans="2:12" ht="22.5" customHeight="1" thickBot="1" x14ac:dyDescent="0.3">
      <c r="E2" s="84"/>
      <c r="F2" s="84"/>
      <c r="G2" s="85"/>
      <c r="H2" s="85"/>
      <c r="I2" s="84"/>
      <c r="J2" s="84"/>
      <c r="K2" s="84"/>
      <c r="L2" s="84"/>
    </row>
    <row r="3" spans="2:12" ht="22.5" customHeight="1" x14ac:dyDescent="0.25">
      <c r="B3" s="280" t="s">
        <v>855</v>
      </c>
      <c r="C3" s="282" t="s">
        <v>856</v>
      </c>
      <c r="D3" s="284" t="s">
        <v>857</v>
      </c>
      <c r="E3" s="286" t="s">
        <v>858</v>
      </c>
      <c r="F3" s="288" t="s">
        <v>859</v>
      </c>
      <c r="G3" s="290" t="s">
        <v>860</v>
      </c>
      <c r="H3" s="266" t="s">
        <v>861</v>
      </c>
      <c r="I3" s="84"/>
      <c r="J3" s="268" t="s">
        <v>862</v>
      </c>
      <c r="K3" s="268" t="s">
        <v>863</v>
      </c>
      <c r="L3" s="84"/>
    </row>
    <row r="4" spans="2:12" ht="15.75" customHeight="1" thickBot="1" x14ac:dyDescent="0.3">
      <c r="B4" s="281"/>
      <c r="C4" s="283"/>
      <c r="D4" s="285"/>
      <c r="E4" s="287"/>
      <c r="F4" s="289"/>
      <c r="G4" s="291"/>
      <c r="H4" s="267"/>
      <c r="J4" s="269"/>
      <c r="K4" s="270"/>
    </row>
    <row r="5" spans="2:12" ht="15.75" customHeight="1" x14ac:dyDescent="0.25">
      <c r="B5" s="271" t="s">
        <v>864</v>
      </c>
      <c r="C5" s="273" t="s">
        <v>865</v>
      </c>
      <c r="D5" s="275">
        <v>1142</v>
      </c>
      <c r="E5" s="276">
        <v>4</v>
      </c>
      <c r="F5" s="277">
        <v>1440218</v>
      </c>
      <c r="G5" s="278">
        <v>793724</v>
      </c>
      <c r="H5" s="279">
        <f>F5-G5</f>
        <v>646494</v>
      </c>
      <c r="J5" s="292">
        <f>F5/E5</f>
        <v>360054.5</v>
      </c>
      <c r="K5" s="294">
        <f>H5/E5</f>
        <v>161623.5</v>
      </c>
    </row>
    <row r="6" spans="2:12" ht="15.75" customHeight="1" x14ac:dyDescent="0.25">
      <c r="B6" s="272"/>
      <c r="C6" s="274"/>
      <c r="D6" s="275"/>
      <c r="E6" s="276"/>
      <c r="F6" s="277"/>
      <c r="G6" s="278"/>
      <c r="H6" s="279"/>
      <c r="J6" s="293"/>
      <c r="K6" s="295"/>
    </row>
    <row r="7" spans="2:12" ht="15.75" customHeight="1" x14ac:dyDescent="0.25">
      <c r="B7" s="272" t="s">
        <v>866</v>
      </c>
      <c r="C7" s="273" t="s">
        <v>867</v>
      </c>
      <c r="D7" s="275">
        <v>2874</v>
      </c>
      <c r="E7" s="276">
        <v>41</v>
      </c>
      <c r="F7" s="277">
        <v>35511386</v>
      </c>
      <c r="G7" s="278">
        <v>11579420</v>
      </c>
      <c r="H7" s="279">
        <f t="shared" ref="H7" si="0">F7-G7</f>
        <v>23931966</v>
      </c>
      <c r="J7" s="293">
        <f>F7/E7</f>
        <v>866131.36585365853</v>
      </c>
      <c r="K7" s="295">
        <f>H7/E7</f>
        <v>583706.48780487804</v>
      </c>
    </row>
    <row r="8" spans="2:12" ht="15.75" customHeight="1" x14ac:dyDescent="0.25">
      <c r="B8" s="272"/>
      <c r="C8" s="274"/>
      <c r="D8" s="275"/>
      <c r="E8" s="276"/>
      <c r="F8" s="277"/>
      <c r="G8" s="278"/>
      <c r="H8" s="279"/>
      <c r="J8" s="293"/>
      <c r="K8" s="295"/>
    </row>
    <row r="9" spans="2:12" ht="15.75" customHeight="1" x14ac:dyDescent="0.25">
      <c r="B9" s="272" t="s">
        <v>868</v>
      </c>
      <c r="C9" s="273" t="s">
        <v>869</v>
      </c>
      <c r="D9" s="275">
        <v>3457</v>
      </c>
      <c r="E9" s="276">
        <v>262</v>
      </c>
      <c r="F9" s="277">
        <v>231499504</v>
      </c>
      <c r="G9" s="278">
        <v>82138245</v>
      </c>
      <c r="H9" s="279">
        <f t="shared" ref="H9" si="1">F9-G9</f>
        <v>149361259</v>
      </c>
      <c r="J9" s="293">
        <f>F9/E9</f>
        <v>883585.89312977099</v>
      </c>
      <c r="K9" s="295">
        <f>H9/E9</f>
        <v>570081.14122137404</v>
      </c>
    </row>
    <row r="10" spans="2:12" ht="15.75" customHeight="1" x14ac:dyDescent="0.25">
      <c r="B10" s="272"/>
      <c r="C10" s="274"/>
      <c r="D10" s="275"/>
      <c r="E10" s="276"/>
      <c r="F10" s="277"/>
      <c r="G10" s="278"/>
      <c r="H10" s="279"/>
      <c r="J10" s="293"/>
      <c r="K10" s="295"/>
    </row>
    <row r="11" spans="2:12" ht="15.75" customHeight="1" x14ac:dyDescent="0.25">
      <c r="B11" s="272" t="s">
        <v>870</v>
      </c>
      <c r="C11" s="273" t="s">
        <v>871</v>
      </c>
      <c r="D11" s="275">
        <v>5576</v>
      </c>
      <c r="E11" s="276">
        <v>67</v>
      </c>
      <c r="F11" s="277">
        <v>80841036</v>
      </c>
      <c r="G11" s="278">
        <v>28310868</v>
      </c>
      <c r="H11" s="279">
        <f t="shared" ref="H11" si="2">F11-G11</f>
        <v>52530168</v>
      </c>
      <c r="J11" s="293">
        <f>F11/E11</f>
        <v>1206582.6268656717</v>
      </c>
      <c r="K11" s="295">
        <f>H11/E11</f>
        <v>784032.35820895527</v>
      </c>
    </row>
    <row r="12" spans="2:12" ht="15.75" customHeight="1" thickBot="1" x14ac:dyDescent="0.3">
      <c r="B12" s="299"/>
      <c r="C12" s="300"/>
      <c r="D12" s="301"/>
      <c r="E12" s="302"/>
      <c r="F12" s="303"/>
      <c r="G12" s="304"/>
      <c r="H12" s="296"/>
      <c r="J12" s="297"/>
      <c r="K12" s="298"/>
    </row>
    <row r="13" spans="2:12" ht="15.75" customHeight="1" thickBot="1" x14ac:dyDescent="0.3">
      <c r="B13" s="83"/>
      <c r="C13" s="82"/>
      <c r="D13" s="82"/>
      <c r="E13" s="82"/>
      <c r="F13" s="86"/>
      <c r="G13" s="86"/>
      <c r="H13" s="86"/>
      <c r="J13" s="86"/>
      <c r="K13" s="86"/>
    </row>
    <row r="14" spans="2:12" ht="15.75" customHeight="1" x14ac:dyDescent="0.25">
      <c r="B14" s="271" t="s">
        <v>1</v>
      </c>
      <c r="D14" s="74"/>
      <c r="E14" s="305">
        <f>SUM(E5:E12)</f>
        <v>374</v>
      </c>
      <c r="F14" s="307">
        <f t="shared" ref="F14:H14" si="3">SUM(F5:F12)</f>
        <v>349292144</v>
      </c>
      <c r="G14" s="307">
        <f t="shared" si="3"/>
        <v>122822257</v>
      </c>
      <c r="H14" s="308">
        <f t="shared" si="3"/>
        <v>226469887</v>
      </c>
      <c r="J14" s="292">
        <f>F14/E14</f>
        <v>933936.21390374331</v>
      </c>
      <c r="K14" s="294">
        <f>H14/E14</f>
        <v>605534.45721925132</v>
      </c>
    </row>
    <row r="15" spans="2:12" ht="15.75" customHeight="1" thickBot="1" x14ac:dyDescent="0.3">
      <c r="B15" s="299"/>
      <c r="D15" s="74"/>
      <c r="E15" s="306"/>
      <c r="F15" s="303"/>
      <c r="G15" s="303"/>
      <c r="H15" s="309"/>
      <c r="J15" s="297"/>
      <c r="K15" s="298"/>
    </row>
    <row r="16" spans="2:12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</sheetData>
  <mergeCells count="52">
    <mergeCell ref="J14:J15"/>
    <mergeCell ref="K14:K15"/>
    <mergeCell ref="B11:B12"/>
    <mergeCell ref="C11:C12"/>
    <mergeCell ref="D11:D12"/>
    <mergeCell ref="E11:E12"/>
    <mergeCell ref="F11:F12"/>
    <mergeCell ref="G11:G12"/>
    <mergeCell ref="B14:B15"/>
    <mergeCell ref="E14:E15"/>
    <mergeCell ref="F14:F15"/>
    <mergeCell ref="G14:G15"/>
    <mergeCell ref="H14:H15"/>
    <mergeCell ref="G9:G10"/>
    <mergeCell ref="H9:H10"/>
    <mergeCell ref="J9:J10"/>
    <mergeCell ref="K9:K10"/>
    <mergeCell ref="H11:H12"/>
    <mergeCell ref="J11:J12"/>
    <mergeCell ref="K11:K12"/>
    <mergeCell ref="B9:B10"/>
    <mergeCell ref="C9:C10"/>
    <mergeCell ref="D9:D10"/>
    <mergeCell ref="E9:E10"/>
    <mergeCell ref="F9:F10"/>
    <mergeCell ref="J5:J6"/>
    <mergeCell ref="K5:K6"/>
    <mergeCell ref="B7:B8"/>
    <mergeCell ref="C7:C8"/>
    <mergeCell ref="D7:D8"/>
    <mergeCell ref="E7:E8"/>
    <mergeCell ref="F7:F8"/>
    <mergeCell ref="G7:G8"/>
    <mergeCell ref="H7:H8"/>
    <mergeCell ref="J7:J8"/>
    <mergeCell ref="K7:K8"/>
    <mergeCell ref="H3:H4"/>
    <mergeCell ref="J3:J4"/>
    <mergeCell ref="K3:K4"/>
    <mergeCell ref="B5:B6"/>
    <mergeCell ref="C5:C6"/>
    <mergeCell ref="D5:D6"/>
    <mergeCell ref="E5:E6"/>
    <mergeCell ref="F5:F6"/>
    <mergeCell ref="G5:G6"/>
    <mergeCell ref="H5:H6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21051-5ABB-4723-8049-97EFDCB2F53E}">
  <dimension ref="A2:AK524"/>
  <sheetViews>
    <sheetView zoomScale="75" zoomScaleNormal="75" zoomScaleSheetLayoutView="100" workbookViewId="0">
      <pane xSplit="6" ySplit="4" topLeftCell="G328" activePane="bottomRight" state="frozen"/>
      <selection pane="topRight" activeCell="G1" sqref="G1"/>
      <selection pane="bottomLeft" activeCell="A4" sqref="A4"/>
      <selection pane="bottomRight" activeCell="G364" sqref="G364"/>
    </sheetView>
  </sheetViews>
  <sheetFormatPr defaultColWidth="9.1796875" defaultRowHeight="14" x14ac:dyDescent="0.3"/>
  <cols>
    <col min="1" max="1" width="7.54296875" style="2" customWidth="1"/>
    <col min="2" max="2" width="50.453125" style="2" customWidth="1"/>
    <col min="3" max="3" width="12.54296875" style="2" customWidth="1"/>
    <col min="4" max="5" width="15.54296875" style="2" bestFit="1" customWidth="1"/>
    <col min="6" max="6" width="21.26953125" style="2" customWidth="1"/>
    <col min="7" max="10" width="22.54296875" style="2" customWidth="1"/>
    <col min="11" max="11" width="25.54296875" style="2" customWidth="1"/>
    <col min="12" max="12" width="24.453125" style="2" customWidth="1"/>
    <col min="13" max="13" width="22.453125" style="2" customWidth="1"/>
    <col min="14" max="28" width="22.54296875" style="2" hidden="1" customWidth="1"/>
    <col min="29" max="29" width="16" style="2" hidden="1" customWidth="1"/>
    <col min="30" max="30" width="15.26953125" style="2" hidden="1" customWidth="1"/>
    <col min="31" max="31" width="15" style="2" hidden="1" customWidth="1"/>
    <col min="32" max="32" width="15.26953125" style="2" hidden="1" customWidth="1"/>
    <col min="33" max="33" width="15.54296875" style="2" hidden="1" customWidth="1"/>
    <col min="34" max="34" width="22.54296875" style="2" customWidth="1"/>
    <col min="35" max="35" width="10.54296875" style="2" customWidth="1"/>
    <col min="36" max="16384" width="9.1796875" style="2"/>
  </cols>
  <sheetData>
    <row r="2" spans="1:35" ht="15.5" x14ac:dyDescent="0.35">
      <c r="A2" s="243" t="s">
        <v>1060</v>
      </c>
    </row>
    <row r="3" spans="1:35" ht="15.5" x14ac:dyDescent="0.35">
      <c r="A3" s="244" t="s">
        <v>1061</v>
      </c>
      <c r="B3" s="1"/>
      <c r="C3" s="1"/>
      <c r="D3" s="1"/>
      <c r="E3" s="1"/>
    </row>
    <row r="4" spans="1:35" ht="14.5" thickBot="1" x14ac:dyDescent="0.35">
      <c r="A4" s="8" t="s">
        <v>7</v>
      </c>
      <c r="B4" s="8"/>
      <c r="C4" s="12" t="s">
        <v>523</v>
      </c>
      <c r="D4" s="9" t="s">
        <v>8</v>
      </c>
      <c r="E4" s="9" t="s">
        <v>9</v>
      </c>
      <c r="F4" s="10" t="s">
        <v>10</v>
      </c>
      <c r="G4" s="10" t="s">
        <v>524</v>
      </c>
      <c r="H4" s="10" t="s">
        <v>525</v>
      </c>
      <c r="I4" s="10" t="s">
        <v>526</v>
      </c>
      <c r="J4" s="10" t="s">
        <v>527</v>
      </c>
      <c r="K4" s="10" t="s">
        <v>522</v>
      </c>
      <c r="L4" s="10" t="s">
        <v>528</v>
      </c>
      <c r="M4" s="10" t="s">
        <v>529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 t="s">
        <v>20</v>
      </c>
      <c r="AI4" s="10" t="s">
        <v>21</v>
      </c>
    </row>
    <row r="5" spans="1:35" x14ac:dyDescent="0.3">
      <c r="A5" s="16" t="s">
        <v>22</v>
      </c>
    </row>
    <row r="7" spans="1:35" x14ac:dyDescent="0.3">
      <c r="A7" s="3" t="s">
        <v>530</v>
      </c>
    </row>
    <row r="8" spans="1:35" x14ac:dyDescent="0.3">
      <c r="A8" s="21" t="s">
        <v>531</v>
      </c>
      <c r="C8" s="2" t="s">
        <v>47</v>
      </c>
      <c r="D8" s="2" t="s">
        <v>532</v>
      </c>
      <c r="E8" s="2" t="s">
        <v>533</v>
      </c>
      <c r="F8" s="18">
        <f>VLOOKUP(C8,'Functional Assignment'!$C$1:$AU$563,6,)</f>
        <v>1609295237.0612528</v>
      </c>
      <c r="G8" s="18">
        <f>IF(VLOOKUP($E8,$D$5:$AI$471,3,)=0,0,(VLOOKUP($E8,$D$5:$AI$471,4,)/VLOOKUP($E8,$D$5:$AI$471,3,))*$F8)</f>
        <v>1326343474.904031</v>
      </c>
      <c r="H8" s="18">
        <f>IF(VLOOKUP($E8,$D$5:$AI$471,3,)=0,0,(VLOOKUP($E8,$D$5:$AI$471,5,)/VLOOKUP($E8,$D$5:$AI$471,3,))*$F8)</f>
        <v>66123626.570762306</v>
      </c>
      <c r="I8" s="18">
        <f>IF(VLOOKUP($E8,$D$5:$AI$471,3,)=0,0,(VLOOKUP($E8,$D$5:$AI$471,6,)/VLOOKUP($E8,$D$5:$AI$471,3,))*$F8)</f>
        <v>16166599.062785739</v>
      </c>
      <c r="J8" s="18">
        <f>IF(VLOOKUP($E8,$D$5:$AI$471,3,)=0,0,(VLOOKUP($E8,$D$5:$AI$471,7,)/VLOOKUP($E8,$D$5:$AI$471,3,))*$F8)</f>
        <v>34950030.365476564</v>
      </c>
      <c r="K8" s="18">
        <f>IF(VLOOKUP($E8,$D$5:$AI$471,3,)=0,0,(VLOOKUP($E8,$D$5:$AI$471,8,)/VLOOKUP($E8,$D$5:$AI$471,3,))*$F8)</f>
        <v>165711506.15819654</v>
      </c>
      <c r="L8" s="18">
        <f>IF(VLOOKUP($E8,$D$5:$AI$471,3,)=0,0,(VLOOKUP($E8,$D$5:$AI$471,9,)/VLOOKUP($E8,$D$5:$AI$471,3,))*$F8)</f>
        <v>0</v>
      </c>
      <c r="M8" s="18">
        <f>IF(VLOOKUP($E8,$D$5:$AI$471,3,)=0,0,(VLOOKUP($E8,$D$5:$AI$471,10,)/VLOOKUP($E8,$D$5:$AI$471,3,))*$F8)</f>
        <v>0</v>
      </c>
      <c r="N8" s="18">
        <f>IF(VLOOKUP($E8,$D$5:$AI$471,3,)=0,0,(VLOOKUP($E8,$D$5:$AI$471,11,)/VLOOKUP($E8,$D$5:$AI$471,3,))*$F8)</f>
        <v>0</v>
      </c>
      <c r="O8" s="18">
        <f>IF(VLOOKUP($E8,$D$5:$AI$471,3,)=0,0,(VLOOKUP($E8,$D$5:$AI$471,12,)/VLOOKUP($E8,$D$5:$AI$471,3,))*$F8)</f>
        <v>0</v>
      </c>
      <c r="P8" s="18">
        <f>IF(VLOOKUP($E8,$D$5:$AI$471,3,)=0,0,(VLOOKUP($E8,$D$5:$AI$471,13,)/VLOOKUP($E8,$D$5:$AI$471,3,))*$F8)</f>
        <v>0</v>
      </c>
      <c r="Q8" s="18">
        <f>IF(VLOOKUP($E8,$D$5:$AI$471,3,)=0,0,(VLOOKUP($E8,$D$5:$AI$471,14,)/VLOOKUP($E8,$D$5:$AI$471,3,))*$F8)</f>
        <v>0</v>
      </c>
      <c r="R8" s="18">
        <f>IF(VLOOKUP($E8,$D$5:$AI$471,3,)=0,0,(VLOOKUP($E8,$D$5:$AI$471,15,)/VLOOKUP($E8,$D$5:$AI$471,3,))*$F8)</f>
        <v>0</v>
      </c>
      <c r="S8" s="18">
        <f>IF(VLOOKUP($E8,$D$5:$AI$471,3,)=0,0,(VLOOKUP($E8,$D$5:$AI$471,16,)/VLOOKUP($E8,$D$5:$AI$471,3,))*$F8)</f>
        <v>0</v>
      </c>
      <c r="T8" s="18">
        <f>IF(VLOOKUP($E8,$D$5:$AI$471,3,)=0,0,(VLOOKUP($E8,$D$5:$AI$471,17,)/VLOOKUP($E8,$D$5:$AI$471,3,))*$F8)</f>
        <v>0</v>
      </c>
      <c r="U8" s="18">
        <f>IF(VLOOKUP($E8,$D$5:$AI$471,3,)=0,0,(VLOOKUP($E8,$D$5:$AI$471,18,)/VLOOKUP($E8,$D$5:$AI$471,3,))*$F8)</f>
        <v>0</v>
      </c>
      <c r="V8" s="18">
        <f>IF(VLOOKUP($E8,$D$5:$AI$471,3,)=0,0,(VLOOKUP($E8,$D$5:$AI$471,19,)/VLOOKUP($E8,$D$5:$AI$471,3,))*$F8)</f>
        <v>0</v>
      </c>
      <c r="W8" s="18">
        <f>IF(VLOOKUP($E8,$D$5:$AI$471,3,)=0,0,(VLOOKUP($E8,$D$5:$AI$471,20,)/VLOOKUP($E8,$D$5:$AI$471,3,))*$F8)</f>
        <v>0</v>
      </c>
      <c r="X8" s="18">
        <f>IF(VLOOKUP($E8,$D$5:$AI$471,3,)=0,0,(VLOOKUP($E8,$D$5:$AI$471,21,)/VLOOKUP($E8,$D$5:$AI$471,3,))*$F8)</f>
        <v>0</v>
      </c>
      <c r="Y8" s="18">
        <f>IF(VLOOKUP($E8,$D$5:$AI$471,3,)=0,0,(VLOOKUP($E8,$D$5:$AI$471,22,)/VLOOKUP($E8,$D$5:$AI$471,3,))*$F8)</f>
        <v>0</v>
      </c>
      <c r="Z8" s="18">
        <f>IF(VLOOKUP($E8,$D$5:$AI$471,3,)=0,0,(VLOOKUP($E8,$D$5:$AI$471,23,)/VLOOKUP($E8,$D$5:$AI$471,3,))*$F8)</f>
        <v>0</v>
      </c>
      <c r="AA8" s="18">
        <f>IF(VLOOKUP($E8,$D$5:$AI$471,3,)=0,0,(VLOOKUP($E8,$D$5:$AI$471,24,)/VLOOKUP($E8,$D$5:$AI$471,3,))*$F8)</f>
        <v>0</v>
      </c>
      <c r="AB8" s="18">
        <f>IF(VLOOKUP($E8,$D$5:$AI$471,3,)=0,0,(VLOOKUP($E8,$D$5:$AI$471,25,)/VLOOKUP($E8,$D$5:$AI$471,3,))*$F8)</f>
        <v>0</v>
      </c>
      <c r="AC8" s="18">
        <f>IF(VLOOKUP($E8,$D$5:$AI$471,3,)=0,0,(VLOOKUP($E8,$D$5:$AI$471,26,)/VLOOKUP($E8,$D$5:$AI$471,3,))*$F8)</f>
        <v>0</v>
      </c>
      <c r="AD8" s="18">
        <f>IF(VLOOKUP($E8,$D$5:$AI$471,3,)=0,0,(VLOOKUP($E8,$D$5:$AI$471,27,)/VLOOKUP($E8,$D$5:$AI$471,3,))*$F8)</f>
        <v>0</v>
      </c>
      <c r="AE8" s="18">
        <f>IF(VLOOKUP($E8,$D$5:$AI$471,3,)=0,0,(VLOOKUP($E8,$D$5:$AI$471,28,)/VLOOKUP($E8,$D$5:$AI$471,3,))*$F8)</f>
        <v>0</v>
      </c>
      <c r="AF8" s="18">
        <f>IF(VLOOKUP($E8,$D$5:$AI$471,3,)=0,0,(VLOOKUP($E8,$D$5:$AI$471,29,)/VLOOKUP($E8,$D$5:$AI$471,3,))*$F8)</f>
        <v>0</v>
      </c>
      <c r="AG8" s="18">
        <f>IF(VLOOKUP($E8,$D$5:$AI$471,3,)=0,0,(VLOOKUP($E8,$D$5:$AI$471,30,)/VLOOKUP($E8,$D$5:$AI$471,3,))*$F8)</f>
        <v>0</v>
      </c>
      <c r="AH8" s="20">
        <f t="shared" ref="AH8:AH13" si="0">SUM(G8:AG8)</f>
        <v>1609295237.0612521</v>
      </c>
      <c r="AI8" s="15" t="str">
        <f t="shared" ref="AI8:AI13" si="1">IF(ABS(F8-AH8)&lt;0.01,"ok","err")</f>
        <v>ok</v>
      </c>
    </row>
    <row r="9" spans="1:35" x14ac:dyDescent="0.3">
      <c r="A9" s="21" t="s">
        <v>534</v>
      </c>
      <c r="C9" s="2" t="s">
        <v>47</v>
      </c>
      <c r="D9" s="2" t="s">
        <v>535</v>
      </c>
      <c r="E9" s="2" t="s">
        <v>536</v>
      </c>
      <c r="F9" s="18">
        <f>VLOOKUP(C9,'Functional Assignment'!$C$1:$AU$563,7,)</f>
        <v>1985441276.3517647</v>
      </c>
      <c r="G9" s="18">
        <f>IF(VLOOKUP($E9,$D$5:$AI$471,3,)=0,0,(VLOOKUP($E9,$D$5:$AI$471,4,)/VLOOKUP($E9,$D$5:$AI$471,3,))*$F9)</f>
        <v>1436937995.4188931</v>
      </c>
      <c r="H9" s="18">
        <f>IF(VLOOKUP($E9,$D$5:$AI$471,3,)=0,0,(VLOOKUP($E9,$D$5:$AI$471,5,)/VLOOKUP($E9,$D$5:$AI$471,3,))*$F9)</f>
        <v>165805175.92975631</v>
      </c>
      <c r="I9" s="18">
        <f>IF(VLOOKUP($E9,$D$5:$AI$471,3,)=0,0,(VLOOKUP($E9,$D$5:$AI$471,6,)/VLOOKUP($E9,$D$5:$AI$471,3,))*$F9)</f>
        <v>67385084.567541212</v>
      </c>
      <c r="J9" s="18">
        <f>IF(VLOOKUP($E9,$D$5:$AI$471,3,)=0,0,(VLOOKUP($E9,$D$5:$AI$471,7,)/VLOOKUP($E9,$D$5:$AI$471,3,))*$F9)</f>
        <v>100019900.59081563</v>
      </c>
      <c r="K9" s="18">
        <f>IF(VLOOKUP($E9,$D$5:$AI$471,3,)=0,0,(VLOOKUP($E9,$D$5:$AI$471,8,)/VLOOKUP($E9,$D$5:$AI$471,3,))*$F9)</f>
        <v>215293119.8447583</v>
      </c>
      <c r="L9" s="18">
        <f>IF(VLOOKUP($E9,$D$5:$AI$471,3,)=0,0,(VLOOKUP($E9,$D$5:$AI$471,9,)/VLOOKUP($E9,$D$5:$AI$471,3,))*$F9)</f>
        <v>0</v>
      </c>
      <c r="M9" s="18">
        <f>IF(VLOOKUP($E9,$D$5:$AI$471,3,)=0,0,(VLOOKUP($E9,$D$5:$AI$471,10,)/VLOOKUP($E9,$D$5:$AI$471,3,))*$F9)</f>
        <v>0</v>
      </c>
      <c r="N9" s="18">
        <f>IF(VLOOKUP($E9,$D$5:$AI$471,3,)=0,0,(VLOOKUP($E9,$D$5:$AI$471,11,)/VLOOKUP($E9,$D$5:$AI$471,3,))*$F9)</f>
        <v>0</v>
      </c>
      <c r="O9" s="18">
        <f>IF(VLOOKUP($E9,$D$5:$AI$471,3,)=0,0,(VLOOKUP($E9,$D$5:$AI$471,12,)/VLOOKUP($E9,$D$5:$AI$471,3,))*$F9)</f>
        <v>0</v>
      </c>
      <c r="P9" s="18">
        <f>IF(VLOOKUP($E9,$D$5:$AI$471,3,)=0,0,(VLOOKUP($E9,$D$5:$AI$471,13,)/VLOOKUP($E9,$D$5:$AI$471,3,))*$F9)</f>
        <v>0</v>
      </c>
      <c r="Q9" s="18">
        <f>IF(VLOOKUP($E9,$D$5:$AI$471,3,)=0,0,(VLOOKUP($E9,$D$5:$AI$471,14,)/VLOOKUP($E9,$D$5:$AI$471,3,))*$F9)</f>
        <v>0</v>
      </c>
      <c r="R9" s="18">
        <f>IF(VLOOKUP($E9,$D$5:$AI$471,3,)=0,0,(VLOOKUP($E9,$D$5:$AI$471,15,)/VLOOKUP($E9,$D$5:$AI$471,3,))*$F9)</f>
        <v>0</v>
      </c>
      <c r="S9" s="18">
        <f>IF(VLOOKUP($E9,$D$5:$AI$471,3,)=0,0,(VLOOKUP($E9,$D$5:$AI$471,16,)/VLOOKUP($E9,$D$5:$AI$471,3,))*$F9)</f>
        <v>0</v>
      </c>
      <c r="T9" s="18">
        <f>IF(VLOOKUP($E9,$D$5:$AI$471,3,)=0,0,(VLOOKUP($E9,$D$5:$AI$471,17,)/VLOOKUP($E9,$D$5:$AI$471,3,))*$F9)</f>
        <v>0</v>
      </c>
      <c r="U9" s="18">
        <f>IF(VLOOKUP($E9,$D$5:$AI$471,3,)=0,0,(VLOOKUP($E9,$D$5:$AI$471,18,)/VLOOKUP($E9,$D$5:$AI$471,3,))*$F9)</f>
        <v>0</v>
      </c>
      <c r="V9" s="18">
        <f>IF(VLOOKUP($E9,$D$5:$AI$471,3,)=0,0,(VLOOKUP($E9,$D$5:$AI$471,19,)/VLOOKUP($E9,$D$5:$AI$471,3,))*$F9)</f>
        <v>0</v>
      </c>
      <c r="W9" s="18">
        <f>IF(VLOOKUP($E9,$D$5:$AI$471,3,)=0,0,(VLOOKUP($E9,$D$5:$AI$471,20,)/VLOOKUP($E9,$D$5:$AI$471,3,))*$F9)</f>
        <v>0</v>
      </c>
      <c r="X9" s="18">
        <f>IF(VLOOKUP($E9,$D$5:$AI$471,3,)=0,0,(VLOOKUP($E9,$D$5:$AI$471,21,)/VLOOKUP($E9,$D$5:$AI$471,3,))*$F9)</f>
        <v>0</v>
      </c>
      <c r="Y9" s="18">
        <f>IF(VLOOKUP($E9,$D$5:$AI$471,3,)=0,0,(VLOOKUP($E9,$D$5:$AI$471,22,)/VLOOKUP($E9,$D$5:$AI$471,3,))*$F9)</f>
        <v>0</v>
      </c>
      <c r="Z9" s="18">
        <f>IF(VLOOKUP($E9,$D$5:$AI$471,3,)=0,0,(VLOOKUP($E9,$D$5:$AI$471,23,)/VLOOKUP($E9,$D$5:$AI$471,3,))*$F9)</f>
        <v>0</v>
      </c>
      <c r="AA9" s="18">
        <f>IF(VLOOKUP($E9,$D$5:$AI$471,3,)=0,0,(VLOOKUP($E9,$D$5:$AI$471,24,)/VLOOKUP($E9,$D$5:$AI$471,3,))*$F9)</f>
        <v>0</v>
      </c>
      <c r="AB9" s="18">
        <f>IF(VLOOKUP($E9,$D$5:$AI$471,3,)=0,0,(VLOOKUP($E9,$D$5:$AI$471,25,)/VLOOKUP($E9,$D$5:$AI$471,3,))*$F9)</f>
        <v>0</v>
      </c>
      <c r="AC9" s="18">
        <f>IF(VLOOKUP($E9,$D$5:$AI$471,3,)=0,0,(VLOOKUP($E9,$D$5:$AI$471,26,)/VLOOKUP($E9,$D$5:$AI$471,3,))*$F9)</f>
        <v>0</v>
      </c>
      <c r="AD9" s="18">
        <f>IF(VLOOKUP($E9,$D$5:$AI$471,3,)=0,0,(VLOOKUP($E9,$D$5:$AI$471,27,)/VLOOKUP($E9,$D$5:$AI$471,3,))*$F9)</f>
        <v>0</v>
      </c>
      <c r="AE9" s="18">
        <f>IF(VLOOKUP($E9,$D$5:$AI$471,3,)=0,0,(VLOOKUP($E9,$D$5:$AI$471,28,)/VLOOKUP($E9,$D$5:$AI$471,3,))*$F9)</f>
        <v>0</v>
      </c>
      <c r="AF9" s="18">
        <f>IF(VLOOKUP($E9,$D$5:$AI$471,3,)=0,0,(VLOOKUP($E9,$D$5:$AI$471,29,)/VLOOKUP($E9,$D$5:$AI$471,3,))*$F9)</f>
        <v>0</v>
      </c>
      <c r="AG9" s="18">
        <f>IF(VLOOKUP($E9,$D$5:$AI$471,3,)=0,0,(VLOOKUP($E9,$D$5:$AI$471,30,)/VLOOKUP($E9,$D$5:$AI$471,3,))*$F9)</f>
        <v>0</v>
      </c>
      <c r="AH9" s="20">
        <f t="shared" si="0"/>
        <v>1985441276.3517644</v>
      </c>
      <c r="AI9" s="15" t="str">
        <f t="shared" si="1"/>
        <v>ok</v>
      </c>
    </row>
    <row r="10" spans="1:35" x14ac:dyDescent="0.3">
      <c r="A10" s="21" t="s">
        <v>537</v>
      </c>
      <c r="C10" s="2" t="s">
        <v>47</v>
      </c>
      <c r="D10" s="2" t="s">
        <v>538</v>
      </c>
      <c r="E10" s="2" t="s">
        <v>539</v>
      </c>
      <c r="F10" s="18">
        <f>VLOOKUP(C10,'Functional Assignment'!$C$1:$AU$563,8,)</f>
        <v>0</v>
      </c>
      <c r="G10" s="18">
        <f>IF(VLOOKUP($E10,$D$5:$AI$471,3,)=0,0,(VLOOKUP($E10,$D$5:$AI$471,4,)/VLOOKUP($E10,$D$5:$AI$471,3,))*$F10)</f>
        <v>0</v>
      </c>
      <c r="H10" s="18">
        <f>IF(VLOOKUP($E10,$D$5:$AI$471,3,)=0,0,(VLOOKUP($E10,$D$5:$AI$471,5,)/VLOOKUP($E10,$D$5:$AI$471,3,))*$F10)</f>
        <v>0</v>
      </c>
      <c r="I10" s="18">
        <f>IF(VLOOKUP($E10,$D$5:$AI$471,3,)=0,0,(VLOOKUP($E10,$D$5:$AI$471,6,)/VLOOKUP($E10,$D$5:$AI$471,3,))*$F10)</f>
        <v>0</v>
      </c>
      <c r="J10" s="18">
        <f>IF(VLOOKUP($E10,$D$5:$AI$471,3,)=0,0,(VLOOKUP($E10,$D$5:$AI$471,7,)/VLOOKUP($E10,$D$5:$AI$471,3,))*$F10)</f>
        <v>0</v>
      </c>
      <c r="K10" s="18">
        <f>IF(VLOOKUP($E10,$D$5:$AI$471,3,)=0,0,(VLOOKUP($E10,$D$5:$AI$471,8,)/VLOOKUP($E10,$D$5:$AI$471,3,))*$F10)</f>
        <v>0</v>
      </c>
      <c r="L10" s="18">
        <f>IF(VLOOKUP($E10,$D$5:$AI$471,3,)=0,0,(VLOOKUP($E10,$D$5:$AI$471,9,)/VLOOKUP($E10,$D$5:$AI$471,3,))*$F10)</f>
        <v>0</v>
      </c>
      <c r="M10" s="18">
        <f>IF(VLOOKUP($E10,$D$5:$AI$471,3,)=0,0,(VLOOKUP($E10,$D$5:$AI$471,10,)/VLOOKUP($E10,$D$5:$AI$471,3,))*$F10)</f>
        <v>0</v>
      </c>
      <c r="N10" s="18">
        <f>IF(VLOOKUP($E10,$D$5:$AI$471,3,)=0,0,(VLOOKUP($E10,$D$5:$AI$471,11,)/VLOOKUP($E10,$D$5:$AI$471,3,))*$F10)</f>
        <v>0</v>
      </c>
      <c r="O10" s="18">
        <f>IF(VLOOKUP($E10,$D$5:$AI$471,3,)=0,0,(VLOOKUP($E10,$D$5:$AI$471,12,)/VLOOKUP($E10,$D$5:$AI$471,3,))*$F10)</f>
        <v>0</v>
      </c>
      <c r="P10" s="18">
        <f>IF(VLOOKUP($E10,$D$5:$AI$471,3,)=0,0,(VLOOKUP($E10,$D$5:$AI$471,13,)/VLOOKUP($E10,$D$5:$AI$471,3,))*$F10)</f>
        <v>0</v>
      </c>
      <c r="Q10" s="18">
        <f>IF(VLOOKUP($E10,$D$5:$AI$471,3,)=0,0,(VLOOKUP($E10,$D$5:$AI$471,14,)/VLOOKUP($E10,$D$5:$AI$471,3,))*$F10)</f>
        <v>0</v>
      </c>
      <c r="R10" s="18">
        <f>IF(VLOOKUP($E10,$D$5:$AI$471,3,)=0,0,(VLOOKUP($E10,$D$5:$AI$471,15,)/VLOOKUP($E10,$D$5:$AI$471,3,))*$F10)</f>
        <v>0</v>
      </c>
      <c r="S10" s="18">
        <f>IF(VLOOKUP($E10,$D$5:$AI$471,3,)=0,0,(VLOOKUP($E10,$D$5:$AI$471,16,)/VLOOKUP($E10,$D$5:$AI$471,3,))*$F10)</f>
        <v>0</v>
      </c>
      <c r="T10" s="18">
        <f>IF(VLOOKUP($E10,$D$5:$AI$471,3,)=0,0,(VLOOKUP($E10,$D$5:$AI$471,17,)/VLOOKUP($E10,$D$5:$AI$471,3,))*$F10)</f>
        <v>0</v>
      </c>
      <c r="U10" s="18">
        <f>IF(VLOOKUP($E10,$D$5:$AI$471,3,)=0,0,(VLOOKUP($E10,$D$5:$AI$471,18,)/VLOOKUP($E10,$D$5:$AI$471,3,))*$F10)</f>
        <v>0</v>
      </c>
      <c r="V10" s="18">
        <f>IF(VLOOKUP($E10,$D$5:$AI$471,3,)=0,0,(VLOOKUP($E10,$D$5:$AI$471,19,)/VLOOKUP($E10,$D$5:$AI$471,3,))*$F10)</f>
        <v>0</v>
      </c>
      <c r="W10" s="18">
        <f>IF(VLOOKUP($E10,$D$5:$AI$471,3,)=0,0,(VLOOKUP($E10,$D$5:$AI$471,20,)/VLOOKUP($E10,$D$5:$AI$471,3,))*$F10)</f>
        <v>0</v>
      </c>
      <c r="X10" s="18">
        <f>IF(VLOOKUP($E10,$D$5:$AI$471,3,)=0,0,(VLOOKUP($E10,$D$5:$AI$471,21,)/VLOOKUP($E10,$D$5:$AI$471,3,))*$F10)</f>
        <v>0</v>
      </c>
      <c r="Y10" s="18">
        <f>IF(VLOOKUP($E10,$D$5:$AI$471,3,)=0,0,(VLOOKUP($E10,$D$5:$AI$471,22,)/VLOOKUP($E10,$D$5:$AI$471,3,))*$F10)</f>
        <v>0</v>
      </c>
      <c r="Z10" s="18">
        <f>IF(VLOOKUP($E10,$D$5:$AI$471,3,)=0,0,(VLOOKUP($E10,$D$5:$AI$471,23,)/VLOOKUP($E10,$D$5:$AI$471,3,))*$F10)</f>
        <v>0</v>
      </c>
      <c r="AA10" s="18">
        <f>IF(VLOOKUP($E10,$D$5:$AI$471,3,)=0,0,(VLOOKUP($E10,$D$5:$AI$471,24,)/VLOOKUP($E10,$D$5:$AI$471,3,))*$F10)</f>
        <v>0</v>
      </c>
      <c r="AB10" s="18">
        <f>IF(VLOOKUP($E10,$D$5:$AI$471,3,)=0,0,(VLOOKUP($E10,$D$5:$AI$471,25,)/VLOOKUP($E10,$D$5:$AI$471,3,))*$F10)</f>
        <v>0</v>
      </c>
      <c r="AC10" s="18">
        <f>IF(VLOOKUP($E10,$D$5:$AI$471,3,)=0,0,(VLOOKUP($E10,$D$5:$AI$471,26,)/VLOOKUP($E10,$D$5:$AI$471,3,))*$F10)</f>
        <v>0</v>
      </c>
      <c r="AD10" s="18">
        <f>IF(VLOOKUP($E10,$D$5:$AI$471,3,)=0,0,(VLOOKUP($E10,$D$5:$AI$471,27,)/VLOOKUP($E10,$D$5:$AI$471,3,))*$F10)</f>
        <v>0</v>
      </c>
      <c r="AE10" s="18">
        <f>IF(VLOOKUP($E10,$D$5:$AI$471,3,)=0,0,(VLOOKUP($E10,$D$5:$AI$471,28,)/VLOOKUP($E10,$D$5:$AI$471,3,))*$F10)</f>
        <v>0</v>
      </c>
      <c r="AF10" s="18">
        <f>IF(VLOOKUP($E10,$D$5:$AI$471,3,)=0,0,(VLOOKUP($E10,$D$5:$AI$471,29,)/VLOOKUP($E10,$D$5:$AI$471,3,))*$F10)</f>
        <v>0</v>
      </c>
      <c r="AG10" s="18">
        <f>IF(VLOOKUP($E10,$D$5:$AI$471,3,)=0,0,(VLOOKUP($E10,$D$5:$AI$471,30,)/VLOOKUP($E10,$D$5:$AI$471,3,))*$F10)</f>
        <v>0</v>
      </c>
      <c r="AH10" s="20">
        <f t="shared" si="0"/>
        <v>0</v>
      </c>
      <c r="AI10" s="15" t="str">
        <f t="shared" si="1"/>
        <v>ok</v>
      </c>
    </row>
    <row r="11" spans="1:35" x14ac:dyDescent="0.3">
      <c r="A11" s="21" t="s">
        <v>540</v>
      </c>
      <c r="C11" s="2" t="s">
        <v>47</v>
      </c>
      <c r="D11" s="2" t="s">
        <v>541</v>
      </c>
      <c r="E11" s="2" t="s">
        <v>542</v>
      </c>
      <c r="F11" s="18">
        <f>VLOOKUP(C11,'Functional Assignment'!$C$1:$AU$563,9,)</f>
        <v>0</v>
      </c>
      <c r="G11" s="18">
        <f>IF(VLOOKUP($E11,$D$5:$AI$471,3,)=0,0,(VLOOKUP($E11,$D$5:$AI$471,4,)/VLOOKUP($E11,$D$5:$AI$471,3,))*$F11)</f>
        <v>0</v>
      </c>
      <c r="H11" s="18">
        <f>IF(VLOOKUP($E11,$D$5:$AI$471,3,)=0,0,(VLOOKUP($E11,$D$5:$AI$471,5,)/VLOOKUP($E11,$D$5:$AI$471,3,))*$F11)</f>
        <v>0</v>
      </c>
      <c r="I11" s="18">
        <f>IF(VLOOKUP($E11,$D$5:$AI$471,3,)=0,0,(VLOOKUP($E11,$D$5:$AI$471,6,)/VLOOKUP($E11,$D$5:$AI$471,3,))*$F11)</f>
        <v>0</v>
      </c>
      <c r="J11" s="18">
        <f>IF(VLOOKUP($E11,$D$5:$AI$471,3,)=0,0,(VLOOKUP($E11,$D$5:$AI$471,7,)/VLOOKUP($E11,$D$5:$AI$471,3,))*$F11)</f>
        <v>0</v>
      </c>
      <c r="K11" s="18">
        <f>IF(VLOOKUP($E11,$D$5:$AI$471,3,)=0,0,(VLOOKUP($E11,$D$5:$AI$471,8,)/VLOOKUP($E11,$D$5:$AI$471,3,))*$F11)</f>
        <v>0</v>
      </c>
      <c r="L11" s="18">
        <f>IF(VLOOKUP($E11,$D$5:$AI$471,3,)=0,0,(VLOOKUP($E11,$D$5:$AI$471,9,)/VLOOKUP($E11,$D$5:$AI$471,3,))*$F11)</f>
        <v>0</v>
      </c>
      <c r="M11" s="18">
        <f>IF(VLOOKUP($E11,$D$5:$AI$471,3,)=0,0,(VLOOKUP($E11,$D$5:$AI$471,10,)/VLOOKUP($E11,$D$5:$AI$471,3,))*$F11)</f>
        <v>0</v>
      </c>
      <c r="N11" s="18">
        <f>IF(VLOOKUP($E11,$D$5:$AI$471,3,)=0,0,(VLOOKUP($E11,$D$5:$AI$471,11,)/VLOOKUP($E11,$D$5:$AI$471,3,))*$F11)</f>
        <v>0</v>
      </c>
      <c r="O11" s="18">
        <f>IF(VLOOKUP($E11,$D$5:$AI$471,3,)=0,0,(VLOOKUP($E11,$D$5:$AI$471,12,)/VLOOKUP($E11,$D$5:$AI$471,3,))*$F11)</f>
        <v>0</v>
      </c>
      <c r="P11" s="18">
        <f>IF(VLOOKUP($E11,$D$5:$AI$471,3,)=0,0,(VLOOKUP($E11,$D$5:$AI$471,13,)/VLOOKUP($E11,$D$5:$AI$471,3,))*$F11)</f>
        <v>0</v>
      </c>
      <c r="Q11" s="18">
        <f>IF(VLOOKUP($E11,$D$5:$AI$471,3,)=0,0,(VLOOKUP($E11,$D$5:$AI$471,14,)/VLOOKUP($E11,$D$5:$AI$471,3,))*$F11)</f>
        <v>0</v>
      </c>
      <c r="R11" s="18">
        <f>IF(VLOOKUP($E11,$D$5:$AI$471,3,)=0,0,(VLOOKUP($E11,$D$5:$AI$471,15,)/VLOOKUP($E11,$D$5:$AI$471,3,))*$F11)</f>
        <v>0</v>
      </c>
      <c r="S11" s="18">
        <f>IF(VLOOKUP($E11,$D$5:$AI$471,3,)=0,0,(VLOOKUP($E11,$D$5:$AI$471,16,)/VLOOKUP($E11,$D$5:$AI$471,3,))*$F11)</f>
        <v>0</v>
      </c>
      <c r="T11" s="18">
        <f>IF(VLOOKUP($E11,$D$5:$AI$471,3,)=0,0,(VLOOKUP($E11,$D$5:$AI$471,17,)/VLOOKUP($E11,$D$5:$AI$471,3,))*$F11)</f>
        <v>0</v>
      </c>
      <c r="U11" s="18">
        <f>IF(VLOOKUP($E11,$D$5:$AI$471,3,)=0,0,(VLOOKUP($E11,$D$5:$AI$471,18,)/VLOOKUP($E11,$D$5:$AI$471,3,))*$F11)</f>
        <v>0</v>
      </c>
      <c r="V11" s="18">
        <f>IF(VLOOKUP($E11,$D$5:$AI$471,3,)=0,0,(VLOOKUP($E11,$D$5:$AI$471,19,)/VLOOKUP($E11,$D$5:$AI$471,3,))*$F11)</f>
        <v>0</v>
      </c>
      <c r="W11" s="18">
        <f>IF(VLOOKUP($E11,$D$5:$AI$471,3,)=0,0,(VLOOKUP($E11,$D$5:$AI$471,20,)/VLOOKUP($E11,$D$5:$AI$471,3,))*$F11)</f>
        <v>0</v>
      </c>
      <c r="X11" s="18">
        <f>IF(VLOOKUP($E11,$D$5:$AI$471,3,)=0,0,(VLOOKUP($E11,$D$5:$AI$471,21,)/VLOOKUP($E11,$D$5:$AI$471,3,))*$F11)</f>
        <v>0</v>
      </c>
      <c r="Y11" s="18">
        <f>IF(VLOOKUP($E11,$D$5:$AI$471,3,)=0,0,(VLOOKUP($E11,$D$5:$AI$471,22,)/VLOOKUP($E11,$D$5:$AI$471,3,))*$F11)</f>
        <v>0</v>
      </c>
      <c r="Z11" s="18">
        <f>IF(VLOOKUP($E11,$D$5:$AI$471,3,)=0,0,(VLOOKUP($E11,$D$5:$AI$471,23,)/VLOOKUP($E11,$D$5:$AI$471,3,))*$F11)</f>
        <v>0</v>
      </c>
      <c r="AA11" s="18">
        <f>IF(VLOOKUP($E11,$D$5:$AI$471,3,)=0,0,(VLOOKUP($E11,$D$5:$AI$471,24,)/VLOOKUP($E11,$D$5:$AI$471,3,))*$F11)</f>
        <v>0</v>
      </c>
      <c r="AB11" s="18">
        <f>IF(VLOOKUP($E11,$D$5:$AI$471,3,)=0,0,(VLOOKUP($E11,$D$5:$AI$471,25,)/VLOOKUP($E11,$D$5:$AI$471,3,))*$F11)</f>
        <v>0</v>
      </c>
      <c r="AC11" s="18">
        <f>IF(VLOOKUP($E11,$D$5:$AI$471,3,)=0,0,(VLOOKUP($E11,$D$5:$AI$471,26,)/VLOOKUP($E11,$D$5:$AI$471,3,))*$F11)</f>
        <v>0</v>
      </c>
      <c r="AD11" s="18">
        <f>IF(VLOOKUP($E11,$D$5:$AI$471,3,)=0,0,(VLOOKUP($E11,$D$5:$AI$471,27,)/VLOOKUP($E11,$D$5:$AI$471,3,))*$F11)</f>
        <v>0</v>
      </c>
      <c r="AE11" s="18">
        <f>IF(VLOOKUP($E11,$D$5:$AI$471,3,)=0,0,(VLOOKUP($E11,$D$5:$AI$471,28,)/VLOOKUP($E11,$D$5:$AI$471,3,))*$F11)</f>
        <v>0</v>
      </c>
      <c r="AF11" s="18">
        <f>IF(VLOOKUP($E11,$D$5:$AI$471,3,)=0,0,(VLOOKUP($E11,$D$5:$AI$471,29,)/VLOOKUP($E11,$D$5:$AI$471,3,))*$F11)</f>
        <v>0</v>
      </c>
      <c r="AG11" s="18">
        <f>IF(VLOOKUP($E11,$D$5:$AI$471,3,)=0,0,(VLOOKUP($E11,$D$5:$AI$471,30,)/VLOOKUP($E11,$D$5:$AI$471,3,))*$F11)</f>
        <v>0</v>
      </c>
      <c r="AH11" s="20">
        <f t="shared" si="0"/>
        <v>0</v>
      </c>
      <c r="AI11" s="15" t="str">
        <f t="shared" si="1"/>
        <v>ok</v>
      </c>
    </row>
    <row r="12" spans="1:35" x14ac:dyDescent="0.3">
      <c r="A12" s="21" t="s">
        <v>543</v>
      </c>
      <c r="C12" s="2" t="s">
        <v>47</v>
      </c>
      <c r="D12" s="2" t="s">
        <v>544</v>
      </c>
      <c r="E12" s="2" t="s">
        <v>545</v>
      </c>
      <c r="F12" s="18">
        <f>VLOOKUP(C12,'Functional Assignment'!$C$1:$AU$563,10,)</f>
        <v>22946812.213597164</v>
      </c>
      <c r="G12" s="18">
        <f>IF(VLOOKUP($E12,$D$5:$AI$471,3,)=0,0,(VLOOKUP($E12,$D$5:$AI$471,4,)/VLOOKUP($E12,$D$5:$AI$471,3,))*$F12)</f>
        <v>0</v>
      </c>
      <c r="H12" s="18">
        <f>IF(VLOOKUP($E12,$D$5:$AI$471,3,)=0,0,(VLOOKUP($E12,$D$5:$AI$471,5,)/VLOOKUP($E12,$D$5:$AI$471,3,))*$F12)</f>
        <v>0</v>
      </c>
      <c r="I12" s="18">
        <f>IF(VLOOKUP($E12,$D$5:$AI$471,3,)=0,0,(VLOOKUP($E12,$D$5:$AI$471,6,)/VLOOKUP($E12,$D$5:$AI$471,3,))*$F12)</f>
        <v>0</v>
      </c>
      <c r="J12" s="18">
        <f>IF(VLOOKUP($E12,$D$5:$AI$471,3,)=0,0,(VLOOKUP($E12,$D$5:$AI$471,7,)/VLOOKUP($E12,$D$5:$AI$471,3,))*$F12)</f>
        <v>0</v>
      </c>
      <c r="K12" s="18">
        <f>IF(VLOOKUP($E12,$D$5:$AI$471,3,)=0,0,(VLOOKUP($E12,$D$5:$AI$471,8,)/VLOOKUP($E12,$D$5:$AI$471,3,))*$F12)</f>
        <v>0</v>
      </c>
      <c r="L12" s="18">
        <f>IF(VLOOKUP($E12,$D$5:$AI$471,3,)=0,0,(VLOOKUP($E12,$D$5:$AI$471,9,)/VLOOKUP($E12,$D$5:$AI$471,3,))*$F12)</f>
        <v>0</v>
      </c>
      <c r="M12" s="18">
        <f>IF(VLOOKUP($E12,$D$5:$AI$471,3,)=0,0,(VLOOKUP($E12,$D$5:$AI$471,10,)/VLOOKUP($E12,$D$5:$AI$471,3,))*$F12)</f>
        <v>22946812.213597164</v>
      </c>
      <c r="N12" s="18">
        <f>IF(VLOOKUP($E12,$D$5:$AI$471,3,)=0,0,(VLOOKUP($E12,$D$5:$AI$471,11,)/VLOOKUP($E12,$D$5:$AI$471,3,))*$F12)</f>
        <v>0</v>
      </c>
      <c r="O12" s="18">
        <f>IF(VLOOKUP($E12,$D$5:$AI$471,3,)=0,0,(VLOOKUP($E12,$D$5:$AI$471,12,)/VLOOKUP($E12,$D$5:$AI$471,3,))*$F12)</f>
        <v>0</v>
      </c>
      <c r="P12" s="18">
        <f>IF(VLOOKUP($E12,$D$5:$AI$471,3,)=0,0,(VLOOKUP($E12,$D$5:$AI$471,13,)/VLOOKUP($E12,$D$5:$AI$471,3,))*$F12)</f>
        <v>0</v>
      </c>
      <c r="Q12" s="18">
        <f>IF(VLOOKUP($E12,$D$5:$AI$471,3,)=0,0,(VLOOKUP($E12,$D$5:$AI$471,14,)/VLOOKUP($E12,$D$5:$AI$471,3,))*$F12)</f>
        <v>0</v>
      </c>
      <c r="R12" s="18">
        <f>IF(VLOOKUP($E12,$D$5:$AI$471,3,)=0,0,(VLOOKUP($E12,$D$5:$AI$471,15,)/VLOOKUP($E12,$D$5:$AI$471,3,))*$F12)</f>
        <v>0</v>
      </c>
      <c r="S12" s="18">
        <f>IF(VLOOKUP($E12,$D$5:$AI$471,3,)=0,0,(VLOOKUP($E12,$D$5:$AI$471,16,)/VLOOKUP($E12,$D$5:$AI$471,3,))*$F12)</f>
        <v>0</v>
      </c>
      <c r="T12" s="18">
        <f>IF(VLOOKUP($E12,$D$5:$AI$471,3,)=0,0,(VLOOKUP($E12,$D$5:$AI$471,17,)/VLOOKUP($E12,$D$5:$AI$471,3,))*$F12)</f>
        <v>0</v>
      </c>
      <c r="U12" s="18">
        <f>IF(VLOOKUP($E12,$D$5:$AI$471,3,)=0,0,(VLOOKUP($E12,$D$5:$AI$471,18,)/VLOOKUP($E12,$D$5:$AI$471,3,))*$F12)</f>
        <v>0</v>
      </c>
      <c r="V12" s="18">
        <f>IF(VLOOKUP($E12,$D$5:$AI$471,3,)=0,0,(VLOOKUP($E12,$D$5:$AI$471,19,)/VLOOKUP($E12,$D$5:$AI$471,3,))*$F12)</f>
        <v>0</v>
      </c>
      <c r="W12" s="18">
        <f>IF(VLOOKUP($E12,$D$5:$AI$471,3,)=0,0,(VLOOKUP($E12,$D$5:$AI$471,20,)/VLOOKUP($E12,$D$5:$AI$471,3,))*$F12)</f>
        <v>0</v>
      </c>
      <c r="X12" s="18">
        <f>IF(VLOOKUP($E12,$D$5:$AI$471,3,)=0,0,(VLOOKUP($E12,$D$5:$AI$471,21,)/VLOOKUP($E12,$D$5:$AI$471,3,))*$F12)</f>
        <v>0</v>
      </c>
      <c r="Y12" s="18">
        <f>IF(VLOOKUP($E12,$D$5:$AI$471,3,)=0,0,(VLOOKUP($E12,$D$5:$AI$471,22,)/VLOOKUP($E12,$D$5:$AI$471,3,))*$F12)</f>
        <v>0</v>
      </c>
      <c r="Z12" s="18">
        <f>IF(VLOOKUP($E12,$D$5:$AI$471,3,)=0,0,(VLOOKUP($E12,$D$5:$AI$471,23,)/VLOOKUP($E12,$D$5:$AI$471,3,))*$F12)</f>
        <v>0</v>
      </c>
      <c r="AA12" s="18">
        <f>IF(VLOOKUP($E12,$D$5:$AI$471,3,)=0,0,(VLOOKUP($E12,$D$5:$AI$471,24,)/VLOOKUP($E12,$D$5:$AI$471,3,))*$F12)</f>
        <v>0</v>
      </c>
      <c r="AB12" s="18">
        <f>IF(VLOOKUP($E12,$D$5:$AI$471,3,)=0,0,(VLOOKUP($E12,$D$5:$AI$471,25,)/VLOOKUP($E12,$D$5:$AI$471,3,))*$F12)</f>
        <v>0</v>
      </c>
      <c r="AC12" s="18">
        <f>IF(VLOOKUP($E12,$D$5:$AI$471,3,)=0,0,(VLOOKUP($E12,$D$5:$AI$471,26,)/VLOOKUP($E12,$D$5:$AI$471,3,))*$F12)</f>
        <v>0</v>
      </c>
      <c r="AD12" s="18">
        <f>IF(VLOOKUP($E12,$D$5:$AI$471,3,)=0,0,(VLOOKUP($E12,$D$5:$AI$471,27,)/VLOOKUP($E12,$D$5:$AI$471,3,))*$F12)</f>
        <v>0</v>
      </c>
      <c r="AE12" s="18">
        <f>IF(VLOOKUP($E12,$D$5:$AI$471,3,)=0,0,(VLOOKUP($E12,$D$5:$AI$471,28,)/VLOOKUP($E12,$D$5:$AI$471,3,))*$F12)</f>
        <v>0</v>
      </c>
      <c r="AF12" s="18">
        <f>IF(VLOOKUP($E12,$D$5:$AI$471,3,)=0,0,(VLOOKUP($E12,$D$5:$AI$471,29,)/VLOOKUP($E12,$D$5:$AI$471,3,))*$F12)</f>
        <v>0</v>
      </c>
      <c r="AG12" s="18">
        <f>IF(VLOOKUP($E12,$D$5:$AI$471,3,)=0,0,(VLOOKUP($E12,$D$5:$AI$471,30,)/VLOOKUP($E12,$D$5:$AI$471,3,))*$F12)</f>
        <v>0</v>
      </c>
      <c r="AH12" s="20">
        <f t="shared" si="0"/>
        <v>22946812.213597164</v>
      </c>
      <c r="AI12" s="15" t="str">
        <f t="shared" si="1"/>
        <v>ok</v>
      </c>
    </row>
    <row r="13" spans="1:35" x14ac:dyDescent="0.3">
      <c r="A13" s="2" t="s">
        <v>546</v>
      </c>
      <c r="D13" s="2" t="s">
        <v>547</v>
      </c>
      <c r="F13" s="18">
        <f>SUM(F8:F12)</f>
        <v>3617683325.6266146</v>
      </c>
      <c r="G13" s="18">
        <f t="shared" ref="G13:AG13" si="2">SUM(G8:G12)</f>
        <v>2763281470.3229241</v>
      </c>
      <c r="H13" s="18">
        <f t="shared" si="2"/>
        <v>231928802.50051862</v>
      </c>
      <c r="I13" s="18">
        <f t="shared" si="2"/>
        <v>83551683.630326957</v>
      </c>
      <c r="J13" s="18">
        <f t="shared" si="2"/>
        <v>134969930.95629221</v>
      </c>
      <c r="K13" s="18">
        <f t="shared" si="2"/>
        <v>381004626.00295484</v>
      </c>
      <c r="L13" s="18">
        <f t="shared" si="2"/>
        <v>0</v>
      </c>
      <c r="M13" s="18">
        <f t="shared" si="2"/>
        <v>22946812.213597164</v>
      </c>
      <c r="N13" s="18">
        <f t="shared" si="2"/>
        <v>0</v>
      </c>
      <c r="O13" s="18">
        <f t="shared" si="2"/>
        <v>0</v>
      </c>
      <c r="P13" s="18">
        <f t="shared" si="2"/>
        <v>0</v>
      </c>
      <c r="Q13" s="18">
        <f t="shared" si="2"/>
        <v>0</v>
      </c>
      <c r="R13" s="18">
        <f t="shared" si="2"/>
        <v>0</v>
      </c>
      <c r="S13" s="18">
        <f t="shared" si="2"/>
        <v>0</v>
      </c>
      <c r="T13" s="18">
        <f t="shared" si="2"/>
        <v>0</v>
      </c>
      <c r="U13" s="18">
        <f t="shared" si="2"/>
        <v>0</v>
      </c>
      <c r="V13" s="18">
        <f t="shared" si="2"/>
        <v>0</v>
      </c>
      <c r="W13" s="18">
        <f t="shared" si="2"/>
        <v>0</v>
      </c>
      <c r="X13" s="18">
        <f t="shared" si="2"/>
        <v>0</v>
      </c>
      <c r="Y13" s="18">
        <f t="shared" si="2"/>
        <v>0</v>
      </c>
      <c r="Z13" s="18">
        <f t="shared" si="2"/>
        <v>0</v>
      </c>
      <c r="AA13" s="18">
        <f t="shared" si="2"/>
        <v>0</v>
      </c>
      <c r="AB13" s="18">
        <f t="shared" si="2"/>
        <v>0</v>
      </c>
      <c r="AC13" s="18">
        <f t="shared" si="2"/>
        <v>0</v>
      </c>
      <c r="AD13" s="18">
        <f t="shared" si="2"/>
        <v>0</v>
      </c>
      <c r="AE13" s="18">
        <f t="shared" si="2"/>
        <v>0</v>
      </c>
      <c r="AF13" s="18">
        <f t="shared" si="2"/>
        <v>0</v>
      </c>
      <c r="AG13" s="18">
        <f t="shared" si="2"/>
        <v>0</v>
      </c>
      <c r="AH13" s="20">
        <f t="shared" si="0"/>
        <v>3617683325.6266141</v>
      </c>
      <c r="AI13" s="15" t="str">
        <f t="shared" si="1"/>
        <v>ok</v>
      </c>
    </row>
    <row r="14" spans="1:35" x14ac:dyDescent="0.3">
      <c r="F14" s="19"/>
      <c r="G14" s="19"/>
    </row>
    <row r="15" spans="1:35" x14ac:dyDescent="0.3">
      <c r="F15" s="19"/>
      <c r="G15" s="19"/>
    </row>
    <row r="16" spans="1:35" x14ac:dyDescent="0.3">
      <c r="A16" s="3" t="s">
        <v>29</v>
      </c>
      <c r="C16" s="2" t="s">
        <v>47</v>
      </c>
      <c r="D16" s="2" t="s">
        <v>548</v>
      </c>
      <c r="E16" s="2" t="s">
        <v>549</v>
      </c>
      <c r="F16" s="18">
        <f>VLOOKUP(C16,'Functional Assignment'!$C$1:$AU$563,11,)</f>
        <v>763690788.2609967</v>
      </c>
      <c r="G16" s="18">
        <f>IF(VLOOKUP($E16,$D$5:$AI$471,3,)=0,0,(VLOOKUP($E16,$D$5:$AI$471,4,)/VLOOKUP($E16,$D$5:$AI$471,3,))*$F16)</f>
        <v>602675921.0827992</v>
      </c>
      <c r="H16" s="18">
        <f>IF(VLOOKUP($E16,$D$5:$AI$471,3,)=0,0,(VLOOKUP($E16,$D$5:$AI$471,5,)/VLOOKUP($E16,$D$5:$AI$471,3,))*$F16)</f>
        <v>45113590.251089104</v>
      </c>
      <c r="I16" s="18">
        <f>IF(VLOOKUP($E16,$D$5:$AI$471,3,)=0,0,(VLOOKUP($E16,$D$5:$AI$471,6,)/VLOOKUP($E16,$D$5:$AI$471,3,))*$F16)</f>
        <v>15296472.206082273</v>
      </c>
      <c r="J16" s="18">
        <f>IF(VLOOKUP($E16,$D$5:$AI$471,3,)=0,0,(VLOOKUP($E16,$D$5:$AI$471,7,)/VLOOKUP($E16,$D$5:$AI$471,3,))*$F16)</f>
        <v>24640480.257816087</v>
      </c>
      <c r="K16" s="18">
        <f>IF(VLOOKUP($E16,$D$5:$AI$471,3,)=0,0,(VLOOKUP($E16,$D$5:$AI$471,8,)/VLOOKUP($E16,$D$5:$AI$471,3,))*$F16)</f>
        <v>66230378.158282563</v>
      </c>
      <c r="L16" s="18">
        <f>IF(VLOOKUP($E16,$D$5:$AI$471,3,)=0,0,(VLOOKUP($E16,$D$5:$AI$471,9,)/VLOOKUP($E16,$D$5:$AI$471,3,))*$F16)</f>
        <v>9733946.3049275726</v>
      </c>
      <c r="M16" s="18">
        <f>IF(VLOOKUP($E16,$D$5:$AI$471,3,)=0,0,(VLOOKUP($E16,$D$5:$AI$471,10,)/VLOOKUP($E16,$D$5:$AI$471,3,))*$F16)</f>
        <v>0</v>
      </c>
      <c r="N16" s="18">
        <f>IF(VLOOKUP($E16,$D$5:$AI$471,3,)=0,0,(VLOOKUP($E16,$D$5:$AI$471,11,)/VLOOKUP($E16,$D$5:$AI$471,3,))*$F16)</f>
        <v>0</v>
      </c>
      <c r="O16" s="18">
        <f>IF(VLOOKUP($E16,$D$5:$AI$471,3,)=0,0,(VLOOKUP($E16,$D$5:$AI$471,12,)/VLOOKUP($E16,$D$5:$AI$471,3,))*$F16)</f>
        <v>0</v>
      </c>
      <c r="P16" s="18">
        <f>IF(VLOOKUP($E16,$D$5:$AI$471,3,)=0,0,(VLOOKUP($E16,$D$5:$AI$471,13,)/VLOOKUP($E16,$D$5:$AI$471,3,))*$F16)</f>
        <v>0</v>
      </c>
      <c r="Q16" s="18">
        <f>IF(VLOOKUP($E16,$D$5:$AI$471,3,)=0,0,(VLOOKUP($E16,$D$5:$AI$471,14,)/VLOOKUP($E16,$D$5:$AI$471,3,))*$F16)</f>
        <v>0</v>
      </c>
      <c r="R16" s="18">
        <f>IF(VLOOKUP($E16,$D$5:$AI$471,3,)=0,0,(VLOOKUP($E16,$D$5:$AI$471,15,)/VLOOKUP($E16,$D$5:$AI$471,3,))*$F16)</f>
        <v>0</v>
      </c>
      <c r="S16" s="18">
        <f>IF(VLOOKUP($E16,$D$5:$AI$471,3,)=0,0,(VLOOKUP($E16,$D$5:$AI$471,16,)/VLOOKUP($E16,$D$5:$AI$471,3,))*$F16)</f>
        <v>0</v>
      </c>
      <c r="T16" s="18">
        <f>IF(VLOOKUP($E16,$D$5:$AI$471,3,)=0,0,(VLOOKUP($E16,$D$5:$AI$471,17,)/VLOOKUP($E16,$D$5:$AI$471,3,))*$F16)</f>
        <v>0</v>
      </c>
      <c r="U16" s="18">
        <f>IF(VLOOKUP($E16,$D$5:$AI$471,3,)=0,0,(VLOOKUP($E16,$D$5:$AI$471,18,)/VLOOKUP($E16,$D$5:$AI$471,3,))*$F16)</f>
        <v>0</v>
      </c>
      <c r="V16" s="18">
        <f>IF(VLOOKUP($E16,$D$5:$AI$471,3,)=0,0,(VLOOKUP($E16,$D$5:$AI$471,19,)/VLOOKUP($E16,$D$5:$AI$471,3,))*$F16)</f>
        <v>0</v>
      </c>
      <c r="W16" s="18">
        <f>IF(VLOOKUP($E16,$D$5:$AI$471,3,)=0,0,(VLOOKUP($E16,$D$5:$AI$471,20,)/VLOOKUP($E16,$D$5:$AI$471,3,))*$F16)</f>
        <v>0</v>
      </c>
      <c r="X16" s="18">
        <f>IF(VLOOKUP($E16,$D$5:$AI$471,3,)=0,0,(VLOOKUP($E16,$D$5:$AI$471,21,)/VLOOKUP($E16,$D$5:$AI$471,3,))*$F16)</f>
        <v>0</v>
      </c>
      <c r="Y16" s="18">
        <f>IF(VLOOKUP($E16,$D$5:$AI$471,3,)=0,0,(VLOOKUP($E16,$D$5:$AI$471,22,)/VLOOKUP($E16,$D$5:$AI$471,3,))*$F16)</f>
        <v>0</v>
      </c>
      <c r="Z16" s="18">
        <f>IF(VLOOKUP($E16,$D$5:$AI$471,3,)=0,0,(VLOOKUP($E16,$D$5:$AI$471,23,)/VLOOKUP($E16,$D$5:$AI$471,3,))*$F16)</f>
        <v>0</v>
      </c>
      <c r="AA16" s="18">
        <f>IF(VLOOKUP($E16,$D$5:$AI$471,3,)=0,0,(VLOOKUP($E16,$D$5:$AI$471,24,)/VLOOKUP($E16,$D$5:$AI$471,3,))*$F16)</f>
        <v>0</v>
      </c>
      <c r="AB16" s="18">
        <f>IF(VLOOKUP($E16,$D$5:$AI$471,3,)=0,0,(VLOOKUP($E16,$D$5:$AI$471,25,)/VLOOKUP($E16,$D$5:$AI$471,3,))*$F16)</f>
        <v>0</v>
      </c>
      <c r="AC16" s="18">
        <f>IF(VLOOKUP($E16,$D$5:$AI$471,3,)=0,0,(VLOOKUP($E16,$D$5:$AI$471,26,)/VLOOKUP($E16,$D$5:$AI$471,3,))*$F16)</f>
        <v>0</v>
      </c>
      <c r="AD16" s="18">
        <f>IF(VLOOKUP($E16,$D$5:$AI$471,3,)=0,0,(VLOOKUP($E16,$D$5:$AI$471,27,)/VLOOKUP($E16,$D$5:$AI$471,3,))*$F16)</f>
        <v>0</v>
      </c>
      <c r="AE16" s="18">
        <f>IF(VLOOKUP($E16,$D$5:$AI$471,3,)=0,0,(VLOOKUP($E16,$D$5:$AI$471,28,)/VLOOKUP($E16,$D$5:$AI$471,3,))*$F16)</f>
        <v>0</v>
      </c>
      <c r="AF16" s="18">
        <f>IF(VLOOKUP($E16,$D$5:$AI$471,3,)=0,0,(VLOOKUP($E16,$D$5:$AI$471,29,)/VLOOKUP($E16,$D$5:$AI$471,3,))*$F16)</f>
        <v>0</v>
      </c>
      <c r="AG16" s="18">
        <f>IF(VLOOKUP($E16,$D$5:$AI$471,3,)=0,0,(VLOOKUP($E16,$D$5:$AI$471,30,)/VLOOKUP($E16,$D$5:$AI$471,3,))*$F16)</f>
        <v>0</v>
      </c>
      <c r="AH16" s="20">
        <f>SUM(G16:AG16)</f>
        <v>763690788.2609967</v>
      </c>
      <c r="AI16" s="15" t="str">
        <f>IF(ABS(F16-AH16)&lt;0.01,"ok","err")</f>
        <v>ok</v>
      </c>
    </row>
    <row r="17" spans="1:35" x14ac:dyDescent="0.3">
      <c r="F17" s="19"/>
      <c r="G17" s="19"/>
    </row>
    <row r="18" spans="1:35" x14ac:dyDescent="0.3">
      <c r="A18" s="3"/>
      <c r="F18" s="19"/>
      <c r="G18" s="19"/>
    </row>
    <row r="19" spans="1:35" x14ac:dyDescent="0.3">
      <c r="A19" s="3" t="s">
        <v>550</v>
      </c>
      <c r="C19" s="2" t="s">
        <v>47</v>
      </c>
      <c r="D19" s="2" t="s">
        <v>551</v>
      </c>
      <c r="E19" s="2" t="s">
        <v>552</v>
      </c>
      <c r="F19" s="18">
        <f>VLOOKUP(C19,'Functional Assignment'!$C$1:$AU$563,13,)</f>
        <v>329085306.47233915</v>
      </c>
      <c r="G19" s="18">
        <f>IF(VLOOKUP($E19,$D$5:$AI$471,3,)=0,0,(VLOOKUP($E19,$D$5:$AI$471,4,)/VLOOKUP($E19,$D$5:$AI$471,3,))*$F19)</f>
        <v>327730131.68240595</v>
      </c>
      <c r="H19" s="18">
        <f>IF(VLOOKUP($E19,$D$5:$AI$471,3,)=0,0,(VLOOKUP($E19,$D$5:$AI$471,5,)/VLOOKUP($E19,$D$5:$AI$471,3,))*$F19)</f>
        <v>0</v>
      </c>
      <c r="I19" s="18">
        <f>IF(VLOOKUP($E19,$D$5:$AI$471,3,)=0,0,(VLOOKUP($E19,$D$5:$AI$471,6,)/VLOOKUP($E19,$D$5:$AI$471,3,))*$F19)</f>
        <v>0</v>
      </c>
      <c r="J19" s="18">
        <f>IF(VLOOKUP($E19,$D$5:$AI$471,3,)=0,0,(VLOOKUP($E19,$D$5:$AI$471,7,)/VLOOKUP($E19,$D$5:$AI$471,3,))*$F19)</f>
        <v>1355174.7899331951</v>
      </c>
      <c r="K19" s="18">
        <f>IF(VLOOKUP($E19,$D$5:$AI$471,3,)=0,0,(VLOOKUP($E19,$D$5:$AI$471,8,)/VLOOKUP($E19,$D$5:$AI$471,3,))*$F19)</f>
        <v>0</v>
      </c>
      <c r="L19" s="18">
        <f>IF(VLOOKUP($E19,$D$5:$AI$471,3,)=0,0,(VLOOKUP($E19,$D$5:$AI$471,9,)/VLOOKUP($E19,$D$5:$AI$471,3,))*$F19)</f>
        <v>0</v>
      </c>
      <c r="M19" s="18">
        <f>IF(VLOOKUP($E19,$D$5:$AI$471,3,)=0,0,(VLOOKUP($E19,$D$5:$AI$471,10,)/VLOOKUP($E19,$D$5:$AI$471,3,))*$F19)</f>
        <v>0</v>
      </c>
      <c r="N19" s="18">
        <f>IF(VLOOKUP($E19,$D$5:$AI$471,3,)=0,0,(VLOOKUP($E19,$D$5:$AI$471,11,)/VLOOKUP($E19,$D$5:$AI$471,3,))*$F19)</f>
        <v>0</v>
      </c>
      <c r="O19" s="18">
        <f>IF(VLOOKUP($E19,$D$5:$AI$471,3,)=0,0,(VLOOKUP($E19,$D$5:$AI$471,12,)/VLOOKUP($E19,$D$5:$AI$471,3,))*$F19)</f>
        <v>0</v>
      </c>
      <c r="P19" s="18">
        <f>IF(VLOOKUP($E19,$D$5:$AI$471,3,)=0,0,(VLOOKUP($E19,$D$5:$AI$471,13,)/VLOOKUP($E19,$D$5:$AI$471,3,))*$F19)</f>
        <v>0</v>
      </c>
      <c r="Q19" s="18">
        <f>IF(VLOOKUP($E19,$D$5:$AI$471,3,)=0,0,(VLOOKUP($E19,$D$5:$AI$471,14,)/VLOOKUP($E19,$D$5:$AI$471,3,))*$F19)</f>
        <v>0</v>
      </c>
      <c r="R19" s="18">
        <f>IF(VLOOKUP($E19,$D$5:$AI$471,3,)=0,0,(VLOOKUP($E19,$D$5:$AI$471,15,)/VLOOKUP($E19,$D$5:$AI$471,3,))*$F19)</f>
        <v>0</v>
      </c>
      <c r="S19" s="18">
        <f>IF(VLOOKUP($E19,$D$5:$AI$471,3,)=0,0,(VLOOKUP($E19,$D$5:$AI$471,16,)/VLOOKUP($E19,$D$5:$AI$471,3,))*$F19)</f>
        <v>0</v>
      </c>
      <c r="T19" s="18">
        <f>IF(VLOOKUP($E19,$D$5:$AI$471,3,)=0,0,(VLOOKUP($E19,$D$5:$AI$471,17,)/VLOOKUP($E19,$D$5:$AI$471,3,))*$F19)</f>
        <v>0</v>
      </c>
      <c r="U19" s="18">
        <f>IF(VLOOKUP($E19,$D$5:$AI$471,3,)=0,0,(VLOOKUP($E19,$D$5:$AI$471,18,)/VLOOKUP($E19,$D$5:$AI$471,3,))*$F19)</f>
        <v>0</v>
      </c>
      <c r="V19" s="18">
        <f>IF(VLOOKUP($E19,$D$5:$AI$471,3,)=0,0,(VLOOKUP($E19,$D$5:$AI$471,19,)/VLOOKUP($E19,$D$5:$AI$471,3,))*$F19)</f>
        <v>0</v>
      </c>
      <c r="W19" s="18">
        <f>IF(VLOOKUP($E19,$D$5:$AI$471,3,)=0,0,(VLOOKUP($E19,$D$5:$AI$471,20,)/VLOOKUP($E19,$D$5:$AI$471,3,))*$F19)</f>
        <v>0</v>
      </c>
      <c r="X19" s="18">
        <f>IF(VLOOKUP($E19,$D$5:$AI$471,3,)=0,0,(VLOOKUP($E19,$D$5:$AI$471,21,)/VLOOKUP($E19,$D$5:$AI$471,3,))*$F19)</f>
        <v>0</v>
      </c>
      <c r="Y19" s="18">
        <f>IF(VLOOKUP($E19,$D$5:$AI$471,3,)=0,0,(VLOOKUP($E19,$D$5:$AI$471,22,)/VLOOKUP($E19,$D$5:$AI$471,3,))*$F19)</f>
        <v>0</v>
      </c>
      <c r="Z19" s="18">
        <f>IF(VLOOKUP($E19,$D$5:$AI$471,3,)=0,0,(VLOOKUP($E19,$D$5:$AI$471,23,)/VLOOKUP($E19,$D$5:$AI$471,3,))*$F19)</f>
        <v>0</v>
      </c>
      <c r="AA19" s="18">
        <f>IF(VLOOKUP($E19,$D$5:$AI$471,3,)=0,0,(VLOOKUP($E19,$D$5:$AI$471,24,)/VLOOKUP($E19,$D$5:$AI$471,3,))*$F19)</f>
        <v>0</v>
      </c>
      <c r="AB19" s="18">
        <f>IF(VLOOKUP($E19,$D$5:$AI$471,3,)=0,0,(VLOOKUP($E19,$D$5:$AI$471,25,)/VLOOKUP($E19,$D$5:$AI$471,3,))*$F19)</f>
        <v>0</v>
      </c>
      <c r="AC19" s="18">
        <f>IF(VLOOKUP($E19,$D$5:$AI$471,3,)=0,0,(VLOOKUP($E19,$D$5:$AI$471,26,)/VLOOKUP($E19,$D$5:$AI$471,3,))*$F19)</f>
        <v>0</v>
      </c>
      <c r="AD19" s="18">
        <f>IF(VLOOKUP($E19,$D$5:$AI$471,3,)=0,0,(VLOOKUP($E19,$D$5:$AI$471,27,)/VLOOKUP($E19,$D$5:$AI$471,3,))*$F19)</f>
        <v>0</v>
      </c>
      <c r="AE19" s="18">
        <f>IF(VLOOKUP($E19,$D$5:$AI$471,3,)=0,0,(VLOOKUP($E19,$D$5:$AI$471,28,)/VLOOKUP($E19,$D$5:$AI$471,3,))*$F19)</f>
        <v>0</v>
      </c>
      <c r="AF19" s="18">
        <f>IF(VLOOKUP($E19,$D$5:$AI$471,3,)=0,0,(VLOOKUP($E19,$D$5:$AI$471,29,)/VLOOKUP($E19,$D$5:$AI$471,3,))*$F19)</f>
        <v>0</v>
      </c>
      <c r="AG19" s="18">
        <f>IF(VLOOKUP($E19,$D$5:$AI$471,3,)=0,0,(VLOOKUP($E19,$D$5:$AI$471,30,)/VLOOKUP($E19,$D$5:$AI$471,3,))*$F19)</f>
        <v>0</v>
      </c>
      <c r="AH19" s="20">
        <f>SUM(G19:AG19)</f>
        <v>329085306.47233915</v>
      </c>
      <c r="AI19" s="15" t="str">
        <f>IF(ABS(F19-AH19)&lt;0.01,"ok","err")</f>
        <v>ok</v>
      </c>
    </row>
    <row r="20" spans="1:35" x14ac:dyDescent="0.3">
      <c r="A20" s="3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20"/>
      <c r="AI20" s="15"/>
    </row>
    <row r="21" spans="1:35" x14ac:dyDescent="0.3">
      <c r="F21" s="19"/>
    </row>
    <row r="22" spans="1:35" x14ac:dyDescent="0.3">
      <c r="A22" s="3" t="s">
        <v>553</v>
      </c>
      <c r="C22" s="2" t="s">
        <v>47</v>
      </c>
      <c r="D22" s="2" t="s">
        <v>554</v>
      </c>
      <c r="E22" s="2" t="s">
        <v>555</v>
      </c>
      <c r="F22" s="18">
        <f>VLOOKUP(C22,'Functional Assignment'!$C$1:$AU$563,14,)</f>
        <v>4405691.2200497622</v>
      </c>
      <c r="G22" s="18">
        <f>IF(VLOOKUP($E22,$D$5:$AI$471,3,)=0,0,(VLOOKUP($E22,$D$5:$AI$471,4,)/VLOOKUP($E22,$D$5:$AI$471,3,))*$F22)</f>
        <v>4393626.3422221495</v>
      </c>
      <c r="H22" s="18">
        <f>IF(VLOOKUP($E22,$D$5:$AI$471,3,)=0,0,(VLOOKUP($E22,$D$5:$AI$471,5,)/VLOOKUP($E22,$D$5:$AI$471,3,))*$F22)</f>
        <v>0</v>
      </c>
      <c r="I22" s="18">
        <f>IF(VLOOKUP($E22,$D$5:$AI$471,3,)=0,0,(VLOOKUP($E22,$D$5:$AI$471,6,)/VLOOKUP($E22,$D$5:$AI$471,3,))*$F22)</f>
        <v>0</v>
      </c>
      <c r="J22" s="18">
        <f>IF(VLOOKUP($E22,$D$5:$AI$471,3,)=0,0,(VLOOKUP($E22,$D$5:$AI$471,7,)/VLOOKUP($E22,$D$5:$AI$471,3,))*$F22)</f>
        <v>12064.877827612312</v>
      </c>
      <c r="K22" s="18">
        <f>IF(VLOOKUP($E22,$D$5:$AI$471,3,)=0,0,(VLOOKUP($E22,$D$5:$AI$471,8,)/VLOOKUP($E22,$D$5:$AI$471,3,))*$F22)</f>
        <v>0</v>
      </c>
      <c r="L22" s="18">
        <f>IF(VLOOKUP($E22,$D$5:$AI$471,3,)=0,0,(VLOOKUP($E22,$D$5:$AI$471,9,)/VLOOKUP($E22,$D$5:$AI$471,3,))*$F22)</f>
        <v>0</v>
      </c>
      <c r="M22" s="18">
        <f>IF(VLOOKUP($E22,$D$5:$AI$471,3,)=0,0,(VLOOKUP($E22,$D$5:$AI$471,10,)/VLOOKUP($E22,$D$5:$AI$471,3,))*$F22)</f>
        <v>0</v>
      </c>
      <c r="N22" s="18">
        <f>IF(VLOOKUP($E22,$D$5:$AI$471,3,)=0,0,(VLOOKUP($E22,$D$5:$AI$471,11,)/VLOOKUP($E22,$D$5:$AI$471,3,))*$F22)</f>
        <v>0</v>
      </c>
      <c r="O22" s="18">
        <f>IF(VLOOKUP($E22,$D$5:$AI$471,3,)=0,0,(VLOOKUP($E22,$D$5:$AI$471,12,)/VLOOKUP($E22,$D$5:$AI$471,3,))*$F22)</f>
        <v>0</v>
      </c>
      <c r="P22" s="18">
        <f>IF(VLOOKUP($E22,$D$5:$AI$471,3,)=0,0,(VLOOKUP($E22,$D$5:$AI$471,13,)/VLOOKUP($E22,$D$5:$AI$471,3,))*$F22)</f>
        <v>0</v>
      </c>
      <c r="Q22" s="18">
        <f>IF(VLOOKUP($E22,$D$5:$AI$471,3,)=0,0,(VLOOKUP($E22,$D$5:$AI$471,14,)/VLOOKUP($E22,$D$5:$AI$471,3,))*$F22)</f>
        <v>0</v>
      </c>
      <c r="R22" s="18">
        <f>IF(VLOOKUP($E22,$D$5:$AI$471,3,)=0,0,(VLOOKUP($E22,$D$5:$AI$471,15,)/VLOOKUP($E22,$D$5:$AI$471,3,))*$F22)</f>
        <v>0</v>
      </c>
      <c r="S22" s="18">
        <f>IF(VLOOKUP($E22,$D$5:$AI$471,3,)=0,0,(VLOOKUP($E22,$D$5:$AI$471,16,)/VLOOKUP($E22,$D$5:$AI$471,3,))*$F22)</f>
        <v>0</v>
      </c>
      <c r="T22" s="18">
        <f>IF(VLOOKUP($E22,$D$5:$AI$471,3,)=0,0,(VLOOKUP($E22,$D$5:$AI$471,17,)/VLOOKUP($E22,$D$5:$AI$471,3,))*$F22)</f>
        <v>0</v>
      </c>
      <c r="U22" s="18">
        <f>IF(VLOOKUP($E22,$D$5:$AI$471,3,)=0,0,(VLOOKUP($E22,$D$5:$AI$471,18,)/VLOOKUP($E22,$D$5:$AI$471,3,))*$F22)</f>
        <v>0</v>
      </c>
      <c r="V22" s="18">
        <f>IF(VLOOKUP($E22,$D$5:$AI$471,3,)=0,0,(VLOOKUP($E22,$D$5:$AI$471,19,)/VLOOKUP($E22,$D$5:$AI$471,3,))*$F22)</f>
        <v>0</v>
      </c>
      <c r="W22" s="18">
        <f>IF(VLOOKUP($E22,$D$5:$AI$471,3,)=0,0,(VLOOKUP($E22,$D$5:$AI$471,20,)/VLOOKUP($E22,$D$5:$AI$471,3,))*$F22)</f>
        <v>0</v>
      </c>
      <c r="X22" s="18">
        <f>IF(VLOOKUP($E22,$D$5:$AI$471,3,)=0,0,(VLOOKUP($E22,$D$5:$AI$471,21,)/VLOOKUP($E22,$D$5:$AI$471,3,))*$F22)</f>
        <v>0</v>
      </c>
      <c r="Y22" s="18">
        <f>IF(VLOOKUP($E22,$D$5:$AI$471,3,)=0,0,(VLOOKUP($E22,$D$5:$AI$471,22,)/VLOOKUP($E22,$D$5:$AI$471,3,))*$F22)</f>
        <v>0</v>
      </c>
      <c r="Z22" s="18">
        <f>IF(VLOOKUP($E22,$D$5:$AI$471,3,)=0,0,(VLOOKUP($E22,$D$5:$AI$471,23,)/VLOOKUP($E22,$D$5:$AI$471,3,))*$F22)</f>
        <v>0</v>
      </c>
      <c r="AA22" s="18">
        <f>IF(VLOOKUP($E22,$D$5:$AI$471,3,)=0,0,(VLOOKUP($E22,$D$5:$AI$471,24,)/VLOOKUP($E22,$D$5:$AI$471,3,))*$F22)</f>
        <v>0</v>
      </c>
      <c r="AB22" s="18">
        <f>IF(VLOOKUP($E22,$D$5:$AI$471,3,)=0,0,(VLOOKUP($E22,$D$5:$AI$471,25,)/VLOOKUP($E22,$D$5:$AI$471,3,))*$F22)</f>
        <v>0</v>
      </c>
      <c r="AC22" s="18">
        <f>IF(VLOOKUP($E22,$D$5:$AI$471,3,)=0,0,(VLOOKUP($E22,$D$5:$AI$471,26,)/VLOOKUP($E22,$D$5:$AI$471,3,))*$F22)</f>
        <v>0</v>
      </c>
      <c r="AD22" s="18">
        <f>IF(VLOOKUP($E22,$D$5:$AI$471,3,)=0,0,(VLOOKUP($E22,$D$5:$AI$471,27,)/VLOOKUP($E22,$D$5:$AI$471,3,))*$F22)</f>
        <v>0</v>
      </c>
      <c r="AE22" s="18">
        <f>IF(VLOOKUP($E22,$D$5:$AI$471,3,)=0,0,(VLOOKUP($E22,$D$5:$AI$471,28,)/VLOOKUP($E22,$D$5:$AI$471,3,))*$F22)</f>
        <v>0</v>
      </c>
      <c r="AF22" s="18">
        <f>IF(VLOOKUP($E22,$D$5:$AI$471,3,)=0,0,(VLOOKUP($E22,$D$5:$AI$471,29,)/VLOOKUP($E22,$D$5:$AI$471,3,))*$F22)</f>
        <v>0</v>
      </c>
      <c r="AG22" s="18">
        <f>IF(VLOOKUP($E22,$D$5:$AI$471,3,)=0,0,(VLOOKUP($E22,$D$5:$AI$471,30,)/VLOOKUP($E22,$D$5:$AI$471,3,))*$F22)</f>
        <v>0</v>
      </c>
      <c r="AH22" s="20">
        <f>SUM(G22:AG22)</f>
        <v>4405691.2200497622</v>
      </c>
      <c r="AI22" s="15" t="str">
        <f>IF(ABS(F22-AH22)&lt;0.01,"ok","err")</f>
        <v>ok</v>
      </c>
    </row>
    <row r="23" spans="1:35" x14ac:dyDescent="0.3">
      <c r="F23" s="19"/>
    </row>
    <row r="24" spans="1:35" x14ac:dyDescent="0.3">
      <c r="F24" s="19"/>
    </row>
    <row r="25" spans="1:35" x14ac:dyDescent="0.3">
      <c r="A25" s="2" t="s">
        <v>1</v>
      </c>
      <c r="D25" s="2" t="s">
        <v>556</v>
      </c>
      <c r="F25" s="18">
        <f>F13+F16+F19+F22</f>
        <v>4714865111.5800009</v>
      </c>
      <c r="G25" s="18">
        <f t="shared" ref="G25:AG25" si="3">G13+G16+G19+G22</f>
        <v>3698081149.4303517</v>
      </c>
      <c r="H25" s="18">
        <f t="shared" si="3"/>
        <v>277042392.75160772</v>
      </c>
      <c r="I25" s="18">
        <f t="shared" si="3"/>
        <v>98848155.836409226</v>
      </c>
      <c r="J25" s="18">
        <f t="shared" si="3"/>
        <v>160977650.88186911</v>
      </c>
      <c r="K25" s="18">
        <f t="shared" si="3"/>
        <v>447235004.16123742</v>
      </c>
      <c r="L25" s="18">
        <f t="shared" si="3"/>
        <v>9733946.3049275726</v>
      </c>
      <c r="M25" s="18">
        <f t="shared" si="3"/>
        <v>22946812.213597164</v>
      </c>
      <c r="N25" s="18">
        <f t="shared" si="3"/>
        <v>0</v>
      </c>
      <c r="O25" s="18">
        <f t="shared" si="3"/>
        <v>0</v>
      </c>
      <c r="P25" s="18">
        <f t="shared" si="3"/>
        <v>0</v>
      </c>
      <c r="Q25" s="18">
        <f t="shared" si="3"/>
        <v>0</v>
      </c>
      <c r="R25" s="18">
        <f t="shared" si="3"/>
        <v>0</v>
      </c>
      <c r="S25" s="18">
        <f t="shared" si="3"/>
        <v>0</v>
      </c>
      <c r="T25" s="18">
        <f t="shared" si="3"/>
        <v>0</v>
      </c>
      <c r="U25" s="18">
        <f t="shared" si="3"/>
        <v>0</v>
      </c>
      <c r="V25" s="18">
        <f t="shared" si="3"/>
        <v>0</v>
      </c>
      <c r="W25" s="18">
        <f t="shared" si="3"/>
        <v>0</v>
      </c>
      <c r="X25" s="18">
        <f t="shared" si="3"/>
        <v>0</v>
      </c>
      <c r="Y25" s="18">
        <f t="shared" si="3"/>
        <v>0</v>
      </c>
      <c r="Z25" s="18">
        <f t="shared" si="3"/>
        <v>0</v>
      </c>
      <c r="AA25" s="18">
        <f t="shared" si="3"/>
        <v>0</v>
      </c>
      <c r="AB25" s="18">
        <f t="shared" si="3"/>
        <v>0</v>
      </c>
      <c r="AC25" s="18">
        <f t="shared" si="3"/>
        <v>0</v>
      </c>
      <c r="AD25" s="18">
        <f t="shared" si="3"/>
        <v>0</v>
      </c>
      <c r="AE25" s="18">
        <f t="shared" si="3"/>
        <v>0</v>
      </c>
      <c r="AF25" s="18">
        <f t="shared" si="3"/>
        <v>0</v>
      </c>
      <c r="AG25" s="18">
        <f t="shared" si="3"/>
        <v>0</v>
      </c>
      <c r="AH25" s="20">
        <f>SUM(G25:AG25)</f>
        <v>4714865111.5800009</v>
      </c>
      <c r="AI25" s="15" t="str">
        <f>IF(ABS(F25-AH25)&lt;0.01,"ok","err")</f>
        <v>ok</v>
      </c>
    </row>
    <row r="29" spans="1:35" x14ac:dyDescent="0.3">
      <c r="A29" s="16" t="s">
        <v>78</v>
      </c>
    </row>
    <row r="31" spans="1:35" x14ac:dyDescent="0.3">
      <c r="A31" s="3" t="s">
        <v>530</v>
      </c>
    </row>
    <row r="32" spans="1:35" x14ac:dyDescent="0.3">
      <c r="A32" s="21" t="s">
        <v>531</v>
      </c>
      <c r="C32" s="2" t="s">
        <v>79</v>
      </c>
      <c r="D32" s="2" t="s">
        <v>557</v>
      </c>
      <c r="E32" s="2" t="s">
        <v>533</v>
      </c>
      <c r="F32" s="18">
        <f>VLOOKUP(C32,'Functional Assignment'!$C$1:$AU$563,6,)</f>
        <v>954642249.32112646</v>
      </c>
      <c r="G32" s="18">
        <f>IF(VLOOKUP($E32,$D$5:$AI$471,3,)=0,0,(VLOOKUP($E32,$D$5:$AI$471,4,)/VLOOKUP($E32,$D$5:$AI$471,3,))*$F32)</f>
        <v>786793802.09126282</v>
      </c>
      <c r="H32" s="18">
        <f>IF(VLOOKUP($E32,$D$5:$AI$471,3,)=0,0,(VLOOKUP($E32,$D$5:$AI$471,5,)/VLOOKUP($E32,$D$5:$AI$471,3,))*$F32)</f>
        <v>39224876.920691527</v>
      </c>
      <c r="I32" s="18">
        <f>IF(VLOOKUP($E32,$D$5:$AI$471,3,)=0,0,(VLOOKUP($E32,$D$5:$AI$471,6,)/VLOOKUP($E32,$D$5:$AI$471,3,))*$F32)</f>
        <v>9590110.0915165208</v>
      </c>
      <c r="J32" s="18">
        <f>IF(VLOOKUP($E32,$D$5:$AI$471,3,)=0,0,(VLOOKUP($E32,$D$5:$AI$471,7,)/VLOOKUP($E32,$D$5:$AI$471,3,))*$F32)</f>
        <v>20732538.588051692</v>
      </c>
      <c r="K32" s="18">
        <f>IF(VLOOKUP($E32,$D$5:$AI$471,3,)=0,0,(VLOOKUP($E32,$D$5:$AI$471,8,)/VLOOKUP($E32,$D$5:$AI$471,3,))*$F32)</f>
        <v>98300921.629603535</v>
      </c>
      <c r="L32" s="18">
        <f>IF(VLOOKUP($E32,$D$5:$AI$471,3,)=0,0,(VLOOKUP($E32,$D$5:$AI$471,9,)/VLOOKUP($E32,$D$5:$AI$471,3,))*$F32)</f>
        <v>0</v>
      </c>
      <c r="M32" s="18">
        <f>IF(VLOOKUP($E32,$D$5:$AI$471,3,)=0,0,(VLOOKUP($E32,$D$5:$AI$471,10,)/VLOOKUP($E32,$D$5:$AI$471,3,))*$F32)</f>
        <v>0</v>
      </c>
      <c r="N32" s="18">
        <f>IF(VLOOKUP($E32,$D$5:$AI$471,3,)=0,0,(VLOOKUP($E32,$D$5:$AI$471,11,)/VLOOKUP($E32,$D$5:$AI$471,3,))*$F32)</f>
        <v>0</v>
      </c>
      <c r="O32" s="18">
        <f>IF(VLOOKUP($E32,$D$5:$AI$471,3,)=0,0,(VLOOKUP($E32,$D$5:$AI$471,12,)/VLOOKUP($E32,$D$5:$AI$471,3,))*$F32)</f>
        <v>0</v>
      </c>
      <c r="P32" s="18">
        <f>IF(VLOOKUP($E32,$D$5:$AI$471,3,)=0,0,(VLOOKUP($E32,$D$5:$AI$471,13,)/VLOOKUP($E32,$D$5:$AI$471,3,))*$F32)</f>
        <v>0</v>
      </c>
      <c r="Q32" s="18">
        <f>IF(VLOOKUP($E32,$D$5:$AI$471,3,)=0,0,(VLOOKUP($E32,$D$5:$AI$471,14,)/VLOOKUP($E32,$D$5:$AI$471,3,))*$F32)</f>
        <v>0</v>
      </c>
      <c r="R32" s="18">
        <f>IF(VLOOKUP($E32,$D$5:$AI$471,3,)=0,0,(VLOOKUP($E32,$D$5:$AI$471,15,)/VLOOKUP($E32,$D$5:$AI$471,3,))*$F32)</f>
        <v>0</v>
      </c>
      <c r="S32" s="18">
        <f>IF(VLOOKUP($E32,$D$5:$AI$471,3,)=0,0,(VLOOKUP($E32,$D$5:$AI$471,16,)/VLOOKUP($E32,$D$5:$AI$471,3,))*$F32)</f>
        <v>0</v>
      </c>
      <c r="T32" s="18">
        <f>IF(VLOOKUP($E32,$D$5:$AI$471,3,)=0,0,(VLOOKUP($E32,$D$5:$AI$471,17,)/VLOOKUP($E32,$D$5:$AI$471,3,))*$F32)</f>
        <v>0</v>
      </c>
      <c r="U32" s="18">
        <f>IF(VLOOKUP($E32,$D$5:$AI$471,3,)=0,0,(VLOOKUP($E32,$D$5:$AI$471,18,)/VLOOKUP($E32,$D$5:$AI$471,3,))*$F32)</f>
        <v>0</v>
      </c>
      <c r="V32" s="18">
        <f>IF(VLOOKUP($E32,$D$5:$AI$471,3,)=0,0,(VLOOKUP($E32,$D$5:$AI$471,19,)/VLOOKUP($E32,$D$5:$AI$471,3,))*$F32)</f>
        <v>0</v>
      </c>
      <c r="W32" s="18">
        <f>IF(VLOOKUP($E32,$D$5:$AI$471,3,)=0,0,(VLOOKUP($E32,$D$5:$AI$471,20,)/VLOOKUP($E32,$D$5:$AI$471,3,))*$F32)</f>
        <v>0</v>
      </c>
      <c r="X32" s="18">
        <f>IF(VLOOKUP($E32,$D$5:$AI$471,3,)=0,0,(VLOOKUP($E32,$D$5:$AI$471,21,)/VLOOKUP($E32,$D$5:$AI$471,3,))*$F32)</f>
        <v>0</v>
      </c>
      <c r="Y32" s="18">
        <f>IF(VLOOKUP($E32,$D$5:$AI$471,3,)=0,0,(VLOOKUP($E32,$D$5:$AI$471,22,)/VLOOKUP($E32,$D$5:$AI$471,3,))*$F32)</f>
        <v>0</v>
      </c>
      <c r="Z32" s="18">
        <f>IF(VLOOKUP($E32,$D$5:$AI$471,3,)=0,0,(VLOOKUP($E32,$D$5:$AI$471,23,)/VLOOKUP($E32,$D$5:$AI$471,3,))*$F32)</f>
        <v>0</v>
      </c>
      <c r="AA32" s="18">
        <f>IF(VLOOKUP($E32,$D$5:$AI$471,3,)=0,0,(VLOOKUP($E32,$D$5:$AI$471,24,)/VLOOKUP($E32,$D$5:$AI$471,3,))*$F32)</f>
        <v>0</v>
      </c>
      <c r="AB32" s="18">
        <f>IF(VLOOKUP($E32,$D$5:$AI$471,3,)=0,0,(VLOOKUP($E32,$D$5:$AI$471,25,)/VLOOKUP($E32,$D$5:$AI$471,3,))*$F32)</f>
        <v>0</v>
      </c>
      <c r="AC32" s="18">
        <f>IF(VLOOKUP($E32,$D$5:$AI$471,3,)=0,0,(VLOOKUP($E32,$D$5:$AI$471,26,)/VLOOKUP($E32,$D$5:$AI$471,3,))*$F32)</f>
        <v>0</v>
      </c>
      <c r="AD32" s="18">
        <f>IF(VLOOKUP($E32,$D$5:$AI$471,3,)=0,0,(VLOOKUP($E32,$D$5:$AI$471,27,)/VLOOKUP($E32,$D$5:$AI$471,3,))*$F32)</f>
        <v>0</v>
      </c>
      <c r="AE32" s="18">
        <f>IF(VLOOKUP($E32,$D$5:$AI$471,3,)=0,0,(VLOOKUP($E32,$D$5:$AI$471,28,)/VLOOKUP($E32,$D$5:$AI$471,3,))*$F32)</f>
        <v>0</v>
      </c>
      <c r="AF32" s="18">
        <f>IF(VLOOKUP($E32,$D$5:$AI$471,3,)=0,0,(VLOOKUP($E32,$D$5:$AI$471,29,)/VLOOKUP($E32,$D$5:$AI$471,3,))*$F32)</f>
        <v>0</v>
      </c>
      <c r="AG32" s="18">
        <f>IF(VLOOKUP($E32,$D$5:$AI$471,3,)=0,0,(VLOOKUP($E32,$D$5:$AI$471,30,)/VLOOKUP($E32,$D$5:$AI$471,3,))*$F32)</f>
        <v>0</v>
      </c>
      <c r="AH32" s="20">
        <f t="shared" ref="AH32:AH37" si="4">SUM(G32:AG32)</f>
        <v>954642249.32112598</v>
      </c>
      <c r="AI32" s="15" t="str">
        <f t="shared" ref="AI32:AI37" si="5">IF(ABS(F32-AH32)&lt;0.01,"ok","err")</f>
        <v>ok</v>
      </c>
    </row>
    <row r="33" spans="1:35" x14ac:dyDescent="0.3">
      <c r="A33" s="21" t="s">
        <v>534</v>
      </c>
      <c r="C33" s="2" t="s">
        <v>79</v>
      </c>
      <c r="D33" s="2" t="s">
        <v>558</v>
      </c>
      <c r="E33" s="2" t="s">
        <v>536</v>
      </c>
      <c r="F33" s="18">
        <f>VLOOKUP(C33,'Functional Assignment'!$C$1:$AU$563,7,)</f>
        <v>1177774023.250474</v>
      </c>
      <c r="G33" s="18">
        <f>IF(VLOOKUP($E33,$D$5:$AI$471,3,)=0,0,(VLOOKUP($E33,$D$5:$AI$471,4,)/VLOOKUP($E33,$D$5:$AI$471,3,))*$F33)</f>
        <v>852399043.06599951</v>
      </c>
      <c r="H33" s="18">
        <f>IF(VLOOKUP($E33,$D$5:$AI$471,3,)=0,0,(VLOOKUP($E33,$D$5:$AI$471,5,)/VLOOKUP($E33,$D$5:$AI$471,3,))*$F33)</f>
        <v>98356487.022053525</v>
      </c>
      <c r="I33" s="18">
        <f>IF(VLOOKUP($E33,$D$5:$AI$471,3,)=0,0,(VLOOKUP($E33,$D$5:$AI$471,6,)/VLOOKUP($E33,$D$5:$AI$471,3,))*$F33)</f>
        <v>39973180.321917154</v>
      </c>
      <c r="J33" s="18">
        <f>IF(VLOOKUP($E33,$D$5:$AI$471,3,)=0,0,(VLOOKUP($E33,$D$5:$AI$471,7,)/VLOOKUP($E33,$D$5:$AI$471,3,))*$F33)</f>
        <v>59332321.800227538</v>
      </c>
      <c r="K33" s="18">
        <f>IF(VLOOKUP($E33,$D$5:$AI$471,3,)=0,0,(VLOOKUP($E33,$D$5:$AI$471,8,)/VLOOKUP($E33,$D$5:$AI$471,3,))*$F33)</f>
        <v>127712991.0402762</v>
      </c>
      <c r="L33" s="18">
        <f>IF(VLOOKUP($E33,$D$5:$AI$471,3,)=0,0,(VLOOKUP($E33,$D$5:$AI$471,9,)/VLOOKUP($E33,$D$5:$AI$471,3,))*$F33)</f>
        <v>0</v>
      </c>
      <c r="M33" s="18">
        <f>IF(VLOOKUP($E33,$D$5:$AI$471,3,)=0,0,(VLOOKUP($E33,$D$5:$AI$471,10,)/VLOOKUP($E33,$D$5:$AI$471,3,))*$F33)</f>
        <v>0</v>
      </c>
      <c r="N33" s="18">
        <f>IF(VLOOKUP($E33,$D$5:$AI$471,3,)=0,0,(VLOOKUP($E33,$D$5:$AI$471,11,)/VLOOKUP($E33,$D$5:$AI$471,3,))*$F33)</f>
        <v>0</v>
      </c>
      <c r="O33" s="18">
        <f>IF(VLOOKUP($E33,$D$5:$AI$471,3,)=0,0,(VLOOKUP($E33,$D$5:$AI$471,12,)/VLOOKUP($E33,$D$5:$AI$471,3,))*$F33)</f>
        <v>0</v>
      </c>
      <c r="P33" s="18">
        <f>IF(VLOOKUP($E33,$D$5:$AI$471,3,)=0,0,(VLOOKUP($E33,$D$5:$AI$471,13,)/VLOOKUP($E33,$D$5:$AI$471,3,))*$F33)</f>
        <v>0</v>
      </c>
      <c r="Q33" s="18">
        <f>IF(VLOOKUP($E33,$D$5:$AI$471,3,)=0,0,(VLOOKUP($E33,$D$5:$AI$471,14,)/VLOOKUP($E33,$D$5:$AI$471,3,))*$F33)</f>
        <v>0</v>
      </c>
      <c r="R33" s="18">
        <f>IF(VLOOKUP($E33,$D$5:$AI$471,3,)=0,0,(VLOOKUP($E33,$D$5:$AI$471,15,)/VLOOKUP($E33,$D$5:$AI$471,3,))*$F33)</f>
        <v>0</v>
      </c>
      <c r="S33" s="18">
        <f>IF(VLOOKUP($E33,$D$5:$AI$471,3,)=0,0,(VLOOKUP($E33,$D$5:$AI$471,16,)/VLOOKUP($E33,$D$5:$AI$471,3,))*$F33)</f>
        <v>0</v>
      </c>
      <c r="T33" s="18">
        <f>IF(VLOOKUP($E33,$D$5:$AI$471,3,)=0,0,(VLOOKUP($E33,$D$5:$AI$471,17,)/VLOOKUP($E33,$D$5:$AI$471,3,))*$F33)</f>
        <v>0</v>
      </c>
      <c r="U33" s="18">
        <f>IF(VLOOKUP($E33,$D$5:$AI$471,3,)=0,0,(VLOOKUP($E33,$D$5:$AI$471,18,)/VLOOKUP($E33,$D$5:$AI$471,3,))*$F33)</f>
        <v>0</v>
      </c>
      <c r="V33" s="18">
        <f>IF(VLOOKUP($E33,$D$5:$AI$471,3,)=0,0,(VLOOKUP($E33,$D$5:$AI$471,19,)/VLOOKUP($E33,$D$5:$AI$471,3,))*$F33)</f>
        <v>0</v>
      </c>
      <c r="W33" s="18">
        <f>IF(VLOOKUP($E33,$D$5:$AI$471,3,)=0,0,(VLOOKUP($E33,$D$5:$AI$471,20,)/VLOOKUP($E33,$D$5:$AI$471,3,))*$F33)</f>
        <v>0</v>
      </c>
      <c r="X33" s="18">
        <f>IF(VLOOKUP($E33,$D$5:$AI$471,3,)=0,0,(VLOOKUP($E33,$D$5:$AI$471,21,)/VLOOKUP($E33,$D$5:$AI$471,3,))*$F33)</f>
        <v>0</v>
      </c>
      <c r="Y33" s="18">
        <f>IF(VLOOKUP($E33,$D$5:$AI$471,3,)=0,0,(VLOOKUP($E33,$D$5:$AI$471,22,)/VLOOKUP($E33,$D$5:$AI$471,3,))*$F33)</f>
        <v>0</v>
      </c>
      <c r="Z33" s="18">
        <f>IF(VLOOKUP($E33,$D$5:$AI$471,3,)=0,0,(VLOOKUP($E33,$D$5:$AI$471,23,)/VLOOKUP($E33,$D$5:$AI$471,3,))*$F33)</f>
        <v>0</v>
      </c>
      <c r="AA33" s="18">
        <f>IF(VLOOKUP($E33,$D$5:$AI$471,3,)=0,0,(VLOOKUP($E33,$D$5:$AI$471,24,)/VLOOKUP($E33,$D$5:$AI$471,3,))*$F33)</f>
        <v>0</v>
      </c>
      <c r="AB33" s="18">
        <f>IF(VLOOKUP($E33,$D$5:$AI$471,3,)=0,0,(VLOOKUP($E33,$D$5:$AI$471,25,)/VLOOKUP($E33,$D$5:$AI$471,3,))*$F33)</f>
        <v>0</v>
      </c>
      <c r="AC33" s="18">
        <f>IF(VLOOKUP($E33,$D$5:$AI$471,3,)=0,0,(VLOOKUP($E33,$D$5:$AI$471,26,)/VLOOKUP($E33,$D$5:$AI$471,3,))*$F33)</f>
        <v>0</v>
      </c>
      <c r="AD33" s="18">
        <f>IF(VLOOKUP($E33,$D$5:$AI$471,3,)=0,0,(VLOOKUP($E33,$D$5:$AI$471,27,)/VLOOKUP($E33,$D$5:$AI$471,3,))*$F33)</f>
        <v>0</v>
      </c>
      <c r="AE33" s="18">
        <f>IF(VLOOKUP($E33,$D$5:$AI$471,3,)=0,0,(VLOOKUP($E33,$D$5:$AI$471,28,)/VLOOKUP($E33,$D$5:$AI$471,3,))*$F33)</f>
        <v>0</v>
      </c>
      <c r="AF33" s="18">
        <f>IF(VLOOKUP($E33,$D$5:$AI$471,3,)=0,0,(VLOOKUP($E33,$D$5:$AI$471,29,)/VLOOKUP($E33,$D$5:$AI$471,3,))*$F33)</f>
        <v>0</v>
      </c>
      <c r="AG33" s="18">
        <f>IF(VLOOKUP($E33,$D$5:$AI$471,3,)=0,0,(VLOOKUP($E33,$D$5:$AI$471,30,)/VLOOKUP($E33,$D$5:$AI$471,3,))*$F33)</f>
        <v>0</v>
      </c>
      <c r="AH33" s="20">
        <f t="shared" si="4"/>
        <v>1177774023.250474</v>
      </c>
      <c r="AI33" s="15" t="str">
        <f t="shared" si="5"/>
        <v>ok</v>
      </c>
    </row>
    <row r="34" spans="1:35" x14ac:dyDescent="0.3">
      <c r="A34" s="21" t="s">
        <v>537</v>
      </c>
      <c r="C34" s="2" t="s">
        <v>79</v>
      </c>
      <c r="D34" s="2" t="s">
        <v>559</v>
      </c>
      <c r="E34" s="2" t="s">
        <v>539</v>
      </c>
      <c r="F34" s="18">
        <f>VLOOKUP(C34,'Functional Assignment'!$C$1:$AU$563,8,)</f>
        <v>0</v>
      </c>
      <c r="G34" s="18">
        <f>IF(VLOOKUP($E34,$D$5:$AI$471,3,)=0,0,(VLOOKUP($E34,$D$5:$AI$471,4,)/VLOOKUP($E34,$D$5:$AI$471,3,))*$F34)</f>
        <v>0</v>
      </c>
      <c r="H34" s="18">
        <f>IF(VLOOKUP($E34,$D$5:$AI$471,3,)=0,0,(VLOOKUP($E34,$D$5:$AI$471,5,)/VLOOKUP($E34,$D$5:$AI$471,3,))*$F34)</f>
        <v>0</v>
      </c>
      <c r="I34" s="18">
        <f>IF(VLOOKUP($E34,$D$5:$AI$471,3,)=0,0,(VLOOKUP($E34,$D$5:$AI$471,6,)/VLOOKUP($E34,$D$5:$AI$471,3,))*$F34)</f>
        <v>0</v>
      </c>
      <c r="J34" s="18">
        <f>IF(VLOOKUP($E34,$D$5:$AI$471,3,)=0,0,(VLOOKUP($E34,$D$5:$AI$471,7,)/VLOOKUP($E34,$D$5:$AI$471,3,))*$F34)</f>
        <v>0</v>
      </c>
      <c r="K34" s="18">
        <f>IF(VLOOKUP($E34,$D$5:$AI$471,3,)=0,0,(VLOOKUP($E34,$D$5:$AI$471,8,)/VLOOKUP($E34,$D$5:$AI$471,3,))*$F34)</f>
        <v>0</v>
      </c>
      <c r="L34" s="18">
        <f>IF(VLOOKUP($E34,$D$5:$AI$471,3,)=0,0,(VLOOKUP($E34,$D$5:$AI$471,9,)/VLOOKUP($E34,$D$5:$AI$471,3,))*$F34)</f>
        <v>0</v>
      </c>
      <c r="M34" s="18">
        <f>IF(VLOOKUP($E34,$D$5:$AI$471,3,)=0,0,(VLOOKUP($E34,$D$5:$AI$471,10,)/VLOOKUP($E34,$D$5:$AI$471,3,))*$F34)</f>
        <v>0</v>
      </c>
      <c r="N34" s="18">
        <f>IF(VLOOKUP($E34,$D$5:$AI$471,3,)=0,0,(VLOOKUP($E34,$D$5:$AI$471,11,)/VLOOKUP($E34,$D$5:$AI$471,3,))*$F34)</f>
        <v>0</v>
      </c>
      <c r="O34" s="18">
        <f>IF(VLOOKUP($E34,$D$5:$AI$471,3,)=0,0,(VLOOKUP($E34,$D$5:$AI$471,12,)/VLOOKUP($E34,$D$5:$AI$471,3,))*$F34)</f>
        <v>0</v>
      </c>
      <c r="P34" s="18">
        <f>IF(VLOOKUP($E34,$D$5:$AI$471,3,)=0,0,(VLOOKUP($E34,$D$5:$AI$471,13,)/VLOOKUP($E34,$D$5:$AI$471,3,))*$F34)</f>
        <v>0</v>
      </c>
      <c r="Q34" s="18">
        <f>IF(VLOOKUP($E34,$D$5:$AI$471,3,)=0,0,(VLOOKUP($E34,$D$5:$AI$471,14,)/VLOOKUP($E34,$D$5:$AI$471,3,))*$F34)</f>
        <v>0</v>
      </c>
      <c r="R34" s="18">
        <f>IF(VLOOKUP($E34,$D$5:$AI$471,3,)=0,0,(VLOOKUP($E34,$D$5:$AI$471,15,)/VLOOKUP($E34,$D$5:$AI$471,3,))*$F34)</f>
        <v>0</v>
      </c>
      <c r="S34" s="18">
        <f>IF(VLOOKUP($E34,$D$5:$AI$471,3,)=0,0,(VLOOKUP($E34,$D$5:$AI$471,16,)/VLOOKUP($E34,$D$5:$AI$471,3,))*$F34)</f>
        <v>0</v>
      </c>
      <c r="T34" s="18">
        <f>IF(VLOOKUP($E34,$D$5:$AI$471,3,)=0,0,(VLOOKUP($E34,$D$5:$AI$471,17,)/VLOOKUP($E34,$D$5:$AI$471,3,))*$F34)</f>
        <v>0</v>
      </c>
      <c r="U34" s="18">
        <f>IF(VLOOKUP($E34,$D$5:$AI$471,3,)=0,0,(VLOOKUP($E34,$D$5:$AI$471,18,)/VLOOKUP($E34,$D$5:$AI$471,3,))*$F34)</f>
        <v>0</v>
      </c>
      <c r="V34" s="18">
        <f>IF(VLOOKUP($E34,$D$5:$AI$471,3,)=0,0,(VLOOKUP($E34,$D$5:$AI$471,19,)/VLOOKUP($E34,$D$5:$AI$471,3,))*$F34)</f>
        <v>0</v>
      </c>
      <c r="W34" s="18">
        <f>IF(VLOOKUP($E34,$D$5:$AI$471,3,)=0,0,(VLOOKUP($E34,$D$5:$AI$471,20,)/VLOOKUP($E34,$D$5:$AI$471,3,))*$F34)</f>
        <v>0</v>
      </c>
      <c r="X34" s="18">
        <f>IF(VLOOKUP($E34,$D$5:$AI$471,3,)=0,0,(VLOOKUP($E34,$D$5:$AI$471,21,)/VLOOKUP($E34,$D$5:$AI$471,3,))*$F34)</f>
        <v>0</v>
      </c>
      <c r="Y34" s="18">
        <f>IF(VLOOKUP($E34,$D$5:$AI$471,3,)=0,0,(VLOOKUP($E34,$D$5:$AI$471,22,)/VLOOKUP($E34,$D$5:$AI$471,3,))*$F34)</f>
        <v>0</v>
      </c>
      <c r="Z34" s="18">
        <f>IF(VLOOKUP($E34,$D$5:$AI$471,3,)=0,0,(VLOOKUP($E34,$D$5:$AI$471,23,)/VLOOKUP($E34,$D$5:$AI$471,3,))*$F34)</f>
        <v>0</v>
      </c>
      <c r="AA34" s="18">
        <f>IF(VLOOKUP($E34,$D$5:$AI$471,3,)=0,0,(VLOOKUP($E34,$D$5:$AI$471,24,)/VLOOKUP($E34,$D$5:$AI$471,3,))*$F34)</f>
        <v>0</v>
      </c>
      <c r="AB34" s="18">
        <f>IF(VLOOKUP($E34,$D$5:$AI$471,3,)=0,0,(VLOOKUP($E34,$D$5:$AI$471,25,)/VLOOKUP($E34,$D$5:$AI$471,3,))*$F34)</f>
        <v>0</v>
      </c>
      <c r="AC34" s="18">
        <f>IF(VLOOKUP($E34,$D$5:$AI$471,3,)=0,0,(VLOOKUP($E34,$D$5:$AI$471,26,)/VLOOKUP($E34,$D$5:$AI$471,3,))*$F34)</f>
        <v>0</v>
      </c>
      <c r="AD34" s="18">
        <f>IF(VLOOKUP($E34,$D$5:$AI$471,3,)=0,0,(VLOOKUP($E34,$D$5:$AI$471,27,)/VLOOKUP($E34,$D$5:$AI$471,3,))*$F34)</f>
        <v>0</v>
      </c>
      <c r="AE34" s="18">
        <f>IF(VLOOKUP($E34,$D$5:$AI$471,3,)=0,0,(VLOOKUP($E34,$D$5:$AI$471,28,)/VLOOKUP($E34,$D$5:$AI$471,3,))*$F34)</f>
        <v>0</v>
      </c>
      <c r="AF34" s="18">
        <f>IF(VLOOKUP($E34,$D$5:$AI$471,3,)=0,0,(VLOOKUP($E34,$D$5:$AI$471,29,)/VLOOKUP($E34,$D$5:$AI$471,3,))*$F34)</f>
        <v>0</v>
      </c>
      <c r="AG34" s="18">
        <f>IF(VLOOKUP($E34,$D$5:$AI$471,3,)=0,0,(VLOOKUP($E34,$D$5:$AI$471,30,)/VLOOKUP($E34,$D$5:$AI$471,3,))*$F34)</f>
        <v>0</v>
      </c>
      <c r="AH34" s="20">
        <f t="shared" si="4"/>
        <v>0</v>
      </c>
      <c r="AI34" s="15" t="str">
        <f t="shared" si="5"/>
        <v>ok</v>
      </c>
    </row>
    <row r="35" spans="1:35" x14ac:dyDescent="0.3">
      <c r="A35" s="21" t="s">
        <v>540</v>
      </c>
      <c r="C35" s="2" t="s">
        <v>79</v>
      </c>
      <c r="D35" s="2" t="s">
        <v>560</v>
      </c>
      <c r="E35" s="2" t="s">
        <v>542</v>
      </c>
      <c r="F35" s="18">
        <f>VLOOKUP(C35,'Functional Assignment'!$C$1:$AU$563,9,)</f>
        <v>0</v>
      </c>
      <c r="G35" s="18">
        <f>IF(VLOOKUP($E35,$D$5:$AI$471,3,)=0,0,(VLOOKUP($E35,$D$5:$AI$471,4,)/VLOOKUP($E35,$D$5:$AI$471,3,))*$F35)</f>
        <v>0</v>
      </c>
      <c r="H35" s="18">
        <f>IF(VLOOKUP($E35,$D$5:$AI$471,3,)=0,0,(VLOOKUP($E35,$D$5:$AI$471,5,)/VLOOKUP($E35,$D$5:$AI$471,3,))*$F35)</f>
        <v>0</v>
      </c>
      <c r="I35" s="18">
        <f>IF(VLOOKUP($E35,$D$5:$AI$471,3,)=0,0,(VLOOKUP($E35,$D$5:$AI$471,6,)/VLOOKUP($E35,$D$5:$AI$471,3,))*$F35)</f>
        <v>0</v>
      </c>
      <c r="J35" s="18">
        <f>IF(VLOOKUP($E35,$D$5:$AI$471,3,)=0,0,(VLOOKUP($E35,$D$5:$AI$471,7,)/VLOOKUP($E35,$D$5:$AI$471,3,))*$F35)</f>
        <v>0</v>
      </c>
      <c r="K35" s="18">
        <f>IF(VLOOKUP($E35,$D$5:$AI$471,3,)=0,0,(VLOOKUP($E35,$D$5:$AI$471,8,)/VLOOKUP($E35,$D$5:$AI$471,3,))*$F35)</f>
        <v>0</v>
      </c>
      <c r="L35" s="18">
        <f>IF(VLOOKUP($E35,$D$5:$AI$471,3,)=0,0,(VLOOKUP($E35,$D$5:$AI$471,9,)/VLOOKUP($E35,$D$5:$AI$471,3,))*$F35)</f>
        <v>0</v>
      </c>
      <c r="M35" s="18">
        <f>IF(VLOOKUP($E35,$D$5:$AI$471,3,)=0,0,(VLOOKUP($E35,$D$5:$AI$471,10,)/VLOOKUP($E35,$D$5:$AI$471,3,))*$F35)</f>
        <v>0</v>
      </c>
      <c r="N35" s="18">
        <f>IF(VLOOKUP($E35,$D$5:$AI$471,3,)=0,0,(VLOOKUP($E35,$D$5:$AI$471,11,)/VLOOKUP($E35,$D$5:$AI$471,3,))*$F35)</f>
        <v>0</v>
      </c>
      <c r="O35" s="18">
        <f>IF(VLOOKUP($E35,$D$5:$AI$471,3,)=0,0,(VLOOKUP($E35,$D$5:$AI$471,12,)/VLOOKUP($E35,$D$5:$AI$471,3,))*$F35)</f>
        <v>0</v>
      </c>
      <c r="P35" s="18">
        <f>IF(VLOOKUP($E35,$D$5:$AI$471,3,)=0,0,(VLOOKUP($E35,$D$5:$AI$471,13,)/VLOOKUP($E35,$D$5:$AI$471,3,))*$F35)</f>
        <v>0</v>
      </c>
      <c r="Q35" s="18">
        <f>IF(VLOOKUP($E35,$D$5:$AI$471,3,)=0,0,(VLOOKUP($E35,$D$5:$AI$471,14,)/VLOOKUP($E35,$D$5:$AI$471,3,))*$F35)</f>
        <v>0</v>
      </c>
      <c r="R35" s="18">
        <f>IF(VLOOKUP($E35,$D$5:$AI$471,3,)=0,0,(VLOOKUP($E35,$D$5:$AI$471,15,)/VLOOKUP($E35,$D$5:$AI$471,3,))*$F35)</f>
        <v>0</v>
      </c>
      <c r="S35" s="18">
        <f>IF(VLOOKUP($E35,$D$5:$AI$471,3,)=0,0,(VLOOKUP($E35,$D$5:$AI$471,16,)/VLOOKUP($E35,$D$5:$AI$471,3,))*$F35)</f>
        <v>0</v>
      </c>
      <c r="T35" s="18">
        <f>IF(VLOOKUP($E35,$D$5:$AI$471,3,)=0,0,(VLOOKUP($E35,$D$5:$AI$471,17,)/VLOOKUP($E35,$D$5:$AI$471,3,))*$F35)</f>
        <v>0</v>
      </c>
      <c r="U35" s="18">
        <f>IF(VLOOKUP($E35,$D$5:$AI$471,3,)=0,0,(VLOOKUP($E35,$D$5:$AI$471,18,)/VLOOKUP($E35,$D$5:$AI$471,3,))*$F35)</f>
        <v>0</v>
      </c>
      <c r="V35" s="18">
        <f>IF(VLOOKUP($E35,$D$5:$AI$471,3,)=0,0,(VLOOKUP($E35,$D$5:$AI$471,19,)/VLOOKUP($E35,$D$5:$AI$471,3,))*$F35)</f>
        <v>0</v>
      </c>
      <c r="W35" s="18">
        <f>IF(VLOOKUP($E35,$D$5:$AI$471,3,)=0,0,(VLOOKUP($E35,$D$5:$AI$471,20,)/VLOOKUP($E35,$D$5:$AI$471,3,))*$F35)</f>
        <v>0</v>
      </c>
      <c r="X35" s="18">
        <f>IF(VLOOKUP($E35,$D$5:$AI$471,3,)=0,0,(VLOOKUP($E35,$D$5:$AI$471,21,)/VLOOKUP($E35,$D$5:$AI$471,3,))*$F35)</f>
        <v>0</v>
      </c>
      <c r="Y35" s="18">
        <f>IF(VLOOKUP($E35,$D$5:$AI$471,3,)=0,0,(VLOOKUP($E35,$D$5:$AI$471,22,)/VLOOKUP($E35,$D$5:$AI$471,3,))*$F35)</f>
        <v>0</v>
      </c>
      <c r="Z35" s="18">
        <f>IF(VLOOKUP($E35,$D$5:$AI$471,3,)=0,0,(VLOOKUP($E35,$D$5:$AI$471,23,)/VLOOKUP($E35,$D$5:$AI$471,3,))*$F35)</f>
        <v>0</v>
      </c>
      <c r="AA35" s="18">
        <f>IF(VLOOKUP($E35,$D$5:$AI$471,3,)=0,0,(VLOOKUP($E35,$D$5:$AI$471,24,)/VLOOKUP($E35,$D$5:$AI$471,3,))*$F35)</f>
        <v>0</v>
      </c>
      <c r="AB35" s="18">
        <f>IF(VLOOKUP($E35,$D$5:$AI$471,3,)=0,0,(VLOOKUP($E35,$D$5:$AI$471,25,)/VLOOKUP($E35,$D$5:$AI$471,3,))*$F35)</f>
        <v>0</v>
      </c>
      <c r="AC35" s="18">
        <f>IF(VLOOKUP($E35,$D$5:$AI$471,3,)=0,0,(VLOOKUP($E35,$D$5:$AI$471,26,)/VLOOKUP($E35,$D$5:$AI$471,3,))*$F35)</f>
        <v>0</v>
      </c>
      <c r="AD35" s="18">
        <f>IF(VLOOKUP($E35,$D$5:$AI$471,3,)=0,0,(VLOOKUP($E35,$D$5:$AI$471,27,)/VLOOKUP($E35,$D$5:$AI$471,3,))*$F35)</f>
        <v>0</v>
      </c>
      <c r="AE35" s="18">
        <f>IF(VLOOKUP($E35,$D$5:$AI$471,3,)=0,0,(VLOOKUP($E35,$D$5:$AI$471,28,)/VLOOKUP($E35,$D$5:$AI$471,3,))*$F35)</f>
        <v>0</v>
      </c>
      <c r="AF35" s="18">
        <f>IF(VLOOKUP($E35,$D$5:$AI$471,3,)=0,0,(VLOOKUP($E35,$D$5:$AI$471,29,)/VLOOKUP($E35,$D$5:$AI$471,3,))*$F35)</f>
        <v>0</v>
      </c>
      <c r="AG35" s="18">
        <f>IF(VLOOKUP($E35,$D$5:$AI$471,3,)=0,0,(VLOOKUP($E35,$D$5:$AI$471,30,)/VLOOKUP($E35,$D$5:$AI$471,3,))*$F35)</f>
        <v>0</v>
      </c>
      <c r="AH35" s="20">
        <f t="shared" si="4"/>
        <v>0</v>
      </c>
      <c r="AI35" s="15" t="str">
        <f t="shared" si="5"/>
        <v>ok</v>
      </c>
    </row>
    <row r="36" spans="1:35" x14ac:dyDescent="0.3">
      <c r="A36" s="21" t="s">
        <v>543</v>
      </c>
      <c r="C36" s="2" t="s">
        <v>79</v>
      </c>
      <c r="D36" s="2" t="s">
        <v>561</v>
      </c>
      <c r="E36" s="2" t="s">
        <v>545</v>
      </c>
      <c r="F36" s="18">
        <f>VLOOKUP(C36,'Functional Assignment'!$C$1:$AU$563,10,)</f>
        <v>13972176.883666109</v>
      </c>
      <c r="G36" s="18">
        <f>IF(VLOOKUP($E36,$D$5:$AI$471,3,)=0,0,(VLOOKUP($E36,$D$5:$AI$471,4,)/VLOOKUP($E36,$D$5:$AI$471,3,))*$F36)</f>
        <v>0</v>
      </c>
      <c r="H36" s="18">
        <f>IF(VLOOKUP($E36,$D$5:$AI$471,3,)=0,0,(VLOOKUP($E36,$D$5:$AI$471,5,)/VLOOKUP($E36,$D$5:$AI$471,3,))*$F36)</f>
        <v>0</v>
      </c>
      <c r="I36" s="18">
        <f>IF(VLOOKUP($E36,$D$5:$AI$471,3,)=0,0,(VLOOKUP($E36,$D$5:$AI$471,6,)/VLOOKUP($E36,$D$5:$AI$471,3,))*$F36)</f>
        <v>0</v>
      </c>
      <c r="J36" s="18">
        <f>IF(VLOOKUP($E36,$D$5:$AI$471,3,)=0,0,(VLOOKUP($E36,$D$5:$AI$471,7,)/VLOOKUP($E36,$D$5:$AI$471,3,))*$F36)</f>
        <v>0</v>
      </c>
      <c r="K36" s="18">
        <f>IF(VLOOKUP($E36,$D$5:$AI$471,3,)=0,0,(VLOOKUP($E36,$D$5:$AI$471,8,)/VLOOKUP($E36,$D$5:$AI$471,3,))*$F36)</f>
        <v>0</v>
      </c>
      <c r="L36" s="18">
        <f>IF(VLOOKUP($E36,$D$5:$AI$471,3,)=0,0,(VLOOKUP($E36,$D$5:$AI$471,9,)/VLOOKUP($E36,$D$5:$AI$471,3,))*$F36)</f>
        <v>0</v>
      </c>
      <c r="M36" s="18">
        <f>IF(VLOOKUP($E36,$D$5:$AI$471,3,)=0,0,(VLOOKUP($E36,$D$5:$AI$471,10,)/VLOOKUP($E36,$D$5:$AI$471,3,))*$F36)</f>
        <v>13972176.883666109</v>
      </c>
      <c r="N36" s="18">
        <f>IF(VLOOKUP($E36,$D$5:$AI$471,3,)=0,0,(VLOOKUP($E36,$D$5:$AI$471,11,)/VLOOKUP($E36,$D$5:$AI$471,3,))*$F36)</f>
        <v>0</v>
      </c>
      <c r="O36" s="18">
        <f>IF(VLOOKUP($E36,$D$5:$AI$471,3,)=0,0,(VLOOKUP($E36,$D$5:$AI$471,12,)/VLOOKUP($E36,$D$5:$AI$471,3,))*$F36)</f>
        <v>0</v>
      </c>
      <c r="P36" s="18">
        <f>IF(VLOOKUP($E36,$D$5:$AI$471,3,)=0,0,(VLOOKUP($E36,$D$5:$AI$471,13,)/VLOOKUP($E36,$D$5:$AI$471,3,))*$F36)</f>
        <v>0</v>
      </c>
      <c r="Q36" s="18">
        <f>IF(VLOOKUP($E36,$D$5:$AI$471,3,)=0,0,(VLOOKUP($E36,$D$5:$AI$471,14,)/VLOOKUP($E36,$D$5:$AI$471,3,))*$F36)</f>
        <v>0</v>
      </c>
      <c r="R36" s="18">
        <f>IF(VLOOKUP($E36,$D$5:$AI$471,3,)=0,0,(VLOOKUP($E36,$D$5:$AI$471,15,)/VLOOKUP($E36,$D$5:$AI$471,3,))*$F36)</f>
        <v>0</v>
      </c>
      <c r="S36" s="18">
        <f>IF(VLOOKUP($E36,$D$5:$AI$471,3,)=0,0,(VLOOKUP($E36,$D$5:$AI$471,16,)/VLOOKUP($E36,$D$5:$AI$471,3,))*$F36)</f>
        <v>0</v>
      </c>
      <c r="T36" s="18">
        <f>IF(VLOOKUP($E36,$D$5:$AI$471,3,)=0,0,(VLOOKUP($E36,$D$5:$AI$471,17,)/VLOOKUP($E36,$D$5:$AI$471,3,))*$F36)</f>
        <v>0</v>
      </c>
      <c r="U36" s="18">
        <f>IF(VLOOKUP($E36,$D$5:$AI$471,3,)=0,0,(VLOOKUP($E36,$D$5:$AI$471,18,)/VLOOKUP($E36,$D$5:$AI$471,3,))*$F36)</f>
        <v>0</v>
      </c>
      <c r="V36" s="18">
        <f>IF(VLOOKUP($E36,$D$5:$AI$471,3,)=0,0,(VLOOKUP($E36,$D$5:$AI$471,19,)/VLOOKUP($E36,$D$5:$AI$471,3,))*$F36)</f>
        <v>0</v>
      </c>
      <c r="W36" s="18">
        <f>IF(VLOOKUP($E36,$D$5:$AI$471,3,)=0,0,(VLOOKUP($E36,$D$5:$AI$471,20,)/VLOOKUP($E36,$D$5:$AI$471,3,))*$F36)</f>
        <v>0</v>
      </c>
      <c r="X36" s="18">
        <f>IF(VLOOKUP($E36,$D$5:$AI$471,3,)=0,0,(VLOOKUP($E36,$D$5:$AI$471,21,)/VLOOKUP($E36,$D$5:$AI$471,3,))*$F36)</f>
        <v>0</v>
      </c>
      <c r="Y36" s="18">
        <f>IF(VLOOKUP($E36,$D$5:$AI$471,3,)=0,0,(VLOOKUP($E36,$D$5:$AI$471,22,)/VLOOKUP($E36,$D$5:$AI$471,3,))*$F36)</f>
        <v>0</v>
      </c>
      <c r="Z36" s="18">
        <f>IF(VLOOKUP($E36,$D$5:$AI$471,3,)=0,0,(VLOOKUP($E36,$D$5:$AI$471,23,)/VLOOKUP($E36,$D$5:$AI$471,3,))*$F36)</f>
        <v>0</v>
      </c>
      <c r="AA36" s="18">
        <f>IF(VLOOKUP($E36,$D$5:$AI$471,3,)=0,0,(VLOOKUP($E36,$D$5:$AI$471,24,)/VLOOKUP($E36,$D$5:$AI$471,3,))*$F36)</f>
        <v>0</v>
      </c>
      <c r="AB36" s="18">
        <f>IF(VLOOKUP($E36,$D$5:$AI$471,3,)=0,0,(VLOOKUP($E36,$D$5:$AI$471,25,)/VLOOKUP($E36,$D$5:$AI$471,3,))*$F36)</f>
        <v>0</v>
      </c>
      <c r="AC36" s="18">
        <f>IF(VLOOKUP($E36,$D$5:$AI$471,3,)=0,0,(VLOOKUP($E36,$D$5:$AI$471,26,)/VLOOKUP($E36,$D$5:$AI$471,3,))*$F36)</f>
        <v>0</v>
      </c>
      <c r="AD36" s="18">
        <f>IF(VLOOKUP($E36,$D$5:$AI$471,3,)=0,0,(VLOOKUP($E36,$D$5:$AI$471,27,)/VLOOKUP($E36,$D$5:$AI$471,3,))*$F36)</f>
        <v>0</v>
      </c>
      <c r="AE36" s="18">
        <f>IF(VLOOKUP($E36,$D$5:$AI$471,3,)=0,0,(VLOOKUP($E36,$D$5:$AI$471,28,)/VLOOKUP($E36,$D$5:$AI$471,3,))*$F36)</f>
        <v>0</v>
      </c>
      <c r="AF36" s="18">
        <f>IF(VLOOKUP($E36,$D$5:$AI$471,3,)=0,0,(VLOOKUP($E36,$D$5:$AI$471,29,)/VLOOKUP($E36,$D$5:$AI$471,3,))*$F36)</f>
        <v>0</v>
      </c>
      <c r="AG36" s="18">
        <f>IF(VLOOKUP($E36,$D$5:$AI$471,3,)=0,0,(VLOOKUP($E36,$D$5:$AI$471,30,)/VLOOKUP($E36,$D$5:$AI$471,3,))*$F36)</f>
        <v>0</v>
      </c>
      <c r="AH36" s="20">
        <f t="shared" si="4"/>
        <v>13972176.883666109</v>
      </c>
      <c r="AI36" s="15" t="str">
        <f t="shared" si="5"/>
        <v>ok</v>
      </c>
    </row>
    <row r="37" spans="1:35" x14ac:dyDescent="0.3">
      <c r="A37" s="2" t="s">
        <v>546</v>
      </c>
      <c r="D37" s="2" t="s">
        <v>562</v>
      </c>
      <c r="F37" s="18">
        <f>SUM(F32:F36)</f>
        <v>2146388449.4552665</v>
      </c>
      <c r="G37" s="18">
        <f t="shared" ref="G37:AG37" si="6">SUM(G32:G36)</f>
        <v>1639192845.1572623</v>
      </c>
      <c r="H37" s="18">
        <f t="shared" si="6"/>
        <v>137581363.94274506</v>
      </c>
      <c r="I37" s="18">
        <f t="shared" si="6"/>
        <v>49563290.413433671</v>
      </c>
      <c r="J37" s="18">
        <f t="shared" si="6"/>
        <v>80064860.388279229</v>
      </c>
      <c r="K37" s="18">
        <f t="shared" si="6"/>
        <v>226013912.66987973</v>
      </c>
      <c r="L37" s="18">
        <f t="shared" si="6"/>
        <v>0</v>
      </c>
      <c r="M37" s="18">
        <f t="shared" si="6"/>
        <v>13972176.883666109</v>
      </c>
      <c r="N37" s="18">
        <f t="shared" si="6"/>
        <v>0</v>
      </c>
      <c r="O37" s="18">
        <f t="shared" si="6"/>
        <v>0</v>
      </c>
      <c r="P37" s="18">
        <f t="shared" si="6"/>
        <v>0</v>
      </c>
      <c r="Q37" s="18">
        <f t="shared" si="6"/>
        <v>0</v>
      </c>
      <c r="R37" s="18">
        <f t="shared" si="6"/>
        <v>0</v>
      </c>
      <c r="S37" s="18">
        <f t="shared" si="6"/>
        <v>0</v>
      </c>
      <c r="T37" s="18">
        <f t="shared" si="6"/>
        <v>0</v>
      </c>
      <c r="U37" s="18">
        <f t="shared" si="6"/>
        <v>0</v>
      </c>
      <c r="V37" s="18">
        <f t="shared" si="6"/>
        <v>0</v>
      </c>
      <c r="W37" s="18">
        <f t="shared" si="6"/>
        <v>0</v>
      </c>
      <c r="X37" s="18">
        <f t="shared" si="6"/>
        <v>0</v>
      </c>
      <c r="Y37" s="18">
        <f t="shared" si="6"/>
        <v>0</v>
      </c>
      <c r="Z37" s="18">
        <f t="shared" si="6"/>
        <v>0</v>
      </c>
      <c r="AA37" s="18">
        <f t="shared" si="6"/>
        <v>0</v>
      </c>
      <c r="AB37" s="18">
        <f t="shared" si="6"/>
        <v>0</v>
      </c>
      <c r="AC37" s="18">
        <f t="shared" si="6"/>
        <v>0</v>
      </c>
      <c r="AD37" s="18">
        <f t="shared" si="6"/>
        <v>0</v>
      </c>
      <c r="AE37" s="18">
        <f t="shared" si="6"/>
        <v>0</v>
      </c>
      <c r="AF37" s="18">
        <f t="shared" si="6"/>
        <v>0</v>
      </c>
      <c r="AG37" s="18">
        <f t="shared" si="6"/>
        <v>0</v>
      </c>
      <c r="AH37" s="20">
        <f t="shared" si="4"/>
        <v>2146388449.455266</v>
      </c>
      <c r="AI37" s="15" t="str">
        <f t="shared" si="5"/>
        <v>ok</v>
      </c>
    </row>
    <row r="38" spans="1:35" x14ac:dyDescent="0.3">
      <c r="F38" s="19"/>
      <c r="G38" s="19"/>
    </row>
    <row r="39" spans="1:35" x14ac:dyDescent="0.3">
      <c r="F39" s="19"/>
      <c r="G39" s="19"/>
    </row>
    <row r="40" spans="1:35" x14ac:dyDescent="0.3">
      <c r="A40" s="3" t="s">
        <v>29</v>
      </c>
      <c r="C40" s="2" t="s">
        <v>79</v>
      </c>
      <c r="D40" s="2" t="s">
        <v>563</v>
      </c>
      <c r="E40" s="2" t="s">
        <v>549</v>
      </c>
      <c r="F40" s="18">
        <f>VLOOKUP(C40,'Functional Assignment'!$C$1:$AU$563,11,)</f>
        <v>603005310.46316791</v>
      </c>
      <c r="G40" s="18">
        <f>IF(VLOOKUP($E40,$D$5:$AI$471,3,)=0,0,(VLOOKUP($E40,$D$5:$AI$471,4,)/VLOOKUP($E40,$D$5:$AI$471,3,))*$F40)</f>
        <v>475869012.02350074</v>
      </c>
      <c r="H40" s="18">
        <f>IF(VLOOKUP($E40,$D$5:$AI$471,3,)=0,0,(VLOOKUP($E40,$D$5:$AI$471,5,)/VLOOKUP($E40,$D$5:$AI$471,3,))*$F40)</f>
        <v>35621399.280475624</v>
      </c>
      <c r="I40" s="18">
        <f>IF(VLOOKUP($E40,$D$5:$AI$471,3,)=0,0,(VLOOKUP($E40,$D$5:$AI$471,6,)/VLOOKUP($E40,$D$5:$AI$471,3,))*$F40)</f>
        <v>12077995.588533331</v>
      </c>
      <c r="J40" s="18">
        <f>IF(VLOOKUP($E40,$D$5:$AI$471,3,)=0,0,(VLOOKUP($E40,$D$5:$AI$471,7,)/VLOOKUP($E40,$D$5:$AI$471,3,))*$F40)</f>
        <v>19455963.953238107</v>
      </c>
      <c r="K40" s="18">
        <f>IF(VLOOKUP($E40,$D$5:$AI$471,3,)=0,0,(VLOOKUP($E40,$D$5:$AI$471,8,)/VLOOKUP($E40,$D$5:$AI$471,3,))*$F40)</f>
        <v>52295078.528273866</v>
      </c>
      <c r="L40" s="18">
        <f>IF(VLOOKUP($E40,$D$5:$AI$471,3,)=0,0,(VLOOKUP($E40,$D$5:$AI$471,9,)/VLOOKUP($E40,$D$5:$AI$471,3,))*$F40)</f>
        <v>7685861.0891462956</v>
      </c>
      <c r="M40" s="18">
        <f>IF(VLOOKUP($E40,$D$5:$AI$471,3,)=0,0,(VLOOKUP($E40,$D$5:$AI$471,10,)/VLOOKUP($E40,$D$5:$AI$471,3,))*$F40)</f>
        <v>0</v>
      </c>
      <c r="N40" s="18">
        <f>IF(VLOOKUP($E40,$D$5:$AI$471,3,)=0,0,(VLOOKUP($E40,$D$5:$AI$471,11,)/VLOOKUP($E40,$D$5:$AI$471,3,))*$F40)</f>
        <v>0</v>
      </c>
      <c r="O40" s="18">
        <f>IF(VLOOKUP($E40,$D$5:$AI$471,3,)=0,0,(VLOOKUP($E40,$D$5:$AI$471,12,)/VLOOKUP($E40,$D$5:$AI$471,3,))*$F40)</f>
        <v>0</v>
      </c>
      <c r="P40" s="18">
        <f>IF(VLOOKUP($E40,$D$5:$AI$471,3,)=0,0,(VLOOKUP($E40,$D$5:$AI$471,13,)/VLOOKUP($E40,$D$5:$AI$471,3,))*$F40)</f>
        <v>0</v>
      </c>
      <c r="Q40" s="18">
        <f>IF(VLOOKUP($E40,$D$5:$AI$471,3,)=0,0,(VLOOKUP($E40,$D$5:$AI$471,14,)/VLOOKUP($E40,$D$5:$AI$471,3,))*$F40)</f>
        <v>0</v>
      </c>
      <c r="R40" s="18">
        <f>IF(VLOOKUP($E40,$D$5:$AI$471,3,)=0,0,(VLOOKUP($E40,$D$5:$AI$471,15,)/VLOOKUP($E40,$D$5:$AI$471,3,))*$F40)</f>
        <v>0</v>
      </c>
      <c r="S40" s="18">
        <f>IF(VLOOKUP($E40,$D$5:$AI$471,3,)=0,0,(VLOOKUP($E40,$D$5:$AI$471,16,)/VLOOKUP($E40,$D$5:$AI$471,3,))*$F40)</f>
        <v>0</v>
      </c>
      <c r="T40" s="18">
        <f>IF(VLOOKUP($E40,$D$5:$AI$471,3,)=0,0,(VLOOKUP($E40,$D$5:$AI$471,17,)/VLOOKUP($E40,$D$5:$AI$471,3,))*$F40)</f>
        <v>0</v>
      </c>
      <c r="U40" s="18">
        <f>IF(VLOOKUP($E40,$D$5:$AI$471,3,)=0,0,(VLOOKUP($E40,$D$5:$AI$471,18,)/VLOOKUP($E40,$D$5:$AI$471,3,))*$F40)</f>
        <v>0</v>
      </c>
      <c r="V40" s="18">
        <f>IF(VLOOKUP($E40,$D$5:$AI$471,3,)=0,0,(VLOOKUP($E40,$D$5:$AI$471,19,)/VLOOKUP($E40,$D$5:$AI$471,3,))*$F40)</f>
        <v>0</v>
      </c>
      <c r="W40" s="18">
        <f>IF(VLOOKUP($E40,$D$5:$AI$471,3,)=0,0,(VLOOKUP($E40,$D$5:$AI$471,20,)/VLOOKUP($E40,$D$5:$AI$471,3,))*$F40)</f>
        <v>0</v>
      </c>
      <c r="X40" s="18">
        <f>IF(VLOOKUP($E40,$D$5:$AI$471,3,)=0,0,(VLOOKUP($E40,$D$5:$AI$471,21,)/VLOOKUP($E40,$D$5:$AI$471,3,))*$F40)</f>
        <v>0</v>
      </c>
      <c r="Y40" s="18">
        <f>IF(VLOOKUP($E40,$D$5:$AI$471,3,)=0,0,(VLOOKUP($E40,$D$5:$AI$471,22,)/VLOOKUP($E40,$D$5:$AI$471,3,))*$F40)</f>
        <v>0</v>
      </c>
      <c r="Z40" s="18">
        <f>IF(VLOOKUP($E40,$D$5:$AI$471,3,)=0,0,(VLOOKUP($E40,$D$5:$AI$471,23,)/VLOOKUP($E40,$D$5:$AI$471,3,))*$F40)</f>
        <v>0</v>
      </c>
      <c r="AA40" s="18">
        <f>IF(VLOOKUP($E40,$D$5:$AI$471,3,)=0,0,(VLOOKUP($E40,$D$5:$AI$471,24,)/VLOOKUP($E40,$D$5:$AI$471,3,))*$F40)</f>
        <v>0</v>
      </c>
      <c r="AB40" s="18">
        <f>IF(VLOOKUP($E40,$D$5:$AI$471,3,)=0,0,(VLOOKUP($E40,$D$5:$AI$471,25,)/VLOOKUP($E40,$D$5:$AI$471,3,))*$F40)</f>
        <v>0</v>
      </c>
      <c r="AC40" s="18">
        <f>IF(VLOOKUP($E40,$D$5:$AI$471,3,)=0,0,(VLOOKUP($E40,$D$5:$AI$471,26,)/VLOOKUP($E40,$D$5:$AI$471,3,))*$F40)</f>
        <v>0</v>
      </c>
      <c r="AD40" s="18">
        <f>IF(VLOOKUP($E40,$D$5:$AI$471,3,)=0,0,(VLOOKUP($E40,$D$5:$AI$471,27,)/VLOOKUP($E40,$D$5:$AI$471,3,))*$F40)</f>
        <v>0</v>
      </c>
      <c r="AE40" s="18">
        <f>IF(VLOOKUP($E40,$D$5:$AI$471,3,)=0,0,(VLOOKUP($E40,$D$5:$AI$471,28,)/VLOOKUP($E40,$D$5:$AI$471,3,))*$F40)</f>
        <v>0</v>
      </c>
      <c r="AF40" s="18">
        <f>IF(VLOOKUP($E40,$D$5:$AI$471,3,)=0,0,(VLOOKUP($E40,$D$5:$AI$471,29,)/VLOOKUP($E40,$D$5:$AI$471,3,))*$F40)</f>
        <v>0</v>
      </c>
      <c r="AG40" s="18">
        <f>IF(VLOOKUP($E40,$D$5:$AI$471,3,)=0,0,(VLOOKUP($E40,$D$5:$AI$471,30,)/VLOOKUP($E40,$D$5:$AI$471,3,))*$F40)</f>
        <v>0</v>
      </c>
      <c r="AH40" s="20">
        <f>SUM(G40:AG40)</f>
        <v>603005310.46316791</v>
      </c>
      <c r="AI40" s="15" t="str">
        <f>IF(ABS(F40-AH40)&lt;0.01,"ok","err")</f>
        <v>ok</v>
      </c>
    </row>
    <row r="41" spans="1:35" x14ac:dyDescent="0.3">
      <c r="F41" s="19"/>
      <c r="G41" s="19"/>
    </row>
    <row r="42" spans="1:35" x14ac:dyDescent="0.3">
      <c r="A42" s="3"/>
      <c r="F42" s="19"/>
      <c r="G42" s="19"/>
    </row>
    <row r="43" spans="1:35" x14ac:dyDescent="0.3">
      <c r="A43" s="3" t="s">
        <v>550</v>
      </c>
      <c r="C43" s="2" t="s">
        <v>79</v>
      </c>
      <c r="D43" s="2" t="s">
        <v>564</v>
      </c>
      <c r="E43" s="2" t="s">
        <v>552</v>
      </c>
      <c r="F43" s="18">
        <f>VLOOKUP(C43,'Functional Assignment'!$C$1:$AU$563,13,)</f>
        <v>243524344.85169303</v>
      </c>
      <c r="G43" s="18">
        <f>IF(VLOOKUP($E43,$D$5:$AI$471,3,)=0,0,(VLOOKUP($E43,$D$5:$AI$471,4,)/VLOOKUP($E43,$D$5:$AI$471,3,))*$F43)</f>
        <v>242521510.49115694</v>
      </c>
      <c r="H43" s="18">
        <f>IF(VLOOKUP($E43,$D$5:$AI$471,3,)=0,0,(VLOOKUP($E43,$D$5:$AI$471,5,)/VLOOKUP($E43,$D$5:$AI$471,3,))*$F43)</f>
        <v>0</v>
      </c>
      <c r="I43" s="18">
        <f>IF(VLOOKUP($E43,$D$5:$AI$471,3,)=0,0,(VLOOKUP($E43,$D$5:$AI$471,6,)/VLOOKUP($E43,$D$5:$AI$471,3,))*$F43)</f>
        <v>0</v>
      </c>
      <c r="J43" s="18">
        <f>IF(VLOOKUP($E43,$D$5:$AI$471,3,)=0,0,(VLOOKUP($E43,$D$5:$AI$471,7,)/VLOOKUP($E43,$D$5:$AI$471,3,))*$F43)</f>
        <v>1002834.3605360918</v>
      </c>
      <c r="K43" s="18">
        <f>IF(VLOOKUP($E43,$D$5:$AI$471,3,)=0,0,(VLOOKUP($E43,$D$5:$AI$471,8,)/VLOOKUP($E43,$D$5:$AI$471,3,))*$F43)</f>
        <v>0</v>
      </c>
      <c r="L43" s="18">
        <f>IF(VLOOKUP($E43,$D$5:$AI$471,3,)=0,0,(VLOOKUP($E43,$D$5:$AI$471,9,)/VLOOKUP($E43,$D$5:$AI$471,3,))*$F43)</f>
        <v>0</v>
      </c>
      <c r="M43" s="18">
        <f>IF(VLOOKUP($E43,$D$5:$AI$471,3,)=0,0,(VLOOKUP($E43,$D$5:$AI$471,10,)/VLOOKUP($E43,$D$5:$AI$471,3,))*$F43)</f>
        <v>0</v>
      </c>
      <c r="N43" s="18">
        <f>IF(VLOOKUP($E43,$D$5:$AI$471,3,)=0,0,(VLOOKUP($E43,$D$5:$AI$471,11,)/VLOOKUP($E43,$D$5:$AI$471,3,))*$F43)</f>
        <v>0</v>
      </c>
      <c r="O43" s="18">
        <f>IF(VLOOKUP($E43,$D$5:$AI$471,3,)=0,0,(VLOOKUP($E43,$D$5:$AI$471,12,)/VLOOKUP($E43,$D$5:$AI$471,3,))*$F43)</f>
        <v>0</v>
      </c>
      <c r="P43" s="18">
        <f>IF(VLOOKUP($E43,$D$5:$AI$471,3,)=0,0,(VLOOKUP($E43,$D$5:$AI$471,13,)/VLOOKUP($E43,$D$5:$AI$471,3,))*$F43)</f>
        <v>0</v>
      </c>
      <c r="Q43" s="18">
        <f>IF(VLOOKUP($E43,$D$5:$AI$471,3,)=0,0,(VLOOKUP($E43,$D$5:$AI$471,14,)/VLOOKUP($E43,$D$5:$AI$471,3,))*$F43)</f>
        <v>0</v>
      </c>
      <c r="R43" s="18">
        <f>IF(VLOOKUP($E43,$D$5:$AI$471,3,)=0,0,(VLOOKUP($E43,$D$5:$AI$471,15,)/VLOOKUP($E43,$D$5:$AI$471,3,))*$F43)</f>
        <v>0</v>
      </c>
      <c r="S43" s="18">
        <f>IF(VLOOKUP($E43,$D$5:$AI$471,3,)=0,0,(VLOOKUP($E43,$D$5:$AI$471,16,)/VLOOKUP($E43,$D$5:$AI$471,3,))*$F43)</f>
        <v>0</v>
      </c>
      <c r="T43" s="18">
        <f>IF(VLOOKUP($E43,$D$5:$AI$471,3,)=0,0,(VLOOKUP($E43,$D$5:$AI$471,17,)/VLOOKUP($E43,$D$5:$AI$471,3,))*$F43)</f>
        <v>0</v>
      </c>
      <c r="U43" s="18">
        <f>IF(VLOOKUP($E43,$D$5:$AI$471,3,)=0,0,(VLOOKUP($E43,$D$5:$AI$471,18,)/VLOOKUP($E43,$D$5:$AI$471,3,))*$F43)</f>
        <v>0</v>
      </c>
      <c r="V43" s="18">
        <f>IF(VLOOKUP($E43,$D$5:$AI$471,3,)=0,0,(VLOOKUP($E43,$D$5:$AI$471,19,)/VLOOKUP($E43,$D$5:$AI$471,3,))*$F43)</f>
        <v>0</v>
      </c>
      <c r="W43" s="18">
        <f>IF(VLOOKUP($E43,$D$5:$AI$471,3,)=0,0,(VLOOKUP($E43,$D$5:$AI$471,20,)/VLOOKUP($E43,$D$5:$AI$471,3,))*$F43)</f>
        <v>0</v>
      </c>
      <c r="X43" s="18">
        <f>IF(VLOOKUP($E43,$D$5:$AI$471,3,)=0,0,(VLOOKUP($E43,$D$5:$AI$471,21,)/VLOOKUP($E43,$D$5:$AI$471,3,))*$F43)</f>
        <v>0</v>
      </c>
      <c r="Y43" s="18">
        <f>IF(VLOOKUP($E43,$D$5:$AI$471,3,)=0,0,(VLOOKUP($E43,$D$5:$AI$471,22,)/VLOOKUP($E43,$D$5:$AI$471,3,))*$F43)</f>
        <v>0</v>
      </c>
      <c r="Z43" s="18">
        <f>IF(VLOOKUP($E43,$D$5:$AI$471,3,)=0,0,(VLOOKUP($E43,$D$5:$AI$471,23,)/VLOOKUP($E43,$D$5:$AI$471,3,))*$F43)</f>
        <v>0</v>
      </c>
      <c r="AA43" s="18">
        <f>IF(VLOOKUP($E43,$D$5:$AI$471,3,)=0,0,(VLOOKUP($E43,$D$5:$AI$471,24,)/VLOOKUP($E43,$D$5:$AI$471,3,))*$F43)</f>
        <v>0</v>
      </c>
      <c r="AB43" s="18">
        <f>IF(VLOOKUP($E43,$D$5:$AI$471,3,)=0,0,(VLOOKUP($E43,$D$5:$AI$471,25,)/VLOOKUP($E43,$D$5:$AI$471,3,))*$F43)</f>
        <v>0</v>
      </c>
      <c r="AC43" s="18">
        <f>IF(VLOOKUP($E43,$D$5:$AI$471,3,)=0,0,(VLOOKUP($E43,$D$5:$AI$471,26,)/VLOOKUP($E43,$D$5:$AI$471,3,))*$F43)</f>
        <v>0</v>
      </c>
      <c r="AD43" s="18">
        <f>IF(VLOOKUP($E43,$D$5:$AI$471,3,)=0,0,(VLOOKUP($E43,$D$5:$AI$471,27,)/VLOOKUP($E43,$D$5:$AI$471,3,))*$F43)</f>
        <v>0</v>
      </c>
      <c r="AE43" s="18">
        <f>IF(VLOOKUP($E43,$D$5:$AI$471,3,)=0,0,(VLOOKUP($E43,$D$5:$AI$471,28,)/VLOOKUP($E43,$D$5:$AI$471,3,))*$F43)</f>
        <v>0</v>
      </c>
      <c r="AF43" s="18">
        <f>IF(VLOOKUP($E43,$D$5:$AI$471,3,)=0,0,(VLOOKUP($E43,$D$5:$AI$471,29,)/VLOOKUP($E43,$D$5:$AI$471,3,))*$F43)</f>
        <v>0</v>
      </c>
      <c r="AG43" s="18">
        <f>IF(VLOOKUP($E43,$D$5:$AI$471,3,)=0,0,(VLOOKUP($E43,$D$5:$AI$471,30,)/VLOOKUP($E43,$D$5:$AI$471,3,))*$F43)</f>
        <v>0</v>
      </c>
      <c r="AH43" s="20">
        <f>SUM(G43:AG43)</f>
        <v>243524344.85169303</v>
      </c>
      <c r="AI43" s="15" t="str">
        <f>IF(ABS(F43-AH43)&lt;0.01,"ok","err")</f>
        <v>ok</v>
      </c>
    </row>
    <row r="44" spans="1:35" x14ac:dyDescent="0.3">
      <c r="A44" s="3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20"/>
      <c r="AI44" s="15"/>
    </row>
    <row r="45" spans="1:35" x14ac:dyDescent="0.3">
      <c r="F45" s="19"/>
    </row>
    <row r="46" spans="1:35" x14ac:dyDescent="0.3">
      <c r="A46" s="3" t="s">
        <v>553</v>
      </c>
      <c r="C46" s="2" t="s">
        <v>79</v>
      </c>
      <c r="D46" s="2" t="s">
        <v>565</v>
      </c>
      <c r="E46" s="2" t="s">
        <v>555</v>
      </c>
      <c r="F46" s="18">
        <f>VLOOKUP(C46,'Functional Assignment'!$C$1:$AU$563,14,)</f>
        <v>3260227.8098723171</v>
      </c>
      <c r="G46" s="18">
        <f>IF(VLOOKUP($E46,$D$5:$AI$471,3,)=0,0,(VLOOKUP($E46,$D$5:$AI$471,4,)/VLOOKUP($E46,$D$5:$AI$471,3,))*$F46)</f>
        <v>3251299.7556234654</v>
      </c>
      <c r="H46" s="18">
        <f>IF(VLOOKUP($E46,$D$5:$AI$471,3,)=0,0,(VLOOKUP($E46,$D$5:$AI$471,5,)/VLOOKUP($E46,$D$5:$AI$471,3,))*$F46)</f>
        <v>0</v>
      </c>
      <c r="I46" s="18">
        <f>IF(VLOOKUP($E46,$D$5:$AI$471,3,)=0,0,(VLOOKUP($E46,$D$5:$AI$471,6,)/VLOOKUP($E46,$D$5:$AI$471,3,))*$F46)</f>
        <v>0</v>
      </c>
      <c r="J46" s="18">
        <f>IF(VLOOKUP($E46,$D$5:$AI$471,3,)=0,0,(VLOOKUP($E46,$D$5:$AI$471,7,)/VLOOKUP($E46,$D$5:$AI$471,3,))*$F46)</f>
        <v>8928.0542488516221</v>
      </c>
      <c r="K46" s="18">
        <f>IF(VLOOKUP($E46,$D$5:$AI$471,3,)=0,0,(VLOOKUP($E46,$D$5:$AI$471,8,)/VLOOKUP($E46,$D$5:$AI$471,3,))*$F46)</f>
        <v>0</v>
      </c>
      <c r="L46" s="18">
        <f>IF(VLOOKUP($E46,$D$5:$AI$471,3,)=0,0,(VLOOKUP($E46,$D$5:$AI$471,9,)/VLOOKUP($E46,$D$5:$AI$471,3,))*$F46)</f>
        <v>0</v>
      </c>
      <c r="M46" s="18">
        <f>IF(VLOOKUP($E46,$D$5:$AI$471,3,)=0,0,(VLOOKUP($E46,$D$5:$AI$471,10,)/VLOOKUP($E46,$D$5:$AI$471,3,))*$F46)</f>
        <v>0</v>
      </c>
      <c r="N46" s="18">
        <f>IF(VLOOKUP($E46,$D$5:$AI$471,3,)=0,0,(VLOOKUP($E46,$D$5:$AI$471,11,)/VLOOKUP($E46,$D$5:$AI$471,3,))*$F46)</f>
        <v>0</v>
      </c>
      <c r="O46" s="18">
        <f>IF(VLOOKUP($E46,$D$5:$AI$471,3,)=0,0,(VLOOKUP($E46,$D$5:$AI$471,12,)/VLOOKUP($E46,$D$5:$AI$471,3,))*$F46)</f>
        <v>0</v>
      </c>
      <c r="P46" s="18">
        <f>IF(VLOOKUP($E46,$D$5:$AI$471,3,)=0,0,(VLOOKUP($E46,$D$5:$AI$471,13,)/VLOOKUP($E46,$D$5:$AI$471,3,))*$F46)</f>
        <v>0</v>
      </c>
      <c r="Q46" s="18">
        <f>IF(VLOOKUP($E46,$D$5:$AI$471,3,)=0,0,(VLOOKUP($E46,$D$5:$AI$471,14,)/VLOOKUP($E46,$D$5:$AI$471,3,))*$F46)</f>
        <v>0</v>
      </c>
      <c r="R46" s="18">
        <f>IF(VLOOKUP($E46,$D$5:$AI$471,3,)=0,0,(VLOOKUP($E46,$D$5:$AI$471,15,)/VLOOKUP($E46,$D$5:$AI$471,3,))*$F46)</f>
        <v>0</v>
      </c>
      <c r="S46" s="18">
        <f>IF(VLOOKUP($E46,$D$5:$AI$471,3,)=0,0,(VLOOKUP($E46,$D$5:$AI$471,16,)/VLOOKUP($E46,$D$5:$AI$471,3,))*$F46)</f>
        <v>0</v>
      </c>
      <c r="T46" s="18">
        <f>IF(VLOOKUP($E46,$D$5:$AI$471,3,)=0,0,(VLOOKUP($E46,$D$5:$AI$471,17,)/VLOOKUP($E46,$D$5:$AI$471,3,))*$F46)</f>
        <v>0</v>
      </c>
      <c r="U46" s="18">
        <f>IF(VLOOKUP($E46,$D$5:$AI$471,3,)=0,0,(VLOOKUP($E46,$D$5:$AI$471,18,)/VLOOKUP($E46,$D$5:$AI$471,3,))*$F46)</f>
        <v>0</v>
      </c>
      <c r="V46" s="18">
        <f>IF(VLOOKUP($E46,$D$5:$AI$471,3,)=0,0,(VLOOKUP($E46,$D$5:$AI$471,19,)/VLOOKUP($E46,$D$5:$AI$471,3,))*$F46)</f>
        <v>0</v>
      </c>
      <c r="W46" s="18">
        <f>IF(VLOOKUP($E46,$D$5:$AI$471,3,)=0,0,(VLOOKUP($E46,$D$5:$AI$471,20,)/VLOOKUP($E46,$D$5:$AI$471,3,))*$F46)</f>
        <v>0</v>
      </c>
      <c r="X46" s="18">
        <f>IF(VLOOKUP($E46,$D$5:$AI$471,3,)=0,0,(VLOOKUP($E46,$D$5:$AI$471,21,)/VLOOKUP($E46,$D$5:$AI$471,3,))*$F46)</f>
        <v>0</v>
      </c>
      <c r="Y46" s="18">
        <f>IF(VLOOKUP($E46,$D$5:$AI$471,3,)=0,0,(VLOOKUP($E46,$D$5:$AI$471,22,)/VLOOKUP($E46,$D$5:$AI$471,3,))*$F46)</f>
        <v>0</v>
      </c>
      <c r="Z46" s="18">
        <f>IF(VLOOKUP($E46,$D$5:$AI$471,3,)=0,0,(VLOOKUP($E46,$D$5:$AI$471,23,)/VLOOKUP($E46,$D$5:$AI$471,3,))*$F46)</f>
        <v>0</v>
      </c>
      <c r="AA46" s="18">
        <f>IF(VLOOKUP($E46,$D$5:$AI$471,3,)=0,0,(VLOOKUP($E46,$D$5:$AI$471,24,)/VLOOKUP($E46,$D$5:$AI$471,3,))*$F46)</f>
        <v>0</v>
      </c>
      <c r="AB46" s="18">
        <f>IF(VLOOKUP($E46,$D$5:$AI$471,3,)=0,0,(VLOOKUP($E46,$D$5:$AI$471,25,)/VLOOKUP($E46,$D$5:$AI$471,3,))*$F46)</f>
        <v>0</v>
      </c>
      <c r="AC46" s="18">
        <f>IF(VLOOKUP($E46,$D$5:$AI$471,3,)=0,0,(VLOOKUP($E46,$D$5:$AI$471,26,)/VLOOKUP($E46,$D$5:$AI$471,3,))*$F46)</f>
        <v>0</v>
      </c>
      <c r="AD46" s="18">
        <f>IF(VLOOKUP($E46,$D$5:$AI$471,3,)=0,0,(VLOOKUP($E46,$D$5:$AI$471,27,)/VLOOKUP($E46,$D$5:$AI$471,3,))*$F46)</f>
        <v>0</v>
      </c>
      <c r="AE46" s="18">
        <f>IF(VLOOKUP($E46,$D$5:$AI$471,3,)=0,0,(VLOOKUP($E46,$D$5:$AI$471,28,)/VLOOKUP($E46,$D$5:$AI$471,3,))*$F46)</f>
        <v>0</v>
      </c>
      <c r="AF46" s="18">
        <f>IF(VLOOKUP($E46,$D$5:$AI$471,3,)=0,0,(VLOOKUP($E46,$D$5:$AI$471,29,)/VLOOKUP($E46,$D$5:$AI$471,3,))*$F46)</f>
        <v>0</v>
      </c>
      <c r="AG46" s="18">
        <f>IF(VLOOKUP($E46,$D$5:$AI$471,3,)=0,0,(VLOOKUP($E46,$D$5:$AI$471,30,)/VLOOKUP($E46,$D$5:$AI$471,3,))*$F46)</f>
        <v>0</v>
      </c>
      <c r="AH46" s="20">
        <f>SUM(G46:AG46)</f>
        <v>3260227.8098723171</v>
      </c>
      <c r="AI46" s="15" t="str">
        <f>IF(ABS(F46-AH46)&lt;0.01,"ok","err")</f>
        <v>ok</v>
      </c>
    </row>
    <row r="47" spans="1:35" x14ac:dyDescent="0.3">
      <c r="F47" s="19"/>
    </row>
    <row r="48" spans="1:35" x14ac:dyDescent="0.3">
      <c r="F48" s="19"/>
    </row>
    <row r="49" spans="1:35" x14ac:dyDescent="0.3">
      <c r="A49" s="2" t="s">
        <v>1</v>
      </c>
      <c r="D49" s="2" t="s">
        <v>566</v>
      </c>
      <c r="F49" s="18">
        <f>F37+F40+F43+F46</f>
        <v>2996178332.5799994</v>
      </c>
      <c r="G49" s="18">
        <f t="shared" ref="G49:AG49" si="7">G37+G40+G43+G46</f>
        <v>2360834667.4275432</v>
      </c>
      <c r="H49" s="18">
        <f t="shared" si="7"/>
        <v>173202763.22322068</v>
      </c>
      <c r="I49" s="18">
        <f t="shared" si="7"/>
        <v>61641286.001966998</v>
      </c>
      <c r="J49" s="18">
        <f t="shared" si="7"/>
        <v>100532586.75630228</v>
      </c>
      <c r="K49" s="18">
        <f t="shared" si="7"/>
        <v>278308991.19815361</v>
      </c>
      <c r="L49" s="18">
        <f t="shared" si="7"/>
        <v>7685861.0891462956</v>
      </c>
      <c r="M49" s="18">
        <f t="shared" si="7"/>
        <v>13972176.883666109</v>
      </c>
      <c r="N49" s="18">
        <f t="shared" si="7"/>
        <v>0</v>
      </c>
      <c r="O49" s="18">
        <f t="shared" si="7"/>
        <v>0</v>
      </c>
      <c r="P49" s="18">
        <f t="shared" si="7"/>
        <v>0</v>
      </c>
      <c r="Q49" s="18">
        <f t="shared" si="7"/>
        <v>0</v>
      </c>
      <c r="R49" s="18">
        <f t="shared" si="7"/>
        <v>0</v>
      </c>
      <c r="S49" s="18">
        <f t="shared" si="7"/>
        <v>0</v>
      </c>
      <c r="T49" s="18">
        <f t="shared" si="7"/>
        <v>0</v>
      </c>
      <c r="U49" s="18">
        <f t="shared" si="7"/>
        <v>0</v>
      </c>
      <c r="V49" s="18">
        <f t="shared" si="7"/>
        <v>0</v>
      </c>
      <c r="W49" s="18">
        <f t="shared" si="7"/>
        <v>0</v>
      </c>
      <c r="X49" s="18">
        <f t="shared" si="7"/>
        <v>0</v>
      </c>
      <c r="Y49" s="18">
        <f t="shared" si="7"/>
        <v>0</v>
      </c>
      <c r="Z49" s="18">
        <f t="shared" si="7"/>
        <v>0</v>
      </c>
      <c r="AA49" s="18">
        <f t="shared" si="7"/>
        <v>0</v>
      </c>
      <c r="AB49" s="18">
        <f t="shared" si="7"/>
        <v>0</v>
      </c>
      <c r="AC49" s="18">
        <f t="shared" si="7"/>
        <v>0</v>
      </c>
      <c r="AD49" s="18">
        <f t="shared" si="7"/>
        <v>0</v>
      </c>
      <c r="AE49" s="18">
        <f t="shared" si="7"/>
        <v>0</v>
      </c>
      <c r="AF49" s="18">
        <f t="shared" si="7"/>
        <v>0</v>
      </c>
      <c r="AG49" s="18">
        <f t="shared" si="7"/>
        <v>0</v>
      </c>
      <c r="AH49" s="20">
        <f>SUM(G49:AG49)</f>
        <v>2996178332.579999</v>
      </c>
      <c r="AI49" s="15" t="str">
        <f>IF(ABS(F49-AH49)&lt;0.01,"ok","err")</f>
        <v>ok</v>
      </c>
    </row>
    <row r="52" spans="1:35" x14ac:dyDescent="0.3">
      <c r="A52" s="16" t="s">
        <v>567</v>
      </c>
    </row>
    <row r="54" spans="1:35" x14ac:dyDescent="0.3">
      <c r="A54" s="3" t="s">
        <v>530</v>
      </c>
    </row>
    <row r="55" spans="1:35" x14ac:dyDescent="0.3">
      <c r="A55" s="21" t="s">
        <v>531</v>
      </c>
      <c r="C55" s="2" t="s">
        <v>116</v>
      </c>
      <c r="D55" s="2" t="s">
        <v>568</v>
      </c>
      <c r="E55" s="2" t="s">
        <v>533</v>
      </c>
      <c r="F55" s="18">
        <f>VLOOKUP(C55,'Functional Assignment'!$C$1:$AU$563,6,)</f>
        <v>993578797.40297925</v>
      </c>
      <c r="G55" s="18">
        <f>IF(VLOOKUP($E55,$D$5:$AI$471,3,)=0,0,(VLOOKUP($E55,$D$5:$AI$471,4,)/VLOOKUP($E55,$D$5:$AI$471,3,))*$F55)</f>
        <v>818884393.85735703</v>
      </c>
      <c r="H55" s="18">
        <f>IF(VLOOKUP($E55,$D$5:$AI$471,3,)=0,0,(VLOOKUP($E55,$D$5:$AI$471,5,)/VLOOKUP($E55,$D$5:$AI$471,3,))*$F55)</f>
        <v>40824723.677226089</v>
      </c>
      <c r="I55" s="18">
        <f>IF(VLOOKUP($E55,$D$5:$AI$471,3,)=0,0,(VLOOKUP($E55,$D$5:$AI$471,6,)/VLOOKUP($E55,$D$5:$AI$471,3,))*$F55)</f>
        <v>9981257.4380268324</v>
      </c>
      <c r="J55" s="18">
        <f>IF(VLOOKUP($E55,$D$5:$AI$471,3,)=0,0,(VLOOKUP($E55,$D$5:$AI$471,7,)/VLOOKUP($E55,$D$5:$AI$471,3,))*$F55)</f>
        <v>21578146.967700303</v>
      </c>
      <c r="K55" s="18">
        <f>IF(VLOOKUP($E55,$D$5:$AI$471,3,)=0,0,(VLOOKUP($E55,$D$5:$AI$471,8,)/VLOOKUP($E55,$D$5:$AI$471,3,))*$F55)</f>
        <v>102310275.46266858</v>
      </c>
      <c r="L55" s="18">
        <f>IF(VLOOKUP($E55,$D$5:$AI$471,3,)=0,0,(VLOOKUP($E55,$D$5:$AI$471,9,)/VLOOKUP($E55,$D$5:$AI$471,3,))*$F55)</f>
        <v>0</v>
      </c>
      <c r="M55" s="18">
        <f>IF(VLOOKUP($E55,$D$5:$AI$471,3,)=0,0,(VLOOKUP($E55,$D$5:$AI$471,10,)/VLOOKUP($E55,$D$5:$AI$471,3,))*$F55)</f>
        <v>0</v>
      </c>
      <c r="N55" s="18">
        <f>IF(VLOOKUP($E55,$D$5:$AI$471,3,)=0,0,(VLOOKUP($E55,$D$5:$AI$471,11,)/VLOOKUP($E55,$D$5:$AI$471,3,))*$F55)</f>
        <v>0</v>
      </c>
      <c r="O55" s="18">
        <f>IF(VLOOKUP($E55,$D$5:$AI$471,3,)=0,0,(VLOOKUP($E55,$D$5:$AI$471,12,)/VLOOKUP($E55,$D$5:$AI$471,3,))*$F55)</f>
        <v>0</v>
      </c>
      <c r="P55" s="18">
        <f>IF(VLOOKUP($E55,$D$5:$AI$471,3,)=0,0,(VLOOKUP($E55,$D$5:$AI$471,13,)/VLOOKUP($E55,$D$5:$AI$471,3,))*$F55)</f>
        <v>0</v>
      </c>
      <c r="Q55" s="18">
        <f>IF(VLOOKUP($E55,$D$5:$AI$471,3,)=0,0,(VLOOKUP($E55,$D$5:$AI$471,14,)/VLOOKUP($E55,$D$5:$AI$471,3,))*$F55)</f>
        <v>0</v>
      </c>
      <c r="R55" s="18">
        <f>IF(VLOOKUP($E55,$D$5:$AI$471,3,)=0,0,(VLOOKUP($E55,$D$5:$AI$471,15,)/VLOOKUP($E55,$D$5:$AI$471,3,))*$F55)</f>
        <v>0</v>
      </c>
      <c r="S55" s="18">
        <f>IF(VLOOKUP($E55,$D$5:$AI$471,3,)=0,0,(VLOOKUP($E55,$D$5:$AI$471,16,)/VLOOKUP($E55,$D$5:$AI$471,3,))*$F55)</f>
        <v>0</v>
      </c>
      <c r="T55" s="18">
        <f>IF(VLOOKUP($E55,$D$5:$AI$471,3,)=0,0,(VLOOKUP($E55,$D$5:$AI$471,17,)/VLOOKUP($E55,$D$5:$AI$471,3,))*$F55)</f>
        <v>0</v>
      </c>
      <c r="U55" s="18">
        <f>IF(VLOOKUP($E55,$D$5:$AI$471,3,)=0,0,(VLOOKUP($E55,$D$5:$AI$471,18,)/VLOOKUP($E55,$D$5:$AI$471,3,))*$F55)</f>
        <v>0</v>
      </c>
      <c r="V55" s="18">
        <f>IF(VLOOKUP($E55,$D$5:$AI$471,3,)=0,0,(VLOOKUP($E55,$D$5:$AI$471,19,)/VLOOKUP($E55,$D$5:$AI$471,3,))*$F55)</f>
        <v>0</v>
      </c>
      <c r="W55" s="18">
        <f>IF(VLOOKUP($E55,$D$5:$AI$471,3,)=0,0,(VLOOKUP($E55,$D$5:$AI$471,20,)/VLOOKUP($E55,$D$5:$AI$471,3,))*$F55)</f>
        <v>0</v>
      </c>
      <c r="X55" s="18">
        <f>IF(VLOOKUP($E55,$D$5:$AI$471,3,)=0,0,(VLOOKUP($E55,$D$5:$AI$471,21,)/VLOOKUP($E55,$D$5:$AI$471,3,))*$F55)</f>
        <v>0</v>
      </c>
      <c r="Y55" s="18">
        <f>IF(VLOOKUP($E55,$D$5:$AI$471,3,)=0,0,(VLOOKUP($E55,$D$5:$AI$471,22,)/VLOOKUP($E55,$D$5:$AI$471,3,))*$F55)</f>
        <v>0</v>
      </c>
      <c r="Z55" s="18">
        <f>IF(VLOOKUP($E55,$D$5:$AI$471,3,)=0,0,(VLOOKUP($E55,$D$5:$AI$471,23,)/VLOOKUP($E55,$D$5:$AI$471,3,))*$F55)</f>
        <v>0</v>
      </c>
      <c r="AA55" s="18">
        <f>IF(VLOOKUP($E55,$D$5:$AI$471,3,)=0,0,(VLOOKUP($E55,$D$5:$AI$471,24,)/VLOOKUP($E55,$D$5:$AI$471,3,))*$F55)</f>
        <v>0</v>
      </c>
      <c r="AB55" s="18">
        <f>IF(VLOOKUP($E55,$D$5:$AI$471,3,)=0,0,(VLOOKUP($E55,$D$5:$AI$471,25,)/VLOOKUP($E55,$D$5:$AI$471,3,))*$F55)</f>
        <v>0</v>
      </c>
      <c r="AC55" s="18">
        <f>IF(VLOOKUP($E55,$D$5:$AI$471,3,)=0,0,(VLOOKUP($E55,$D$5:$AI$471,26,)/VLOOKUP($E55,$D$5:$AI$471,3,))*$F55)</f>
        <v>0</v>
      </c>
      <c r="AD55" s="18">
        <f>IF(VLOOKUP($E55,$D$5:$AI$471,3,)=0,0,(VLOOKUP($E55,$D$5:$AI$471,27,)/VLOOKUP($E55,$D$5:$AI$471,3,))*$F55)</f>
        <v>0</v>
      </c>
      <c r="AE55" s="18">
        <f>IF(VLOOKUP($E55,$D$5:$AI$471,3,)=0,0,(VLOOKUP($E55,$D$5:$AI$471,28,)/VLOOKUP($E55,$D$5:$AI$471,3,))*$F55)</f>
        <v>0</v>
      </c>
      <c r="AF55" s="18">
        <f>IF(VLOOKUP($E55,$D$5:$AI$471,3,)=0,0,(VLOOKUP($E55,$D$5:$AI$471,29,)/VLOOKUP($E55,$D$5:$AI$471,3,))*$F55)</f>
        <v>0</v>
      </c>
      <c r="AG55" s="18">
        <f>IF(VLOOKUP($E55,$D$5:$AI$471,3,)=0,0,(VLOOKUP($E55,$D$5:$AI$471,30,)/VLOOKUP($E55,$D$5:$AI$471,3,))*$F55)</f>
        <v>0</v>
      </c>
      <c r="AH55" s="20">
        <f t="shared" ref="AH55:AH60" si="8">SUM(G55:AG55)</f>
        <v>993578797.40297878</v>
      </c>
      <c r="AI55" s="15" t="str">
        <f t="shared" ref="AI55:AI60" si="9">IF(ABS(F55-AH55)&lt;0.01,"ok","err")</f>
        <v>ok</v>
      </c>
    </row>
    <row r="56" spans="1:35" x14ac:dyDescent="0.3">
      <c r="A56" s="21" t="s">
        <v>534</v>
      </c>
      <c r="C56" s="2" t="s">
        <v>116</v>
      </c>
      <c r="D56" s="2" t="s">
        <v>569</v>
      </c>
      <c r="E56" s="2" t="s">
        <v>536</v>
      </c>
      <c r="F56" s="18">
        <f>VLOOKUP(C56,'Functional Assignment'!$C$1:$AU$563,7,)</f>
        <v>1225811342.9044704</v>
      </c>
      <c r="G56" s="18">
        <f>IF(VLOOKUP($E56,$D$5:$AI$471,3,)=0,0,(VLOOKUP($E56,$D$5:$AI$471,4,)/VLOOKUP($E56,$D$5:$AI$471,3,))*$F56)</f>
        <v>887165445.19084418</v>
      </c>
      <c r="H56" s="18">
        <f>IF(VLOOKUP($E56,$D$5:$AI$471,3,)=0,0,(VLOOKUP($E56,$D$5:$AI$471,5,)/VLOOKUP($E56,$D$5:$AI$471,3,))*$F56)</f>
        <v>102368107.17485914</v>
      </c>
      <c r="I56" s="18">
        <f>IF(VLOOKUP($E56,$D$5:$AI$471,3,)=0,0,(VLOOKUP($E56,$D$5:$AI$471,6,)/VLOOKUP($E56,$D$5:$AI$471,3,))*$F56)</f>
        <v>41603547.780193493</v>
      </c>
      <c r="J56" s="18">
        <f>IF(VLOOKUP($E56,$D$5:$AI$471,3,)=0,0,(VLOOKUP($E56,$D$5:$AI$471,7,)/VLOOKUP($E56,$D$5:$AI$471,3,))*$F56)</f>
        <v>61752281.530928083</v>
      </c>
      <c r="K56" s="18">
        <f>IF(VLOOKUP($E56,$D$5:$AI$471,3,)=0,0,(VLOOKUP($E56,$D$5:$AI$471,8,)/VLOOKUP($E56,$D$5:$AI$471,3,))*$F56)</f>
        <v>132921961.22764552</v>
      </c>
      <c r="L56" s="18">
        <f>IF(VLOOKUP($E56,$D$5:$AI$471,3,)=0,0,(VLOOKUP($E56,$D$5:$AI$471,9,)/VLOOKUP($E56,$D$5:$AI$471,3,))*$F56)</f>
        <v>0</v>
      </c>
      <c r="M56" s="18">
        <f>IF(VLOOKUP($E56,$D$5:$AI$471,3,)=0,0,(VLOOKUP($E56,$D$5:$AI$471,10,)/VLOOKUP($E56,$D$5:$AI$471,3,))*$F56)</f>
        <v>0</v>
      </c>
      <c r="N56" s="18">
        <f>IF(VLOOKUP($E56,$D$5:$AI$471,3,)=0,0,(VLOOKUP($E56,$D$5:$AI$471,11,)/VLOOKUP($E56,$D$5:$AI$471,3,))*$F56)</f>
        <v>0</v>
      </c>
      <c r="O56" s="18">
        <f>IF(VLOOKUP($E56,$D$5:$AI$471,3,)=0,0,(VLOOKUP($E56,$D$5:$AI$471,12,)/VLOOKUP($E56,$D$5:$AI$471,3,))*$F56)</f>
        <v>0</v>
      </c>
      <c r="P56" s="18">
        <f>IF(VLOOKUP($E56,$D$5:$AI$471,3,)=0,0,(VLOOKUP($E56,$D$5:$AI$471,13,)/VLOOKUP($E56,$D$5:$AI$471,3,))*$F56)</f>
        <v>0</v>
      </c>
      <c r="Q56" s="18">
        <f>IF(VLOOKUP($E56,$D$5:$AI$471,3,)=0,0,(VLOOKUP($E56,$D$5:$AI$471,14,)/VLOOKUP($E56,$D$5:$AI$471,3,))*$F56)</f>
        <v>0</v>
      </c>
      <c r="R56" s="18">
        <f>IF(VLOOKUP($E56,$D$5:$AI$471,3,)=0,0,(VLOOKUP($E56,$D$5:$AI$471,15,)/VLOOKUP($E56,$D$5:$AI$471,3,))*$F56)</f>
        <v>0</v>
      </c>
      <c r="S56" s="18">
        <f>IF(VLOOKUP($E56,$D$5:$AI$471,3,)=0,0,(VLOOKUP($E56,$D$5:$AI$471,16,)/VLOOKUP($E56,$D$5:$AI$471,3,))*$F56)</f>
        <v>0</v>
      </c>
      <c r="T56" s="18">
        <f>IF(VLOOKUP($E56,$D$5:$AI$471,3,)=0,0,(VLOOKUP($E56,$D$5:$AI$471,17,)/VLOOKUP($E56,$D$5:$AI$471,3,))*$F56)</f>
        <v>0</v>
      </c>
      <c r="U56" s="18">
        <f>IF(VLOOKUP($E56,$D$5:$AI$471,3,)=0,0,(VLOOKUP($E56,$D$5:$AI$471,18,)/VLOOKUP($E56,$D$5:$AI$471,3,))*$F56)</f>
        <v>0</v>
      </c>
      <c r="V56" s="18">
        <f>IF(VLOOKUP($E56,$D$5:$AI$471,3,)=0,0,(VLOOKUP($E56,$D$5:$AI$471,19,)/VLOOKUP($E56,$D$5:$AI$471,3,))*$F56)</f>
        <v>0</v>
      </c>
      <c r="W56" s="18">
        <f>IF(VLOOKUP($E56,$D$5:$AI$471,3,)=0,0,(VLOOKUP($E56,$D$5:$AI$471,20,)/VLOOKUP($E56,$D$5:$AI$471,3,))*$F56)</f>
        <v>0</v>
      </c>
      <c r="X56" s="18">
        <f>IF(VLOOKUP($E56,$D$5:$AI$471,3,)=0,0,(VLOOKUP($E56,$D$5:$AI$471,21,)/VLOOKUP($E56,$D$5:$AI$471,3,))*$F56)</f>
        <v>0</v>
      </c>
      <c r="Y56" s="18">
        <f>IF(VLOOKUP($E56,$D$5:$AI$471,3,)=0,0,(VLOOKUP($E56,$D$5:$AI$471,22,)/VLOOKUP($E56,$D$5:$AI$471,3,))*$F56)</f>
        <v>0</v>
      </c>
      <c r="Z56" s="18">
        <f>IF(VLOOKUP($E56,$D$5:$AI$471,3,)=0,0,(VLOOKUP($E56,$D$5:$AI$471,23,)/VLOOKUP($E56,$D$5:$AI$471,3,))*$F56)</f>
        <v>0</v>
      </c>
      <c r="AA56" s="18">
        <f>IF(VLOOKUP($E56,$D$5:$AI$471,3,)=0,0,(VLOOKUP($E56,$D$5:$AI$471,24,)/VLOOKUP($E56,$D$5:$AI$471,3,))*$F56)</f>
        <v>0</v>
      </c>
      <c r="AB56" s="18">
        <f>IF(VLOOKUP($E56,$D$5:$AI$471,3,)=0,0,(VLOOKUP($E56,$D$5:$AI$471,25,)/VLOOKUP($E56,$D$5:$AI$471,3,))*$F56)</f>
        <v>0</v>
      </c>
      <c r="AC56" s="18">
        <f>IF(VLOOKUP($E56,$D$5:$AI$471,3,)=0,0,(VLOOKUP($E56,$D$5:$AI$471,26,)/VLOOKUP($E56,$D$5:$AI$471,3,))*$F56)</f>
        <v>0</v>
      </c>
      <c r="AD56" s="18">
        <f>IF(VLOOKUP($E56,$D$5:$AI$471,3,)=0,0,(VLOOKUP($E56,$D$5:$AI$471,27,)/VLOOKUP($E56,$D$5:$AI$471,3,))*$F56)</f>
        <v>0</v>
      </c>
      <c r="AE56" s="18">
        <f>IF(VLOOKUP($E56,$D$5:$AI$471,3,)=0,0,(VLOOKUP($E56,$D$5:$AI$471,28,)/VLOOKUP($E56,$D$5:$AI$471,3,))*$F56)</f>
        <v>0</v>
      </c>
      <c r="AF56" s="18">
        <f>IF(VLOOKUP($E56,$D$5:$AI$471,3,)=0,0,(VLOOKUP($E56,$D$5:$AI$471,29,)/VLOOKUP($E56,$D$5:$AI$471,3,))*$F56)</f>
        <v>0</v>
      </c>
      <c r="AG56" s="18">
        <f>IF(VLOOKUP($E56,$D$5:$AI$471,3,)=0,0,(VLOOKUP($E56,$D$5:$AI$471,30,)/VLOOKUP($E56,$D$5:$AI$471,3,))*$F56)</f>
        <v>0</v>
      </c>
      <c r="AH56" s="20">
        <f t="shared" si="8"/>
        <v>1225811342.9044704</v>
      </c>
      <c r="AI56" s="15" t="str">
        <f t="shared" si="9"/>
        <v>ok</v>
      </c>
    </row>
    <row r="57" spans="1:35" x14ac:dyDescent="0.3">
      <c r="A57" s="21" t="s">
        <v>537</v>
      </c>
      <c r="C57" s="2" t="s">
        <v>116</v>
      </c>
      <c r="D57" s="2" t="s">
        <v>570</v>
      </c>
      <c r="E57" s="2" t="s">
        <v>539</v>
      </c>
      <c r="F57" s="18">
        <f>VLOOKUP(C57,'Functional Assignment'!$C$1:$AU$563,8,)</f>
        <v>66762723.069734029</v>
      </c>
      <c r="G57" s="18">
        <f>IF(VLOOKUP($E57,$D$5:$AI$471,3,)=0,0,(VLOOKUP($E57,$D$5:$AI$471,4,)/VLOOKUP($E57,$D$5:$AI$471,3,))*$F57)</f>
        <v>50499092.405824877</v>
      </c>
      <c r="H57" s="18">
        <f>IF(VLOOKUP($E57,$D$5:$AI$471,3,)=0,0,(VLOOKUP($E57,$D$5:$AI$471,5,)/VLOOKUP($E57,$D$5:$AI$471,3,))*$F57)</f>
        <v>5073265.6927151484</v>
      </c>
      <c r="I57" s="18">
        <f>IF(VLOOKUP($E57,$D$5:$AI$471,3,)=0,0,(VLOOKUP($E57,$D$5:$AI$471,6,)/VLOOKUP($E57,$D$5:$AI$471,3,))*$F57)</f>
        <v>2084394.3652614078</v>
      </c>
      <c r="J57" s="18">
        <f>IF(VLOOKUP($E57,$D$5:$AI$471,3,)=0,0,(VLOOKUP($E57,$D$5:$AI$471,7,)/VLOOKUP($E57,$D$5:$AI$471,3,))*$F57)</f>
        <v>3086820.646053215</v>
      </c>
      <c r="K57" s="18">
        <f>IF(VLOOKUP($E57,$D$5:$AI$471,3,)=0,0,(VLOOKUP($E57,$D$5:$AI$471,8,)/VLOOKUP($E57,$D$5:$AI$471,3,))*$F57)</f>
        <v>4518622.8471731618</v>
      </c>
      <c r="L57" s="18">
        <f>IF(VLOOKUP($E57,$D$5:$AI$471,3,)=0,0,(VLOOKUP($E57,$D$5:$AI$471,9,)/VLOOKUP($E57,$D$5:$AI$471,3,))*$F57)</f>
        <v>1500527.1127062163</v>
      </c>
      <c r="M57" s="18">
        <f>IF(VLOOKUP($E57,$D$5:$AI$471,3,)=0,0,(VLOOKUP($E57,$D$5:$AI$471,10,)/VLOOKUP($E57,$D$5:$AI$471,3,))*$F57)</f>
        <v>0</v>
      </c>
      <c r="N57" s="18">
        <f>IF(VLOOKUP($E57,$D$5:$AI$471,3,)=0,0,(VLOOKUP($E57,$D$5:$AI$471,11,)/VLOOKUP($E57,$D$5:$AI$471,3,))*$F57)</f>
        <v>0</v>
      </c>
      <c r="O57" s="18">
        <f>IF(VLOOKUP($E57,$D$5:$AI$471,3,)=0,0,(VLOOKUP($E57,$D$5:$AI$471,12,)/VLOOKUP($E57,$D$5:$AI$471,3,))*$F57)</f>
        <v>0</v>
      </c>
      <c r="P57" s="18">
        <f>IF(VLOOKUP($E57,$D$5:$AI$471,3,)=0,0,(VLOOKUP($E57,$D$5:$AI$471,13,)/VLOOKUP($E57,$D$5:$AI$471,3,))*$F57)</f>
        <v>0</v>
      </c>
      <c r="Q57" s="18">
        <f>IF(VLOOKUP($E57,$D$5:$AI$471,3,)=0,0,(VLOOKUP($E57,$D$5:$AI$471,14,)/VLOOKUP($E57,$D$5:$AI$471,3,))*$F57)</f>
        <v>0</v>
      </c>
      <c r="R57" s="18">
        <f>IF(VLOOKUP($E57,$D$5:$AI$471,3,)=0,0,(VLOOKUP($E57,$D$5:$AI$471,15,)/VLOOKUP($E57,$D$5:$AI$471,3,))*$F57)</f>
        <v>0</v>
      </c>
      <c r="S57" s="18">
        <f>IF(VLOOKUP($E57,$D$5:$AI$471,3,)=0,0,(VLOOKUP($E57,$D$5:$AI$471,16,)/VLOOKUP($E57,$D$5:$AI$471,3,))*$F57)</f>
        <v>0</v>
      </c>
      <c r="T57" s="18">
        <f>IF(VLOOKUP($E57,$D$5:$AI$471,3,)=0,0,(VLOOKUP($E57,$D$5:$AI$471,17,)/VLOOKUP($E57,$D$5:$AI$471,3,))*$F57)</f>
        <v>0</v>
      </c>
      <c r="U57" s="18">
        <f>IF(VLOOKUP($E57,$D$5:$AI$471,3,)=0,0,(VLOOKUP($E57,$D$5:$AI$471,18,)/VLOOKUP($E57,$D$5:$AI$471,3,))*$F57)</f>
        <v>0</v>
      </c>
      <c r="V57" s="18">
        <f>IF(VLOOKUP($E57,$D$5:$AI$471,3,)=0,0,(VLOOKUP($E57,$D$5:$AI$471,19,)/VLOOKUP($E57,$D$5:$AI$471,3,))*$F57)</f>
        <v>0</v>
      </c>
      <c r="W57" s="18">
        <f>IF(VLOOKUP($E57,$D$5:$AI$471,3,)=0,0,(VLOOKUP($E57,$D$5:$AI$471,20,)/VLOOKUP($E57,$D$5:$AI$471,3,))*$F57)</f>
        <v>0</v>
      </c>
      <c r="X57" s="18">
        <f>IF(VLOOKUP($E57,$D$5:$AI$471,3,)=0,0,(VLOOKUP($E57,$D$5:$AI$471,21,)/VLOOKUP($E57,$D$5:$AI$471,3,))*$F57)</f>
        <v>0</v>
      </c>
      <c r="Y57" s="18">
        <f>IF(VLOOKUP($E57,$D$5:$AI$471,3,)=0,0,(VLOOKUP($E57,$D$5:$AI$471,22,)/VLOOKUP($E57,$D$5:$AI$471,3,))*$F57)</f>
        <v>0</v>
      </c>
      <c r="Z57" s="18">
        <f>IF(VLOOKUP($E57,$D$5:$AI$471,3,)=0,0,(VLOOKUP($E57,$D$5:$AI$471,23,)/VLOOKUP($E57,$D$5:$AI$471,3,))*$F57)</f>
        <v>0</v>
      </c>
      <c r="AA57" s="18">
        <f>IF(VLOOKUP($E57,$D$5:$AI$471,3,)=0,0,(VLOOKUP($E57,$D$5:$AI$471,24,)/VLOOKUP($E57,$D$5:$AI$471,3,))*$F57)</f>
        <v>0</v>
      </c>
      <c r="AB57" s="18">
        <f>IF(VLOOKUP($E57,$D$5:$AI$471,3,)=0,0,(VLOOKUP($E57,$D$5:$AI$471,25,)/VLOOKUP($E57,$D$5:$AI$471,3,))*$F57)</f>
        <v>0</v>
      </c>
      <c r="AC57" s="18">
        <f>IF(VLOOKUP($E57,$D$5:$AI$471,3,)=0,0,(VLOOKUP($E57,$D$5:$AI$471,26,)/VLOOKUP($E57,$D$5:$AI$471,3,))*$F57)</f>
        <v>0</v>
      </c>
      <c r="AD57" s="18">
        <f>IF(VLOOKUP($E57,$D$5:$AI$471,3,)=0,0,(VLOOKUP($E57,$D$5:$AI$471,27,)/VLOOKUP($E57,$D$5:$AI$471,3,))*$F57)</f>
        <v>0</v>
      </c>
      <c r="AE57" s="18">
        <f>IF(VLOOKUP($E57,$D$5:$AI$471,3,)=0,0,(VLOOKUP($E57,$D$5:$AI$471,28,)/VLOOKUP($E57,$D$5:$AI$471,3,))*$F57)</f>
        <v>0</v>
      </c>
      <c r="AF57" s="18">
        <f>IF(VLOOKUP($E57,$D$5:$AI$471,3,)=0,0,(VLOOKUP($E57,$D$5:$AI$471,29,)/VLOOKUP($E57,$D$5:$AI$471,3,))*$F57)</f>
        <v>0</v>
      </c>
      <c r="AG57" s="18">
        <f>IF(VLOOKUP($E57,$D$5:$AI$471,3,)=0,0,(VLOOKUP($E57,$D$5:$AI$471,30,)/VLOOKUP($E57,$D$5:$AI$471,3,))*$F57)</f>
        <v>0</v>
      </c>
      <c r="AH57" s="20">
        <f t="shared" si="8"/>
        <v>66762723.069734022</v>
      </c>
      <c r="AI57" s="15" t="str">
        <f t="shared" si="9"/>
        <v>ok</v>
      </c>
    </row>
    <row r="58" spans="1:35" x14ac:dyDescent="0.3">
      <c r="A58" s="21" t="s">
        <v>540</v>
      </c>
      <c r="C58" s="2" t="s">
        <v>116</v>
      </c>
      <c r="D58" s="2" t="s">
        <v>571</v>
      </c>
      <c r="E58" s="2" t="s">
        <v>542</v>
      </c>
      <c r="F58" s="18">
        <f>VLOOKUP(C58,'Functional Assignment'!$C$1:$AU$563,9,)</f>
        <v>72887735.568122163</v>
      </c>
      <c r="G58" s="18">
        <f>IF(VLOOKUP($E58,$D$5:$AI$471,3,)=0,0,(VLOOKUP($E58,$D$5:$AI$471,4,)/VLOOKUP($E58,$D$5:$AI$471,3,))*$F58)</f>
        <v>48686597.106858455</v>
      </c>
      <c r="H58" s="18">
        <f>IF(VLOOKUP($E58,$D$5:$AI$471,3,)=0,0,(VLOOKUP($E58,$D$5:$AI$471,5,)/VLOOKUP($E58,$D$5:$AI$471,3,))*$F58)</f>
        <v>6379408.7242034907</v>
      </c>
      <c r="I58" s="18">
        <f>IF(VLOOKUP($E58,$D$5:$AI$471,3,)=0,0,(VLOOKUP($E58,$D$5:$AI$471,6,)/VLOOKUP($E58,$D$5:$AI$471,3,))*$F58)</f>
        <v>2569866.0312050241</v>
      </c>
      <c r="J58" s="18">
        <f>IF(VLOOKUP($E58,$D$5:$AI$471,3,)=0,0,(VLOOKUP($E58,$D$5:$AI$471,7,)/VLOOKUP($E58,$D$5:$AI$471,3,))*$F58)</f>
        <v>3821586.6955570038</v>
      </c>
      <c r="K58" s="18">
        <f>IF(VLOOKUP($E58,$D$5:$AI$471,3,)=0,0,(VLOOKUP($E58,$D$5:$AI$471,8,)/VLOOKUP($E58,$D$5:$AI$471,3,))*$F58)</f>
        <v>10373888.196111826</v>
      </c>
      <c r="L58" s="18">
        <f>IF(VLOOKUP($E58,$D$5:$AI$471,3,)=0,0,(VLOOKUP($E58,$D$5:$AI$471,9,)/VLOOKUP($E58,$D$5:$AI$471,3,))*$F58)</f>
        <v>1056388.8141863642</v>
      </c>
      <c r="M58" s="18">
        <f>IF(VLOOKUP($E58,$D$5:$AI$471,3,)=0,0,(VLOOKUP($E58,$D$5:$AI$471,10,)/VLOOKUP($E58,$D$5:$AI$471,3,))*$F58)</f>
        <v>0</v>
      </c>
      <c r="N58" s="18">
        <f>IF(VLOOKUP($E58,$D$5:$AI$471,3,)=0,0,(VLOOKUP($E58,$D$5:$AI$471,11,)/VLOOKUP($E58,$D$5:$AI$471,3,))*$F58)</f>
        <v>0</v>
      </c>
      <c r="O58" s="18">
        <f>IF(VLOOKUP($E58,$D$5:$AI$471,3,)=0,0,(VLOOKUP($E58,$D$5:$AI$471,12,)/VLOOKUP($E58,$D$5:$AI$471,3,))*$F58)</f>
        <v>0</v>
      </c>
      <c r="P58" s="18">
        <f>IF(VLOOKUP($E58,$D$5:$AI$471,3,)=0,0,(VLOOKUP($E58,$D$5:$AI$471,13,)/VLOOKUP($E58,$D$5:$AI$471,3,))*$F58)</f>
        <v>0</v>
      </c>
      <c r="Q58" s="18">
        <f>IF(VLOOKUP($E58,$D$5:$AI$471,3,)=0,0,(VLOOKUP($E58,$D$5:$AI$471,14,)/VLOOKUP($E58,$D$5:$AI$471,3,))*$F58)</f>
        <v>0</v>
      </c>
      <c r="R58" s="18">
        <f>IF(VLOOKUP($E58,$D$5:$AI$471,3,)=0,0,(VLOOKUP($E58,$D$5:$AI$471,15,)/VLOOKUP($E58,$D$5:$AI$471,3,))*$F58)</f>
        <v>0</v>
      </c>
      <c r="S58" s="18">
        <f>IF(VLOOKUP($E58,$D$5:$AI$471,3,)=0,0,(VLOOKUP($E58,$D$5:$AI$471,16,)/VLOOKUP($E58,$D$5:$AI$471,3,))*$F58)</f>
        <v>0</v>
      </c>
      <c r="T58" s="18">
        <f>IF(VLOOKUP($E58,$D$5:$AI$471,3,)=0,0,(VLOOKUP($E58,$D$5:$AI$471,17,)/VLOOKUP($E58,$D$5:$AI$471,3,))*$F58)</f>
        <v>0</v>
      </c>
      <c r="U58" s="18">
        <f>IF(VLOOKUP($E58,$D$5:$AI$471,3,)=0,0,(VLOOKUP($E58,$D$5:$AI$471,18,)/VLOOKUP($E58,$D$5:$AI$471,3,))*$F58)</f>
        <v>0</v>
      </c>
      <c r="V58" s="18">
        <f>IF(VLOOKUP($E58,$D$5:$AI$471,3,)=0,0,(VLOOKUP($E58,$D$5:$AI$471,19,)/VLOOKUP($E58,$D$5:$AI$471,3,))*$F58)</f>
        <v>0</v>
      </c>
      <c r="W58" s="18">
        <f>IF(VLOOKUP($E58,$D$5:$AI$471,3,)=0,0,(VLOOKUP($E58,$D$5:$AI$471,20,)/VLOOKUP($E58,$D$5:$AI$471,3,))*$F58)</f>
        <v>0</v>
      </c>
      <c r="X58" s="18">
        <f>IF(VLOOKUP($E58,$D$5:$AI$471,3,)=0,0,(VLOOKUP($E58,$D$5:$AI$471,21,)/VLOOKUP($E58,$D$5:$AI$471,3,))*$F58)</f>
        <v>0</v>
      </c>
      <c r="Y58" s="18">
        <f>IF(VLOOKUP($E58,$D$5:$AI$471,3,)=0,0,(VLOOKUP($E58,$D$5:$AI$471,22,)/VLOOKUP($E58,$D$5:$AI$471,3,))*$F58)</f>
        <v>0</v>
      </c>
      <c r="Z58" s="18">
        <f>IF(VLOOKUP($E58,$D$5:$AI$471,3,)=0,0,(VLOOKUP($E58,$D$5:$AI$471,23,)/VLOOKUP($E58,$D$5:$AI$471,3,))*$F58)</f>
        <v>0</v>
      </c>
      <c r="AA58" s="18">
        <f>IF(VLOOKUP($E58,$D$5:$AI$471,3,)=0,0,(VLOOKUP($E58,$D$5:$AI$471,24,)/VLOOKUP($E58,$D$5:$AI$471,3,))*$F58)</f>
        <v>0</v>
      </c>
      <c r="AB58" s="18">
        <f>IF(VLOOKUP($E58,$D$5:$AI$471,3,)=0,0,(VLOOKUP($E58,$D$5:$AI$471,25,)/VLOOKUP($E58,$D$5:$AI$471,3,))*$F58)</f>
        <v>0</v>
      </c>
      <c r="AC58" s="18">
        <f>IF(VLOOKUP($E58,$D$5:$AI$471,3,)=0,0,(VLOOKUP($E58,$D$5:$AI$471,26,)/VLOOKUP($E58,$D$5:$AI$471,3,))*$F58)</f>
        <v>0</v>
      </c>
      <c r="AD58" s="18">
        <f>IF(VLOOKUP($E58,$D$5:$AI$471,3,)=0,0,(VLOOKUP($E58,$D$5:$AI$471,27,)/VLOOKUP($E58,$D$5:$AI$471,3,))*$F58)</f>
        <v>0</v>
      </c>
      <c r="AE58" s="18">
        <f>IF(VLOOKUP($E58,$D$5:$AI$471,3,)=0,0,(VLOOKUP($E58,$D$5:$AI$471,28,)/VLOOKUP($E58,$D$5:$AI$471,3,))*$F58)</f>
        <v>0</v>
      </c>
      <c r="AF58" s="18">
        <f>IF(VLOOKUP($E58,$D$5:$AI$471,3,)=0,0,(VLOOKUP($E58,$D$5:$AI$471,29,)/VLOOKUP($E58,$D$5:$AI$471,3,))*$F58)</f>
        <v>0</v>
      </c>
      <c r="AG58" s="18">
        <f>IF(VLOOKUP($E58,$D$5:$AI$471,3,)=0,0,(VLOOKUP($E58,$D$5:$AI$471,30,)/VLOOKUP($E58,$D$5:$AI$471,3,))*$F58)</f>
        <v>0</v>
      </c>
      <c r="AH58" s="20">
        <f t="shared" si="8"/>
        <v>72887735.568122163</v>
      </c>
      <c r="AI58" s="15" t="str">
        <f t="shared" si="9"/>
        <v>ok</v>
      </c>
    </row>
    <row r="59" spans="1:35" x14ac:dyDescent="0.3">
      <c r="A59" s="21" t="s">
        <v>543</v>
      </c>
      <c r="C59" s="2" t="s">
        <v>116</v>
      </c>
      <c r="D59" s="2" t="s">
        <v>572</v>
      </c>
      <c r="E59" s="2" t="s">
        <v>545</v>
      </c>
      <c r="F59" s="18">
        <f>VLOOKUP(C59,'Functional Assignment'!$C$1:$AU$563,10,)</f>
        <v>16641252.895726735</v>
      </c>
      <c r="G59" s="18">
        <f>IF(VLOOKUP($E59,$D$5:$AI$471,3,)=0,0,(VLOOKUP($E59,$D$5:$AI$471,4,)/VLOOKUP($E59,$D$5:$AI$471,3,))*$F59)</f>
        <v>0</v>
      </c>
      <c r="H59" s="18">
        <f>IF(VLOOKUP($E59,$D$5:$AI$471,3,)=0,0,(VLOOKUP($E59,$D$5:$AI$471,5,)/VLOOKUP($E59,$D$5:$AI$471,3,))*$F59)</f>
        <v>0</v>
      </c>
      <c r="I59" s="18">
        <f>IF(VLOOKUP($E59,$D$5:$AI$471,3,)=0,0,(VLOOKUP($E59,$D$5:$AI$471,6,)/VLOOKUP($E59,$D$5:$AI$471,3,))*$F59)</f>
        <v>0</v>
      </c>
      <c r="J59" s="18">
        <f>IF(VLOOKUP($E59,$D$5:$AI$471,3,)=0,0,(VLOOKUP($E59,$D$5:$AI$471,7,)/VLOOKUP($E59,$D$5:$AI$471,3,))*$F59)</f>
        <v>0</v>
      </c>
      <c r="K59" s="18">
        <f>IF(VLOOKUP($E59,$D$5:$AI$471,3,)=0,0,(VLOOKUP($E59,$D$5:$AI$471,8,)/VLOOKUP($E59,$D$5:$AI$471,3,))*$F59)</f>
        <v>0</v>
      </c>
      <c r="L59" s="18">
        <f>IF(VLOOKUP($E59,$D$5:$AI$471,3,)=0,0,(VLOOKUP($E59,$D$5:$AI$471,9,)/VLOOKUP($E59,$D$5:$AI$471,3,))*$F59)</f>
        <v>0</v>
      </c>
      <c r="M59" s="18">
        <f>IF(VLOOKUP($E59,$D$5:$AI$471,3,)=0,0,(VLOOKUP($E59,$D$5:$AI$471,10,)/VLOOKUP($E59,$D$5:$AI$471,3,))*$F59)</f>
        <v>16641252.895726735</v>
      </c>
      <c r="N59" s="18">
        <f>IF(VLOOKUP($E59,$D$5:$AI$471,3,)=0,0,(VLOOKUP($E59,$D$5:$AI$471,11,)/VLOOKUP($E59,$D$5:$AI$471,3,))*$F59)</f>
        <v>0</v>
      </c>
      <c r="O59" s="18">
        <f>IF(VLOOKUP($E59,$D$5:$AI$471,3,)=0,0,(VLOOKUP($E59,$D$5:$AI$471,12,)/VLOOKUP($E59,$D$5:$AI$471,3,))*$F59)</f>
        <v>0</v>
      </c>
      <c r="P59" s="18">
        <f>IF(VLOOKUP($E59,$D$5:$AI$471,3,)=0,0,(VLOOKUP($E59,$D$5:$AI$471,13,)/VLOOKUP($E59,$D$5:$AI$471,3,))*$F59)</f>
        <v>0</v>
      </c>
      <c r="Q59" s="18">
        <f>IF(VLOOKUP($E59,$D$5:$AI$471,3,)=0,0,(VLOOKUP($E59,$D$5:$AI$471,14,)/VLOOKUP($E59,$D$5:$AI$471,3,))*$F59)</f>
        <v>0</v>
      </c>
      <c r="R59" s="18">
        <f>IF(VLOOKUP($E59,$D$5:$AI$471,3,)=0,0,(VLOOKUP($E59,$D$5:$AI$471,15,)/VLOOKUP($E59,$D$5:$AI$471,3,))*$F59)</f>
        <v>0</v>
      </c>
      <c r="S59" s="18">
        <f>IF(VLOOKUP($E59,$D$5:$AI$471,3,)=0,0,(VLOOKUP($E59,$D$5:$AI$471,16,)/VLOOKUP($E59,$D$5:$AI$471,3,))*$F59)</f>
        <v>0</v>
      </c>
      <c r="T59" s="18">
        <f>IF(VLOOKUP($E59,$D$5:$AI$471,3,)=0,0,(VLOOKUP($E59,$D$5:$AI$471,17,)/VLOOKUP($E59,$D$5:$AI$471,3,))*$F59)</f>
        <v>0</v>
      </c>
      <c r="U59" s="18">
        <f>IF(VLOOKUP($E59,$D$5:$AI$471,3,)=0,0,(VLOOKUP($E59,$D$5:$AI$471,18,)/VLOOKUP($E59,$D$5:$AI$471,3,))*$F59)</f>
        <v>0</v>
      </c>
      <c r="V59" s="18">
        <f>IF(VLOOKUP($E59,$D$5:$AI$471,3,)=0,0,(VLOOKUP($E59,$D$5:$AI$471,19,)/VLOOKUP($E59,$D$5:$AI$471,3,))*$F59)</f>
        <v>0</v>
      </c>
      <c r="W59" s="18">
        <f>IF(VLOOKUP($E59,$D$5:$AI$471,3,)=0,0,(VLOOKUP($E59,$D$5:$AI$471,20,)/VLOOKUP($E59,$D$5:$AI$471,3,))*$F59)</f>
        <v>0</v>
      </c>
      <c r="X59" s="18">
        <f>IF(VLOOKUP($E59,$D$5:$AI$471,3,)=0,0,(VLOOKUP($E59,$D$5:$AI$471,21,)/VLOOKUP($E59,$D$5:$AI$471,3,))*$F59)</f>
        <v>0</v>
      </c>
      <c r="Y59" s="18">
        <f>IF(VLOOKUP($E59,$D$5:$AI$471,3,)=0,0,(VLOOKUP($E59,$D$5:$AI$471,22,)/VLOOKUP($E59,$D$5:$AI$471,3,))*$F59)</f>
        <v>0</v>
      </c>
      <c r="Z59" s="18">
        <f>IF(VLOOKUP($E59,$D$5:$AI$471,3,)=0,0,(VLOOKUP($E59,$D$5:$AI$471,23,)/VLOOKUP($E59,$D$5:$AI$471,3,))*$F59)</f>
        <v>0</v>
      </c>
      <c r="AA59" s="18">
        <f>IF(VLOOKUP($E59,$D$5:$AI$471,3,)=0,0,(VLOOKUP($E59,$D$5:$AI$471,24,)/VLOOKUP($E59,$D$5:$AI$471,3,))*$F59)</f>
        <v>0</v>
      </c>
      <c r="AB59" s="18">
        <f>IF(VLOOKUP($E59,$D$5:$AI$471,3,)=0,0,(VLOOKUP($E59,$D$5:$AI$471,25,)/VLOOKUP($E59,$D$5:$AI$471,3,))*$F59)</f>
        <v>0</v>
      </c>
      <c r="AC59" s="18">
        <f>IF(VLOOKUP($E59,$D$5:$AI$471,3,)=0,0,(VLOOKUP($E59,$D$5:$AI$471,26,)/VLOOKUP($E59,$D$5:$AI$471,3,))*$F59)</f>
        <v>0</v>
      </c>
      <c r="AD59" s="18">
        <f>IF(VLOOKUP($E59,$D$5:$AI$471,3,)=0,0,(VLOOKUP($E59,$D$5:$AI$471,27,)/VLOOKUP($E59,$D$5:$AI$471,3,))*$F59)</f>
        <v>0</v>
      </c>
      <c r="AE59" s="18">
        <f>IF(VLOOKUP($E59,$D$5:$AI$471,3,)=0,0,(VLOOKUP($E59,$D$5:$AI$471,28,)/VLOOKUP($E59,$D$5:$AI$471,3,))*$F59)</f>
        <v>0</v>
      </c>
      <c r="AF59" s="18">
        <f>IF(VLOOKUP($E59,$D$5:$AI$471,3,)=0,0,(VLOOKUP($E59,$D$5:$AI$471,29,)/VLOOKUP($E59,$D$5:$AI$471,3,))*$F59)</f>
        <v>0</v>
      </c>
      <c r="AG59" s="18">
        <f>IF(VLOOKUP($E59,$D$5:$AI$471,3,)=0,0,(VLOOKUP($E59,$D$5:$AI$471,30,)/VLOOKUP($E59,$D$5:$AI$471,3,))*$F59)</f>
        <v>0</v>
      </c>
      <c r="AH59" s="20">
        <f t="shared" si="8"/>
        <v>16641252.895726735</v>
      </c>
      <c r="AI59" s="15" t="str">
        <f t="shared" si="9"/>
        <v>ok</v>
      </c>
    </row>
    <row r="60" spans="1:35" x14ac:dyDescent="0.3">
      <c r="A60" s="2" t="s">
        <v>546</v>
      </c>
      <c r="D60" s="2" t="s">
        <v>573</v>
      </c>
      <c r="F60" s="18">
        <f>SUM(F55:F59)</f>
        <v>2375681851.841033</v>
      </c>
      <c r="G60" s="18">
        <f t="shared" ref="G60:AG60" si="10">SUM(G55:G59)</f>
        <v>1805235528.5608845</v>
      </c>
      <c r="H60" s="18">
        <f t="shared" si="10"/>
        <v>154645505.26900387</v>
      </c>
      <c r="I60" s="18">
        <f t="shared" si="10"/>
        <v>56239065.61468675</v>
      </c>
      <c r="J60" s="18">
        <f t="shared" si="10"/>
        <v>90238835.840238586</v>
      </c>
      <c r="K60" s="18">
        <f t="shared" si="10"/>
        <v>250124747.7335991</v>
      </c>
      <c r="L60" s="18">
        <f t="shared" si="10"/>
        <v>2556915.9268925805</v>
      </c>
      <c r="M60" s="18">
        <f t="shared" si="10"/>
        <v>16641252.895726735</v>
      </c>
      <c r="N60" s="18">
        <f t="shared" si="10"/>
        <v>0</v>
      </c>
      <c r="O60" s="18">
        <f t="shared" si="10"/>
        <v>0</v>
      </c>
      <c r="P60" s="18">
        <f t="shared" si="10"/>
        <v>0</v>
      </c>
      <c r="Q60" s="18">
        <f t="shared" si="10"/>
        <v>0</v>
      </c>
      <c r="R60" s="18">
        <f t="shared" si="10"/>
        <v>0</v>
      </c>
      <c r="S60" s="18">
        <f t="shared" si="10"/>
        <v>0</v>
      </c>
      <c r="T60" s="18">
        <f t="shared" si="10"/>
        <v>0</v>
      </c>
      <c r="U60" s="18">
        <f t="shared" si="10"/>
        <v>0</v>
      </c>
      <c r="V60" s="18">
        <f t="shared" si="10"/>
        <v>0</v>
      </c>
      <c r="W60" s="18">
        <f t="shared" si="10"/>
        <v>0</v>
      </c>
      <c r="X60" s="18">
        <f t="shared" si="10"/>
        <v>0</v>
      </c>
      <c r="Y60" s="18">
        <f t="shared" si="10"/>
        <v>0</v>
      </c>
      <c r="Z60" s="18">
        <f t="shared" si="10"/>
        <v>0</v>
      </c>
      <c r="AA60" s="18">
        <f t="shared" si="10"/>
        <v>0</v>
      </c>
      <c r="AB60" s="18">
        <f t="shared" si="10"/>
        <v>0</v>
      </c>
      <c r="AC60" s="18">
        <f t="shared" si="10"/>
        <v>0</v>
      </c>
      <c r="AD60" s="18">
        <f t="shared" si="10"/>
        <v>0</v>
      </c>
      <c r="AE60" s="18">
        <f t="shared" si="10"/>
        <v>0</v>
      </c>
      <c r="AF60" s="18">
        <f t="shared" si="10"/>
        <v>0</v>
      </c>
      <c r="AG60" s="18">
        <f t="shared" si="10"/>
        <v>0</v>
      </c>
      <c r="AH60" s="20">
        <f t="shared" si="8"/>
        <v>2375681851.841032</v>
      </c>
      <c r="AI60" s="15" t="str">
        <f t="shared" si="9"/>
        <v>ok</v>
      </c>
    </row>
    <row r="61" spans="1:35" x14ac:dyDescent="0.3">
      <c r="F61" s="19"/>
      <c r="G61" s="73"/>
      <c r="H61" s="38"/>
      <c r="I61" s="38"/>
      <c r="J61" s="38"/>
      <c r="K61" s="38"/>
      <c r="L61" s="38"/>
      <c r="M61" s="38"/>
    </row>
    <row r="62" spans="1:35" x14ac:dyDescent="0.3">
      <c r="F62" s="19"/>
      <c r="G62" s="19"/>
    </row>
    <row r="63" spans="1:35" x14ac:dyDescent="0.3">
      <c r="A63" s="3" t="s">
        <v>29</v>
      </c>
      <c r="C63" s="2" t="s">
        <v>116</v>
      </c>
      <c r="D63" s="2" t="s">
        <v>574</v>
      </c>
      <c r="E63" s="2" t="s">
        <v>549</v>
      </c>
      <c r="F63" s="18">
        <f>VLOOKUP(C63,'Functional Assignment'!$C$1:$AU$563,11,)</f>
        <v>632826372.93631792</v>
      </c>
      <c r="G63" s="18">
        <f>IF(VLOOKUP($E63,$D$5:$AI$471,3,)=0,0,(VLOOKUP($E63,$D$5:$AI$471,4,)/VLOOKUP($E63,$D$5:$AI$471,3,))*$F63)</f>
        <v>499402668.01351011</v>
      </c>
      <c r="H63" s="18">
        <f>IF(VLOOKUP($E63,$D$5:$AI$471,3,)=0,0,(VLOOKUP($E63,$D$5:$AI$471,5,)/VLOOKUP($E63,$D$5:$AI$471,3,))*$F63)</f>
        <v>37383022.19638022</v>
      </c>
      <c r="I63" s="18">
        <f>IF(VLOOKUP($E63,$D$5:$AI$471,3,)=0,0,(VLOOKUP($E63,$D$5:$AI$471,6,)/VLOOKUP($E63,$D$5:$AI$471,3,))*$F63)</f>
        <v>12675301.540481631</v>
      </c>
      <c r="J63" s="18">
        <f>IF(VLOOKUP($E63,$D$5:$AI$471,3,)=0,0,(VLOOKUP($E63,$D$5:$AI$471,7,)/VLOOKUP($E63,$D$5:$AI$471,3,))*$F63)</f>
        <v>20418140.415795658</v>
      </c>
      <c r="K63" s="18">
        <f>IF(VLOOKUP($E63,$D$5:$AI$471,3,)=0,0,(VLOOKUP($E63,$D$5:$AI$471,8,)/VLOOKUP($E63,$D$5:$AI$471,3,))*$F63)</f>
        <v>54881282.62427444</v>
      </c>
      <c r="L63" s="18">
        <f>IF(VLOOKUP($E63,$D$5:$AI$471,3,)=0,0,(VLOOKUP($E63,$D$5:$AI$471,9,)/VLOOKUP($E63,$D$5:$AI$471,3,))*$F63)</f>
        <v>8065958.1458759224</v>
      </c>
      <c r="M63" s="18">
        <f>IF(VLOOKUP($E63,$D$5:$AI$471,3,)=0,0,(VLOOKUP($E63,$D$5:$AI$471,10,)/VLOOKUP($E63,$D$5:$AI$471,3,))*$F63)</f>
        <v>0</v>
      </c>
      <c r="N63" s="18">
        <f>IF(VLOOKUP($E63,$D$5:$AI$471,3,)=0,0,(VLOOKUP($E63,$D$5:$AI$471,11,)/VLOOKUP($E63,$D$5:$AI$471,3,))*$F63)</f>
        <v>0</v>
      </c>
      <c r="O63" s="18">
        <f>IF(VLOOKUP($E63,$D$5:$AI$471,3,)=0,0,(VLOOKUP($E63,$D$5:$AI$471,12,)/VLOOKUP($E63,$D$5:$AI$471,3,))*$F63)</f>
        <v>0</v>
      </c>
      <c r="P63" s="18">
        <f>IF(VLOOKUP($E63,$D$5:$AI$471,3,)=0,0,(VLOOKUP($E63,$D$5:$AI$471,13,)/VLOOKUP($E63,$D$5:$AI$471,3,))*$F63)</f>
        <v>0</v>
      </c>
      <c r="Q63" s="18">
        <f>IF(VLOOKUP($E63,$D$5:$AI$471,3,)=0,0,(VLOOKUP($E63,$D$5:$AI$471,14,)/VLOOKUP($E63,$D$5:$AI$471,3,))*$F63)</f>
        <v>0</v>
      </c>
      <c r="R63" s="18">
        <f>IF(VLOOKUP($E63,$D$5:$AI$471,3,)=0,0,(VLOOKUP($E63,$D$5:$AI$471,15,)/VLOOKUP($E63,$D$5:$AI$471,3,))*$F63)</f>
        <v>0</v>
      </c>
      <c r="S63" s="18">
        <f>IF(VLOOKUP($E63,$D$5:$AI$471,3,)=0,0,(VLOOKUP($E63,$D$5:$AI$471,16,)/VLOOKUP($E63,$D$5:$AI$471,3,))*$F63)</f>
        <v>0</v>
      </c>
      <c r="T63" s="18">
        <f>IF(VLOOKUP($E63,$D$5:$AI$471,3,)=0,0,(VLOOKUP($E63,$D$5:$AI$471,17,)/VLOOKUP($E63,$D$5:$AI$471,3,))*$F63)</f>
        <v>0</v>
      </c>
      <c r="U63" s="18">
        <f>IF(VLOOKUP($E63,$D$5:$AI$471,3,)=0,0,(VLOOKUP($E63,$D$5:$AI$471,18,)/VLOOKUP($E63,$D$5:$AI$471,3,))*$F63)</f>
        <v>0</v>
      </c>
      <c r="V63" s="18">
        <f>IF(VLOOKUP($E63,$D$5:$AI$471,3,)=0,0,(VLOOKUP($E63,$D$5:$AI$471,19,)/VLOOKUP($E63,$D$5:$AI$471,3,))*$F63)</f>
        <v>0</v>
      </c>
      <c r="W63" s="18">
        <f>IF(VLOOKUP($E63,$D$5:$AI$471,3,)=0,0,(VLOOKUP($E63,$D$5:$AI$471,20,)/VLOOKUP($E63,$D$5:$AI$471,3,))*$F63)</f>
        <v>0</v>
      </c>
      <c r="X63" s="18">
        <f>IF(VLOOKUP($E63,$D$5:$AI$471,3,)=0,0,(VLOOKUP($E63,$D$5:$AI$471,21,)/VLOOKUP($E63,$D$5:$AI$471,3,))*$F63)</f>
        <v>0</v>
      </c>
      <c r="Y63" s="18">
        <f>IF(VLOOKUP($E63,$D$5:$AI$471,3,)=0,0,(VLOOKUP($E63,$D$5:$AI$471,22,)/VLOOKUP($E63,$D$5:$AI$471,3,))*$F63)</f>
        <v>0</v>
      </c>
      <c r="Z63" s="18">
        <f>IF(VLOOKUP($E63,$D$5:$AI$471,3,)=0,0,(VLOOKUP($E63,$D$5:$AI$471,23,)/VLOOKUP($E63,$D$5:$AI$471,3,))*$F63)</f>
        <v>0</v>
      </c>
      <c r="AA63" s="18">
        <f>IF(VLOOKUP($E63,$D$5:$AI$471,3,)=0,0,(VLOOKUP($E63,$D$5:$AI$471,24,)/VLOOKUP($E63,$D$5:$AI$471,3,))*$F63)</f>
        <v>0</v>
      </c>
      <c r="AB63" s="18">
        <f>IF(VLOOKUP($E63,$D$5:$AI$471,3,)=0,0,(VLOOKUP($E63,$D$5:$AI$471,25,)/VLOOKUP($E63,$D$5:$AI$471,3,))*$F63)</f>
        <v>0</v>
      </c>
      <c r="AC63" s="18">
        <f>IF(VLOOKUP($E63,$D$5:$AI$471,3,)=0,0,(VLOOKUP($E63,$D$5:$AI$471,26,)/VLOOKUP($E63,$D$5:$AI$471,3,))*$F63)</f>
        <v>0</v>
      </c>
      <c r="AD63" s="18">
        <f>IF(VLOOKUP($E63,$D$5:$AI$471,3,)=0,0,(VLOOKUP($E63,$D$5:$AI$471,27,)/VLOOKUP($E63,$D$5:$AI$471,3,))*$F63)</f>
        <v>0</v>
      </c>
      <c r="AE63" s="18">
        <f>IF(VLOOKUP($E63,$D$5:$AI$471,3,)=0,0,(VLOOKUP($E63,$D$5:$AI$471,28,)/VLOOKUP($E63,$D$5:$AI$471,3,))*$F63)</f>
        <v>0</v>
      </c>
      <c r="AF63" s="18">
        <f>IF(VLOOKUP($E63,$D$5:$AI$471,3,)=0,0,(VLOOKUP($E63,$D$5:$AI$471,29,)/VLOOKUP($E63,$D$5:$AI$471,3,))*$F63)</f>
        <v>0</v>
      </c>
      <c r="AG63" s="18">
        <f>IF(VLOOKUP($E63,$D$5:$AI$471,3,)=0,0,(VLOOKUP($E63,$D$5:$AI$471,30,)/VLOOKUP($E63,$D$5:$AI$471,3,))*$F63)</f>
        <v>0</v>
      </c>
      <c r="AH63" s="20">
        <f>SUM(G63:AG63)</f>
        <v>632826372.93631804</v>
      </c>
      <c r="AI63" s="15" t="str">
        <f>IF(ABS(F63-AH63)&lt;0.01,"ok","err")</f>
        <v>ok</v>
      </c>
    </row>
    <row r="64" spans="1:35" x14ac:dyDescent="0.3">
      <c r="F64" s="19"/>
      <c r="G64" s="19"/>
    </row>
    <row r="65" spans="1:35" x14ac:dyDescent="0.3">
      <c r="A65" s="3"/>
      <c r="F65" s="19"/>
      <c r="G65" s="19"/>
    </row>
    <row r="66" spans="1:35" x14ac:dyDescent="0.3">
      <c r="A66" s="3" t="s">
        <v>550</v>
      </c>
      <c r="C66" s="2" t="s">
        <v>116</v>
      </c>
      <c r="D66" s="2" t="s">
        <v>575</v>
      </c>
      <c r="E66" s="2" t="s">
        <v>552</v>
      </c>
      <c r="F66" s="18">
        <f>VLOOKUP(C66,'Functional Assignment'!$C$1:$AU$563,13,)</f>
        <v>254056390.18752602</v>
      </c>
      <c r="G66" s="18">
        <f>IF(VLOOKUP($E66,$D$5:$AI$471,3,)=0,0,(VLOOKUP($E66,$D$5:$AI$471,4,)/VLOOKUP($E66,$D$5:$AI$471,3,))*$F66)</f>
        <v>253010184.8163588</v>
      </c>
      <c r="H66" s="18">
        <f>IF(VLOOKUP($E66,$D$5:$AI$471,3,)=0,0,(VLOOKUP($E66,$D$5:$AI$471,5,)/VLOOKUP($E66,$D$5:$AI$471,3,))*$F66)</f>
        <v>0</v>
      </c>
      <c r="I66" s="18">
        <f>IF(VLOOKUP($E66,$D$5:$AI$471,3,)=0,0,(VLOOKUP($E66,$D$5:$AI$471,6,)/VLOOKUP($E66,$D$5:$AI$471,3,))*$F66)</f>
        <v>0</v>
      </c>
      <c r="J66" s="18">
        <f>IF(VLOOKUP($E66,$D$5:$AI$471,3,)=0,0,(VLOOKUP($E66,$D$5:$AI$471,7,)/VLOOKUP($E66,$D$5:$AI$471,3,))*$F66)</f>
        <v>1046205.3711672032</v>
      </c>
      <c r="K66" s="18">
        <f>IF(VLOOKUP($E66,$D$5:$AI$471,3,)=0,0,(VLOOKUP($E66,$D$5:$AI$471,8,)/VLOOKUP($E66,$D$5:$AI$471,3,))*$F66)</f>
        <v>0</v>
      </c>
      <c r="L66" s="18">
        <f>IF(VLOOKUP($E66,$D$5:$AI$471,3,)=0,0,(VLOOKUP($E66,$D$5:$AI$471,9,)/VLOOKUP($E66,$D$5:$AI$471,3,))*$F66)</f>
        <v>0</v>
      </c>
      <c r="M66" s="18">
        <f>IF(VLOOKUP($E66,$D$5:$AI$471,3,)=0,0,(VLOOKUP($E66,$D$5:$AI$471,10,)/VLOOKUP($E66,$D$5:$AI$471,3,))*$F66)</f>
        <v>0</v>
      </c>
      <c r="N66" s="18">
        <f>IF(VLOOKUP($E66,$D$5:$AI$471,3,)=0,0,(VLOOKUP($E66,$D$5:$AI$471,11,)/VLOOKUP($E66,$D$5:$AI$471,3,))*$F66)</f>
        <v>0</v>
      </c>
      <c r="O66" s="18">
        <f>IF(VLOOKUP($E66,$D$5:$AI$471,3,)=0,0,(VLOOKUP($E66,$D$5:$AI$471,12,)/VLOOKUP($E66,$D$5:$AI$471,3,))*$F66)</f>
        <v>0</v>
      </c>
      <c r="P66" s="18">
        <f>IF(VLOOKUP($E66,$D$5:$AI$471,3,)=0,0,(VLOOKUP($E66,$D$5:$AI$471,13,)/VLOOKUP($E66,$D$5:$AI$471,3,))*$F66)</f>
        <v>0</v>
      </c>
      <c r="Q66" s="18">
        <f>IF(VLOOKUP($E66,$D$5:$AI$471,3,)=0,0,(VLOOKUP($E66,$D$5:$AI$471,14,)/VLOOKUP($E66,$D$5:$AI$471,3,))*$F66)</f>
        <v>0</v>
      </c>
      <c r="R66" s="18">
        <f>IF(VLOOKUP($E66,$D$5:$AI$471,3,)=0,0,(VLOOKUP($E66,$D$5:$AI$471,15,)/VLOOKUP($E66,$D$5:$AI$471,3,))*$F66)</f>
        <v>0</v>
      </c>
      <c r="S66" s="18">
        <f>IF(VLOOKUP($E66,$D$5:$AI$471,3,)=0,0,(VLOOKUP($E66,$D$5:$AI$471,16,)/VLOOKUP($E66,$D$5:$AI$471,3,))*$F66)</f>
        <v>0</v>
      </c>
      <c r="T66" s="18">
        <f>IF(VLOOKUP($E66,$D$5:$AI$471,3,)=0,0,(VLOOKUP($E66,$D$5:$AI$471,17,)/VLOOKUP($E66,$D$5:$AI$471,3,))*$F66)</f>
        <v>0</v>
      </c>
      <c r="U66" s="18">
        <f>IF(VLOOKUP($E66,$D$5:$AI$471,3,)=0,0,(VLOOKUP($E66,$D$5:$AI$471,18,)/VLOOKUP($E66,$D$5:$AI$471,3,))*$F66)</f>
        <v>0</v>
      </c>
      <c r="V66" s="18">
        <f>IF(VLOOKUP($E66,$D$5:$AI$471,3,)=0,0,(VLOOKUP($E66,$D$5:$AI$471,19,)/VLOOKUP($E66,$D$5:$AI$471,3,))*$F66)</f>
        <v>0</v>
      </c>
      <c r="W66" s="18">
        <f>IF(VLOOKUP($E66,$D$5:$AI$471,3,)=0,0,(VLOOKUP($E66,$D$5:$AI$471,20,)/VLOOKUP($E66,$D$5:$AI$471,3,))*$F66)</f>
        <v>0</v>
      </c>
      <c r="X66" s="18">
        <f>IF(VLOOKUP($E66,$D$5:$AI$471,3,)=0,0,(VLOOKUP($E66,$D$5:$AI$471,21,)/VLOOKUP($E66,$D$5:$AI$471,3,))*$F66)</f>
        <v>0</v>
      </c>
      <c r="Y66" s="18">
        <f>IF(VLOOKUP($E66,$D$5:$AI$471,3,)=0,0,(VLOOKUP($E66,$D$5:$AI$471,22,)/VLOOKUP($E66,$D$5:$AI$471,3,))*$F66)</f>
        <v>0</v>
      </c>
      <c r="Z66" s="18">
        <f>IF(VLOOKUP($E66,$D$5:$AI$471,3,)=0,0,(VLOOKUP($E66,$D$5:$AI$471,23,)/VLOOKUP($E66,$D$5:$AI$471,3,))*$F66)</f>
        <v>0</v>
      </c>
      <c r="AA66" s="18">
        <f>IF(VLOOKUP($E66,$D$5:$AI$471,3,)=0,0,(VLOOKUP($E66,$D$5:$AI$471,24,)/VLOOKUP($E66,$D$5:$AI$471,3,))*$F66)</f>
        <v>0</v>
      </c>
      <c r="AB66" s="18">
        <f>IF(VLOOKUP($E66,$D$5:$AI$471,3,)=0,0,(VLOOKUP($E66,$D$5:$AI$471,25,)/VLOOKUP($E66,$D$5:$AI$471,3,))*$F66)</f>
        <v>0</v>
      </c>
      <c r="AC66" s="18">
        <f>IF(VLOOKUP($E66,$D$5:$AI$471,3,)=0,0,(VLOOKUP($E66,$D$5:$AI$471,26,)/VLOOKUP($E66,$D$5:$AI$471,3,))*$F66)</f>
        <v>0</v>
      </c>
      <c r="AD66" s="18">
        <f>IF(VLOOKUP($E66,$D$5:$AI$471,3,)=0,0,(VLOOKUP($E66,$D$5:$AI$471,27,)/VLOOKUP($E66,$D$5:$AI$471,3,))*$F66)</f>
        <v>0</v>
      </c>
      <c r="AE66" s="18">
        <f>IF(VLOOKUP($E66,$D$5:$AI$471,3,)=0,0,(VLOOKUP($E66,$D$5:$AI$471,28,)/VLOOKUP($E66,$D$5:$AI$471,3,))*$F66)</f>
        <v>0</v>
      </c>
      <c r="AF66" s="18">
        <f>IF(VLOOKUP($E66,$D$5:$AI$471,3,)=0,0,(VLOOKUP($E66,$D$5:$AI$471,29,)/VLOOKUP($E66,$D$5:$AI$471,3,))*$F66)</f>
        <v>0</v>
      </c>
      <c r="AG66" s="18">
        <f>IF(VLOOKUP($E66,$D$5:$AI$471,3,)=0,0,(VLOOKUP($E66,$D$5:$AI$471,30,)/VLOOKUP($E66,$D$5:$AI$471,3,))*$F66)</f>
        <v>0</v>
      </c>
      <c r="AH66" s="20">
        <f>SUM(G66:AG66)</f>
        <v>254056390.18752602</v>
      </c>
      <c r="AI66" s="15" t="str">
        <f>IF(ABS(F66-AH66)&lt;0.01,"ok","err")</f>
        <v>ok</v>
      </c>
    </row>
    <row r="67" spans="1:35" x14ac:dyDescent="0.3">
      <c r="A67" s="3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20"/>
      <c r="AI67" s="15"/>
    </row>
    <row r="68" spans="1:35" x14ac:dyDescent="0.3">
      <c r="F68" s="19"/>
    </row>
    <row r="69" spans="1:35" x14ac:dyDescent="0.3">
      <c r="A69" s="3" t="s">
        <v>553</v>
      </c>
      <c r="C69" s="2" t="s">
        <v>116</v>
      </c>
      <c r="D69" s="2" t="s">
        <v>576</v>
      </c>
      <c r="E69" s="2" t="s">
        <v>555</v>
      </c>
      <c r="F69" s="18">
        <f>VLOOKUP(C69,'Functional Assignment'!$C$1:$AU$563,14,)</f>
        <v>3407940.1580944289</v>
      </c>
      <c r="G69" s="18">
        <f>IF(VLOOKUP($E69,$D$5:$AI$471,3,)=0,0,(VLOOKUP($E69,$D$5:$AI$471,4,)/VLOOKUP($E69,$D$5:$AI$471,3,))*$F69)</f>
        <v>3398607.597186822</v>
      </c>
      <c r="H69" s="18">
        <f>IF(VLOOKUP($E69,$D$5:$AI$471,3,)=0,0,(VLOOKUP($E69,$D$5:$AI$471,5,)/VLOOKUP($E69,$D$5:$AI$471,3,))*$F69)</f>
        <v>0</v>
      </c>
      <c r="I69" s="18">
        <f>IF(VLOOKUP($E69,$D$5:$AI$471,3,)=0,0,(VLOOKUP($E69,$D$5:$AI$471,6,)/VLOOKUP($E69,$D$5:$AI$471,3,))*$F69)</f>
        <v>0</v>
      </c>
      <c r="J69" s="18">
        <f>IF(VLOOKUP($E69,$D$5:$AI$471,3,)=0,0,(VLOOKUP($E69,$D$5:$AI$471,7,)/VLOOKUP($E69,$D$5:$AI$471,3,))*$F69)</f>
        <v>9332.560907606834</v>
      </c>
      <c r="K69" s="18">
        <f>IF(VLOOKUP($E69,$D$5:$AI$471,3,)=0,0,(VLOOKUP($E69,$D$5:$AI$471,8,)/VLOOKUP($E69,$D$5:$AI$471,3,))*$F69)</f>
        <v>0</v>
      </c>
      <c r="L69" s="18">
        <f>IF(VLOOKUP($E69,$D$5:$AI$471,3,)=0,0,(VLOOKUP($E69,$D$5:$AI$471,9,)/VLOOKUP($E69,$D$5:$AI$471,3,))*$F69)</f>
        <v>0</v>
      </c>
      <c r="M69" s="18">
        <f>IF(VLOOKUP($E69,$D$5:$AI$471,3,)=0,0,(VLOOKUP($E69,$D$5:$AI$471,10,)/VLOOKUP($E69,$D$5:$AI$471,3,))*$F69)</f>
        <v>0</v>
      </c>
      <c r="N69" s="18">
        <f>IF(VLOOKUP($E69,$D$5:$AI$471,3,)=0,0,(VLOOKUP($E69,$D$5:$AI$471,11,)/VLOOKUP($E69,$D$5:$AI$471,3,))*$F69)</f>
        <v>0</v>
      </c>
      <c r="O69" s="18">
        <f>IF(VLOOKUP($E69,$D$5:$AI$471,3,)=0,0,(VLOOKUP($E69,$D$5:$AI$471,12,)/VLOOKUP($E69,$D$5:$AI$471,3,))*$F69)</f>
        <v>0</v>
      </c>
      <c r="P69" s="18">
        <f>IF(VLOOKUP($E69,$D$5:$AI$471,3,)=0,0,(VLOOKUP($E69,$D$5:$AI$471,13,)/VLOOKUP($E69,$D$5:$AI$471,3,))*$F69)</f>
        <v>0</v>
      </c>
      <c r="Q69" s="18">
        <f>IF(VLOOKUP($E69,$D$5:$AI$471,3,)=0,0,(VLOOKUP($E69,$D$5:$AI$471,14,)/VLOOKUP($E69,$D$5:$AI$471,3,))*$F69)</f>
        <v>0</v>
      </c>
      <c r="R69" s="18">
        <f>IF(VLOOKUP($E69,$D$5:$AI$471,3,)=0,0,(VLOOKUP($E69,$D$5:$AI$471,15,)/VLOOKUP($E69,$D$5:$AI$471,3,))*$F69)</f>
        <v>0</v>
      </c>
      <c r="S69" s="18">
        <f>IF(VLOOKUP($E69,$D$5:$AI$471,3,)=0,0,(VLOOKUP($E69,$D$5:$AI$471,16,)/VLOOKUP($E69,$D$5:$AI$471,3,))*$F69)</f>
        <v>0</v>
      </c>
      <c r="T69" s="18">
        <f>IF(VLOOKUP($E69,$D$5:$AI$471,3,)=0,0,(VLOOKUP($E69,$D$5:$AI$471,17,)/VLOOKUP($E69,$D$5:$AI$471,3,))*$F69)</f>
        <v>0</v>
      </c>
      <c r="U69" s="18">
        <f>IF(VLOOKUP($E69,$D$5:$AI$471,3,)=0,0,(VLOOKUP($E69,$D$5:$AI$471,18,)/VLOOKUP($E69,$D$5:$AI$471,3,))*$F69)</f>
        <v>0</v>
      </c>
      <c r="V69" s="18">
        <f>IF(VLOOKUP($E69,$D$5:$AI$471,3,)=0,0,(VLOOKUP($E69,$D$5:$AI$471,19,)/VLOOKUP($E69,$D$5:$AI$471,3,))*$F69)</f>
        <v>0</v>
      </c>
      <c r="W69" s="18">
        <f>IF(VLOOKUP($E69,$D$5:$AI$471,3,)=0,0,(VLOOKUP($E69,$D$5:$AI$471,20,)/VLOOKUP($E69,$D$5:$AI$471,3,))*$F69)</f>
        <v>0</v>
      </c>
      <c r="X69" s="18">
        <f>IF(VLOOKUP($E69,$D$5:$AI$471,3,)=0,0,(VLOOKUP($E69,$D$5:$AI$471,21,)/VLOOKUP($E69,$D$5:$AI$471,3,))*$F69)</f>
        <v>0</v>
      </c>
      <c r="Y69" s="18">
        <f>IF(VLOOKUP($E69,$D$5:$AI$471,3,)=0,0,(VLOOKUP($E69,$D$5:$AI$471,22,)/VLOOKUP($E69,$D$5:$AI$471,3,))*$F69)</f>
        <v>0</v>
      </c>
      <c r="Z69" s="18">
        <f>IF(VLOOKUP($E69,$D$5:$AI$471,3,)=0,0,(VLOOKUP($E69,$D$5:$AI$471,23,)/VLOOKUP($E69,$D$5:$AI$471,3,))*$F69)</f>
        <v>0</v>
      </c>
      <c r="AA69" s="18">
        <f>IF(VLOOKUP($E69,$D$5:$AI$471,3,)=0,0,(VLOOKUP($E69,$D$5:$AI$471,24,)/VLOOKUP($E69,$D$5:$AI$471,3,))*$F69)</f>
        <v>0</v>
      </c>
      <c r="AB69" s="18">
        <f>IF(VLOOKUP($E69,$D$5:$AI$471,3,)=0,0,(VLOOKUP($E69,$D$5:$AI$471,25,)/VLOOKUP($E69,$D$5:$AI$471,3,))*$F69)</f>
        <v>0</v>
      </c>
      <c r="AC69" s="18">
        <f>IF(VLOOKUP($E69,$D$5:$AI$471,3,)=0,0,(VLOOKUP($E69,$D$5:$AI$471,26,)/VLOOKUP($E69,$D$5:$AI$471,3,))*$F69)</f>
        <v>0</v>
      </c>
      <c r="AD69" s="18">
        <f>IF(VLOOKUP($E69,$D$5:$AI$471,3,)=0,0,(VLOOKUP($E69,$D$5:$AI$471,27,)/VLOOKUP($E69,$D$5:$AI$471,3,))*$F69)</f>
        <v>0</v>
      </c>
      <c r="AE69" s="18">
        <f>IF(VLOOKUP($E69,$D$5:$AI$471,3,)=0,0,(VLOOKUP($E69,$D$5:$AI$471,28,)/VLOOKUP($E69,$D$5:$AI$471,3,))*$F69)</f>
        <v>0</v>
      </c>
      <c r="AF69" s="18">
        <f>IF(VLOOKUP($E69,$D$5:$AI$471,3,)=0,0,(VLOOKUP($E69,$D$5:$AI$471,29,)/VLOOKUP($E69,$D$5:$AI$471,3,))*$F69)</f>
        <v>0</v>
      </c>
      <c r="AG69" s="18">
        <f>IF(VLOOKUP($E69,$D$5:$AI$471,3,)=0,0,(VLOOKUP($E69,$D$5:$AI$471,30,)/VLOOKUP($E69,$D$5:$AI$471,3,))*$F69)</f>
        <v>0</v>
      </c>
      <c r="AH69" s="20">
        <f>SUM(G69:AG69)</f>
        <v>3407940.1580944289</v>
      </c>
      <c r="AI69" s="15" t="str">
        <f>IF(ABS(F69-AH69)&lt;0.01,"ok","err")</f>
        <v>ok</v>
      </c>
    </row>
    <row r="70" spans="1:35" x14ac:dyDescent="0.3">
      <c r="F70" s="19"/>
    </row>
    <row r="71" spans="1:35" x14ac:dyDescent="0.3">
      <c r="F71" s="19"/>
    </row>
    <row r="72" spans="1:35" x14ac:dyDescent="0.3">
      <c r="A72" s="2" t="s">
        <v>1</v>
      </c>
      <c r="D72" s="2" t="s">
        <v>577</v>
      </c>
      <c r="F72" s="18">
        <f>F60+F63+F66+F69</f>
        <v>3265972555.1229715</v>
      </c>
      <c r="G72" s="18">
        <f t="shared" ref="G72:AG72" si="11">G60+G63+G66+G69</f>
        <v>2561046988.9879408</v>
      </c>
      <c r="H72" s="18">
        <f t="shared" si="11"/>
        <v>192028527.4653841</v>
      </c>
      <c r="I72" s="18">
        <f t="shared" si="11"/>
        <v>68914367.155168384</v>
      </c>
      <c r="J72" s="18">
        <f t="shared" si="11"/>
        <v>111712514.18810904</v>
      </c>
      <c r="K72" s="18">
        <f t="shared" si="11"/>
        <v>305006030.35787356</v>
      </c>
      <c r="L72" s="18">
        <f t="shared" si="11"/>
        <v>10622874.072768502</v>
      </c>
      <c r="M72" s="18">
        <f t="shared" si="11"/>
        <v>16641252.895726735</v>
      </c>
      <c r="N72" s="18">
        <f t="shared" si="11"/>
        <v>0</v>
      </c>
      <c r="O72" s="18">
        <f t="shared" si="11"/>
        <v>0</v>
      </c>
      <c r="P72" s="18">
        <f t="shared" si="11"/>
        <v>0</v>
      </c>
      <c r="Q72" s="18">
        <f t="shared" si="11"/>
        <v>0</v>
      </c>
      <c r="R72" s="18">
        <f t="shared" si="11"/>
        <v>0</v>
      </c>
      <c r="S72" s="18">
        <f t="shared" si="11"/>
        <v>0</v>
      </c>
      <c r="T72" s="18">
        <f t="shared" si="11"/>
        <v>0</v>
      </c>
      <c r="U72" s="18">
        <f t="shared" si="11"/>
        <v>0</v>
      </c>
      <c r="V72" s="18">
        <f t="shared" si="11"/>
        <v>0</v>
      </c>
      <c r="W72" s="18">
        <f t="shared" si="11"/>
        <v>0</v>
      </c>
      <c r="X72" s="18">
        <f t="shared" si="11"/>
        <v>0</v>
      </c>
      <c r="Y72" s="18">
        <f t="shared" si="11"/>
        <v>0</v>
      </c>
      <c r="Z72" s="18">
        <f t="shared" si="11"/>
        <v>0</v>
      </c>
      <c r="AA72" s="18">
        <f t="shared" si="11"/>
        <v>0</v>
      </c>
      <c r="AB72" s="18">
        <f t="shared" si="11"/>
        <v>0</v>
      </c>
      <c r="AC72" s="18">
        <f t="shared" si="11"/>
        <v>0</v>
      </c>
      <c r="AD72" s="18">
        <f t="shared" si="11"/>
        <v>0</v>
      </c>
      <c r="AE72" s="18">
        <f t="shared" si="11"/>
        <v>0</v>
      </c>
      <c r="AF72" s="18">
        <f t="shared" si="11"/>
        <v>0</v>
      </c>
      <c r="AG72" s="18">
        <f t="shared" si="11"/>
        <v>0</v>
      </c>
      <c r="AH72" s="20">
        <f>SUM(G72:AG72)</f>
        <v>3265972555.1229711</v>
      </c>
      <c r="AI72" s="15" t="str">
        <f>IF(ABS(F72-AH72)&lt;0.01,"ok","err")</f>
        <v>ok</v>
      </c>
    </row>
    <row r="75" spans="1:35" x14ac:dyDescent="0.3">
      <c r="A75" s="16" t="s">
        <v>117</v>
      </c>
    </row>
    <row r="77" spans="1:35" x14ac:dyDescent="0.3">
      <c r="A77" s="3" t="s">
        <v>530</v>
      </c>
    </row>
    <row r="78" spans="1:35" x14ac:dyDescent="0.3">
      <c r="A78" s="21" t="s">
        <v>531</v>
      </c>
      <c r="C78" s="2" t="s">
        <v>336</v>
      </c>
      <c r="D78" s="2" t="s">
        <v>578</v>
      </c>
      <c r="E78" s="2" t="s">
        <v>533</v>
      </c>
      <c r="F78" s="18">
        <f>VLOOKUP(C78,'Functional Assignment'!$C$1:$AU$563,6,)</f>
        <v>68820057.871783733</v>
      </c>
      <c r="G78" s="18">
        <f>IF(VLOOKUP($E78,$D$5:$AI$471,3,)=0,0,(VLOOKUP($E78,$D$5:$AI$471,4,)/VLOOKUP($E78,$D$5:$AI$471,3,))*$F78)</f>
        <v>56719881.224183291</v>
      </c>
      <c r="H78" s="18">
        <f>IF(VLOOKUP($E78,$D$5:$AI$471,3,)=0,0,(VLOOKUP($E78,$D$5:$AI$471,5,)/VLOOKUP($E78,$D$5:$AI$471,3,))*$F78)</f>
        <v>2827717.1910370062</v>
      </c>
      <c r="I78" s="18">
        <f>IF(VLOOKUP($E78,$D$5:$AI$471,3,)=0,0,(VLOOKUP($E78,$D$5:$AI$471,6,)/VLOOKUP($E78,$D$5:$AI$471,3,))*$F78)</f>
        <v>691350.01301721495</v>
      </c>
      <c r="J78" s="18">
        <f>IF(VLOOKUP($E78,$D$5:$AI$471,3,)=0,0,(VLOOKUP($E78,$D$5:$AI$471,7,)/VLOOKUP($E78,$D$5:$AI$471,3,))*$F78)</f>
        <v>1494606.4941849743</v>
      </c>
      <c r="K78" s="18">
        <f>IF(VLOOKUP($E78,$D$5:$AI$471,3,)=0,0,(VLOOKUP($E78,$D$5:$AI$471,8,)/VLOOKUP($E78,$D$5:$AI$471,3,))*$F78)</f>
        <v>7086502.9493612209</v>
      </c>
      <c r="L78" s="18">
        <f>IF(VLOOKUP($E78,$D$5:$AI$471,3,)=0,0,(VLOOKUP($E78,$D$5:$AI$471,9,)/VLOOKUP($E78,$D$5:$AI$471,3,))*$F78)</f>
        <v>0</v>
      </c>
      <c r="M78" s="18">
        <f>IF(VLOOKUP($E78,$D$5:$AI$471,3,)=0,0,(VLOOKUP($E78,$D$5:$AI$471,10,)/VLOOKUP($E78,$D$5:$AI$471,3,))*$F78)</f>
        <v>0</v>
      </c>
      <c r="N78" s="18">
        <f>IF(VLOOKUP($E78,$D$5:$AI$471,3,)=0,0,(VLOOKUP($E78,$D$5:$AI$471,11,)/VLOOKUP($E78,$D$5:$AI$471,3,))*$F78)</f>
        <v>0</v>
      </c>
      <c r="O78" s="18">
        <f>IF(VLOOKUP($E78,$D$5:$AI$471,3,)=0,0,(VLOOKUP($E78,$D$5:$AI$471,12,)/VLOOKUP($E78,$D$5:$AI$471,3,))*$F78)</f>
        <v>0</v>
      </c>
      <c r="P78" s="18">
        <f>IF(VLOOKUP($E78,$D$5:$AI$471,3,)=0,0,(VLOOKUP($E78,$D$5:$AI$471,13,)/VLOOKUP($E78,$D$5:$AI$471,3,))*$F78)</f>
        <v>0</v>
      </c>
      <c r="Q78" s="18">
        <f>IF(VLOOKUP($E78,$D$5:$AI$471,3,)=0,0,(VLOOKUP($E78,$D$5:$AI$471,14,)/VLOOKUP($E78,$D$5:$AI$471,3,))*$F78)</f>
        <v>0</v>
      </c>
      <c r="R78" s="18">
        <f>IF(VLOOKUP($E78,$D$5:$AI$471,3,)=0,0,(VLOOKUP($E78,$D$5:$AI$471,15,)/VLOOKUP($E78,$D$5:$AI$471,3,))*$F78)</f>
        <v>0</v>
      </c>
      <c r="S78" s="18">
        <f>IF(VLOOKUP($E78,$D$5:$AI$471,3,)=0,0,(VLOOKUP($E78,$D$5:$AI$471,16,)/VLOOKUP($E78,$D$5:$AI$471,3,))*$F78)</f>
        <v>0</v>
      </c>
      <c r="T78" s="18">
        <f>IF(VLOOKUP($E78,$D$5:$AI$471,3,)=0,0,(VLOOKUP($E78,$D$5:$AI$471,17,)/VLOOKUP($E78,$D$5:$AI$471,3,))*$F78)</f>
        <v>0</v>
      </c>
      <c r="U78" s="18">
        <f>IF(VLOOKUP($E78,$D$5:$AI$471,3,)=0,0,(VLOOKUP($E78,$D$5:$AI$471,18,)/VLOOKUP($E78,$D$5:$AI$471,3,))*$F78)</f>
        <v>0</v>
      </c>
      <c r="V78" s="18">
        <f>IF(VLOOKUP($E78,$D$5:$AI$471,3,)=0,0,(VLOOKUP($E78,$D$5:$AI$471,19,)/VLOOKUP($E78,$D$5:$AI$471,3,))*$F78)</f>
        <v>0</v>
      </c>
      <c r="W78" s="18">
        <f>IF(VLOOKUP($E78,$D$5:$AI$471,3,)=0,0,(VLOOKUP($E78,$D$5:$AI$471,20,)/VLOOKUP($E78,$D$5:$AI$471,3,))*$F78)</f>
        <v>0</v>
      </c>
      <c r="X78" s="18">
        <f>IF(VLOOKUP($E78,$D$5:$AI$471,3,)=0,0,(VLOOKUP($E78,$D$5:$AI$471,21,)/VLOOKUP($E78,$D$5:$AI$471,3,))*$F78)</f>
        <v>0</v>
      </c>
      <c r="Y78" s="18">
        <f>IF(VLOOKUP($E78,$D$5:$AI$471,3,)=0,0,(VLOOKUP($E78,$D$5:$AI$471,22,)/VLOOKUP($E78,$D$5:$AI$471,3,))*$F78)</f>
        <v>0</v>
      </c>
      <c r="Z78" s="18">
        <f>IF(VLOOKUP($E78,$D$5:$AI$471,3,)=0,0,(VLOOKUP($E78,$D$5:$AI$471,23,)/VLOOKUP($E78,$D$5:$AI$471,3,))*$F78)</f>
        <v>0</v>
      </c>
      <c r="AA78" s="18">
        <f>IF(VLOOKUP($E78,$D$5:$AI$471,3,)=0,0,(VLOOKUP($E78,$D$5:$AI$471,24,)/VLOOKUP($E78,$D$5:$AI$471,3,))*$F78)</f>
        <v>0</v>
      </c>
      <c r="AB78" s="18">
        <f>IF(VLOOKUP($E78,$D$5:$AI$471,3,)=0,0,(VLOOKUP($E78,$D$5:$AI$471,25,)/VLOOKUP($E78,$D$5:$AI$471,3,))*$F78)</f>
        <v>0</v>
      </c>
      <c r="AC78" s="18">
        <f>IF(VLOOKUP($E78,$D$5:$AI$471,3,)=0,0,(VLOOKUP($E78,$D$5:$AI$471,26,)/VLOOKUP($E78,$D$5:$AI$471,3,))*$F78)</f>
        <v>0</v>
      </c>
      <c r="AD78" s="18">
        <f>IF(VLOOKUP($E78,$D$5:$AI$471,3,)=0,0,(VLOOKUP($E78,$D$5:$AI$471,27,)/VLOOKUP($E78,$D$5:$AI$471,3,))*$F78)</f>
        <v>0</v>
      </c>
      <c r="AE78" s="18">
        <f>IF(VLOOKUP($E78,$D$5:$AI$471,3,)=0,0,(VLOOKUP($E78,$D$5:$AI$471,28,)/VLOOKUP($E78,$D$5:$AI$471,3,))*$F78)</f>
        <v>0</v>
      </c>
      <c r="AF78" s="18">
        <f>IF(VLOOKUP($E78,$D$5:$AI$471,3,)=0,0,(VLOOKUP($E78,$D$5:$AI$471,29,)/VLOOKUP($E78,$D$5:$AI$471,3,))*$F78)</f>
        <v>0</v>
      </c>
      <c r="AG78" s="18">
        <f>IF(VLOOKUP($E78,$D$5:$AI$471,3,)=0,0,(VLOOKUP($E78,$D$5:$AI$471,30,)/VLOOKUP($E78,$D$5:$AI$471,3,))*$F78)</f>
        <v>0</v>
      </c>
      <c r="AH78" s="20">
        <f t="shared" ref="AH78:AH83" si="12">SUM(G78:AG78)</f>
        <v>68820057.871783704</v>
      </c>
      <c r="AI78" s="15" t="str">
        <f t="shared" ref="AI78:AI83" si="13">IF(ABS(F78-AH78)&lt;0.01,"ok","err")</f>
        <v>ok</v>
      </c>
    </row>
    <row r="79" spans="1:35" x14ac:dyDescent="0.3">
      <c r="A79" s="21" t="s">
        <v>534</v>
      </c>
      <c r="C79" s="2" t="s">
        <v>336</v>
      </c>
      <c r="D79" s="2" t="s">
        <v>579</v>
      </c>
      <c r="E79" s="2" t="s">
        <v>536</v>
      </c>
      <c r="F79" s="18">
        <f>VLOOKUP(C79,'Functional Assignment'!$C$1:$AU$563,7,)</f>
        <v>84905603.641176924</v>
      </c>
      <c r="G79" s="18">
        <f>IF(VLOOKUP($E79,$D$5:$AI$471,3,)=0,0,(VLOOKUP($E79,$D$5:$AI$471,4,)/VLOOKUP($E79,$D$5:$AI$471,3,))*$F79)</f>
        <v>61449356.044498861</v>
      </c>
      <c r="H79" s="18">
        <f>IF(VLOOKUP($E79,$D$5:$AI$471,3,)=0,0,(VLOOKUP($E79,$D$5:$AI$471,5,)/VLOOKUP($E79,$D$5:$AI$471,3,))*$F79)</f>
        <v>7090508.6525728637</v>
      </c>
      <c r="I79" s="18">
        <f>IF(VLOOKUP($E79,$D$5:$AI$471,3,)=0,0,(VLOOKUP($E79,$D$5:$AI$471,6,)/VLOOKUP($E79,$D$5:$AI$471,3,))*$F79)</f>
        <v>2881662.3033705759</v>
      </c>
      <c r="J79" s="18">
        <f>IF(VLOOKUP($E79,$D$5:$AI$471,3,)=0,0,(VLOOKUP($E79,$D$5:$AI$471,7,)/VLOOKUP($E79,$D$5:$AI$471,3,))*$F79)</f>
        <v>4277260.7464866266</v>
      </c>
      <c r="K79" s="18">
        <f>IF(VLOOKUP($E79,$D$5:$AI$471,3,)=0,0,(VLOOKUP($E79,$D$5:$AI$471,8,)/VLOOKUP($E79,$D$5:$AI$471,3,))*$F79)</f>
        <v>9206815.8942479938</v>
      </c>
      <c r="L79" s="18">
        <f>IF(VLOOKUP($E79,$D$5:$AI$471,3,)=0,0,(VLOOKUP($E79,$D$5:$AI$471,9,)/VLOOKUP($E79,$D$5:$AI$471,3,))*$F79)</f>
        <v>0</v>
      </c>
      <c r="M79" s="18">
        <f>IF(VLOOKUP($E79,$D$5:$AI$471,3,)=0,0,(VLOOKUP($E79,$D$5:$AI$471,10,)/VLOOKUP($E79,$D$5:$AI$471,3,))*$F79)</f>
        <v>0</v>
      </c>
      <c r="N79" s="18">
        <f>IF(VLOOKUP($E79,$D$5:$AI$471,3,)=0,0,(VLOOKUP($E79,$D$5:$AI$471,11,)/VLOOKUP($E79,$D$5:$AI$471,3,))*$F79)</f>
        <v>0</v>
      </c>
      <c r="O79" s="18">
        <f>IF(VLOOKUP($E79,$D$5:$AI$471,3,)=0,0,(VLOOKUP($E79,$D$5:$AI$471,12,)/VLOOKUP($E79,$D$5:$AI$471,3,))*$F79)</f>
        <v>0</v>
      </c>
      <c r="P79" s="18">
        <f>IF(VLOOKUP($E79,$D$5:$AI$471,3,)=0,0,(VLOOKUP($E79,$D$5:$AI$471,13,)/VLOOKUP($E79,$D$5:$AI$471,3,))*$F79)</f>
        <v>0</v>
      </c>
      <c r="Q79" s="18">
        <f>IF(VLOOKUP($E79,$D$5:$AI$471,3,)=0,0,(VLOOKUP($E79,$D$5:$AI$471,14,)/VLOOKUP($E79,$D$5:$AI$471,3,))*$F79)</f>
        <v>0</v>
      </c>
      <c r="R79" s="18">
        <f>IF(VLOOKUP($E79,$D$5:$AI$471,3,)=0,0,(VLOOKUP($E79,$D$5:$AI$471,15,)/VLOOKUP($E79,$D$5:$AI$471,3,))*$F79)</f>
        <v>0</v>
      </c>
      <c r="S79" s="18">
        <f>IF(VLOOKUP($E79,$D$5:$AI$471,3,)=0,0,(VLOOKUP($E79,$D$5:$AI$471,16,)/VLOOKUP($E79,$D$5:$AI$471,3,))*$F79)</f>
        <v>0</v>
      </c>
      <c r="T79" s="18">
        <f>IF(VLOOKUP($E79,$D$5:$AI$471,3,)=0,0,(VLOOKUP($E79,$D$5:$AI$471,17,)/VLOOKUP($E79,$D$5:$AI$471,3,))*$F79)</f>
        <v>0</v>
      </c>
      <c r="U79" s="18">
        <f>IF(VLOOKUP($E79,$D$5:$AI$471,3,)=0,0,(VLOOKUP($E79,$D$5:$AI$471,18,)/VLOOKUP($E79,$D$5:$AI$471,3,))*$F79)</f>
        <v>0</v>
      </c>
      <c r="V79" s="18">
        <f>IF(VLOOKUP($E79,$D$5:$AI$471,3,)=0,0,(VLOOKUP($E79,$D$5:$AI$471,19,)/VLOOKUP($E79,$D$5:$AI$471,3,))*$F79)</f>
        <v>0</v>
      </c>
      <c r="W79" s="18">
        <f>IF(VLOOKUP($E79,$D$5:$AI$471,3,)=0,0,(VLOOKUP($E79,$D$5:$AI$471,20,)/VLOOKUP($E79,$D$5:$AI$471,3,))*$F79)</f>
        <v>0</v>
      </c>
      <c r="X79" s="18">
        <f>IF(VLOOKUP($E79,$D$5:$AI$471,3,)=0,0,(VLOOKUP($E79,$D$5:$AI$471,21,)/VLOOKUP($E79,$D$5:$AI$471,3,))*$F79)</f>
        <v>0</v>
      </c>
      <c r="Y79" s="18">
        <f>IF(VLOOKUP($E79,$D$5:$AI$471,3,)=0,0,(VLOOKUP($E79,$D$5:$AI$471,22,)/VLOOKUP($E79,$D$5:$AI$471,3,))*$F79)</f>
        <v>0</v>
      </c>
      <c r="Z79" s="18">
        <f>IF(VLOOKUP($E79,$D$5:$AI$471,3,)=0,0,(VLOOKUP($E79,$D$5:$AI$471,23,)/VLOOKUP($E79,$D$5:$AI$471,3,))*$F79)</f>
        <v>0</v>
      </c>
      <c r="AA79" s="18">
        <f>IF(VLOOKUP($E79,$D$5:$AI$471,3,)=0,0,(VLOOKUP($E79,$D$5:$AI$471,24,)/VLOOKUP($E79,$D$5:$AI$471,3,))*$F79)</f>
        <v>0</v>
      </c>
      <c r="AB79" s="18">
        <f>IF(VLOOKUP($E79,$D$5:$AI$471,3,)=0,0,(VLOOKUP($E79,$D$5:$AI$471,25,)/VLOOKUP($E79,$D$5:$AI$471,3,))*$F79)</f>
        <v>0</v>
      </c>
      <c r="AC79" s="18">
        <f>IF(VLOOKUP($E79,$D$5:$AI$471,3,)=0,0,(VLOOKUP($E79,$D$5:$AI$471,26,)/VLOOKUP($E79,$D$5:$AI$471,3,))*$F79)</f>
        <v>0</v>
      </c>
      <c r="AD79" s="18">
        <f>IF(VLOOKUP($E79,$D$5:$AI$471,3,)=0,0,(VLOOKUP($E79,$D$5:$AI$471,27,)/VLOOKUP($E79,$D$5:$AI$471,3,))*$F79)</f>
        <v>0</v>
      </c>
      <c r="AE79" s="18">
        <f>IF(VLOOKUP($E79,$D$5:$AI$471,3,)=0,0,(VLOOKUP($E79,$D$5:$AI$471,28,)/VLOOKUP($E79,$D$5:$AI$471,3,))*$F79)</f>
        <v>0</v>
      </c>
      <c r="AF79" s="18">
        <f>IF(VLOOKUP($E79,$D$5:$AI$471,3,)=0,0,(VLOOKUP($E79,$D$5:$AI$471,29,)/VLOOKUP($E79,$D$5:$AI$471,3,))*$F79)</f>
        <v>0</v>
      </c>
      <c r="AG79" s="18">
        <f>IF(VLOOKUP($E79,$D$5:$AI$471,3,)=0,0,(VLOOKUP($E79,$D$5:$AI$471,30,)/VLOOKUP($E79,$D$5:$AI$471,3,))*$F79)</f>
        <v>0</v>
      </c>
      <c r="AH79" s="20">
        <f t="shared" si="12"/>
        <v>84905603.641176924</v>
      </c>
      <c r="AI79" s="15" t="str">
        <f t="shared" si="13"/>
        <v>ok</v>
      </c>
    </row>
    <row r="80" spans="1:35" x14ac:dyDescent="0.3">
      <c r="A80" s="21" t="s">
        <v>537</v>
      </c>
      <c r="C80" s="2" t="s">
        <v>336</v>
      </c>
      <c r="D80" s="2" t="s">
        <v>580</v>
      </c>
      <c r="E80" s="2" t="s">
        <v>539</v>
      </c>
      <c r="F80" s="18">
        <f>VLOOKUP(C80,'Functional Assignment'!$C$1:$AU$563,8,)</f>
        <v>289780957.19425559</v>
      </c>
      <c r="G80" s="18">
        <f>IF(VLOOKUP($E80,$D$5:$AI$471,3,)=0,0,(VLOOKUP($E80,$D$5:$AI$471,4,)/VLOOKUP($E80,$D$5:$AI$471,3,))*$F80)</f>
        <v>219189311.96853885</v>
      </c>
      <c r="H80" s="18">
        <f>IF(VLOOKUP($E80,$D$5:$AI$471,3,)=0,0,(VLOOKUP($E80,$D$5:$AI$471,5,)/VLOOKUP($E80,$D$5:$AI$471,3,))*$F80)</f>
        <v>22020308.952949822</v>
      </c>
      <c r="I80" s="18">
        <f>IF(VLOOKUP($E80,$D$5:$AI$471,3,)=0,0,(VLOOKUP($E80,$D$5:$AI$471,6,)/VLOOKUP($E80,$D$5:$AI$471,3,))*$F80)</f>
        <v>9047231.2476659119</v>
      </c>
      <c r="J80" s="18">
        <f>IF(VLOOKUP($E80,$D$5:$AI$471,3,)=0,0,(VLOOKUP($E80,$D$5:$AI$471,7,)/VLOOKUP($E80,$D$5:$AI$471,3,))*$F80)</f>
        <v>13398222.846093006</v>
      </c>
      <c r="K80" s="18">
        <f>IF(VLOOKUP($E80,$D$5:$AI$471,3,)=0,0,(VLOOKUP($E80,$D$5:$AI$471,8,)/VLOOKUP($E80,$D$5:$AI$471,3,))*$F80)</f>
        <v>19612903.633154456</v>
      </c>
      <c r="L80" s="18">
        <f>IF(VLOOKUP($E80,$D$5:$AI$471,3,)=0,0,(VLOOKUP($E80,$D$5:$AI$471,9,)/VLOOKUP($E80,$D$5:$AI$471,3,))*$F80)</f>
        <v>6512978.5458535561</v>
      </c>
      <c r="M80" s="18">
        <f>IF(VLOOKUP($E80,$D$5:$AI$471,3,)=0,0,(VLOOKUP($E80,$D$5:$AI$471,10,)/VLOOKUP($E80,$D$5:$AI$471,3,))*$F80)</f>
        <v>0</v>
      </c>
      <c r="N80" s="18">
        <f>IF(VLOOKUP($E80,$D$5:$AI$471,3,)=0,0,(VLOOKUP($E80,$D$5:$AI$471,11,)/VLOOKUP($E80,$D$5:$AI$471,3,))*$F80)</f>
        <v>0</v>
      </c>
      <c r="O80" s="18">
        <f>IF(VLOOKUP($E80,$D$5:$AI$471,3,)=0,0,(VLOOKUP($E80,$D$5:$AI$471,12,)/VLOOKUP($E80,$D$5:$AI$471,3,))*$F80)</f>
        <v>0</v>
      </c>
      <c r="P80" s="18">
        <f>IF(VLOOKUP($E80,$D$5:$AI$471,3,)=0,0,(VLOOKUP($E80,$D$5:$AI$471,13,)/VLOOKUP($E80,$D$5:$AI$471,3,))*$F80)</f>
        <v>0</v>
      </c>
      <c r="Q80" s="18">
        <f>IF(VLOOKUP($E80,$D$5:$AI$471,3,)=0,0,(VLOOKUP($E80,$D$5:$AI$471,14,)/VLOOKUP($E80,$D$5:$AI$471,3,))*$F80)</f>
        <v>0</v>
      </c>
      <c r="R80" s="18">
        <f>IF(VLOOKUP($E80,$D$5:$AI$471,3,)=0,0,(VLOOKUP($E80,$D$5:$AI$471,15,)/VLOOKUP($E80,$D$5:$AI$471,3,))*$F80)</f>
        <v>0</v>
      </c>
      <c r="S80" s="18">
        <f>IF(VLOOKUP($E80,$D$5:$AI$471,3,)=0,0,(VLOOKUP($E80,$D$5:$AI$471,16,)/VLOOKUP($E80,$D$5:$AI$471,3,))*$F80)</f>
        <v>0</v>
      </c>
      <c r="T80" s="18">
        <f>IF(VLOOKUP($E80,$D$5:$AI$471,3,)=0,0,(VLOOKUP($E80,$D$5:$AI$471,17,)/VLOOKUP($E80,$D$5:$AI$471,3,))*$F80)</f>
        <v>0</v>
      </c>
      <c r="U80" s="18">
        <f>IF(VLOOKUP($E80,$D$5:$AI$471,3,)=0,0,(VLOOKUP($E80,$D$5:$AI$471,18,)/VLOOKUP($E80,$D$5:$AI$471,3,))*$F80)</f>
        <v>0</v>
      </c>
      <c r="V80" s="18">
        <f>IF(VLOOKUP($E80,$D$5:$AI$471,3,)=0,0,(VLOOKUP($E80,$D$5:$AI$471,19,)/VLOOKUP($E80,$D$5:$AI$471,3,))*$F80)</f>
        <v>0</v>
      </c>
      <c r="W80" s="18">
        <f>IF(VLOOKUP($E80,$D$5:$AI$471,3,)=0,0,(VLOOKUP($E80,$D$5:$AI$471,20,)/VLOOKUP($E80,$D$5:$AI$471,3,))*$F80)</f>
        <v>0</v>
      </c>
      <c r="X80" s="18">
        <f>IF(VLOOKUP($E80,$D$5:$AI$471,3,)=0,0,(VLOOKUP($E80,$D$5:$AI$471,21,)/VLOOKUP($E80,$D$5:$AI$471,3,))*$F80)</f>
        <v>0</v>
      </c>
      <c r="Y80" s="18">
        <f>IF(VLOOKUP($E80,$D$5:$AI$471,3,)=0,0,(VLOOKUP($E80,$D$5:$AI$471,22,)/VLOOKUP($E80,$D$5:$AI$471,3,))*$F80)</f>
        <v>0</v>
      </c>
      <c r="Z80" s="18">
        <f>IF(VLOOKUP($E80,$D$5:$AI$471,3,)=0,0,(VLOOKUP($E80,$D$5:$AI$471,23,)/VLOOKUP($E80,$D$5:$AI$471,3,))*$F80)</f>
        <v>0</v>
      </c>
      <c r="AA80" s="18">
        <f>IF(VLOOKUP($E80,$D$5:$AI$471,3,)=0,0,(VLOOKUP($E80,$D$5:$AI$471,24,)/VLOOKUP($E80,$D$5:$AI$471,3,))*$F80)</f>
        <v>0</v>
      </c>
      <c r="AB80" s="18">
        <f>IF(VLOOKUP($E80,$D$5:$AI$471,3,)=0,0,(VLOOKUP($E80,$D$5:$AI$471,25,)/VLOOKUP($E80,$D$5:$AI$471,3,))*$F80)</f>
        <v>0</v>
      </c>
      <c r="AC80" s="18">
        <f>IF(VLOOKUP($E80,$D$5:$AI$471,3,)=0,0,(VLOOKUP($E80,$D$5:$AI$471,26,)/VLOOKUP($E80,$D$5:$AI$471,3,))*$F80)</f>
        <v>0</v>
      </c>
      <c r="AD80" s="18">
        <f>IF(VLOOKUP($E80,$D$5:$AI$471,3,)=0,0,(VLOOKUP($E80,$D$5:$AI$471,27,)/VLOOKUP($E80,$D$5:$AI$471,3,))*$F80)</f>
        <v>0</v>
      </c>
      <c r="AE80" s="18">
        <f>IF(VLOOKUP($E80,$D$5:$AI$471,3,)=0,0,(VLOOKUP($E80,$D$5:$AI$471,28,)/VLOOKUP($E80,$D$5:$AI$471,3,))*$F80)</f>
        <v>0</v>
      </c>
      <c r="AF80" s="18">
        <f>IF(VLOOKUP($E80,$D$5:$AI$471,3,)=0,0,(VLOOKUP($E80,$D$5:$AI$471,29,)/VLOOKUP($E80,$D$5:$AI$471,3,))*$F80)</f>
        <v>0</v>
      </c>
      <c r="AG80" s="18">
        <f>IF(VLOOKUP($E80,$D$5:$AI$471,3,)=0,0,(VLOOKUP($E80,$D$5:$AI$471,30,)/VLOOKUP($E80,$D$5:$AI$471,3,))*$F80)</f>
        <v>0</v>
      </c>
      <c r="AH80" s="20">
        <f t="shared" si="12"/>
        <v>289780957.19425559</v>
      </c>
      <c r="AI80" s="15" t="str">
        <f t="shared" si="13"/>
        <v>ok</v>
      </c>
    </row>
    <row r="81" spans="1:35" x14ac:dyDescent="0.3">
      <c r="A81" s="21" t="s">
        <v>540</v>
      </c>
      <c r="C81" s="2" t="s">
        <v>336</v>
      </c>
      <c r="D81" s="2" t="s">
        <v>581</v>
      </c>
      <c r="E81" s="2" t="s">
        <v>542</v>
      </c>
      <c r="F81" s="18">
        <f>VLOOKUP(C81,'Functional Assignment'!$C$1:$AU$563,9,)</f>
        <v>312164434.28502363</v>
      </c>
      <c r="G81" s="18">
        <f>IF(VLOOKUP($E81,$D$5:$AI$471,3,)=0,0,(VLOOKUP($E81,$D$5:$AI$471,4,)/VLOOKUP($E81,$D$5:$AI$471,3,))*$F81)</f>
        <v>208515519.4445684</v>
      </c>
      <c r="H81" s="18">
        <f>IF(VLOOKUP($E81,$D$5:$AI$471,3,)=0,0,(VLOOKUP($E81,$D$5:$AI$471,5,)/VLOOKUP($E81,$D$5:$AI$471,3,))*$F81)</f>
        <v>27321805.238450665</v>
      </c>
      <c r="I81" s="18">
        <f>IF(VLOOKUP($E81,$D$5:$AI$471,3,)=0,0,(VLOOKUP($E81,$D$5:$AI$471,6,)/VLOOKUP($E81,$D$5:$AI$471,3,))*$F81)</f>
        <v>11006251.868939536</v>
      </c>
      <c r="J81" s="18">
        <f>IF(VLOOKUP($E81,$D$5:$AI$471,3,)=0,0,(VLOOKUP($E81,$D$5:$AI$471,7,)/VLOOKUP($E81,$D$5:$AI$471,3,))*$F81)</f>
        <v>16367135.562535897</v>
      </c>
      <c r="K81" s="18">
        <f>IF(VLOOKUP($E81,$D$5:$AI$471,3,)=0,0,(VLOOKUP($E81,$D$5:$AI$471,8,)/VLOOKUP($E81,$D$5:$AI$471,3,))*$F81)</f>
        <v>44429407.976993673</v>
      </c>
      <c r="L81" s="18">
        <f>IF(VLOOKUP($E81,$D$5:$AI$471,3,)=0,0,(VLOOKUP($E81,$D$5:$AI$471,9,)/VLOOKUP($E81,$D$5:$AI$471,3,))*$F81)</f>
        <v>4524314.1935354434</v>
      </c>
      <c r="M81" s="18">
        <f>IF(VLOOKUP($E81,$D$5:$AI$471,3,)=0,0,(VLOOKUP($E81,$D$5:$AI$471,10,)/VLOOKUP($E81,$D$5:$AI$471,3,))*$F81)</f>
        <v>0</v>
      </c>
      <c r="N81" s="18">
        <f>IF(VLOOKUP($E81,$D$5:$AI$471,3,)=0,0,(VLOOKUP($E81,$D$5:$AI$471,11,)/VLOOKUP($E81,$D$5:$AI$471,3,))*$F81)</f>
        <v>0</v>
      </c>
      <c r="O81" s="18">
        <f>IF(VLOOKUP($E81,$D$5:$AI$471,3,)=0,0,(VLOOKUP($E81,$D$5:$AI$471,12,)/VLOOKUP($E81,$D$5:$AI$471,3,))*$F81)</f>
        <v>0</v>
      </c>
      <c r="P81" s="18">
        <f>IF(VLOOKUP($E81,$D$5:$AI$471,3,)=0,0,(VLOOKUP($E81,$D$5:$AI$471,13,)/VLOOKUP($E81,$D$5:$AI$471,3,))*$F81)</f>
        <v>0</v>
      </c>
      <c r="Q81" s="18">
        <f>IF(VLOOKUP($E81,$D$5:$AI$471,3,)=0,0,(VLOOKUP($E81,$D$5:$AI$471,14,)/VLOOKUP($E81,$D$5:$AI$471,3,))*$F81)</f>
        <v>0</v>
      </c>
      <c r="R81" s="18">
        <f>IF(VLOOKUP($E81,$D$5:$AI$471,3,)=0,0,(VLOOKUP($E81,$D$5:$AI$471,15,)/VLOOKUP($E81,$D$5:$AI$471,3,))*$F81)</f>
        <v>0</v>
      </c>
      <c r="S81" s="18">
        <f>IF(VLOOKUP($E81,$D$5:$AI$471,3,)=0,0,(VLOOKUP($E81,$D$5:$AI$471,16,)/VLOOKUP($E81,$D$5:$AI$471,3,))*$F81)</f>
        <v>0</v>
      </c>
      <c r="T81" s="18">
        <f>IF(VLOOKUP($E81,$D$5:$AI$471,3,)=0,0,(VLOOKUP($E81,$D$5:$AI$471,17,)/VLOOKUP($E81,$D$5:$AI$471,3,))*$F81)</f>
        <v>0</v>
      </c>
      <c r="U81" s="18">
        <f>IF(VLOOKUP($E81,$D$5:$AI$471,3,)=0,0,(VLOOKUP($E81,$D$5:$AI$471,18,)/VLOOKUP($E81,$D$5:$AI$471,3,))*$F81)</f>
        <v>0</v>
      </c>
      <c r="V81" s="18">
        <f>IF(VLOOKUP($E81,$D$5:$AI$471,3,)=0,0,(VLOOKUP($E81,$D$5:$AI$471,19,)/VLOOKUP($E81,$D$5:$AI$471,3,))*$F81)</f>
        <v>0</v>
      </c>
      <c r="W81" s="18">
        <f>IF(VLOOKUP($E81,$D$5:$AI$471,3,)=0,0,(VLOOKUP($E81,$D$5:$AI$471,20,)/VLOOKUP($E81,$D$5:$AI$471,3,))*$F81)</f>
        <v>0</v>
      </c>
      <c r="X81" s="18">
        <f>IF(VLOOKUP($E81,$D$5:$AI$471,3,)=0,0,(VLOOKUP($E81,$D$5:$AI$471,21,)/VLOOKUP($E81,$D$5:$AI$471,3,))*$F81)</f>
        <v>0</v>
      </c>
      <c r="Y81" s="18">
        <f>IF(VLOOKUP($E81,$D$5:$AI$471,3,)=0,0,(VLOOKUP($E81,$D$5:$AI$471,22,)/VLOOKUP($E81,$D$5:$AI$471,3,))*$F81)</f>
        <v>0</v>
      </c>
      <c r="Z81" s="18">
        <f>IF(VLOOKUP($E81,$D$5:$AI$471,3,)=0,0,(VLOOKUP($E81,$D$5:$AI$471,23,)/VLOOKUP($E81,$D$5:$AI$471,3,))*$F81)</f>
        <v>0</v>
      </c>
      <c r="AA81" s="18">
        <f>IF(VLOOKUP($E81,$D$5:$AI$471,3,)=0,0,(VLOOKUP($E81,$D$5:$AI$471,24,)/VLOOKUP($E81,$D$5:$AI$471,3,))*$F81)</f>
        <v>0</v>
      </c>
      <c r="AB81" s="18">
        <f>IF(VLOOKUP($E81,$D$5:$AI$471,3,)=0,0,(VLOOKUP($E81,$D$5:$AI$471,25,)/VLOOKUP($E81,$D$5:$AI$471,3,))*$F81)</f>
        <v>0</v>
      </c>
      <c r="AC81" s="18">
        <f>IF(VLOOKUP($E81,$D$5:$AI$471,3,)=0,0,(VLOOKUP($E81,$D$5:$AI$471,26,)/VLOOKUP($E81,$D$5:$AI$471,3,))*$F81)</f>
        <v>0</v>
      </c>
      <c r="AD81" s="18">
        <f>IF(VLOOKUP($E81,$D$5:$AI$471,3,)=0,0,(VLOOKUP($E81,$D$5:$AI$471,27,)/VLOOKUP($E81,$D$5:$AI$471,3,))*$F81)</f>
        <v>0</v>
      </c>
      <c r="AE81" s="18">
        <f>IF(VLOOKUP($E81,$D$5:$AI$471,3,)=0,0,(VLOOKUP($E81,$D$5:$AI$471,28,)/VLOOKUP($E81,$D$5:$AI$471,3,))*$F81)</f>
        <v>0</v>
      </c>
      <c r="AF81" s="18">
        <f>IF(VLOOKUP($E81,$D$5:$AI$471,3,)=0,0,(VLOOKUP($E81,$D$5:$AI$471,29,)/VLOOKUP($E81,$D$5:$AI$471,3,))*$F81)</f>
        <v>0</v>
      </c>
      <c r="AG81" s="18">
        <f>IF(VLOOKUP($E81,$D$5:$AI$471,3,)=0,0,(VLOOKUP($E81,$D$5:$AI$471,30,)/VLOOKUP($E81,$D$5:$AI$471,3,))*$F81)</f>
        <v>0</v>
      </c>
      <c r="AH81" s="20">
        <f t="shared" si="12"/>
        <v>312164434.28502363</v>
      </c>
      <c r="AI81" s="15" t="str">
        <f t="shared" si="13"/>
        <v>ok</v>
      </c>
    </row>
    <row r="82" spans="1:35" x14ac:dyDescent="0.3">
      <c r="A82" s="21" t="s">
        <v>543</v>
      </c>
      <c r="C82" s="2" t="s">
        <v>336</v>
      </c>
      <c r="D82" s="2" t="s">
        <v>582</v>
      </c>
      <c r="E82" s="2" t="s">
        <v>545</v>
      </c>
      <c r="F82" s="18">
        <f>VLOOKUP(C82,'Functional Assignment'!$C$1:$AU$563,10,)</f>
        <v>7383292.5668313876</v>
      </c>
      <c r="G82" s="18">
        <f>IF(VLOOKUP($E82,$D$5:$AI$471,3,)=0,0,(VLOOKUP($E82,$D$5:$AI$471,4,)/VLOOKUP($E82,$D$5:$AI$471,3,))*$F82)</f>
        <v>0</v>
      </c>
      <c r="H82" s="18">
        <f>IF(VLOOKUP($E82,$D$5:$AI$471,3,)=0,0,(VLOOKUP($E82,$D$5:$AI$471,5,)/VLOOKUP($E82,$D$5:$AI$471,3,))*$F82)</f>
        <v>0</v>
      </c>
      <c r="I82" s="18">
        <f>IF(VLOOKUP($E82,$D$5:$AI$471,3,)=0,0,(VLOOKUP($E82,$D$5:$AI$471,6,)/VLOOKUP($E82,$D$5:$AI$471,3,))*$F82)</f>
        <v>0</v>
      </c>
      <c r="J82" s="18">
        <f>IF(VLOOKUP($E82,$D$5:$AI$471,3,)=0,0,(VLOOKUP($E82,$D$5:$AI$471,7,)/VLOOKUP($E82,$D$5:$AI$471,3,))*$F82)</f>
        <v>0</v>
      </c>
      <c r="K82" s="18">
        <f>IF(VLOOKUP($E82,$D$5:$AI$471,3,)=0,0,(VLOOKUP($E82,$D$5:$AI$471,8,)/VLOOKUP($E82,$D$5:$AI$471,3,))*$F82)</f>
        <v>0</v>
      </c>
      <c r="L82" s="18">
        <f>IF(VLOOKUP($E82,$D$5:$AI$471,3,)=0,0,(VLOOKUP($E82,$D$5:$AI$471,9,)/VLOOKUP($E82,$D$5:$AI$471,3,))*$F82)</f>
        <v>0</v>
      </c>
      <c r="M82" s="18">
        <f>IF(VLOOKUP($E82,$D$5:$AI$471,3,)=0,0,(VLOOKUP($E82,$D$5:$AI$471,10,)/VLOOKUP($E82,$D$5:$AI$471,3,))*$F82)</f>
        <v>7383292.5668313876</v>
      </c>
      <c r="N82" s="18">
        <f>IF(VLOOKUP($E82,$D$5:$AI$471,3,)=0,0,(VLOOKUP($E82,$D$5:$AI$471,11,)/VLOOKUP($E82,$D$5:$AI$471,3,))*$F82)</f>
        <v>0</v>
      </c>
      <c r="O82" s="18">
        <f>IF(VLOOKUP($E82,$D$5:$AI$471,3,)=0,0,(VLOOKUP($E82,$D$5:$AI$471,12,)/VLOOKUP($E82,$D$5:$AI$471,3,))*$F82)</f>
        <v>0</v>
      </c>
      <c r="P82" s="18">
        <f>IF(VLOOKUP($E82,$D$5:$AI$471,3,)=0,0,(VLOOKUP($E82,$D$5:$AI$471,13,)/VLOOKUP($E82,$D$5:$AI$471,3,))*$F82)</f>
        <v>0</v>
      </c>
      <c r="Q82" s="18">
        <f>IF(VLOOKUP($E82,$D$5:$AI$471,3,)=0,0,(VLOOKUP($E82,$D$5:$AI$471,14,)/VLOOKUP($E82,$D$5:$AI$471,3,))*$F82)</f>
        <v>0</v>
      </c>
      <c r="R82" s="18">
        <f>IF(VLOOKUP($E82,$D$5:$AI$471,3,)=0,0,(VLOOKUP($E82,$D$5:$AI$471,15,)/VLOOKUP($E82,$D$5:$AI$471,3,))*$F82)</f>
        <v>0</v>
      </c>
      <c r="S82" s="18">
        <f>IF(VLOOKUP($E82,$D$5:$AI$471,3,)=0,0,(VLOOKUP($E82,$D$5:$AI$471,16,)/VLOOKUP($E82,$D$5:$AI$471,3,))*$F82)</f>
        <v>0</v>
      </c>
      <c r="T82" s="18">
        <f>IF(VLOOKUP($E82,$D$5:$AI$471,3,)=0,0,(VLOOKUP($E82,$D$5:$AI$471,17,)/VLOOKUP($E82,$D$5:$AI$471,3,))*$F82)</f>
        <v>0</v>
      </c>
      <c r="U82" s="18">
        <f>IF(VLOOKUP($E82,$D$5:$AI$471,3,)=0,0,(VLOOKUP($E82,$D$5:$AI$471,18,)/VLOOKUP($E82,$D$5:$AI$471,3,))*$F82)</f>
        <v>0</v>
      </c>
      <c r="V82" s="18">
        <f>IF(VLOOKUP($E82,$D$5:$AI$471,3,)=0,0,(VLOOKUP($E82,$D$5:$AI$471,19,)/VLOOKUP($E82,$D$5:$AI$471,3,))*$F82)</f>
        <v>0</v>
      </c>
      <c r="W82" s="18">
        <f>IF(VLOOKUP($E82,$D$5:$AI$471,3,)=0,0,(VLOOKUP($E82,$D$5:$AI$471,20,)/VLOOKUP($E82,$D$5:$AI$471,3,))*$F82)</f>
        <v>0</v>
      </c>
      <c r="X82" s="18">
        <f>IF(VLOOKUP($E82,$D$5:$AI$471,3,)=0,0,(VLOOKUP($E82,$D$5:$AI$471,21,)/VLOOKUP($E82,$D$5:$AI$471,3,))*$F82)</f>
        <v>0</v>
      </c>
      <c r="Y82" s="18">
        <f>IF(VLOOKUP($E82,$D$5:$AI$471,3,)=0,0,(VLOOKUP($E82,$D$5:$AI$471,22,)/VLOOKUP($E82,$D$5:$AI$471,3,))*$F82)</f>
        <v>0</v>
      </c>
      <c r="Z82" s="18">
        <f>IF(VLOOKUP($E82,$D$5:$AI$471,3,)=0,0,(VLOOKUP($E82,$D$5:$AI$471,23,)/VLOOKUP($E82,$D$5:$AI$471,3,))*$F82)</f>
        <v>0</v>
      </c>
      <c r="AA82" s="18">
        <f>IF(VLOOKUP($E82,$D$5:$AI$471,3,)=0,0,(VLOOKUP($E82,$D$5:$AI$471,24,)/VLOOKUP($E82,$D$5:$AI$471,3,))*$F82)</f>
        <v>0</v>
      </c>
      <c r="AB82" s="18">
        <f>IF(VLOOKUP($E82,$D$5:$AI$471,3,)=0,0,(VLOOKUP($E82,$D$5:$AI$471,25,)/VLOOKUP($E82,$D$5:$AI$471,3,))*$F82)</f>
        <v>0</v>
      </c>
      <c r="AC82" s="18">
        <f>IF(VLOOKUP($E82,$D$5:$AI$471,3,)=0,0,(VLOOKUP($E82,$D$5:$AI$471,26,)/VLOOKUP($E82,$D$5:$AI$471,3,))*$F82)</f>
        <v>0</v>
      </c>
      <c r="AD82" s="18">
        <f>IF(VLOOKUP($E82,$D$5:$AI$471,3,)=0,0,(VLOOKUP($E82,$D$5:$AI$471,27,)/VLOOKUP($E82,$D$5:$AI$471,3,))*$F82)</f>
        <v>0</v>
      </c>
      <c r="AE82" s="18">
        <f>IF(VLOOKUP($E82,$D$5:$AI$471,3,)=0,0,(VLOOKUP($E82,$D$5:$AI$471,28,)/VLOOKUP($E82,$D$5:$AI$471,3,))*$F82)</f>
        <v>0</v>
      </c>
      <c r="AF82" s="18">
        <f>IF(VLOOKUP($E82,$D$5:$AI$471,3,)=0,0,(VLOOKUP($E82,$D$5:$AI$471,29,)/VLOOKUP($E82,$D$5:$AI$471,3,))*$F82)</f>
        <v>0</v>
      </c>
      <c r="AG82" s="18">
        <f>IF(VLOOKUP($E82,$D$5:$AI$471,3,)=0,0,(VLOOKUP($E82,$D$5:$AI$471,30,)/VLOOKUP($E82,$D$5:$AI$471,3,))*$F82)</f>
        <v>0</v>
      </c>
      <c r="AH82" s="20">
        <f t="shared" si="12"/>
        <v>7383292.5668313876</v>
      </c>
      <c r="AI82" s="15" t="str">
        <f t="shared" si="13"/>
        <v>ok</v>
      </c>
    </row>
    <row r="83" spans="1:35" x14ac:dyDescent="0.3">
      <c r="A83" s="2" t="s">
        <v>546</v>
      </c>
      <c r="D83" s="2" t="s">
        <v>583</v>
      </c>
      <c r="F83" s="18">
        <f>SUM(F78:F82)</f>
        <v>763054345.5590713</v>
      </c>
      <c r="G83" s="18">
        <f t="shared" ref="G83:AG83" si="14">SUM(G78:G82)</f>
        <v>545874068.6817894</v>
      </c>
      <c r="H83" s="18">
        <f t="shared" si="14"/>
        <v>59260340.035010353</v>
      </c>
      <c r="I83" s="18">
        <f t="shared" si="14"/>
        <v>23626495.432993241</v>
      </c>
      <c r="J83" s="18">
        <f t="shared" si="14"/>
        <v>35537225.649300501</v>
      </c>
      <c r="K83" s="18">
        <f t="shared" si="14"/>
        <v>80335630.453757346</v>
      </c>
      <c r="L83" s="18">
        <f t="shared" si="14"/>
        <v>11037292.739388999</v>
      </c>
      <c r="M83" s="18">
        <f t="shared" si="14"/>
        <v>7383292.5668313876</v>
      </c>
      <c r="N83" s="18">
        <f t="shared" si="14"/>
        <v>0</v>
      </c>
      <c r="O83" s="18">
        <f t="shared" si="14"/>
        <v>0</v>
      </c>
      <c r="P83" s="18">
        <f t="shared" si="14"/>
        <v>0</v>
      </c>
      <c r="Q83" s="18">
        <f t="shared" si="14"/>
        <v>0</v>
      </c>
      <c r="R83" s="18">
        <f t="shared" si="14"/>
        <v>0</v>
      </c>
      <c r="S83" s="18">
        <f t="shared" si="14"/>
        <v>0</v>
      </c>
      <c r="T83" s="18">
        <f t="shared" si="14"/>
        <v>0</v>
      </c>
      <c r="U83" s="18">
        <f t="shared" si="14"/>
        <v>0</v>
      </c>
      <c r="V83" s="18">
        <f t="shared" si="14"/>
        <v>0</v>
      </c>
      <c r="W83" s="18">
        <f t="shared" si="14"/>
        <v>0</v>
      </c>
      <c r="X83" s="18">
        <f t="shared" si="14"/>
        <v>0</v>
      </c>
      <c r="Y83" s="18">
        <f t="shared" si="14"/>
        <v>0</v>
      </c>
      <c r="Z83" s="18">
        <f t="shared" si="14"/>
        <v>0</v>
      </c>
      <c r="AA83" s="18">
        <f t="shared" si="14"/>
        <v>0</v>
      </c>
      <c r="AB83" s="18">
        <f t="shared" si="14"/>
        <v>0</v>
      </c>
      <c r="AC83" s="18">
        <f t="shared" si="14"/>
        <v>0</v>
      </c>
      <c r="AD83" s="18">
        <f t="shared" si="14"/>
        <v>0</v>
      </c>
      <c r="AE83" s="18">
        <f t="shared" si="14"/>
        <v>0</v>
      </c>
      <c r="AF83" s="18">
        <f t="shared" si="14"/>
        <v>0</v>
      </c>
      <c r="AG83" s="18">
        <f t="shared" si="14"/>
        <v>0</v>
      </c>
      <c r="AH83" s="20">
        <f t="shared" si="12"/>
        <v>763054345.55907106</v>
      </c>
      <c r="AI83" s="15" t="str">
        <f t="shared" si="13"/>
        <v>ok</v>
      </c>
    </row>
    <row r="84" spans="1:35" x14ac:dyDescent="0.3">
      <c r="F84" s="19"/>
      <c r="G84" s="19"/>
    </row>
    <row r="85" spans="1:35" x14ac:dyDescent="0.3">
      <c r="F85" s="19"/>
      <c r="G85" s="19"/>
    </row>
    <row r="86" spans="1:35" x14ac:dyDescent="0.3">
      <c r="A86" s="3" t="s">
        <v>29</v>
      </c>
      <c r="C86" s="2" t="s">
        <v>336</v>
      </c>
      <c r="D86" s="2" t="s">
        <v>584</v>
      </c>
      <c r="E86" s="2" t="s">
        <v>549</v>
      </c>
      <c r="F86" s="18">
        <f>VLOOKUP(C86,'Functional Assignment'!$C$1:$AU$563,11,)</f>
        <v>86419698.412807196</v>
      </c>
      <c r="G86" s="18">
        <f>IF(VLOOKUP($E86,$D$5:$AI$471,3,)=0,0,(VLOOKUP($E86,$D$5:$AI$471,4,)/VLOOKUP($E86,$D$5:$AI$471,3,))*$F86)</f>
        <v>68199161.416147053</v>
      </c>
      <c r="H86" s="18">
        <f>IF(VLOOKUP($E86,$D$5:$AI$471,3,)=0,0,(VLOOKUP($E86,$D$5:$AI$471,5,)/VLOOKUP($E86,$D$5:$AI$471,3,))*$F86)</f>
        <v>5105080.3856045334</v>
      </c>
      <c r="I86" s="18">
        <f>IF(VLOOKUP($E86,$D$5:$AI$471,3,)=0,0,(VLOOKUP($E86,$D$5:$AI$471,6,)/VLOOKUP($E86,$D$5:$AI$471,3,))*$F86)</f>
        <v>1730957.7844190828</v>
      </c>
      <c r="J86" s="18">
        <f>IF(VLOOKUP($E86,$D$5:$AI$471,3,)=0,0,(VLOOKUP($E86,$D$5:$AI$471,7,)/VLOOKUP($E86,$D$5:$AI$471,3,))*$F86)</f>
        <v>2788331.2269303566</v>
      </c>
      <c r="K86" s="18">
        <f>IF(VLOOKUP($E86,$D$5:$AI$471,3,)=0,0,(VLOOKUP($E86,$D$5:$AI$471,8,)/VLOOKUP($E86,$D$5:$AI$471,3,))*$F86)</f>
        <v>7494668.5153008131</v>
      </c>
      <c r="L86" s="18">
        <f>IF(VLOOKUP($E86,$D$5:$AI$471,3,)=0,0,(VLOOKUP($E86,$D$5:$AI$471,9,)/VLOOKUP($E86,$D$5:$AI$471,3,))*$F86)</f>
        <v>1101499.0844053656</v>
      </c>
      <c r="M86" s="18">
        <f>IF(VLOOKUP($E86,$D$5:$AI$471,3,)=0,0,(VLOOKUP($E86,$D$5:$AI$471,10,)/VLOOKUP($E86,$D$5:$AI$471,3,))*$F86)</f>
        <v>0</v>
      </c>
      <c r="N86" s="18">
        <f>IF(VLOOKUP($E86,$D$5:$AI$471,3,)=0,0,(VLOOKUP($E86,$D$5:$AI$471,11,)/VLOOKUP($E86,$D$5:$AI$471,3,))*$F86)</f>
        <v>0</v>
      </c>
      <c r="O86" s="18">
        <f>IF(VLOOKUP($E86,$D$5:$AI$471,3,)=0,0,(VLOOKUP($E86,$D$5:$AI$471,12,)/VLOOKUP($E86,$D$5:$AI$471,3,))*$F86)</f>
        <v>0</v>
      </c>
      <c r="P86" s="18">
        <f>IF(VLOOKUP($E86,$D$5:$AI$471,3,)=0,0,(VLOOKUP($E86,$D$5:$AI$471,13,)/VLOOKUP($E86,$D$5:$AI$471,3,))*$F86)</f>
        <v>0</v>
      </c>
      <c r="Q86" s="18">
        <f>IF(VLOOKUP($E86,$D$5:$AI$471,3,)=0,0,(VLOOKUP($E86,$D$5:$AI$471,14,)/VLOOKUP($E86,$D$5:$AI$471,3,))*$F86)</f>
        <v>0</v>
      </c>
      <c r="R86" s="18">
        <f>IF(VLOOKUP($E86,$D$5:$AI$471,3,)=0,0,(VLOOKUP($E86,$D$5:$AI$471,15,)/VLOOKUP($E86,$D$5:$AI$471,3,))*$F86)</f>
        <v>0</v>
      </c>
      <c r="S86" s="18">
        <f>IF(VLOOKUP($E86,$D$5:$AI$471,3,)=0,0,(VLOOKUP($E86,$D$5:$AI$471,16,)/VLOOKUP($E86,$D$5:$AI$471,3,))*$F86)</f>
        <v>0</v>
      </c>
      <c r="T86" s="18">
        <f>IF(VLOOKUP($E86,$D$5:$AI$471,3,)=0,0,(VLOOKUP($E86,$D$5:$AI$471,17,)/VLOOKUP($E86,$D$5:$AI$471,3,))*$F86)</f>
        <v>0</v>
      </c>
      <c r="U86" s="18">
        <f>IF(VLOOKUP($E86,$D$5:$AI$471,3,)=0,0,(VLOOKUP($E86,$D$5:$AI$471,18,)/VLOOKUP($E86,$D$5:$AI$471,3,))*$F86)</f>
        <v>0</v>
      </c>
      <c r="V86" s="18">
        <f>IF(VLOOKUP($E86,$D$5:$AI$471,3,)=0,0,(VLOOKUP($E86,$D$5:$AI$471,19,)/VLOOKUP($E86,$D$5:$AI$471,3,))*$F86)</f>
        <v>0</v>
      </c>
      <c r="W86" s="18">
        <f>IF(VLOOKUP($E86,$D$5:$AI$471,3,)=0,0,(VLOOKUP($E86,$D$5:$AI$471,20,)/VLOOKUP($E86,$D$5:$AI$471,3,))*$F86)</f>
        <v>0</v>
      </c>
      <c r="X86" s="18">
        <f>IF(VLOOKUP($E86,$D$5:$AI$471,3,)=0,0,(VLOOKUP($E86,$D$5:$AI$471,21,)/VLOOKUP($E86,$D$5:$AI$471,3,))*$F86)</f>
        <v>0</v>
      </c>
      <c r="Y86" s="18">
        <f>IF(VLOOKUP($E86,$D$5:$AI$471,3,)=0,0,(VLOOKUP($E86,$D$5:$AI$471,22,)/VLOOKUP($E86,$D$5:$AI$471,3,))*$F86)</f>
        <v>0</v>
      </c>
      <c r="Z86" s="18">
        <f>IF(VLOOKUP($E86,$D$5:$AI$471,3,)=0,0,(VLOOKUP($E86,$D$5:$AI$471,23,)/VLOOKUP($E86,$D$5:$AI$471,3,))*$F86)</f>
        <v>0</v>
      </c>
      <c r="AA86" s="18">
        <f>IF(VLOOKUP($E86,$D$5:$AI$471,3,)=0,0,(VLOOKUP($E86,$D$5:$AI$471,24,)/VLOOKUP($E86,$D$5:$AI$471,3,))*$F86)</f>
        <v>0</v>
      </c>
      <c r="AB86" s="18">
        <f>IF(VLOOKUP($E86,$D$5:$AI$471,3,)=0,0,(VLOOKUP($E86,$D$5:$AI$471,25,)/VLOOKUP($E86,$D$5:$AI$471,3,))*$F86)</f>
        <v>0</v>
      </c>
      <c r="AC86" s="18">
        <f>IF(VLOOKUP($E86,$D$5:$AI$471,3,)=0,0,(VLOOKUP($E86,$D$5:$AI$471,26,)/VLOOKUP($E86,$D$5:$AI$471,3,))*$F86)</f>
        <v>0</v>
      </c>
      <c r="AD86" s="18">
        <f>IF(VLOOKUP($E86,$D$5:$AI$471,3,)=0,0,(VLOOKUP($E86,$D$5:$AI$471,27,)/VLOOKUP($E86,$D$5:$AI$471,3,))*$F86)</f>
        <v>0</v>
      </c>
      <c r="AE86" s="18">
        <f>IF(VLOOKUP($E86,$D$5:$AI$471,3,)=0,0,(VLOOKUP($E86,$D$5:$AI$471,28,)/VLOOKUP($E86,$D$5:$AI$471,3,))*$F86)</f>
        <v>0</v>
      </c>
      <c r="AF86" s="18">
        <f>IF(VLOOKUP($E86,$D$5:$AI$471,3,)=0,0,(VLOOKUP($E86,$D$5:$AI$471,29,)/VLOOKUP($E86,$D$5:$AI$471,3,))*$F86)</f>
        <v>0</v>
      </c>
      <c r="AG86" s="18">
        <f>IF(VLOOKUP($E86,$D$5:$AI$471,3,)=0,0,(VLOOKUP($E86,$D$5:$AI$471,30,)/VLOOKUP($E86,$D$5:$AI$471,3,))*$F86)</f>
        <v>0</v>
      </c>
      <c r="AH86" s="20">
        <f>SUM(G86:AG86)</f>
        <v>86419698.412807196</v>
      </c>
      <c r="AI86" s="15" t="str">
        <f>IF(ABS(F86-AH86)&lt;0.01,"ok","err")</f>
        <v>ok</v>
      </c>
    </row>
    <row r="87" spans="1:35" x14ac:dyDescent="0.3">
      <c r="F87" s="19"/>
      <c r="G87" s="19"/>
    </row>
    <row r="88" spans="1:35" x14ac:dyDescent="0.3">
      <c r="A88" s="3"/>
      <c r="F88" s="19"/>
      <c r="G88" s="19"/>
    </row>
    <row r="89" spans="1:35" x14ac:dyDescent="0.3">
      <c r="A89" s="3" t="s">
        <v>550</v>
      </c>
      <c r="C89" s="2" t="s">
        <v>336</v>
      </c>
      <c r="D89" s="2" t="s">
        <v>585</v>
      </c>
      <c r="E89" s="2" t="s">
        <v>552</v>
      </c>
      <c r="F89" s="18">
        <f>VLOOKUP(C89,'Functional Assignment'!$C$1:$AU$563,13,)</f>
        <v>6548459.0377499638</v>
      </c>
      <c r="G89" s="18">
        <f>IF(VLOOKUP($E89,$D$5:$AI$471,3,)=0,0,(VLOOKUP($E89,$D$5:$AI$471,4,)/VLOOKUP($E89,$D$5:$AI$471,3,))*$F89)</f>
        <v>6521492.4536262359</v>
      </c>
      <c r="H89" s="18">
        <f>IF(VLOOKUP($E89,$D$5:$AI$471,3,)=0,0,(VLOOKUP($E89,$D$5:$AI$471,5,)/VLOOKUP($E89,$D$5:$AI$471,3,))*$F89)</f>
        <v>0</v>
      </c>
      <c r="I89" s="18">
        <f>IF(VLOOKUP($E89,$D$5:$AI$471,3,)=0,0,(VLOOKUP($E89,$D$5:$AI$471,6,)/VLOOKUP($E89,$D$5:$AI$471,3,))*$F89)</f>
        <v>0</v>
      </c>
      <c r="J89" s="18">
        <f>IF(VLOOKUP($E89,$D$5:$AI$471,3,)=0,0,(VLOOKUP($E89,$D$5:$AI$471,7,)/VLOOKUP($E89,$D$5:$AI$471,3,))*$F89)</f>
        <v>26966.584123727378</v>
      </c>
      <c r="K89" s="18">
        <f>IF(VLOOKUP($E89,$D$5:$AI$471,3,)=0,0,(VLOOKUP($E89,$D$5:$AI$471,8,)/VLOOKUP($E89,$D$5:$AI$471,3,))*$F89)</f>
        <v>0</v>
      </c>
      <c r="L89" s="18">
        <f>IF(VLOOKUP($E89,$D$5:$AI$471,3,)=0,0,(VLOOKUP($E89,$D$5:$AI$471,9,)/VLOOKUP($E89,$D$5:$AI$471,3,))*$F89)</f>
        <v>0</v>
      </c>
      <c r="M89" s="18">
        <f>IF(VLOOKUP($E89,$D$5:$AI$471,3,)=0,0,(VLOOKUP($E89,$D$5:$AI$471,10,)/VLOOKUP($E89,$D$5:$AI$471,3,))*$F89)</f>
        <v>0</v>
      </c>
      <c r="N89" s="18">
        <f>IF(VLOOKUP($E89,$D$5:$AI$471,3,)=0,0,(VLOOKUP($E89,$D$5:$AI$471,11,)/VLOOKUP($E89,$D$5:$AI$471,3,))*$F89)</f>
        <v>0</v>
      </c>
      <c r="O89" s="18">
        <f>IF(VLOOKUP($E89,$D$5:$AI$471,3,)=0,0,(VLOOKUP($E89,$D$5:$AI$471,12,)/VLOOKUP($E89,$D$5:$AI$471,3,))*$F89)</f>
        <v>0</v>
      </c>
      <c r="P89" s="18">
        <f>IF(VLOOKUP($E89,$D$5:$AI$471,3,)=0,0,(VLOOKUP($E89,$D$5:$AI$471,13,)/VLOOKUP($E89,$D$5:$AI$471,3,))*$F89)</f>
        <v>0</v>
      </c>
      <c r="Q89" s="18">
        <f>IF(VLOOKUP($E89,$D$5:$AI$471,3,)=0,0,(VLOOKUP($E89,$D$5:$AI$471,14,)/VLOOKUP($E89,$D$5:$AI$471,3,))*$F89)</f>
        <v>0</v>
      </c>
      <c r="R89" s="18">
        <f>IF(VLOOKUP($E89,$D$5:$AI$471,3,)=0,0,(VLOOKUP($E89,$D$5:$AI$471,15,)/VLOOKUP($E89,$D$5:$AI$471,3,))*$F89)</f>
        <v>0</v>
      </c>
      <c r="S89" s="18">
        <f>IF(VLOOKUP($E89,$D$5:$AI$471,3,)=0,0,(VLOOKUP($E89,$D$5:$AI$471,16,)/VLOOKUP($E89,$D$5:$AI$471,3,))*$F89)</f>
        <v>0</v>
      </c>
      <c r="T89" s="18">
        <f>IF(VLOOKUP($E89,$D$5:$AI$471,3,)=0,0,(VLOOKUP($E89,$D$5:$AI$471,17,)/VLOOKUP($E89,$D$5:$AI$471,3,))*$F89)</f>
        <v>0</v>
      </c>
      <c r="U89" s="18">
        <f>IF(VLOOKUP($E89,$D$5:$AI$471,3,)=0,0,(VLOOKUP($E89,$D$5:$AI$471,18,)/VLOOKUP($E89,$D$5:$AI$471,3,))*$F89)</f>
        <v>0</v>
      </c>
      <c r="V89" s="18">
        <f>IF(VLOOKUP($E89,$D$5:$AI$471,3,)=0,0,(VLOOKUP($E89,$D$5:$AI$471,19,)/VLOOKUP($E89,$D$5:$AI$471,3,))*$F89)</f>
        <v>0</v>
      </c>
      <c r="W89" s="18">
        <f>IF(VLOOKUP($E89,$D$5:$AI$471,3,)=0,0,(VLOOKUP($E89,$D$5:$AI$471,20,)/VLOOKUP($E89,$D$5:$AI$471,3,))*$F89)</f>
        <v>0</v>
      </c>
      <c r="X89" s="18">
        <f>IF(VLOOKUP($E89,$D$5:$AI$471,3,)=0,0,(VLOOKUP($E89,$D$5:$AI$471,21,)/VLOOKUP($E89,$D$5:$AI$471,3,))*$F89)</f>
        <v>0</v>
      </c>
      <c r="Y89" s="18">
        <f>IF(VLOOKUP($E89,$D$5:$AI$471,3,)=0,0,(VLOOKUP($E89,$D$5:$AI$471,22,)/VLOOKUP($E89,$D$5:$AI$471,3,))*$F89)</f>
        <v>0</v>
      </c>
      <c r="Z89" s="18">
        <f>IF(VLOOKUP($E89,$D$5:$AI$471,3,)=0,0,(VLOOKUP($E89,$D$5:$AI$471,23,)/VLOOKUP($E89,$D$5:$AI$471,3,))*$F89)</f>
        <v>0</v>
      </c>
      <c r="AA89" s="18">
        <f>IF(VLOOKUP($E89,$D$5:$AI$471,3,)=0,0,(VLOOKUP($E89,$D$5:$AI$471,24,)/VLOOKUP($E89,$D$5:$AI$471,3,))*$F89)</f>
        <v>0</v>
      </c>
      <c r="AB89" s="18">
        <f>IF(VLOOKUP($E89,$D$5:$AI$471,3,)=0,0,(VLOOKUP($E89,$D$5:$AI$471,25,)/VLOOKUP($E89,$D$5:$AI$471,3,))*$F89)</f>
        <v>0</v>
      </c>
      <c r="AC89" s="18">
        <f>IF(VLOOKUP($E89,$D$5:$AI$471,3,)=0,0,(VLOOKUP($E89,$D$5:$AI$471,26,)/VLOOKUP($E89,$D$5:$AI$471,3,))*$F89)</f>
        <v>0</v>
      </c>
      <c r="AD89" s="18">
        <f>IF(VLOOKUP($E89,$D$5:$AI$471,3,)=0,0,(VLOOKUP($E89,$D$5:$AI$471,27,)/VLOOKUP($E89,$D$5:$AI$471,3,))*$F89)</f>
        <v>0</v>
      </c>
      <c r="AE89" s="18">
        <f>IF(VLOOKUP($E89,$D$5:$AI$471,3,)=0,0,(VLOOKUP($E89,$D$5:$AI$471,28,)/VLOOKUP($E89,$D$5:$AI$471,3,))*$F89)</f>
        <v>0</v>
      </c>
      <c r="AF89" s="18">
        <f>IF(VLOOKUP($E89,$D$5:$AI$471,3,)=0,0,(VLOOKUP($E89,$D$5:$AI$471,29,)/VLOOKUP($E89,$D$5:$AI$471,3,))*$F89)</f>
        <v>0</v>
      </c>
      <c r="AG89" s="18">
        <f>IF(VLOOKUP($E89,$D$5:$AI$471,3,)=0,0,(VLOOKUP($E89,$D$5:$AI$471,30,)/VLOOKUP($E89,$D$5:$AI$471,3,))*$F89)</f>
        <v>0</v>
      </c>
      <c r="AH89" s="20">
        <f>SUM(G89:AG89)</f>
        <v>6548459.0377499629</v>
      </c>
      <c r="AI89" s="15" t="str">
        <f>IF(ABS(F89-AH89)&lt;0.01,"ok","err")</f>
        <v>ok</v>
      </c>
    </row>
    <row r="90" spans="1:35" x14ac:dyDescent="0.3">
      <c r="A90" s="3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0"/>
      <c r="AI90" s="15"/>
    </row>
    <row r="91" spans="1:35" x14ac:dyDescent="0.3">
      <c r="F91" s="19"/>
    </row>
    <row r="92" spans="1:35" x14ac:dyDescent="0.3">
      <c r="A92" s="3" t="s">
        <v>553</v>
      </c>
      <c r="C92" s="2" t="s">
        <v>336</v>
      </c>
      <c r="D92" s="2" t="s">
        <v>586</v>
      </c>
      <c r="E92" s="2" t="s">
        <v>555</v>
      </c>
      <c r="F92" s="18">
        <f>VLOOKUP(C92,'Functional Assignment'!$C$1:$AU$563,14,)</f>
        <v>223399.49337161644</v>
      </c>
      <c r="G92" s="18">
        <f>IF(VLOOKUP($E92,$D$5:$AI$471,3,)=0,0,(VLOOKUP($E92,$D$5:$AI$471,4,)/VLOOKUP($E92,$D$5:$AI$471,3,))*$F92)</f>
        <v>222787.7193140036</v>
      </c>
      <c r="H92" s="18">
        <f>IF(VLOOKUP($E92,$D$5:$AI$471,3,)=0,0,(VLOOKUP($E92,$D$5:$AI$471,5,)/VLOOKUP($E92,$D$5:$AI$471,3,))*$F92)</f>
        <v>0</v>
      </c>
      <c r="I92" s="18">
        <f>IF(VLOOKUP($E92,$D$5:$AI$471,3,)=0,0,(VLOOKUP($E92,$D$5:$AI$471,6,)/VLOOKUP($E92,$D$5:$AI$471,3,))*$F92)</f>
        <v>0</v>
      </c>
      <c r="J92" s="18">
        <f>IF(VLOOKUP($E92,$D$5:$AI$471,3,)=0,0,(VLOOKUP($E92,$D$5:$AI$471,7,)/VLOOKUP($E92,$D$5:$AI$471,3,))*$F92)</f>
        <v>611.77405761282466</v>
      </c>
      <c r="K92" s="18">
        <f>IF(VLOOKUP($E92,$D$5:$AI$471,3,)=0,0,(VLOOKUP($E92,$D$5:$AI$471,8,)/VLOOKUP($E92,$D$5:$AI$471,3,))*$F92)</f>
        <v>0</v>
      </c>
      <c r="L92" s="18">
        <f>IF(VLOOKUP($E92,$D$5:$AI$471,3,)=0,0,(VLOOKUP($E92,$D$5:$AI$471,9,)/VLOOKUP($E92,$D$5:$AI$471,3,))*$F92)</f>
        <v>0</v>
      </c>
      <c r="M92" s="18">
        <f>IF(VLOOKUP($E92,$D$5:$AI$471,3,)=0,0,(VLOOKUP($E92,$D$5:$AI$471,10,)/VLOOKUP($E92,$D$5:$AI$471,3,))*$F92)</f>
        <v>0</v>
      </c>
      <c r="N92" s="18">
        <f>IF(VLOOKUP($E92,$D$5:$AI$471,3,)=0,0,(VLOOKUP($E92,$D$5:$AI$471,11,)/VLOOKUP($E92,$D$5:$AI$471,3,))*$F92)</f>
        <v>0</v>
      </c>
      <c r="O92" s="18">
        <f>IF(VLOOKUP($E92,$D$5:$AI$471,3,)=0,0,(VLOOKUP($E92,$D$5:$AI$471,12,)/VLOOKUP($E92,$D$5:$AI$471,3,))*$F92)</f>
        <v>0</v>
      </c>
      <c r="P92" s="18">
        <f>IF(VLOOKUP($E92,$D$5:$AI$471,3,)=0,0,(VLOOKUP($E92,$D$5:$AI$471,13,)/VLOOKUP($E92,$D$5:$AI$471,3,))*$F92)</f>
        <v>0</v>
      </c>
      <c r="Q92" s="18">
        <f>IF(VLOOKUP($E92,$D$5:$AI$471,3,)=0,0,(VLOOKUP($E92,$D$5:$AI$471,14,)/VLOOKUP($E92,$D$5:$AI$471,3,))*$F92)</f>
        <v>0</v>
      </c>
      <c r="R92" s="18">
        <f>IF(VLOOKUP($E92,$D$5:$AI$471,3,)=0,0,(VLOOKUP($E92,$D$5:$AI$471,15,)/VLOOKUP($E92,$D$5:$AI$471,3,))*$F92)</f>
        <v>0</v>
      </c>
      <c r="S92" s="18">
        <f>IF(VLOOKUP($E92,$D$5:$AI$471,3,)=0,0,(VLOOKUP($E92,$D$5:$AI$471,16,)/VLOOKUP($E92,$D$5:$AI$471,3,))*$F92)</f>
        <v>0</v>
      </c>
      <c r="T92" s="18">
        <f>IF(VLOOKUP($E92,$D$5:$AI$471,3,)=0,0,(VLOOKUP($E92,$D$5:$AI$471,17,)/VLOOKUP($E92,$D$5:$AI$471,3,))*$F92)</f>
        <v>0</v>
      </c>
      <c r="U92" s="18">
        <f>IF(VLOOKUP($E92,$D$5:$AI$471,3,)=0,0,(VLOOKUP($E92,$D$5:$AI$471,18,)/VLOOKUP($E92,$D$5:$AI$471,3,))*$F92)</f>
        <v>0</v>
      </c>
      <c r="V92" s="18">
        <f>IF(VLOOKUP($E92,$D$5:$AI$471,3,)=0,0,(VLOOKUP($E92,$D$5:$AI$471,19,)/VLOOKUP($E92,$D$5:$AI$471,3,))*$F92)</f>
        <v>0</v>
      </c>
      <c r="W92" s="18">
        <f>IF(VLOOKUP($E92,$D$5:$AI$471,3,)=0,0,(VLOOKUP($E92,$D$5:$AI$471,20,)/VLOOKUP($E92,$D$5:$AI$471,3,))*$F92)</f>
        <v>0</v>
      </c>
      <c r="X92" s="18">
        <f>IF(VLOOKUP($E92,$D$5:$AI$471,3,)=0,0,(VLOOKUP($E92,$D$5:$AI$471,21,)/VLOOKUP($E92,$D$5:$AI$471,3,))*$F92)</f>
        <v>0</v>
      </c>
      <c r="Y92" s="18">
        <f>IF(VLOOKUP($E92,$D$5:$AI$471,3,)=0,0,(VLOOKUP($E92,$D$5:$AI$471,22,)/VLOOKUP($E92,$D$5:$AI$471,3,))*$F92)</f>
        <v>0</v>
      </c>
      <c r="Z92" s="18">
        <f>IF(VLOOKUP($E92,$D$5:$AI$471,3,)=0,0,(VLOOKUP($E92,$D$5:$AI$471,23,)/VLOOKUP($E92,$D$5:$AI$471,3,))*$F92)</f>
        <v>0</v>
      </c>
      <c r="AA92" s="18">
        <f>IF(VLOOKUP($E92,$D$5:$AI$471,3,)=0,0,(VLOOKUP($E92,$D$5:$AI$471,24,)/VLOOKUP($E92,$D$5:$AI$471,3,))*$F92)</f>
        <v>0</v>
      </c>
      <c r="AB92" s="18">
        <f>IF(VLOOKUP($E92,$D$5:$AI$471,3,)=0,0,(VLOOKUP($E92,$D$5:$AI$471,25,)/VLOOKUP($E92,$D$5:$AI$471,3,))*$F92)</f>
        <v>0</v>
      </c>
      <c r="AC92" s="18">
        <f>IF(VLOOKUP($E92,$D$5:$AI$471,3,)=0,0,(VLOOKUP($E92,$D$5:$AI$471,26,)/VLOOKUP($E92,$D$5:$AI$471,3,))*$F92)</f>
        <v>0</v>
      </c>
      <c r="AD92" s="18">
        <f>IF(VLOOKUP($E92,$D$5:$AI$471,3,)=0,0,(VLOOKUP($E92,$D$5:$AI$471,27,)/VLOOKUP($E92,$D$5:$AI$471,3,))*$F92)</f>
        <v>0</v>
      </c>
      <c r="AE92" s="18">
        <f>IF(VLOOKUP($E92,$D$5:$AI$471,3,)=0,0,(VLOOKUP($E92,$D$5:$AI$471,28,)/VLOOKUP($E92,$D$5:$AI$471,3,))*$F92)</f>
        <v>0</v>
      </c>
      <c r="AF92" s="18">
        <f>IF(VLOOKUP($E92,$D$5:$AI$471,3,)=0,0,(VLOOKUP($E92,$D$5:$AI$471,29,)/VLOOKUP($E92,$D$5:$AI$471,3,))*$F92)</f>
        <v>0</v>
      </c>
      <c r="AG92" s="18">
        <f>IF(VLOOKUP($E92,$D$5:$AI$471,3,)=0,0,(VLOOKUP($E92,$D$5:$AI$471,30,)/VLOOKUP($E92,$D$5:$AI$471,3,))*$F92)</f>
        <v>0</v>
      </c>
      <c r="AH92" s="20">
        <f>SUM(G92:AG92)</f>
        <v>223399.49337161641</v>
      </c>
      <c r="AI92" s="15" t="str">
        <f>IF(ABS(F92-AH92)&lt;0.01,"ok","err")</f>
        <v>ok</v>
      </c>
    </row>
    <row r="93" spans="1:35" x14ac:dyDescent="0.3">
      <c r="F93" s="19"/>
    </row>
    <row r="94" spans="1:35" x14ac:dyDescent="0.3">
      <c r="F94" s="19"/>
    </row>
    <row r="95" spans="1:35" x14ac:dyDescent="0.3">
      <c r="A95" s="2" t="s">
        <v>1</v>
      </c>
      <c r="D95" s="2" t="s">
        <v>587</v>
      </c>
      <c r="F95" s="18">
        <f>F83+F86+F89+F92</f>
        <v>856245902.50300014</v>
      </c>
      <c r="G95" s="18">
        <f t="shared" ref="G95:AG95" si="15">G83+G86+G89+G92</f>
        <v>620817510.27087665</v>
      </c>
      <c r="H95" s="18">
        <f t="shared" si="15"/>
        <v>64365420.420614883</v>
      </c>
      <c r="I95" s="18">
        <f t="shared" si="15"/>
        <v>25357453.217412323</v>
      </c>
      <c r="J95" s="18">
        <f t="shared" si="15"/>
        <v>38353135.234412201</v>
      </c>
      <c r="K95" s="18">
        <f t="shared" si="15"/>
        <v>87830298.969058156</v>
      </c>
      <c r="L95" s="18">
        <f t="shared" si="15"/>
        <v>12138791.823794365</v>
      </c>
      <c r="M95" s="18">
        <f t="shared" si="15"/>
        <v>7383292.5668313876</v>
      </c>
      <c r="N95" s="18">
        <f t="shared" si="15"/>
        <v>0</v>
      </c>
      <c r="O95" s="18">
        <f t="shared" si="15"/>
        <v>0</v>
      </c>
      <c r="P95" s="18">
        <f t="shared" si="15"/>
        <v>0</v>
      </c>
      <c r="Q95" s="18">
        <f t="shared" si="15"/>
        <v>0</v>
      </c>
      <c r="R95" s="18">
        <f t="shared" si="15"/>
        <v>0</v>
      </c>
      <c r="S95" s="18">
        <f t="shared" si="15"/>
        <v>0</v>
      </c>
      <c r="T95" s="18">
        <f t="shared" si="15"/>
        <v>0</v>
      </c>
      <c r="U95" s="18">
        <f t="shared" si="15"/>
        <v>0</v>
      </c>
      <c r="V95" s="18">
        <f t="shared" si="15"/>
        <v>0</v>
      </c>
      <c r="W95" s="18">
        <f t="shared" si="15"/>
        <v>0</v>
      </c>
      <c r="X95" s="18">
        <f t="shared" si="15"/>
        <v>0</v>
      </c>
      <c r="Y95" s="18">
        <f t="shared" si="15"/>
        <v>0</v>
      </c>
      <c r="Z95" s="18">
        <f t="shared" si="15"/>
        <v>0</v>
      </c>
      <c r="AA95" s="18">
        <f t="shared" si="15"/>
        <v>0</v>
      </c>
      <c r="AB95" s="18">
        <f t="shared" si="15"/>
        <v>0</v>
      </c>
      <c r="AC95" s="18">
        <f t="shared" si="15"/>
        <v>0</v>
      </c>
      <c r="AD95" s="18">
        <f t="shared" si="15"/>
        <v>0</v>
      </c>
      <c r="AE95" s="18">
        <f t="shared" si="15"/>
        <v>0</v>
      </c>
      <c r="AF95" s="18">
        <f t="shared" si="15"/>
        <v>0</v>
      </c>
      <c r="AG95" s="18">
        <f t="shared" si="15"/>
        <v>0</v>
      </c>
      <c r="AH95" s="20">
        <f>SUM(G95:AG95)</f>
        <v>856245902.5029999</v>
      </c>
      <c r="AI95" s="15" t="str">
        <f>IF(ABS(F95-AH95)&lt;0.01,"ok","err")</f>
        <v>ok</v>
      </c>
    </row>
    <row r="98" spans="1:35" x14ac:dyDescent="0.3">
      <c r="A98" s="16" t="s">
        <v>338</v>
      </c>
    </row>
    <row r="100" spans="1:35" x14ac:dyDescent="0.3">
      <c r="A100" s="3" t="s">
        <v>530</v>
      </c>
    </row>
    <row r="101" spans="1:35" x14ac:dyDescent="0.3">
      <c r="A101" s="21" t="s">
        <v>531</v>
      </c>
      <c r="C101" s="2" t="s">
        <v>95</v>
      </c>
      <c r="D101" s="2" t="s">
        <v>588</v>
      </c>
      <c r="E101" s="2" t="s">
        <v>533</v>
      </c>
      <c r="F101" s="18">
        <f>VLOOKUP(C101,'Functional Assignment'!$C$1:$AU$563,6,)</f>
        <v>18824545.134976674</v>
      </c>
      <c r="G101" s="18">
        <f>IF(VLOOKUP($E101,$D$5:$AI$471,3,)=0,0,(VLOOKUP($E101,$D$5:$AI$471,4,)/VLOOKUP($E101,$D$5:$AI$471,3,))*$F101)</f>
        <v>15514749.582809092</v>
      </c>
      <c r="H101" s="18">
        <f>IF(VLOOKUP($E101,$D$5:$AI$471,3,)=0,0,(VLOOKUP($E101,$D$5:$AI$471,5,)/VLOOKUP($E101,$D$5:$AI$471,3,))*$F101)</f>
        <v>773473.48342539114</v>
      </c>
      <c r="I101" s="18">
        <f>IF(VLOOKUP($E101,$D$5:$AI$471,3,)=0,0,(VLOOKUP($E101,$D$5:$AI$471,6,)/VLOOKUP($E101,$D$5:$AI$471,3,))*$F101)</f>
        <v>189106.92502403673</v>
      </c>
      <c r="J101" s="18">
        <f>IF(VLOOKUP($E101,$D$5:$AI$471,3,)=0,0,(VLOOKUP($E101,$D$5:$AI$471,7,)/VLOOKUP($E101,$D$5:$AI$471,3,))*$F101)</f>
        <v>408823.94288642099</v>
      </c>
      <c r="K101" s="18">
        <f>IF(VLOOKUP($E101,$D$5:$AI$471,3,)=0,0,(VLOOKUP($E101,$D$5:$AI$471,8,)/VLOOKUP($E101,$D$5:$AI$471,3,))*$F101)</f>
        <v>1938391.2008317241</v>
      </c>
      <c r="L101" s="18">
        <f>IF(VLOOKUP($E101,$D$5:$AI$471,3,)=0,0,(VLOOKUP($E101,$D$5:$AI$471,9,)/VLOOKUP($E101,$D$5:$AI$471,3,))*$F101)</f>
        <v>0</v>
      </c>
      <c r="M101" s="18">
        <f>IF(VLOOKUP($E101,$D$5:$AI$471,3,)=0,0,(VLOOKUP($E101,$D$5:$AI$471,10,)/VLOOKUP($E101,$D$5:$AI$471,3,))*$F101)</f>
        <v>0</v>
      </c>
      <c r="N101" s="18">
        <f>IF(VLOOKUP($E101,$D$5:$AI$471,3,)=0,0,(VLOOKUP($E101,$D$5:$AI$471,11,)/VLOOKUP($E101,$D$5:$AI$471,3,))*$F101)</f>
        <v>0</v>
      </c>
      <c r="O101" s="18">
        <f>IF(VLOOKUP($E101,$D$5:$AI$471,3,)=0,0,(VLOOKUP($E101,$D$5:$AI$471,12,)/VLOOKUP($E101,$D$5:$AI$471,3,))*$F101)</f>
        <v>0</v>
      </c>
      <c r="P101" s="18">
        <f>IF(VLOOKUP($E101,$D$5:$AI$471,3,)=0,0,(VLOOKUP($E101,$D$5:$AI$471,13,)/VLOOKUP($E101,$D$5:$AI$471,3,))*$F101)</f>
        <v>0</v>
      </c>
      <c r="Q101" s="18">
        <f>IF(VLOOKUP($E101,$D$5:$AI$471,3,)=0,0,(VLOOKUP($E101,$D$5:$AI$471,14,)/VLOOKUP($E101,$D$5:$AI$471,3,))*$F101)</f>
        <v>0</v>
      </c>
      <c r="R101" s="18">
        <f>IF(VLOOKUP($E101,$D$5:$AI$471,3,)=0,0,(VLOOKUP($E101,$D$5:$AI$471,15,)/VLOOKUP($E101,$D$5:$AI$471,3,))*$F101)</f>
        <v>0</v>
      </c>
      <c r="S101" s="18">
        <f>IF(VLOOKUP($E101,$D$5:$AI$471,3,)=0,0,(VLOOKUP($E101,$D$5:$AI$471,16,)/VLOOKUP($E101,$D$5:$AI$471,3,))*$F101)</f>
        <v>0</v>
      </c>
      <c r="T101" s="18">
        <f>IF(VLOOKUP($E101,$D$5:$AI$471,3,)=0,0,(VLOOKUP($E101,$D$5:$AI$471,17,)/VLOOKUP($E101,$D$5:$AI$471,3,))*$F101)</f>
        <v>0</v>
      </c>
      <c r="U101" s="18">
        <f>IF(VLOOKUP($E101,$D$5:$AI$471,3,)=0,0,(VLOOKUP($E101,$D$5:$AI$471,18,)/VLOOKUP($E101,$D$5:$AI$471,3,))*$F101)</f>
        <v>0</v>
      </c>
      <c r="V101" s="18">
        <f>IF(VLOOKUP($E101,$D$5:$AI$471,3,)=0,0,(VLOOKUP($E101,$D$5:$AI$471,19,)/VLOOKUP($E101,$D$5:$AI$471,3,))*$F101)</f>
        <v>0</v>
      </c>
      <c r="W101" s="18">
        <f>IF(VLOOKUP($E101,$D$5:$AI$471,3,)=0,0,(VLOOKUP($E101,$D$5:$AI$471,20,)/VLOOKUP($E101,$D$5:$AI$471,3,))*$F101)</f>
        <v>0</v>
      </c>
      <c r="X101" s="18">
        <f>IF(VLOOKUP($E101,$D$5:$AI$471,3,)=0,0,(VLOOKUP($E101,$D$5:$AI$471,21,)/VLOOKUP($E101,$D$5:$AI$471,3,))*$F101)</f>
        <v>0</v>
      </c>
      <c r="Y101" s="18">
        <f>IF(VLOOKUP($E101,$D$5:$AI$471,3,)=0,0,(VLOOKUP($E101,$D$5:$AI$471,22,)/VLOOKUP($E101,$D$5:$AI$471,3,))*$F101)</f>
        <v>0</v>
      </c>
      <c r="Z101" s="18">
        <f>IF(VLOOKUP($E101,$D$5:$AI$471,3,)=0,0,(VLOOKUP($E101,$D$5:$AI$471,23,)/VLOOKUP($E101,$D$5:$AI$471,3,))*$F101)</f>
        <v>0</v>
      </c>
      <c r="AA101" s="18">
        <f>IF(VLOOKUP($E101,$D$5:$AI$471,3,)=0,0,(VLOOKUP($E101,$D$5:$AI$471,24,)/VLOOKUP($E101,$D$5:$AI$471,3,))*$F101)</f>
        <v>0</v>
      </c>
      <c r="AB101" s="18">
        <f>IF(VLOOKUP($E101,$D$5:$AI$471,3,)=0,0,(VLOOKUP($E101,$D$5:$AI$471,25,)/VLOOKUP($E101,$D$5:$AI$471,3,))*$F101)</f>
        <v>0</v>
      </c>
      <c r="AC101" s="18">
        <f>IF(VLOOKUP($E101,$D$5:$AI$471,3,)=0,0,(VLOOKUP($E101,$D$5:$AI$471,26,)/VLOOKUP($E101,$D$5:$AI$471,3,))*$F101)</f>
        <v>0</v>
      </c>
      <c r="AD101" s="18">
        <f>IF(VLOOKUP($E101,$D$5:$AI$471,3,)=0,0,(VLOOKUP($E101,$D$5:$AI$471,27,)/VLOOKUP($E101,$D$5:$AI$471,3,))*$F101)</f>
        <v>0</v>
      </c>
      <c r="AE101" s="18">
        <f>IF(VLOOKUP($E101,$D$5:$AI$471,3,)=0,0,(VLOOKUP($E101,$D$5:$AI$471,28,)/VLOOKUP($E101,$D$5:$AI$471,3,))*$F101)</f>
        <v>0</v>
      </c>
      <c r="AF101" s="18">
        <f>IF(VLOOKUP($E101,$D$5:$AI$471,3,)=0,0,(VLOOKUP($E101,$D$5:$AI$471,29,)/VLOOKUP($E101,$D$5:$AI$471,3,))*$F101)</f>
        <v>0</v>
      </c>
      <c r="AG101" s="18">
        <f>IF(VLOOKUP($E101,$D$5:$AI$471,3,)=0,0,(VLOOKUP($E101,$D$5:$AI$471,30,)/VLOOKUP($E101,$D$5:$AI$471,3,))*$F101)</f>
        <v>0</v>
      </c>
      <c r="AH101" s="20">
        <f t="shared" ref="AH101:AH106" si="16">SUM(G101:AG101)</f>
        <v>18824545.134976663</v>
      </c>
      <c r="AI101" s="15" t="str">
        <f t="shared" ref="AI101:AI106" si="17">IF(ABS(F101-AH101)&lt;0.01,"ok","err")</f>
        <v>ok</v>
      </c>
    </row>
    <row r="102" spans="1:35" x14ac:dyDescent="0.3">
      <c r="A102" s="21" t="s">
        <v>534</v>
      </c>
      <c r="C102" s="2" t="s">
        <v>95</v>
      </c>
      <c r="D102" s="2" t="s">
        <v>589</v>
      </c>
      <c r="E102" s="2" t="s">
        <v>536</v>
      </c>
      <c r="F102" s="18">
        <f>VLOOKUP(C102,'Functional Assignment'!$C$1:$AU$563,7,)</f>
        <v>23224469.978411369</v>
      </c>
      <c r="G102" s="18">
        <f>IF(VLOOKUP($E102,$D$5:$AI$471,3,)=0,0,(VLOOKUP($E102,$D$5:$AI$471,4,)/VLOOKUP($E102,$D$5:$AI$471,3,))*$F102)</f>
        <v>16808416.211012673</v>
      </c>
      <c r="H102" s="18">
        <f>IF(VLOOKUP($E102,$D$5:$AI$471,3,)=0,0,(VLOOKUP($E102,$D$5:$AI$471,5,)/VLOOKUP($E102,$D$5:$AI$471,3,))*$F102)</f>
        <v>1939486.8921641165</v>
      </c>
      <c r="I102" s="18">
        <f>IF(VLOOKUP($E102,$D$5:$AI$471,3,)=0,0,(VLOOKUP($E102,$D$5:$AI$471,6,)/VLOOKUP($E102,$D$5:$AI$471,3,))*$F102)</f>
        <v>788229.24262319051</v>
      </c>
      <c r="J102" s="18">
        <f>IF(VLOOKUP($E102,$D$5:$AI$471,3,)=0,0,(VLOOKUP($E102,$D$5:$AI$471,7,)/VLOOKUP($E102,$D$5:$AI$471,3,))*$F102)</f>
        <v>1169971.2331877262</v>
      </c>
      <c r="K102" s="18">
        <f>IF(VLOOKUP($E102,$D$5:$AI$471,3,)=0,0,(VLOOKUP($E102,$D$5:$AI$471,8,)/VLOOKUP($E102,$D$5:$AI$471,3,))*$F102)</f>
        <v>2518366.3994236602</v>
      </c>
      <c r="L102" s="18">
        <f>IF(VLOOKUP($E102,$D$5:$AI$471,3,)=0,0,(VLOOKUP($E102,$D$5:$AI$471,9,)/VLOOKUP($E102,$D$5:$AI$471,3,))*$F102)</f>
        <v>0</v>
      </c>
      <c r="M102" s="18">
        <f>IF(VLOOKUP($E102,$D$5:$AI$471,3,)=0,0,(VLOOKUP($E102,$D$5:$AI$471,10,)/VLOOKUP($E102,$D$5:$AI$471,3,))*$F102)</f>
        <v>0</v>
      </c>
      <c r="N102" s="18">
        <f>IF(VLOOKUP($E102,$D$5:$AI$471,3,)=0,0,(VLOOKUP($E102,$D$5:$AI$471,11,)/VLOOKUP($E102,$D$5:$AI$471,3,))*$F102)</f>
        <v>0</v>
      </c>
      <c r="O102" s="18">
        <f>IF(VLOOKUP($E102,$D$5:$AI$471,3,)=0,0,(VLOOKUP($E102,$D$5:$AI$471,12,)/VLOOKUP($E102,$D$5:$AI$471,3,))*$F102)</f>
        <v>0</v>
      </c>
      <c r="P102" s="18">
        <f>IF(VLOOKUP($E102,$D$5:$AI$471,3,)=0,0,(VLOOKUP($E102,$D$5:$AI$471,13,)/VLOOKUP($E102,$D$5:$AI$471,3,))*$F102)</f>
        <v>0</v>
      </c>
      <c r="Q102" s="18">
        <f>IF(VLOOKUP($E102,$D$5:$AI$471,3,)=0,0,(VLOOKUP($E102,$D$5:$AI$471,14,)/VLOOKUP($E102,$D$5:$AI$471,3,))*$F102)</f>
        <v>0</v>
      </c>
      <c r="R102" s="18">
        <f>IF(VLOOKUP($E102,$D$5:$AI$471,3,)=0,0,(VLOOKUP($E102,$D$5:$AI$471,15,)/VLOOKUP($E102,$D$5:$AI$471,3,))*$F102)</f>
        <v>0</v>
      </c>
      <c r="S102" s="18">
        <f>IF(VLOOKUP($E102,$D$5:$AI$471,3,)=0,0,(VLOOKUP($E102,$D$5:$AI$471,16,)/VLOOKUP($E102,$D$5:$AI$471,3,))*$F102)</f>
        <v>0</v>
      </c>
      <c r="T102" s="18">
        <f>IF(VLOOKUP($E102,$D$5:$AI$471,3,)=0,0,(VLOOKUP($E102,$D$5:$AI$471,17,)/VLOOKUP($E102,$D$5:$AI$471,3,))*$F102)</f>
        <v>0</v>
      </c>
      <c r="U102" s="18">
        <f>IF(VLOOKUP($E102,$D$5:$AI$471,3,)=0,0,(VLOOKUP($E102,$D$5:$AI$471,18,)/VLOOKUP($E102,$D$5:$AI$471,3,))*$F102)</f>
        <v>0</v>
      </c>
      <c r="V102" s="18">
        <f>IF(VLOOKUP($E102,$D$5:$AI$471,3,)=0,0,(VLOOKUP($E102,$D$5:$AI$471,19,)/VLOOKUP($E102,$D$5:$AI$471,3,))*$F102)</f>
        <v>0</v>
      </c>
      <c r="W102" s="18">
        <f>IF(VLOOKUP($E102,$D$5:$AI$471,3,)=0,0,(VLOOKUP($E102,$D$5:$AI$471,20,)/VLOOKUP($E102,$D$5:$AI$471,3,))*$F102)</f>
        <v>0</v>
      </c>
      <c r="X102" s="18">
        <f>IF(VLOOKUP($E102,$D$5:$AI$471,3,)=0,0,(VLOOKUP($E102,$D$5:$AI$471,21,)/VLOOKUP($E102,$D$5:$AI$471,3,))*$F102)</f>
        <v>0</v>
      </c>
      <c r="Y102" s="18">
        <f>IF(VLOOKUP($E102,$D$5:$AI$471,3,)=0,0,(VLOOKUP($E102,$D$5:$AI$471,22,)/VLOOKUP($E102,$D$5:$AI$471,3,))*$F102)</f>
        <v>0</v>
      </c>
      <c r="Z102" s="18">
        <f>IF(VLOOKUP($E102,$D$5:$AI$471,3,)=0,0,(VLOOKUP($E102,$D$5:$AI$471,23,)/VLOOKUP($E102,$D$5:$AI$471,3,))*$F102)</f>
        <v>0</v>
      </c>
      <c r="AA102" s="18">
        <f>IF(VLOOKUP($E102,$D$5:$AI$471,3,)=0,0,(VLOOKUP($E102,$D$5:$AI$471,24,)/VLOOKUP($E102,$D$5:$AI$471,3,))*$F102)</f>
        <v>0</v>
      </c>
      <c r="AB102" s="18">
        <f>IF(VLOOKUP($E102,$D$5:$AI$471,3,)=0,0,(VLOOKUP($E102,$D$5:$AI$471,25,)/VLOOKUP($E102,$D$5:$AI$471,3,))*$F102)</f>
        <v>0</v>
      </c>
      <c r="AC102" s="18">
        <f>IF(VLOOKUP($E102,$D$5:$AI$471,3,)=0,0,(VLOOKUP($E102,$D$5:$AI$471,26,)/VLOOKUP($E102,$D$5:$AI$471,3,))*$F102)</f>
        <v>0</v>
      </c>
      <c r="AD102" s="18">
        <f>IF(VLOOKUP($E102,$D$5:$AI$471,3,)=0,0,(VLOOKUP($E102,$D$5:$AI$471,27,)/VLOOKUP($E102,$D$5:$AI$471,3,))*$F102)</f>
        <v>0</v>
      </c>
      <c r="AE102" s="18">
        <f>IF(VLOOKUP($E102,$D$5:$AI$471,3,)=0,0,(VLOOKUP($E102,$D$5:$AI$471,28,)/VLOOKUP($E102,$D$5:$AI$471,3,))*$F102)</f>
        <v>0</v>
      </c>
      <c r="AF102" s="18">
        <f>IF(VLOOKUP($E102,$D$5:$AI$471,3,)=0,0,(VLOOKUP($E102,$D$5:$AI$471,29,)/VLOOKUP($E102,$D$5:$AI$471,3,))*$F102)</f>
        <v>0</v>
      </c>
      <c r="AG102" s="18">
        <f>IF(VLOOKUP($E102,$D$5:$AI$471,3,)=0,0,(VLOOKUP($E102,$D$5:$AI$471,30,)/VLOOKUP($E102,$D$5:$AI$471,3,))*$F102)</f>
        <v>0</v>
      </c>
      <c r="AH102" s="20">
        <f t="shared" si="16"/>
        <v>23224469.978411365</v>
      </c>
      <c r="AI102" s="15" t="str">
        <f t="shared" si="17"/>
        <v>ok</v>
      </c>
    </row>
    <row r="103" spans="1:35" x14ac:dyDescent="0.3">
      <c r="A103" s="21" t="s">
        <v>537</v>
      </c>
      <c r="C103" s="2" t="s">
        <v>95</v>
      </c>
      <c r="D103" s="2" t="s">
        <v>590</v>
      </c>
      <c r="E103" s="2" t="s">
        <v>539</v>
      </c>
      <c r="F103" s="18">
        <f>VLOOKUP(C103,'Functional Assignment'!$C$1:$AU$563,8,)</f>
        <v>8000153.2092659567</v>
      </c>
      <c r="G103" s="18">
        <f>IF(VLOOKUP($E103,$D$5:$AI$471,3,)=0,0,(VLOOKUP($E103,$D$5:$AI$471,4,)/VLOOKUP($E103,$D$5:$AI$471,3,))*$F103)</f>
        <v>6051288.1680020345</v>
      </c>
      <c r="H103" s="18">
        <f>IF(VLOOKUP($E103,$D$5:$AI$471,3,)=0,0,(VLOOKUP($E103,$D$5:$AI$471,5,)/VLOOKUP($E103,$D$5:$AI$471,3,))*$F103)</f>
        <v>607927.61209935567</v>
      </c>
      <c r="I103" s="18">
        <f>IF(VLOOKUP($E103,$D$5:$AI$471,3,)=0,0,(VLOOKUP($E103,$D$5:$AI$471,6,)/VLOOKUP($E103,$D$5:$AI$471,3,))*$F103)</f>
        <v>249772.23072828088</v>
      </c>
      <c r="J103" s="18">
        <f>IF(VLOOKUP($E103,$D$5:$AI$471,3,)=0,0,(VLOOKUP($E103,$D$5:$AI$471,7,)/VLOOKUP($E103,$D$5:$AI$471,3,))*$F103)</f>
        <v>369892.61316014541</v>
      </c>
      <c r="K103" s="18">
        <f>IF(VLOOKUP($E103,$D$5:$AI$471,3,)=0,0,(VLOOKUP($E103,$D$5:$AI$471,8,)/VLOOKUP($E103,$D$5:$AI$471,3,))*$F103)</f>
        <v>541464.95843970159</v>
      </c>
      <c r="L103" s="18">
        <f>IF(VLOOKUP($E103,$D$5:$AI$471,3,)=0,0,(VLOOKUP($E103,$D$5:$AI$471,9,)/VLOOKUP($E103,$D$5:$AI$471,3,))*$F103)</f>
        <v>179807.62683643843</v>
      </c>
      <c r="M103" s="18">
        <f>IF(VLOOKUP($E103,$D$5:$AI$471,3,)=0,0,(VLOOKUP($E103,$D$5:$AI$471,10,)/VLOOKUP($E103,$D$5:$AI$471,3,))*$F103)</f>
        <v>0</v>
      </c>
      <c r="N103" s="18">
        <f>IF(VLOOKUP($E103,$D$5:$AI$471,3,)=0,0,(VLOOKUP($E103,$D$5:$AI$471,11,)/VLOOKUP($E103,$D$5:$AI$471,3,))*$F103)</f>
        <v>0</v>
      </c>
      <c r="O103" s="18">
        <f>IF(VLOOKUP($E103,$D$5:$AI$471,3,)=0,0,(VLOOKUP($E103,$D$5:$AI$471,12,)/VLOOKUP($E103,$D$5:$AI$471,3,))*$F103)</f>
        <v>0</v>
      </c>
      <c r="P103" s="18">
        <f>IF(VLOOKUP($E103,$D$5:$AI$471,3,)=0,0,(VLOOKUP($E103,$D$5:$AI$471,13,)/VLOOKUP($E103,$D$5:$AI$471,3,))*$F103)</f>
        <v>0</v>
      </c>
      <c r="Q103" s="18">
        <f>IF(VLOOKUP($E103,$D$5:$AI$471,3,)=0,0,(VLOOKUP($E103,$D$5:$AI$471,14,)/VLOOKUP($E103,$D$5:$AI$471,3,))*$F103)</f>
        <v>0</v>
      </c>
      <c r="R103" s="18">
        <f>IF(VLOOKUP($E103,$D$5:$AI$471,3,)=0,0,(VLOOKUP($E103,$D$5:$AI$471,15,)/VLOOKUP($E103,$D$5:$AI$471,3,))*$F103)</f>
        <v>0</v>
      </c>
      <c r="S103" s="18">
        <f>IF(VLOOKUP($E103,$D$5:$AI$471,3,)=0,0,(VLOOKUP($E103,$D$5:$AI$471,16,)/VLOOKUP($E103,$D$5:$AI$471,3,))*$F103)</f>
        <v>0</v>
      </c>
      <c r="T103" s="18">
        <f>IF(VLOOKUP($E103,$D$5:$AI$471,3,)=0,0,(VLOOKUP($E103,$D$5:$AI$471,17,)/VLOOKUP($E103,$D$5:$AI$471,3,))*$F103)</f>
        <v>0</v>
      </c>
      <c r="U103" s="18">
        <f>IF(VLOOKUP($E103,$D$5:$AI$471,3,)=0,0,(VLOOKUP($E103,$D$5:$AI$471,18,)/VLOOKUP($E103,$D$5:$AI$471,3,))*$F103)</f>
        <v>0</v>
      </c>
      <c r="V103" s="18">
        <f>IF(VLOOKUP($E103,$D$5:$AI$471,3,)=0,0,(VLOOKUP($E103,$D$5:$AI$471,19,)/VLOOKUP($E103,$D$5:$AI$471,3,))*$F103)</f>
        <v>0</v>
      </c>
      <c r="W103" s="18">
        <f>IF(VLOOKUP($E103,$D$5:$AI$471,3,)=0,0,(VLOOKUP($E103,$D$5:$AI$471,20,)/VLOOKUP($E103,$D$5:$AI$471,3,))*$F103)</f>
        <v>0</v>
      </c>
      <c r="X103" s="18">
        <f>IF(VLOOKUP($E103,$D$5:$AI$471,3,)=0,0,(VLOOKUP($E103,$D$5:$AI$471,21,)/VLOOKUP($E103,$D$5:$AI$471,3,))*$F103)</f>
        <v>0</v>
      </c>
      <c r="Y103" s="18">
        <f>IF(VLOOKUP($E103,$D$5:$AI$471,3,)=0,0,(VLOOKUP($E103,$D$5:$AI$471,22,)/VLOOKUP($E103,$D$5:$AI$471,3,))*$F103)</f>
        <v>0</v>
      </c>
      <c r="Z103" s="18">
        <f>IF(VLOOKUP($E103,$D$5:$AI$471,3,)=0,0,(VLOOKUP($E103,$D$5:$AI$471,23,)/VLOOKUP($E103,$D$5:$AI$471,3,))*$F103)</f>
        <v>0</v>
      </c>
      <c r="AA103" s="18">
        <f>IF(VLOOKUP($E103,$D$5:$AI$471,3,)=0,0,(VLOOKUP($E103,$D$5:$AI$471,24,)/VLOOKUP($E103,$D$5:$AI$471,3,))*$F103)</f>
        <v>0</v>
      </c>
      <c r="AB103" s="18">
        <f>IF(VLOOKUP($E103,$D$5:$AI$471,3,)=0,0,(VLOOKUP($E103,$D$5:$AI$471,25,)/VLOOKUP($E103,$D$5:$AI$471,3,))*$F103)</f>
        <v>0</v>
      </c>
      <c r="AC103" s="18">
        <f>IF(VLOOKUP($E103,$D$5:$AI$471,3,)=0,0,(VLOOKUP($E103,$D$5:$AI$471,26,)/VLOOKUP($E103,$D$5:$AI$471,3,))*$F103)</f>
        <v>0</v>
      </c>
      <c r="AD103" s="18">
        <f>IF(VLOOKUP($E103,$D$5:$AI$471,3,)=0,0,(VLOOKUP($E103,$D$5:$AI$471,27,)/VLOOKUP($E103,$D$5:$AI$471,3,))*$F103)</f>
        <v>0</v>
      </c>
      <c r="AE103" s="18">
        <f>IF(VLOOKUP($E103,$D$5:$AI$471,3,)=0,0,(VLOOKUP($E103,$D$5:$AI$471,28,)/VLOOKUP($E103,$D$5:$AI$471,3,))*$F103)</f>
        <v>0</v>
      </c>
      <c r="AF103" s="18">
        <f>IF(VLOOKUP($E103,$D$5:$AI$471,3,)=0,0,(VLOOKUP($E103,$D$5:$AI$471,29,)/VLOOKUP($E103,$D$5:$AI$471,3,))*$F103)</f>
        <v>0</v>
      </c>
      <c r="AG103" s="18">
        <f>IF(VLOOKUP($E103,$D$5:$AI$471,3,)=0,0,(VLOOKUP($E103,$D$5:$AI$471,30,)/VLOOKUP($E103,$D$5:$AI$471,3,))*$F103)</f>
        <v>0</v>
      </c>
      <c r="AH103" s="20">
        <f t="shared" si="16"/>
        <v>8000153.2092659567</v>
      </c>
      <c r="AI103" s="15" t="str">
        <f t="shared" si="17"/>
        <v>ok</v>
      </c>
    </row>
    <row r="104" spans="1:35" x14ac:dyDescent="0.3">
      <c r="A104" s="21" t="s">
        <v>540</v>
      </c>
      <c r="C104" s="2" t="s">
        <v>95</v>
      </c>
      <c r="D104" s="2" t="s">
        <v>591</v>
      </c>
      <c r="E104" s="2" t="s">
        <v>542</v>
      </c>
      <c r="F104" s="18">
        <f>VLOOKUP(C104,'Functional Assignment'!$C$1:$AU$563,9,)</f>
        <v>8734203.1661547069</v>
      </c>
      <c r="G104" s="18">
        <f>IF(VLOOKUP($E104,$D$5:$AI$471,3,)=0,0,(VLOOKUP($E104,$D$5:$AI$471,4,)/VLOOKUP($E104,$D$5:$AI$471,3,))*$F104)</f>
        <v>5834158.8922403296</v>
      </c>
      <c r="H104" s="18">
        <f>IF(VLOOKUP($E104,$D$5:$AI$471,3,)=0,0,(VLOOKUP($E104,$D$5:$AI$471,5,)/VLOOKUP($E104,$D$5:$AI$471,3,))*$F104)</f>
        <v>764450.30762489629</v>
      </c>
      <c r="I104" s="18">
        <f>IF(VLOOKUP($E104,$D$5:$AI$471,3,)=0,0,(VLOOKUP($E104,$D$5:$AI$471,6,)/VLOOKUP($E104,$D$5:$AI$471,3,))*$F104)</f>
        <v>307949.36694618774</v>
      </c>
      <c r="J104" s="18">
        <f>IF(VLOOKUP($E104,$D$5:$AI$471,3,)=0,0,(VLOOKUP($E104,$D$5:$AI$471,7,)/VLOOKUP($E104,$D$5:$AI$471,3,))*$F104)</f>
        <v>457944.18438027252</v>
      </c>
      <c r="K104" s="18">
        <f>IF(VLOOKUP($E104,$D$5:$AI$471,3,)=0,0,(VLOOKUP($E104,$D$5:$AI$471,8,)/VLOOKUP($E104,$D$5:$AI$471,3,))*$F104)</f>
        <v>1243112.389506618</v>
      </c>
      <c r="L104" s="18">
        <f>IF(VLOOKUP($E104,$D$5:$AI$471,3,)=0,0,(VLOOKUP($E104,$D$5:$AI$471,9,)/VLOOKUP($E104,$D$5:$AI$471,3,))*$F104)</f>
        <v>126588.02545640216</v>
      </c>
      <c r="M104" s="18">
        <f>IF(VLOOKUP($E104,$D$5:$AI$471,3,)=0,0,(VLOOKUP($E104,$D$5:$AI$471,10,)/VLOOKUP($E104,$D$5:$AI$471,3,))*$F104)</f>
        <v>0</v>
      </c>
      <c r="N104" s="18">
        <f>IF(VLOOKUP($E104,$D$5:$AI$471,3,)=0,0,(VLOOKUP($E104,$D$5:$AI$471,11,)/VLOOKUP($E104,$D$5:$AI$471,3,))*$F104)</f>
        <v>0</v>
      </c>
      <c r="O104" s="18">
        <f>IF(VLOOKUP($E104,$D$5:$AI$471,3,)=0,0,(VLOOKUP($E104,$D$5:$AI$471,12,)/VLOOKUP($E104,$D$5:$AI$471,3,))*$F104)</f>
        <v>0</v>
      </c>
      <c r="P104" s="18">
        <f>IF(VLOOKUP($E104,$D$5:$AI$471,3,)=0,0,(VLOOKUP($E104,$D$5:$AI$471,13,)/VLOOKUP($E104,$D$5:$AI$471,3,))*$F104)</f>
        <v>0</v>
      </c>
      <c r="Q104" s="18">
        <f>IF(VLOOKUP($E104,$D$5:$AI$471,3,)=0,0,(VLOOKUP($E104,$D$5:$AI$471,14,)/VLOOKUP($E104,$D$5:$AI$471,3,))*$F104)</f>
        <v>0</v>
      </c>
      <c r="R104" s="18">
        <f>IF(VLOOKUP($E104,$D$5:$AI$471,3,)=0,0,(VLOOKUP($E104,$D$5:$AI$471,15,)/VLOOKUP($E104,$D$5:$AI$471,3,))*$F104)</f>
        <v>0</v>
      </c>
      <c r="S104" s="18">
        <f>IF(VLOOKUP($E104,$D$5:$AI$471,3,)=0,0,(VLOOKUP($E104,$D$5:$AI$471,16,)/VLOOKUP($E104,$D$5:$AI$471,3,))*$F104)</f>
        <v>0</v>
      </c>
      <c r="T104" s="18">
        <f>IF(VLOOKUP($E104,$D$5:$AI$471,3,)=0,0,(VLOOKUP($E104,$D$5:$AI$471,17,)/VLOOKUP($E104,$D$5:$AI$471,3,))*$F104)</f>
        <v>0</v>
      </c>
      <c r="U104" s="18">
        <f>IF(VLOOKUP($E104,$D$5:$AI$471,3,)=0,0,(VLOOKUP($E104,$D$5:$AI$471,18,)/VLOOKUP($E104,$D$5:$AI$471,3,))*$F104)</f>
        <v>0</v>
      </c>
      <c r="V104" s="18">
        <f>IF(VLOOKUP($E104,$D$5:$AI$471,3,)=0,0,(VLOOKUP($E104,$D$5:$AI$471,19,)/VLOOKUP($E104,$D$5:$AI$471,3,))*$F104)</f>
        <v>0</v>
      </c>
      <c r="W104" s="18">
        <f>IF(VLOOKUP($E104,$D$5:$AI$471,3,)=0,0,(VLOOKUP($E104,$D$5:$AI$471,20,)/VLOOKUP($E104,$D$5:$AI$471,3,))*$F104)</f>
        <v>0</v>
      </c>
      <c r="X104" s="18">
        <f>IF(VLOOKUP($E104,$D$5:$AI$471,3,)=0,0,(VLOOKUP($E104,$D$5:$AI$471,21,)/VLOOKUP($E104,$D$5:$AI$471,3,))*$F104)</f>
        <v>0</v>
      </c>
      <c r="Y104" s="18">
        <f>IF(VLOOKUP($E104,$D$5:$AI$471,3,)=0,0,(VLOOKUP($E104,$D$5:$AI$471,22,)/VLOOKUP($E104,$D$5:$AI$471,3,))*$F104)</f>
        <v>0</v>
      </c>
      <c r="Z104" s="18">
        <f>IF(VLOOKUP($E104,$D$5:$AI$471,3,)=0,0,(VLOOKUP($E104,$D$5:$AI$471,23,)/VLOOKUP($E104,$D$5:$AI$471,3,))*$F104)</f>
        <v>0</v>
      </c>
      <c r="AA104" s="18">
        <f>IF(VLOOKUP($E104,$D$5:$AI$471,3,)=0,0,(VLOOKUP($E104,$D$5:$AI$471,24,)/VLOOKUP($E104,$D$5:$AI$471,3,))*$F104)</f>
        <v>0</v>
      </c>
      <c r="AB104" s="18">
        <f>IF(VLOOKUP($E104,$D$5:$AI$471,3,)=0,0,(VLOOKUP($E104,$D$5:$AI$471,25,)/VLOOKUP($E104,$D$5:$AI$471,3,))*$F104)</f>
        <v>0</v>
      </c>
      <c r="AC104" s="18">
        <f>IF(VLOOKUP($E104,$D$5:$AI$471,3,)=0,0,(VLOOKUP($E104,$D$5:$AI$471,26,)/VLOOKUP($E104,$D$5:$AI$471,3,))*$F104)</f>
        <v>0</v>
      </c>
      <c r="AD104" s="18">
        <f>IF(VLOOKUP($E104,$D$5:$AI$471,3,)=0,0,(VLOOKUP($E104,$D$5:$AI$471,27,)/VLOOKUP($E104,$D$5:$AI$471,3,))*$F104)</f>
        <v>0</v>
      </c>
      <c r="AE104" s="18">
        <f>IF(VLOOKUP($E104,$D$5:$AI$471,3,)=0,0,(VLOOKUP($E104,$D$5:$AI$471,28,)/VLOOKUP($E104,$D$5:$AI$471,3,))*$F104)</f>
        <v>0</v>
      </c>
      <c r="AF104" s="18">
        <f>IF(VLOOKUP($E104,$D$5:$AI$471,3,)=0,0,(VLOOKUP($E104,$D$5:$AI$471,29,)/VLOOKUP($E104,$D$5:$AI$471,3,))*$F104)</f>
        <v>0</v>
      </c>
      <c r="AG104" s="18">
        <f>IF(VLOOKUP($E104,$D$5:$AI$471,3,)=0,0,(VLOOKUP($E104,$D$5:$AI$471,30,)/VLOOKUP($E104,$D$5:$AI$471,3,))*$F104)</f>
        <v>0</v>
      </c>
      <c r="AH104" s="20">
        <f t="shared" si="16"/>
        <v>8734203.1661547069</v>
      </c>
      <c r="AI104" s="15" t="str">
        <f t="shared" si="17"/>
        <v>ok</v>
      </c>
    </row>
    <row r="105" spans="1:35" x14ac:dyDescent="0.3">
      <c r="A105" s="21" t="s">
        <v>543</v>
      </c>
      <c r="C105" s="2" t="s">
        <v>95</v>
      </c>
      <c r="D105" s="2" t="s">
        <v>592</v>
      </c>
      <c r="E105" s="2" t="s">
        <v>545</v>
      </c>
      <c r="F105" s="18">
        <f>VLOOKUP(C105,'Functional Assignment'!$C$1:$AU$563,10,)</f>
        <v>539253.51613987179</v>
      </c>
      <c r="G105" s="18">
        <f>IF(VLOOKUP($E105,$D$5:$AI$471,3,)=0,0,(VLOOKUP($E105,$D$5:$AI$471,4,)/VLOOKUP($E105,$D$5:$AI$471,3,))*$F105)</f>
        <v>0</v>
      </c>
      <c r="H105" s="18">
        <f>IF(VLOOKUP($E105,$D$5:$AI$471,3,)=0,0,(VLOOKUP($E105,$D$5:$AI$471,5,)/VLOOKUP($E105,$D$5:$AI$471,3,))*$F105)</f>
        <v>0</v>
      </c>
      <c r="I105" s="18">
        <f>IF(VLOOKUP($E105,$D$5:$AI$471,3,)=0,0,(VLOOKUP($E105,$D$5:$AI$471,6,)/VLOOKUP($E105,$D$5:$AI$471,3,))*$F105)</f>
        <v>0</v>
      </c>
      <c r="J105" s="18">
        <f>IF(VLOOKUP($E105,$D$5:$AI$471,3,)=0,0,(VLOOKUP($E105,$D$5:$AI$471,7,)/VLOOKUP($E105,$D$5:$AI$471,3,))*$F105)</f>
        <v>0</v>
      </c>
      <c r="K105" s="18">
        <f>IF(VLOOKUP($E105,$D$5:$AI$471,3,)=0,0,(VLOOKUP($E105,$D$5:$AI$471,8,)/VLOOKUP($E105,$D$5:$AI$471,3,))*$F105)</f>
        <v>0</v>
      </c>
      <c r="L105" s="18">
        <f>IF(VLOOKUP($E105,$D$5:$AI$471,3,)=0,0,(VLOOKUP($E105,$D$5:$AI$471,9,)/VLOOKUP($E105,$D$5:$AI$471,3,))*$F105)</f>
        <v>0</v>
      </c>
      <c r="M105" s="18">
        <f>IF(VLOOKUP($E105,$D$5:$AI$471,3,)=0,0,(VLOOKUP($E105,$D$5:$AI$471,10,)/VLOOKUP($E105,$D$5:$AI$471,3,))*$F105)</f>
        <v>539253.51613987179</v>
      </c>
      <c r="N105" s="18">
        <f>IF(VLOOKUP($E105,$D$5:$AI$471,3,)=0,0,(VLOOKUP($E105,$D$5:$AI$471,11,)/VLOOKUP($E105,$D$5:$AI$471,3,))*$F105)</f>
        <v>0</v>
      </c>
      <c r="O105" s="18">
        <f>IF(VLOOKUP($E105,$D$5:$AI$471,3,)=0,0,(VLOOKUP($E105,$D$5:$AI$471,12,)/VLOOKUP($E105,$D$5:$AI$471,3,))*$F105)</f>
        <v>0</v>
      </c>
      <c r="P105" s="18">
        <f>IF(VLOOKUP($E105,$D$5:$AI$471,3,)=0,0,(VLOOKUP($E105,$D$5:$AI$471,13,)/VLOOKUP($E105,$D$5:$AI$471,3,))*$F105)</f>
        <v>0</v>
      </c>
      <c r="Q105" s="18">
        <f>IF(VLOOKUP($E105,$D$5:$AI$471,3,)=0,0,(VLOOKUP($E105,$D$5:$AI$471,14,)/VLOOKUP($E105,$D$5:$AI$471,3,))*$F105)</f>
        <v>0</v>
      </c>
      <c r="R105" s="18">
        <f>IF(VLOOKUP($E105,$D$5:$AI$471,3,)=0,0,(VLOOKUP($E105,$D$5:$AI$471,15,)/VLOOKUP($E105,$D$5:$AI$471,3,))*$F105)</f>
        <v>0</v>
      </c>
      <c r="S105" s="18">
        <f>IF(VLOOKUP($E105,$D$5:$AI$471,3,)=0,0,(VLOOKUP($E105,$D$5:$AI$471,16,)/VLOOKUP($E105,$D$5:$AI$471,3,))*$F105)</f>
        <v>0</v>
      </c>
      <c r="T105" s="18">
        <f>IF(VLOOKUP($E105,$D$5:$AI$471,3,)=0,0,(VLOOKUP($E105,$D$5:$AI$471,17,)/VLOOKUP($E105,$D$5:$AI$471,3,))*$F105)</f>
        <v>0</v>
      </c>
      <c r="U105" s="18">
        <f>IF(VLOOKUP($E105,$D$5:$AI$471,3,)=0,0,(VLOOKUP($E105,$D$5:$AI$471,18,)/VLOOKUP($E105,$D$5:$AI$471,3,))*$F105)</f>
        <v>0</v>
      </c>
      <c r="V105" s="18">
        <f>IF(VLOOKUP($E105,$D$5:$AI$471,3,)=0,0,(VLOOKUP($E105,$D$5:$AI$471,19,)/VLOOKUP($E105,$D$5:$AI$471,3,))*$F105)</f>
        <v>0</v>
      </c>
      <c r="W105" s="18">
        <f>IF(VLOOKUP($E105,$D$5:$AI$471,3,)=0,0,(VLOOKUP($E105,$D$5:$AI$471,20,)/VLOOKUP($E105,$D$5:$AI$471,3,))*$F105)</f>
        <v>0</v>
      </c>
      <c r="X105" s="18">
        <f>IF(VLOOKUP($E105,$D$5:$AI$471,3,)=0,0,(VLOOKUP($E105,$D$5:$AI$471,21,)/VLOOKUP($E105,$D$5:$AI$471,3,))*$F105)</f>
        <v>0</v>
      </c>
      <c r="Y105" s="18">
        <f>IF(VLOOKUP($E105,$D$5:$AI$471,3,)=0,0,(VLOOKUP($E105,$D$5:$AI$471,22,)/VLOOKUP($E105,$D$5:$AI$471,3,))*$F105)</f>
        <v>0</v>
      </c>
      <c r="Z105" s="18">
        <f>IF(VLOOKUP($E105,$D$5:$AI$471,3,)=0,0,(VLOOKUP($E105,$D$5:$AI$471,23,)/VLOOKUP($E105,$D$5:$AI$471,3,))*$F105)</f>
        <v>0</v>
      </c>
      <c r="AA105" s="18">
        <f>IF(VLOOKUP($E105,$D$5:$AI$471,3,)=0,0,(VLOOKUP($E105,$D$5:$AI$471,24,)/VLOOKUP($E105,$D$5:$AI$471,3,))*$F105)</f>
        <v>0</v>
      </c>
      <c r="AB105" s="18">
        <f>IF(VLOOKUP($E105,$D$5:$AI$471,3,)=0,0,(VLOOKUP($E105,$D$5:$AI$471,25,)/VLOOKUP($E105,$D$5:$AI$471,3,))*$F105)</f>
        <v>0</v>
      </c>
      <c r="AC105" s="18">
        <f>IF(VLOOKUP($E105,$D$5:$AI$471,3,)=0,0,(VLOOKUP($E105,$D$5:$AI$471,26,)/VLOOKUP($E105,$D$5:$AI$471,3,))*$F105)</f>
        <v>0</v>
      </c>
      <c r="AD105" s="18">
        <f>IF(VLOOKUP($E105,$D$5:$AI$471,3,)=0,0,(VLOOKUP($E105,$D$5:$AI$471,27,)/VLOOKUP($E105,$D$5:$AI$471,3,))*$F105)</f>
        <v>0</v>
      </c>
      <c r="AE105" s="18">
        <f>IF(VLOOKUP($E105,$D$5:$AI$471,3,)=0,0,(VLOOKUP($E105,$D$5:$AI$471,28,)/VLOOKUP($E105,$D$5:$AI$471,3,))*$F105)</f>
        <v>0</v>
      </c>
      <c r="AF105" s="18">
        <f>IF(VLOOKUP($E105,$D$5:$AI$471,3,)=0,0,(VLOOKUP($E105,$D$5:$AI$471,29,)/VLOOKUP($E105,$D$5:$AI$471,3,))*$F105)</f>
        <v>0</v>
      </c>
      <c r="AG105" s="18">
        <f>IF(VLOOKUP($E105,$D$5:$AI$471,3,)=0,0,(VLOOKUP($E105,$D$5:$AI$471,30,)/VLOOKUP($E105,$D$5:$AI$471,3,))*$F105)</f>
        <v>0</v>
      </c>
      <c r="AH105" s="20">
        <f t="shared" si="16"/>
        <v>539253.51613987179</v>
      </c>
      <c r="AI105" s="15" t="str">
        <f t="shared" si="17"/>
        <v>ok</v>
      </c>
    </row>
    <row r="106" spans="1:35" x14ac:dyDescent="0.3">
      <c r="A106" s="2" t="s">
        <v>546</v>
      </c>
      <c r="D106" s="2" t="s">
        <v>593</v>
      </c>
      <c r="F106" s="18">
        <f>SUM(F101:F105)</f>
        <v>59322625.004948579</v>
      </c>
      <c r="G106" s="18">
        <f t="shared" ref="G106:AG106" si="18">SUM(G101:G105)</f>
        <v>44208612.854064129</v>
      </c>
      <c r="H106" s="18">
        <f t="shared" si="18"/>
        <v>4085338.2953137597</v>
      </c>
      <c r="I106" s="18">
        <f t="shared" si="18"/>
        <v>1535057.7653216959</v>
      </c>
      <c r="J106" s="18">
        <f t="shared" si="18"/>
        <v>2406631.9736145651</v>
      </c>
      <c r="K106" s="18">
        <f t="shared" si="18"/>
        <v>6241334.9482017029</v>
      </c>
      <c r="L106" s="18">
        <f t="shared" si="18"/>
        <v>306395.65229284059</v>
      </c>
      <c r="M106" s="18">
        <f t="shared" si="18"/>
        <v>539253.51613987179</v>
      </c>
      <c r="N106" s="18">
        <f t="shared" si="18"/>
        <v>0</v>
      </c>
      <c r="O106" s="18">
        <f t="shared" si="18"/>
        <v>0</v>
      </c>
      <c r="P106" s="18">
        <f t="shared" si="18"/>
        <v>0</v>
      </c>
      <c r="Q106" s="18">
        <f t="shared" si="18"/>
        <v>0</v>
      </c>
      <c r="R106" s="18">
        <f t="shared" si="18"/>
        <v>0</v>
      </c>
      <c r="S106" s="18">
        <f t="shared" si="18"/>
        <v>0</v>
      </c>
      <c r="T106" s="18">
        <f t="shared" si="18"/>
        <v>0</v>
      </c>
      <c r="U106" s="18">
        <f t="shared" si="18"/>
        <v>0</v>
      </c>
      <c r="V106" s="18">
        <f t="shared" si="18"/>
        <v>0</v>
      </c>
      <c r="W106" s="18">
        <f t="shared" si="18"/>
        <v>0</v>
      </c>
      <c r="X106" s="18">
        <f t="shared" si="18"/>
        <v>0</v>
      </c>
      <c r="Y106" s="18">
        <f t="shared" si="18"/>
        <v>0</v>
      </c>
      <c r="Z106" s="18">
        <f t="shared" si="18"/>
        <v>0</v>
      </c>
      <c r="AA106" s="18">
        <f t="shared" si="18"/>
        <v>0</v>
      </c>
      <c r="AB106" s="18">
        <f t="shared" si="18"/>
        <v>0</v>
      </c>
      <c r="AC106" s="18">
        <f t="shared" si="18"/>
        <v>0</v>
      </c>
      <c r="AD106" s="18">
        <f t="shared" si="18"/>
        <v>0</v>
      </c>
      <c r="AE106" s="18">
        <f t="shared" si="18"/>
        <v>0</v>
      </c>
      <c r="AF106" s="18">
        <f t="shared" si="18"/>
        <v>0</v>
      </c>
      <c r="AG106" s="18">
        <f t="shared" si="18"/>
        <v>0</v>
      </c>
      <c r="AH106" s="20">
        <f t="shared" si="16"/>
        <v>59322625.004948564</v>
      </c>
      <c r="AI106" s="15" t="str">
        <f t="shared" si="17"/>
        <v>ok</v>
      </c>
    </row>
    <row r="107" spans="1:35" x14ac:dyDescent="0.3">
      <c r="F107" s="19"/>
      <c r="G107" s="19"/>
    </row>
    <row r="108" spans="1:35" x14ac:dyDescent="0.3">
      <c r="F108" s="19"/>
      <c r="G108" s="19"/>
    </row>
    <row r="109" spans="1:35" x14ac:dyDescent="0.3">
      <c r="A109" s="3" t="s">
        <v>29</v>
      </c>
      <c r="C109" s="2" t="s">
        <v>95</v>
      </c>
      <c r="D109" s="2" t="s">
        <v>594</v>
      </c>
      <c r="E109" s="2" t="s">
        <v>549</v>
      </c>
      <c r="F109" s="18">
        <f>VLOOKUP(C109,'Functional Assignment'!$C$1:$AU$563,11,)</f>
        <v>17570136.106979601</v>
      </c>
      <c r="G109" s="18">
        <f>IF(VLOOKUP($E109,$D$5:$AI$471,3,)=0,0,(VLOOKUP($E109,$D$5:$AI$471,4,)/VLOOKUP($E109,$D$5:$AI$471,3,))*$F109)</f>
        <v>13865687.690087967</v>
      </c>
      <c r="H109" s="18">
        <f>IF(VLOOKUP($E109,$D$5:$AI$471,3,)=0,0,(VLOOKUP($E109,$D$5:$AI$471,5,)/VLOOKUP($E109,$D$5:$AI$471,3,))*$F109)</f>
        <v>1037922.5900984014</v>
      </c>
      <c r="I109" s="18">
        <f>IF(VLOOKUP($E109,$D$5:$AI$471,3,)=0,0,(VLOOKUP($E109,$D$5:$AI$471,6,)/VLOOKUP($E109,$D$5:$AI$471,3,))*$F109)</f>
        <v>351923.97597133915</v>
      </c>
      <c r="J109" s="18">
        <f>IF(VLOOKUP($E109,$D$5:$AI$471,3,)=0,0,(VLOOKUP($E109,$D$5:$AI$471,7,)/VLOOKUP($E109,$D$5:$AI$471,3,))*$F109)</f>
        <v>566900.37188613217</v>
      </c>
      <c r="K109" s="18">
        <f>IF(VLOOKUP($E109,$D$5:$AI$471,3,)=0,0,(VLOOKUP($E109,$D$5:$AI$471,8,)/VLOOKUP($E109,$D$5:$AI$471,3,))*$F109)</f>
        <v>1523753.8235960219</v>
      </c>
      <c r="L109" s="18">
        <f>IF(VLOOKUP($E109,$D$5:$AI$471,3,)=0,0,(VLOOKUP($E109,$D$5:$AI$471,9,)/VLOOKUP($E109,$D$5:$AI$471,3,))*$F109)</f>
        <v>223947.65533974077</v>
      </c>
      <c r="M109" s="18">
        <f>IF(VLOOKUP($E109,$D$5:$AI$471,3,)=0,0,(VLOOKUP($E109,$D$5:$AI$471,10,)/VLOOKUP($E109,$D$5:$AI$471,3,))*$F109)</f>
        <v>0</v>
      </c>
      <c r="N109" s="18">
        <f>IF(VLOOKUP($E109,$D$5:$AI$471,3,)=0,0,(VLOOKUP($E109,$D$5:$AI$471,11,)/VLOOKUP($E109,$D$5:$AI$471,3,))*$F109)</f>
        <v>0</v>
      </c>
      <c r="O109" s="18">
        <f>IF(VLOOKUP($E109,$D$5:$AI$471,3,)=0,0,(VLOOKUP($E109,$D$5:$AI$471,12,)/VLOOKUP($E109,$D$5:$AI$471,3,))*$F109)</f>
        <v>0</v>
      </c>
      <c r="P109" s="18">
        <f>IF(VLOOKUP($E109,$D$5:$AI$471,3,)=0,0,(VLOOKUP($E109,$D$5:$AI$471,13,)/VLOOKUP($E109,$D$5:$AI$471,3,))*$F109)</f>
        <v>0</v>
      </c>
      <c r="Q109" s="18">
        <f>IF(VLOOKUP($E109,$D$5:$AI$471,3,)=0,0,(VLOOKUP($E109,$D$5:$AI$471,14,)/VLOOKUP($E109,$D$5:$AI$471,3,))*$F109)</f>
        <v>0</v>
      </c>
      <c r="R109" s="18">
        <f>IF(VLOOKUP($E109,$D$5:$AI$471,3,)=0,0,(VLOOKUP($E109,$D$5:$AI$471,15,)/VLOOKUP($E109,$D$5:$AI$471,3,))*$F109)</f>
        <v>0</v>
      </c>
      <c r="S109" s="18">
        <f>IF(VLOOKUP($E109,$D$5:$AI$471,3,)=0,0,(VLOOKUP($E109,$D$5:$AI$471,16,)/VLOOKUP($E109,$D$5:$AI$471,3,))*$F109)</f>
        <v>0</v>
      </c>
      <c r="T109" s="18">
        <f>IF(VLOOKUP($E109,$D$5:$AI$471,3,)=0,0,(VLOOKUP($E109,$D$5:$AI$471,17,)/VLOOKUP($E109,$D$5:$AI$471,3,))*$F109)</f>
        <v>0</v>
      </c>
      <c r="U109" s="18">
        <f>IF(VLOOKUP($E109,$D$5:$AI$471,3,)=0,0,(VLOOKUP($E109,$D$5:$AI$471,18,)/VLOOKUP($E109,$D$5:$AI$471,3,))*$F109)</f>
        <v>0</v>
      </c>
      <c r="V109" s="18">
        <f>IF(VLOOKUP($E109,$D$5:$AI$471,3,)=0,0,(VLOOKUP($E109,$D$5:$AI$471,19,)/VLOOKUP($E109,$D$5:$AI$471,3,))*$F109)</f>
        <v>0</v>
      </c>
      <c r="W109" s="18">
        <f>IF(VLOOKUP($E109,$D$5:$AI$471,3,)=0,0,(VLOOKUP($E109,$D$5:$AI$471,20,)/VLOOKUP($E109,$D$5:$AI$471,3,))*$F109)</f>
        <v>0</v>
      </c>
      <c r="X109" s="18">
        <f>IF(VLOOKUP($E109,$D$5:$AI$471,3,)=0,0,(VLOOKUP($E109,$D$5:$AI$471,21,)/VLOOKUP($E109,$D$5:$AI$471,3,))*$F109)</f>
        <v>0</v>
      </c>
      <c r="Y109" s="18">
        <f>IF(VLOOKUP($E109,$D$5:$AI$471,3,)=0,0,(VLOOKUP($E109,$D$5:$AI$471,22,)/VLOOKUP($E109,$D$5:$AI$471,3,))*$F109)</f>
        <v>0</v>
      </c>
      <c r="Z109" s="18">
        <f>IF(VLOOKUP($E109,$D$5:$AI$471,3,)=0,0,(VLOOKUP($E109,$D$5:$AI$471,23,)/VLOOKUP($E109,$D$5:$AI$471,3,))*$F109)</f>
        <v>0</v>
      </c>
      <c r="AA109" s="18">
        <f>IF(VLOOKUP($E109,$D$5:$AI$471,3,)=0,0,(VLOOKUP($E109,$D$5:$AI$471,24,)/VLOOKUP($E109,$D$5:$AI$471,3,))*$F109)</f>
        <v>0</v>
      </c>
      <c r="AB109" s="18">
        <f>IF(VLOOKUP($E109,$D$5:$AI$471,3,)=0,0,(VLOOKUP($E109,$D$5:$AI$471,25,)/VLOOKUP($E109,$D$5:$AI$471,3,))*$F109)</f>
        <v>0</v>
      </c>
      <c r="AC109" s="18">
        <f>IF(VLOOKUP($E109,$D$5:$AI$471,3,)=0,0,(VLOOKUP($E109,$D$5:$AI$471,26,)/VLOOKUP($E109,$D$5:$AI$471,3,))*$F109)</f>
        <v>0</v>
      </c>
      <c r="AD109" s="18">
        <f>IF(VLOOKUP($E109,$D$5:$AI$471,3,)=0,0,(VLOOKUP($E109,$D$5:$AI$471,27,)/VLOOKUP($E109,$D$5:$AI$471,3,))*$F109)</f>
        <v>0</v>
      </c>
      <c r="AE109" s="18">
        <f>IF(VLOOKUP($E109,$D$5:$AI$471,3,)=0,0,(VLOOKUP($E109,$D$5:$AI$471,28,)/VLOOKUP($E109,$D$5:$AI$471,3,))*$F109)</f>
        <v>0</v>
      </c>
      <c r="AF109" s="18">
        <f>IF(VLOOKUP($E109,$D$5:$AI$471,3,)=0,0,(VLOOKUP($E109,$D$5:$AI$471,29,)/VLOOKUP($E109,$D$5:$AI$471,3,))*$F109)</f>
        <v>0</v>
      </c>
      <c r="AG109" s="18">
        <f>IF(VLOOKUP($E109,$D$5:$AI$471,3,)=0,0,(VLOOKUP($E109,$D$5:$AI$471,30,)/VLOOKUP($E109,$D$5:$AI$471,3,))*$F109)</f>
        <v>0</v>
      </c>
      <c r="AH109" s="20">
        <f>SUM(G109:AG109)</f>
        <v>17570136.106979601</v>
      </c>
      <c r="AI109" s="15" t="str">
        <f>IF(ABS(F109-AH109)&lt;0.01,"ok","err")</f>
        <v>ok</v>
      </c>
    </row>
    <row r="110" spans="1:35" x14ac:dyDescent="0.3">
      <c r="F110" s="19"/>
      <c r="G110" s="19"/>
    </row>
    <row r="111" spans="1:35" x14ac:dyDescent="0.3">
      <c r="A111" s="3"/>
      <c r="F111" s="19"/>
      <c r="G111" s="19"/>
    </row>
    <row r="112" spans="1:35" x14ac:dyDescent="0.3">
      <c r="A112" s="3" t="s">
        <v>550</v>
      </c>
      <c r="C112" s="2" t="s">
        <v>95</v>
      </c>
      <c r="D112" s="2" t="s">
        <v>595</v>
      </c>
      <c r="E112" s="2" t="s">
        <v>552</v>
      </c>
      <c r="F112" s="18">
        <f>VLOOKUP(C112,'Functional Assignment'!$C$1:$AU$563,13,)</f>
        <v>1672277.4716580065</v>
      </c>
      <c r="G112" s="18">
        <f>IF(VLOOKUP($E112,$D$5:$AI$471,3,)=0,0,(VLOOKUP($E112,$D$5:$AI$471,4,)/VLOOKUP($E112,$D$5:$AI$471,3,))*$F112)</f>
        <v>1665391.0254181023</v>
      </c>
      <c r="H112" s="18">
        <f>IF(VLOOKUP($E112,$D$5:$AI$471,3,)=0,0,(VLOOKUP($E112,$D$5:$AI$471,5,)/VLOOKUP($E112,$D$5:$AI$471,3,))*$F112)</f>
        <v>0</v>
      </c>
      <c r="I112" s="18">
        <f>IF(VLOOKUP($E112,$D$5:$AI$471,3,)=0,0,(VLOOKUP($E112,$D$5:$AI$471,6,)/VLOOKUP($E112,$D$5:$AI$471,3,))*$F112)</f>
        <v>0</v>
      </c>
      <c r="J112" s="18">
        <f>IF(VLOOKUP($E112,$D$5:$AI$471,3,)=0,0,(VLOOKUP($E112,$D$5:$AI$471,7,)/VLOOKUP($E112,$D$5:$AI$471,3,))*$F112)</f>
        <v>6886.4462399041768</v>
      </c>
      <c r="K112" s="18">
        <f>IF(VLOOKUP($E112,$D$5:$AI$471,3,)=0,0,(VLOOKUP($E112,$D$5:$AI$471,8,)/VLOOKUP($E112,$D$5:$AI$471,3,))*$F112)</f>
        <v>0</v>
      </c>
      <c r="L112" s="18">
        <f>IF(VLOOKUP($E112,$D$5:$AI$471,3,)=0,0,(VLOOKUP($E112,$D$5:$AI$471,9,)/VLOOKUP($E112,$D$5:$AI$471,3,))*$F112)</f>
        <v>0</v>
      </c>
      <c r="M112" s="18">
        <f>IF(VLOOKUP($E112,$D$5:$AI$471,3,)=0,0,(VLOOKUP($E112,$D$5:$AI$471,10,)/VLOOKUP($E112,$D$5:$AI$471,3,))*$F112)</f>
        <v>0</v>
      </c>
      <c r="N112" s="18">
        <f>IF(VLOOKUP($E112,$D$5:$AI$471,3,)=0,0,(VLOOKUP($E112,$D$5:$AI$471,11,)/VLOOKUP($E112,$D$5:$AI$471,3,))*$F112)</f>
        <v>0</v>
      </c>
      <c r="O112" s="18">
        <f>IF(VLOOKUP($E112,$D$5:$AI$471,3,)=0,0,(VLOOKUP($E112,$D$5:$AI$471,12,)/VLOOKUP($E112,$D$5:$AI$471,3,))*$F112)</f>
        <v>0</v>
      </c>
      <c r="P112" s="18">
        <f>IF(VLOOKUP($E112,$D$5:$AI$471,3,)=0,0,(VLOOKUP($E112,$D$5:$AI$471,13,)/VLOOKUP($E112,$D$5:$AI$471,3,))*$F112)</f>
        <v>0</v>
      </c>
      <c r="Q112" s="18">
        <f>IF(VLOOKUP($E112,$D$5:$AI$471,3,)=0,0,(VLOOKUP($E112,$D$5:$AI$471,14,)/VLOOKUP($E112,$D$5:$AI$471,3,))*$F112)</f>
        <v>0</v>
      </c>
      <c r="R112" s="18">
        <f>IF(VLOOKUP($E112,$D$5:$AI$471,3,)=0,0,(VLOOKUP($E112,$D$5:$AI$471,15,)/VLOOKUP($E112,$D$5:$AI$471,3,))*$F112)</f>
        <v>0</v>
      </c>
      <c r="S112" s="18">
        <f>IF(VLOOKUP($E112,$D$5:$AI$471,3,)=0,0,(VLOOKUP($E112,$D$5:$AI$471,16,)/VLOOKUP($E112,$D$5:$AI$471,3,))*$F112)</f>
        <v>0</v>
      </c>
      <c r="T112" s="18">
        <f>IF(VLOOKUP($E112,$D$5:$AI$471,3,)=0,0,(VLOOKUP($E112,$D$5:$AI$471,17,)/VLOOKUP($E112,$D$5:$AI$471,3,))*$F112)</f>
        <v>0</v>
      </c>
      <c r="U112" s="18">
        <f>IF(VLOOKUP($E112,$D$5:$AI$471,3,)=0,0,(VLOOKUP($E112,$D$5:$AI$471,18,)/VLOOKUP($E112,$D$5:$AI$471,3,))*$F112)</f>
        <v>0</v>
      </c>
      <c r="V112" s="18">
        <f>IF(VLOOKUP($E112,$D$5:$AI$471,3,)=0,0,(VLOOKUP($E112,$D$5:$AI$471,19,)/VLOOKUP($E112,$D$5:$AI$471,3,))*$F112)</f>
        <v>0</v>
      </c>
      <c r="W112" s="18">
        <f>IF(VLOOKUP($E112,$D$5:$AI$471,3,)=0,0,(VLOOKUP($E112,$D$5:$AI$471,20,)/VLOOKUP($E112,$D$5:$AI$471,3,))*$F112)</f>
        <v>0</v>
      </c>
      <c r="X112" s="18">
        <f>IF(VLOOKUP($E112,$D$5:$AI$471,3,)=0,0,(VLOOKUP($E112,$D$5:$AI$471,21,)/VLOOKUP($E112,$D$5:$AI$471,3,))*$F112)</f>
        <v>0</v>
      </c>
      <c r="Y112" s="18">
        <f>IF(VLOOKUP($E112,$D$5:$AI$471,3,)=0,0,(VLOOKUP($E112,$D$5:$AI$471,22,)/VLOOKUP($E112,$D$5:$AI$471,3,))*$F112)</f>
        <v>0</v>
      </c>
      <c r="Z112" s="18">
        <f>IF(VLOOKUP($E112,$D$5:$AI$471,3,)=0,0,(VLOOKUP($E112,$D$5:$AI$471,23,)/VLOOKUP($E112,$D$5:$AI$471,3,))*$F112)</f>
        <v>0</v>
      </c>
      <c r="AA112" s="18">
        <f>IF(VLOOKUP($E112,$D$5:$AI$471,3,)=0,0,(VLOOKUP($E112,$D$5:$AI$471,24,)/VLOOKUP($E112,$D$5:$AI$471,3,))*$F112)</f>
        <v>0</v>
      </c>
      <c r="AB112" s="18">
        <f>IF(VLOOKUP($E112,$D$5:$AI$471,3,)=0,0,(VLOOKUP($E112,$D$5:$AI$471,25,)/VLOOKUP($E112,$D$5:$AI$471,3,))*$F112)</f>
        <v>0</v>
      </c>
      <c r="AC112" s="18">
        <f>IF(VLOOKUP($E112,$D$5:$AI$471,3,)=0,0,(VLOOKUP($E112,$D$5:$AI$471,26,)/VLOOKUP($E112,$D$5:$AI$471,3,))*$F112)</f>
        <v>0</v>
      </c>
      <c r="AD112" s="18">
        <f>IF(VLOOKUP($E112,$D$5:$AI$471,3,)=0,0,(VLOOKUP($E112,$D$5:$AI$471,27,)/VLOOKUP($E112,$D$5:$AI$471,3,))*$F112)</f>
        <v>0</v>
      </c>
      <c r="AE112" s="18">
        <f>IF(VLOOKUP($E112,$D$5:$AI$471,3,)=0,0,(VLOOKUP($E112,$D$5:$AI$471,28,)/VLOOKUP($E112,$D$5:$AI$471,3,))*$F112)</f>
        <v>0</v>
      </c>
      <c r="AF112" s="18">
        <f>IF(VLOOKUP($E112,$D$5:$AI$471,3,)=0,0,(VLOOKUP($E112,$D$5:$AI$471,29,)/VLOOKUP($E112,$D$5:$AI$471,3,))*$F112)</f>
        <v>0</v>
      </c>
      <c r="AG112" s="18">
        <f>IF(VLOOKUP($E112,$D$5:$AI$471,3,)=0,0,(VLOOKUP($E112,$D$5:$AI$471,30,)/VLOOKUP($E112,$D$5:$AI$471,3,))*$F112)</f>
        <v>0</v>
      </c>
      <c r="AH112" s="20">
        <f>SUM(G112:AG112)</f>
        <v>1672277.4716580065</v>
      </c>
      <c r="AI112" s="15" t="str">
        <f>IF(ABS(F112-AH112)&lt;0.01,"ok","err")</f>
        <v>ok</v>
      </c>
    </row>
    <row r="113" spans="1:35" x14ac:dyDescent="0.3">
      <c r="A113" s="3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20"/>
      <c r="AI113" s="15"/>
    </row>
    <row r="114" spans="1:35" x14ac:dyDescent="0.3">
      <c r="F114" s="19"/>
    </row>
    <row r="115" spans="1:35" x14ac:dyDescent="0.3">
      <c r="A115" s="3" t="s">
        <v>553</v>
      </c>
      <c r="C115" s="2" t="s">
        <v>95</v>
      </c>
      <c r="D115" s="2" t="s">
        <v>596</v>
      </c>
      <c r="E115" s="2" t="s">
        <v>555</v>
      </c>
      <c r="F115" s="18">
        <f>VLOOKUP(C115,'Functional Assignment'!$C$1:$AU$563,14,)</f>
        <v>62231.266413822821</v>
      </c>
      <c r="G115" s="18">
        <f>IF(VLOOKUP($E115,$D$5:$AI$471,3,)=0,0,(VLOOKUP($E115,$D$5:$AI$471,4,)/VLOOKUP($E115,$D$5:$AI$471,3,))*$F115)</f>
        <v>62060.847610316232</v>
      </c>
      <c r="H115" s="18">
        <f>IF(VLOOKUP($E115,$D$5:$AI$471,3,)=0,0,(VLOOKUP($E115,$D$5:$AI$471,5,)/VLOOKUP($E115,$D$5:$AI$471,3,))*$F115)</f>
        <v>0</v>
      </c>
      <c r="I115" s="18">
        <f>IF(VLOOKUP($E115,$D$5:$AI$471,3,)=0,0,(VLOOKUP($E115,$D$5:$AI$471,6,)/VLOOKUP($E115,$D$5:$AI$471,3,))*$F115)</f>
        <v>0</v>
      </c>
      <c r="J115" s="18">
        <f>IF(VLOOKUP($E115,$D$5:$AI$471,3,)=0,0,(VLOOKUP($E115,$D$5:$AI$471,7,)/VLOOKUP($E115,$D$5:$AI$471,3,))*$F115)</f>
        <v>170.4188035065892</v>
      </c>
      <c r="K115" s="18">
        <f>IF(VLOOKUP($E115,$D$5:$AI$471,3,)=0,0,(VLOOKUP($E115,$D$5:$AI$471,8,)/VLOOKUP($E115,$D$5:$AI$471,3,))*$F115)</f>
        <v>0</v>
      </c>
      <c r="L115" s="18">
        <f>IF(VLOOKUP($E115,$D$5:$AI$471,3,)=0,0,(VLOOKUP($E115,$D$5:$AI$471,9,)/VLOOKUP($E115,$D$5:$AI$471,3,))*$F115)</f>
        <v>0</v>
      </c>
      <c r="M115" s="18">
        <f>IF(VLOOKUP($E115,$D$5:$AI$471,3,)=0,0,(VLOOKUP($E115,$D$5:$AI$471,10,)/VLOOKUP($E115,$D$5:$AI$471,3,))*$F115)</f>
        <v>0</v>
      </c>
      <c r="N115" s="18">
        <f>IF(VLOOKUP($E115,$D$5:$AI$471,3,)=0,0,(VLOOKUP($E115,$D$5:$AI$471,11,)/VLOOKUP($E115,$D$5:$AI$471,3,))*$F115)</f>
        <v>0</v>
      </c>
      <c r="O115" s="18">
        <f>IF(VLOOKUP($E115,$D$5:$AI$471,3,)=0,0,(VLOOKUP($E115,$D$5:$AI$471,12,)/VLOOKUP($E115,$D$5:$AI$471,3,))*$F115)</f>
        <v>0</v>
      </c>
      <c r="P115" s="18">
        <f>IF(VLOOKUP($E115,$D$5:$AI$471,3,)=0,0,(VLOOKUP($E115,$D$5:$AI$471,13,)/VLOOKUP($E115,$D$5:$AI$471,3,))*$F115)</f>
        <v>0</v>
      </c>
      <c r="Q115" s="18">
        <f>IF(VLOOKUP($E115,$D$5:$AI$471,3,)=0,0,(VLOOKUP($E115,$D$5:$AI$471,14,)/VLOOKUP($E115,$D$5:$AI$471,3,))*$F115)</f>
        <v>0</v>
      </c>
      <c r="R115" s="18">
        <f>IF(VLOOKUP($E115,$D$5:$AI$471,3,)=0,0,(VLOOKUP($E115,$D$5:$AI$471,15,)/VLOOKUP($E115,$D$5:$AI$471,3,))*$F115)</f>
        <v>0</v>
      </c>
      <c r="S115" s="18">
        <f>IF(VLOOKUP($E115,$D$5:$AI$471,3,)=0,0,(VLOOKUP($E115,$D$5:$AI$471,16,)/VLOOKUP($E115,$D$5:$AI$471,3,))*$F115)</f>
        <v>0</v>
      </c>
      <c r="T115" s="18">
        <f>IF(VLOOKUP($E115,$D$5:$AI$471,3,)=0,0,(VLOOKUP($E115,$D$5:$AI$471,17,)/VLOOKUP($E115,$D$5:$AI$471,3,))*$F115)</f>
        <v>0</v>
      </c>
      <c r="U115" s="18">
        <f>IF(VLOOKUP($E115,$D$5:$AI$471,3,)=0,0,(VLOOKUP($E115,$D$5:$AI$471,18,)/VLOOKUP($E115,$D$5:$AI$471,3,))*$F115)</f>
        <v>0</v>
      </c>
      <c r="V115" s="18">
        <f>IF(VLOOKUP($E115,$D$5:$AI$471,3,)=0,0,(VLOOKUP($E115,$D$5:$AI$471,19,)/VLOOKUP($E115,$D$5:$AI$471,3,))*$F115)</f>
        <v>0</v>
      </c>
      <c r="W115" s="18">
        <f>IF(VLOOKUP($E115,$D$5:$AI$471,3,)=0,0,(VLOOKUP($E115,$D$5:$AI$471,20,)/VLOOKUP($E115,$D$5:$AI$471,3,))*$F115)</f>
        <v>0</v>
      </c>
      <c r="X115" s="18">
        <f>IF(VLOOKUP($E115,$D$5:$AI$471,3,)=0,0,(VLOOKUP($E115,$D$5:$AI$471,21,)/VLOOKUP($E115,$D$5:$AI$471,3,))*$F115)</f>
        <v>0</v>
      </c>
      <c r="Y115" s="18">
        <f>IF(VLOOKUP($E115,$D$5:$AI$471,3,)=0,0,(VLOOKUP($E115,$D$5:$AI$471,22,)/VLOOKUP($E115,$D$5:$AI$471,3,))*$F115)</f>
        <v>0</v>
      </c>
      <c r="Z115" s="18">
        <f>IF(VLOOKUP($E115,$D$5:$AI$471,3,)=0,0,(VLOOKUP($E115,$D$5:$AI$471,23,)/VLOOKUP($E115,$D$5:$AI$471,3,))*$F115)</f>
        <v>0</v>
      </c>
      <c r="AA115" s="18">
        <f>IF(VLOOKUP($E115,$D$5:$AI$471,3,)=0,0,(VLOOKUP($E115,$D$5:$AI$471,24,)/VLOOKUP($E115,$D$5:$AI$471,3,))*$F115)</f>
        <v>0</v>
      </c>
      <c r="AB115" s="18">
        <f>IF(VLOOKUP($E115,$D$5:$AI$471,3,)=0,0,(VLOOKUP($E115,$D$5:$AI$471,25,)/VLOOKUP($E115,$D$5:$AI$471,3,))*$F115)</f>
        <v>0</v>
      </c>
      <c r="AC115" s="18">
        <f>IF(VLOOKUP($E115,$D$5:$AI$471,3,)=0,0,(VLOOKUP($E115,$D$5:$AI$471,26,)/VLOOKUP($E115,$D$5:$AI$471,3,))*$F115)</f>
        <v>0</v>
      </c>
      <c r="AD115" s="18">
        <f>IF(VLOOKUP($E115,$D$5:$AI$471,3,)=0,0,(VLOOKUP($E115,$D$5:$AI$471,27,)/VLOOKUP($E115,$D$5:$AI$471,3,))*$F115)</f>
        <v>0</v>
      </c>
      <c r="AE115" s="18">
        <f>IF(VLOOKUP($E115,$D$5:$AI$471,3,)=0,0,(VLOOKUP($E115,$D$5:$AI$471,28,)/VLOOKUP($E115,$D$5:$AI$471,3,))*$F115)</f>
        <v>0</v>
      </c>
      <c r="AF115" s="18">
        <f>IF(VLOOKUP($E115,$D$5:$AI$471,3,)=0,0,(VLOOKUP($E115,$D$5:$AI$471,29,)/VLOOKUP($E115,$D$5:$AI$471,3,))*$F115)</f>
        <v>0</v>
      </c>
      <c r="AG115" s="18">
        <f>IF(VLOOKUP($E115,$D$5:$AI$471,3,)=0,0,(VLOOKUP($E115,$D$5:$AI$471,30,)/VLOOKUP($E115,$D$5:$AI$471,3,))*$F115)</f>
        <v>0</v>
      </c>
      <c r="AH115" s="20">
        <f>SUM(G115:AG115)</f>
        <v>62231.266413822821</v>
      </c>
      <c r="AI115" s="15" t="str">
        <f>IF(ABS(F115-AH115)&lt;0.01,"ok","err")</f>
        <v>ok</v>
      </c>
    </row>
    <row r="116" spans="1:35" x14ac:dyDescent="0.3">
      <c r="F116" s="19"/>
    </row>
    <row r="117" spans="1:35" x14ac:dyDescent="0.3">
      <c r="F117" s="19"/>
    </row>
    <row r="118" spans="1:35" x14ac:dyDescent="0.3">
      <c r="A118" s="2" t="s">
        <v>1</v>
      </c>
      <c r="D118" s="2" t="s">
        <v>597</v>
      </c>
      <c r="F118" s="18">
        <f>F106+F109+F112+F115</f>
        <v>78627269.850000009</v>
      </c>
      <c r="G118" s="18">
        <f t="shared" ref="G118:AG118" si="19">G106+G109+G112+G115</f>
        <v>59801752.417180516</v>
      </c>
      <c r="H118" s="18">
        <f t="shared" si="19"/>
        <v>5123260.8854121612</v>
      </c>
      <c r="I118" s="18">
        <f t="shared" si="19"/>
        <v>1886981.741293035</v>
      </c>
      <c r="J118" s="18">
        <f t="shared" si="19"/>
        <v>2980589.2105441079</v>
      </c>
      <c r="K118" s="18">
        <f t="shared" si="19"/>
        <v>7765088.771797725</v>
      </c>
      <c r="L118" s="18">
        <f t="shared" si="19"/>
        <v>530343.30763258133</v>
      </c>
      <c r="M118" s="18">
        <f t="shared" si="19"/>
        <v>539253.51613987179</v>
      </c>
      <c r="N118" s="18">
        <f t="shared" si="19"/>
        <v>0</v>
      </c>
      <c r="O118" s="18">
        <f t="shared" si="19"/>
        <v>0</v>
      </c>
      <c r="P118" s="18">
        <f t="shared" si="19"/>
        <v>0</v>
      </c>
      <c r="Q118" s="18">
        <f t="shared" si="19"/>
        <v>0</v>
      </c>
      <c r="R118" s="18">
        <f t="shared" si="19"/>
        <v>0</v>
      </c>
      <c r="S118" s="18">
        <f t="shared" si="19"/>
        <v>0</v>
      </c>
      <c r="T118" s="18">
        <f t="shared" si="19"/>
        <v>0</v>
      </c>
      <c r="U118" s="18">
        <f t="shared" si="19"/>
        <v>0</v>
      </c>
      <c r="V118" s="18">
        <f t="shared" si="19"/>
        <v>0</v>
      </c>
      <c r="W118" s="18">
        <f t="shared" si="19"/>
        <v>0</v>
      </c>
      <c r="X118" s="18">
        <f t="shared" si="19"/>
        <v>0</v>
      </c>
      <c r="Y118" s="18">
        <f t="shared" si="19"/>
        <v>0</v>
      </c>
      <c r="Z118" s="18">
        <f t="shared" si="19"/>
        <v>0</v>
      </c>
      <c r="AA118" s="18">
        <f t="shared" si="19"/>
        <v>0</v>
      </c>
      <c r="AB118" s="18">
        <f t="shared" si="19"/>
        <v>0</v>
      </c>
      <c r="AC118" s="18">
        <f t="shared" si="19"/>
        <v>0</v>
      </c>
      <c r="AD118" s="18">
        <f t="shared" si="19"/>
        <v>0</v>
      </c>
      <c r="AE118" s="18">
        <f t="shared" si="19"/>
        <v>0</v>
      </c>
      <c r="AF118" s="18">
        <f t="shared" si="19"/>
        <v>0</v>
      </c>
      <c r="AG118" s="18">
        <f t="shared" si="19"/>
        <v>0</v>
      </c>
      <c r="AH118" s="20">
        <f>SUM(G118:AG118)</f>
        <v>78627269.849999994</v>
      </c>
      <c r="AI118" s="15" t="str">
        <f>IF(ABS(F118-AH118)&lt;0.01,"ok","err")</f>
        <v>ok</v>
      </c>
    </row>
    <row r="121" spans="1:35" x14ac:dyDescent="0.3">
      <c r="A121" s="16" t="s">
        <v>464</v>
      </c>
    </row>
    <row r="123" spans="1:35" x14ac:dyDescent="0.3">
      <c r="A123" s="3" t="s">
        <v>530</v>
      </c>
    </row>
    <row r="124" spans="1:35" x14ac:dyDescent="0.3">
      <c r="A124" s="21" t="s">
        <v>531</v>
      </c>
      <c r="C124" s="2" t="s">
        <v>479</v>
      </c>
      <c r="D124" s="2" t="s">
        <v>598</v>
      </c>
      <c r="E124" s="2" t="s">
        <v>533</v>
      </c>
      <c r="F124" s="18">
        <f>VLOOKUP(C124,'Functional Assignment'!$C$1:$AU$563,6,)</f>
        <v>50327438.868861653</v>
      </c>
      <c r="G124" s="18">
        <f>IF(VLOOKUP($E124,$D$5:$AI$471,3,)=0,0,(VLOOKUP($E124,$D$5:$AI$471,4,)/VLOOKUP($E124,$D$5:$AI$471,3,))*$F124)</f>
        <v>41478697.391935095</v>
      </c>
      <c r="H124" s="18">
        <f>IF(VLOOKUP($E124,$D$5:$AI$471,3,)=0,0,(VLOOKUP($E124,$D$5:$AI$471,5,)/VLOOKUP($E124,$D$5:$AI$471,3,))*$F124)</f>
        <v>2067882.0749537908</v>
      </c>
      <c r="I124" s="18">
        <f>IF(VLOOKUP($E124,$D$5:$AI$471,3,)=0,0,(VLOOKUP($E124,$D$5:$AI$471,6,)/VLOOKUP($E124,$D$5:$AI$471,3,))*$F124)</f>
        <v>505577.53935537022</v>
      </c>
      <c r="J124" s="18">
        <f>IF(VLOOKUP($E124,$D$5:$AI$471,3,)=0,0,(VLOOKUP($E124,$D$5:$AI$471,7,)/VLOOKUP($E124,$D$5:$AI$471,3,))*$F124)</f>
        <v>1092991.1902898597</v>
      </c>
      <c r="K124" s="18">
        <f>IF(VLOOKUP($E124,$D$5:$AI$471,3,)=0,0,(VLOOKUP($E124,$D$5:$AI$471,8,)/VLOOKUP($E124,$D$5:$AI$471,3,))*$F124)</f>
        <v>5182290.6723275157</v>
      </c>
      <c r="L124" s="18">
        <f>IF(VLOOKUP($E124,$D$5:$AI$471,3,)=0,0,(VLOOKUP($E124,$D$5:$AI$471,9,)/VLOOKUP($E124,$D$5:$AI$471,3,))*$F124)</f>
        <v>0</v>
      </c>
      <c r="M124" s="18">
        <f>IF(VLOOKUP($E124,$D$5:$AI$471,3,)=0,0,(VLOOKUP($E124,$D$5:$AI$471,10,)/VLOOKUP($E124,$D$5:$AI$471,3,))*$F124)</f>
        <v>0</v>
      </c>
      <c r="N124" s="18">
        <f>IF(VLOOKUP($E124,$D$5:$AI$471,3,)=0,0,(VLOOKUP($E124,$D$5:$AI$471,11,)/VLOOKUP($E124,$D$5:$AI$471,3,))*$F124)</f>
        <v>0</v>
      </c>
      <c r="O124" s="18">
        <f>IF(VLOOKUP($E124,$D$5:$AI$471,3,)=0,0,(VLOOKUP($E124,$D$5:$AI$471,12,)/VLOOKUP($E124,$D$5:$AI$471,3,))*$F124)</f>
        <v>0</v>
      </c>
      <c r="P124" s="18">
        <f>IF(VLOOKUP($E124,$D$5:$AI$471,3,)=0,0,(VLOOKUP($E124,$D$5:$AI$471,13,)/VLOOKUP($E124,$D$5:$AI$471,3,))*$F124)</f>
        <v>0</v>
      </c>
      <c r="Q124" s="18">
        <f>IF(VLOOKUP($E124,$D$5:$AI$471,3,)=0,0,(VLOOKUP($E124,$D$5:$AI$471,14,)/VLOOKUP($E124,$D$5:$AI$471,3,))*$F124)</f>
        <v>0</v>
      </c>
      <c r="R124" s="18">
        <f>IF(VLOOKUP($E124,$D$5:$AI$471,3,)=0,0,(VLOOKUP($E124,$D$5:$AI$471,15,)/VLOOKUP($E124,$D$5:$AI$471,3,))*$F124)</f>
        <v>0</v>
      </c>
      <c r="S124" s="18">
        <f>IF(VLOOKUP($E124,$D$5:$AI$471,3,)=0,0,(VLOOKUP($E124,$D$5:$AI$471,16,)/VLOOKUP($E124,$D$5:$AI$471,3,))*$F124)</f>
        <v>0</v>
      </c>
      <c r="T124" s="18">
        <f>IF(VLOOKUP($E124,$D$5:$AI$471,3,)=0,0,(VLOOKUP($E124,$D$5:$AI$471,17,)/VLOOKUP($E124,$D$5:$AI$471,3,))*$F124)</f>
        <v>0</v>
      </c>
      <c r="U124" s="18">
        <f>IF(VLOOKUP($E124,$D$5:$AI$471,3,)=0,0,(VLOOKUP($E124,$D$5:$AI$471,18,)/VLOOKUP($E124,$D$5:$AI$471,3,))*$F124)</f>
        <v>0</v>
      </c>
      <c r="V124" s="18">
        <f>IF(VLOOKUP($E124,$D$5:$AI$471,3,)=0,0,(VLOOKUP($E124,$D$5:$AI$471,19,)/VLOOKUP($E124,$D$5:$AI$471,3,))*$F124)</f>
        <v>0</v>
      </c>
      <c r="W124" s="18">
        <f>IF(VLOOKUP($E124,$D$5:$AI$471,3,)=0,0,(VLOOKUP($E124,$D$5:$AI$471,20,)/VLOOKUP($E124,$D$5:$AI$471,3,))*$F124)</f>
        <v>0</v>
      </c>
      <c r="X124" s="18">
        <f>IF(VLOOKUP($E124,$D$5:$AI$471,3,)=0,0,(VLOOKUP($E124,$D$5:$AI$471,21,)/VLOOKUP($E124,$D$5:$AI$471,3,))*$F124)</f>
        <v>0</v>
      </c>
      <c r="Y124" s="18">
        <f>IF(VLOOKUP($E124,$D$5:$AI$471,3,)=0,0,(VLOOKUP($E124,$D$5:$AI$471,22,)/VLOOKUP($E124,$D$5:$AI$471,3,))*$F124)</f>
        <v>0</v>
      </c>
      <c r="Z124" s="18">
        <f>IF(VLOOKUP($E124,$D$5:$AI$471,3,)=0,0,(VLOOKUP($E124,$D$5:$AI$471,23,)/VLOOKUP($E124,$D$5:$AI$471,3,))*$F124)</f>
        <v>0</v>
      </c>
      <c r="AA124" s="18">
        <f>IF(VLOOKUP($E124,$D$5:$AI$471,3,)=0,0,(VLOOKUP($E124,$D$5:$AI$471,24,)/VLOOKUP($E124,$D$5:$AI$471,3,))*$F124)</f>
        <v>0</v>
      </c>
      <c r="AB124" s="18">
        <f>IF(VLOOKUP($E124,$D$5:$AI$471,3,)=0,0,(VLOOKUP($E124,$D$5:$AI$471,25,)/VLOOKUP($E124,$D$5:$AI$471,3,))*$F124)</f>
        <v>0</v>
      </c>
      <c r="AC124" s="18">
        <f>IF(VLOOKUP($E124,$D$5:$AI$471,3,)=0,0,(VLOOKUP($E124,$D$5:$AI$471,26,)/VLOOKUP($E124,$D$5:$AI$471,3,))*$F124)</f>
        <v>0</v>
      </c>
      <c r="AD124" s="18">
        <f>IF(VLOOKUP($E124,$D$5:$AI$471,3,)=0,0,(VLOOKUP($E124,$D$5:$AI$471,27,)/VLOOKUP($E124,$D$5:$AI$471,3,))*$F124)</f>
        <v>0</v>
      </c>
      <c r="AE124" s="18">
        <f>IF(VLOOKUP($E124,$D$5:$AI$471,3,)=0,0,(VLOOKUP($E124,$D$5:$AI$471,28,)/VLOOKUP($E124,$D$5:$AI$471,3,))*$F124)</f>
        <v>0</v>
      </c>
      <c r="AF124" s="18">
        <f>IF(VLOOKUP($E124,$D$5:$AI$471,3,)=0,0,(VLOOKUP($E124,$D$5:$AI$471,29,)/VLOOKUP($E124,$D$5:$AI$471,3,))*$F124)</f>
        <v>0</v>
      </c>
      <c r="AG124" s="18">
        <f>IF(VLOOKUP($E124,$D$5:$AI$471,3,)=0,0,(VLOOKUP($E124,$D$5:$AI$471,30,)/VLOOKUP($E124,$D$5:$AI$471,3,))*$F124)</f>
        <v>0</v>
      </c>
      <c r="AH124" s="20">
        <f t="shared" ref="AH124:AH129" si="20">SUM(G124:AG124)</f>
        <v>50327438.868861638</v>
      </c>
      <c r="AI124" s="15" t="str">
        <f t="shared" ref="AI124:AI129" si="21">IF(ABS(F124-AH124)&lt;0.01,"ok","err")</f>
        <v>ok</v>
      </c>
    </row>
    <row r="125" spans="1:35" x14ac:dyDescent="0.3">
      <c r="A125" s="21" t="s">
        <v>534</v>
      </c>
      <c r="C125" s="2" t="s">
        <v>479</v>
      </c>
      <c r="D125" s="2" t="s">
        <v>599</v>
      </c>
      <c r="E125" s="2" t="s">
        <v>536</v>
      </c>
      <c r="F125" s="18">
        <f>VLOOKUP(C125,'Functional Assignment'!$C$1:$AU$563,7,)</f>
        <v>62090642.016549282</v>
      </c>
      <c r="G125" s="18">
        <f>IF(VLOOKUP($E125,$D$5:$AI$471,3,)=0,0,(VLOOKUP($E125,$D$5:$AI$471,4,)/VLOOKUP($E125,$D$5:$AI$471,3,))*$F125)</f>
        <v>44937316.321676522</v>
      </c>
      <c r="H125" s="18">
        <f>IF(VLOOKUP($E125,$D$5:$AI$471,3,)=0,0,(VLOOKUP($E125,$D$5:$AI$471,5,)/VLOOKUP($E125,$D$5:$AI$471,3,))*$F125)</f>
        <v>5185220.0041203815</v>
      </c>
      <c r="I125" s="18">
        <f>IF(VLOOKUP($E125,$D$5:$AI$471,3,)=0,0,(VLOOKUP($E125,$D$5:$AI$471,6,)/VLOOKUP($E125,$D$5:$AI$471,3,))*$F125)</f>
        <v>2107331.6108478126</v>
      </c>
      <c r="J125" s="18">
        <f>IF(VLOOKUP($E125,$D$5:$AI$471,3,)=0,0,(VLOOKUP($E125,$D$5:$AI$471,7,)/VLOOKUP($E125,$D$5:$AI$471,3,))*$F125)</f>
        <v>3127919.1764999288</v>
      </c>
      <c r="K125" s="18">
        <f>IF(VLOOKUP($E125,$D$5:$AI$471,3,)=0,0,(VLOOKUP($E125,$D$5:$AI$471,8,)/VLOOKUP($E125,$D$5:$AI$471,3,))*$F125)</f>
        <v>6732854.9034046326</v>
      </c>
      <c r="L125" s="18">
        <f>IF(VLOOKUP($E125,$D$5:$AI$471,3,)=0,0,(VLOOKUP($E125,$D$5:$AI$471,9,)/VLOOKUP($E125,$D$5:$AI$471,3,))*$F125)</f>
        <v>0</v>
      </c>
      <c r="M125" s="18">
        <f>IF(VLOOKUP($E125,$D$5:$AI$471,3,)=0,0,(VLOOKUP($E125,$D$5:$AI$471,10,)/VLOOKUP($E125,$D$5:$AI$471,3,))*$F125)</f>
        <v>0</v>
      </c>
      <c r="N125" s="18">
        <f>IF(VLOOKUP($E125,$D$5:$AI$471,3,)=0,0,(VLOOKUP($E125,$D$5:$AI$471,11,)/VLOOKUP($E125,$D$5:$AI$471,3,))*$F125)</f>
        <v>0</v>
      </c>
      <c r="O125" s="18">
        <f>IF(VLOOKUP($E125,$D$5:$AI$471,3,)=0,0,(VLOOKUP($E125,$D$5:$AI$471,12,)/VLOOKUP($E125,$D$5:$AI$471,3,))*$F125)</f>
        <v>0</v>
      </c>
      <c r="P125" s="18">
        <f>IF(VLOOKUP($E125,$D$5:$AI$471,3,)=0,0,(VLOOKUP($E125,$D$5:$AI$471,13,)/VLOOKUP($E125,$D$5:$AI$471,3,))*$F125)</f>
        <v>0</v>
      </c>
      <c r="Q125" s="18">
        <f>IF(VLOOKUP($E125,$D$5:$AI$471,3,)=0,0,(VLOOKUP($E125,$D$5:$AI$471,14,)/VLOOKUP($E125,$D$5:$AI$471,3,))*$F125)</f>
        <v>0</v>
      </c>
      <c r="R125" s="18">
        <f>IF(VLOOKUP($E125,$D$5:$AI$471,3,)=0,0,(VLOOKUP($E125,$D$5:$AI$471,15,)/VLOOKUP($E125,$D$5:$AI$471,3,))*$F125)</f>
        <v>0</v>
      </c>
      <c r="S125" s="18">
        <f>IF(VLOOKUP($E125,$D$5:$AI$471,3,)=0,0,(VLOOKUP($E125,$D$5:$AI$471,16,)/VLOOKUP($E125,$D$5:$AI$471,3,))*$F125)</f>
        <v>0</v>
      </c>
      <c r="T125" s="18">
        <f>IF(VLOOKUP($E125,$D$5:$AI$471,3,)=0,0,(VLOOKUP($E125,$D$5:$AI$471,17,)/VLOOKUP($E125,$D$5:$AI$471,3,))*$F125)</f>
        <v>0</v>
      </c>
      <c r="U125" s="18">
        <f>IF(VLOOKUP($E125,$D$5:$AI$471,3,)=0,0,(VLOOKUP($E125,$D$5:$AI$471,18,)/VLOOKUP($E125,$D$5:$AI$471,3,))*$F125)</f>
        <v>0</v>
      </c>
      <c r="V125" s="18">
        <f>IF(VLOOKUP($E125,$D$5:$AI$471,3,)=0,0,(VLOOKUP($E125,$D$5:$AI$471,19,)/VLOOKUP($E125,$D$5:$AI$471,3,))*$F125)</f>
        <v>0</v>
      </c>
      <c r="W125" s="18">
        <f>IF(VLOOKUP($E125,$D$5:$AI$471,3,)=0,0,(VLOOKUP($E125,$D$5:$AI$471,20,)/VLOOKUP($E125,$D$5:$AI$471,3,))*$F125)</f>
        <v>0</v>
      </c>
      <c r="X125" s="18">
        <f>IF(VLOOKUP($E125,$D$5:$AI$471,3,)=0,0,(VLOOKUP($E125,$D$5:$AI$471,21,)/VLOOKUP($E125,$D$5:$AI$471,3,))*$F125)</f>
        <v>0</v>
      </c>
      <c r="Y125" s="18">
        <f>IF(VLOOKUP($E125,$D$5:$AI$471,3,)=0,0,(VLOOKUP($E125,$D$5:$AI$471,22,)/VLOOKUP($E125,$D$5:$AI$471,3,))*$F125)</f>
        <v>0</v>
      </c>
      <c r="Z125" s="18">
        <f>IF(VLOOKUP($E125,$D$5:$AI$471,3,)=0,0,(VLOOKUP($E125,$D$5:$AI$471,23,)/VLOOKUP($E125,$D$5:$AI$471,3,))*$F125)</f>
        <v>0</v>
      </c>
      <c r="AA125" s="18">
        <f>IF(VLOOKUP($E125,$D$5:$AI$471,3,)=0,0,(VLOOKUP($E125,$D$5:$AI$471,24,)/VLOOKUP($E125,$D$5:$AI$471,3,))*$F125)</f>
        <v>0</v>
      </c>
      <c r="AB125" s="18">
        <f>IF(VLOOKUP($E125,$D$5:$AI$471,3,)=0,0,(VLOOKUP($E125,$D$5:$AI$471,25,)/VLOOKUP($E125,$D$5:$AI$471,3,))*$F125)</f>
        <v>0</v>
      </c>
      <c r="AC125" s="18">
        <f>IF(VLOOKUP($E125,$D$5:$AI$471,3,)=0,0,(VLOOKUP($E125,$D$5:$AI$471,26,)/VLOOKUP($E125,$D$5:$AI$471,3,))*$F125)</f>
        <v>0</v>
      </c>
      <c r="AD125" s="18">
        <f>IF(VLOOKUP($E125,$D$5:$AI$471,3,)=0,0,(VLOOKUP($E125,$D$5:$AI$471,27,)/VLOOKUP($E125,$D$5:$AI$471,3,))*$F125)</f>
        <v>0</v>
      </c>
      <c r="AE125" s="18">
        <f>IF(VLOOKUP($E125,$D$5:$AI$471,3,)=0,0,(VLOOKUP($E125,$D$5:$AI$471,28,)/VLOOKUP($E125,$D$5:$AI$471,3,))*$F125)</f>
        <v>0</v>
      </c>
      <c r="AF125" s="18">
        <f>IF(VLOOKUP($E125,$D$5:$AI$471,3,)=0,0,(VLOOKUP($E125,$D$5:$AI$471,29,)/VLOOKUP($E125,$D$5:$AI$471,3,))*$F125)</f>
        <v>0</v>
      </c>
      <c r="AG125" s="18">
        <f>IF(VLOOKUP($E125,$D$5:$AI$471,3,)=0,0,(VLOOKUP($E125,$D$5:$AI$471,30,)/VLOOKUP($E125,$D$5:$AI$471,3,))*$F125)</f>
        <v>0</v>
      </c>
      <c r="AH125" s="20">
        <f t="shared" si="20"/>
        <v>62090642.016549274</v>
      </c>
      <c r="AI125" s="15" t="str">
        <f t="shared" si="21"/>
        <v>ok</v>
      </c>
    </row>
    <row r="126" spans="1:35" x14ac:dyDescent="0.3">
      <c r="A126" s="21" t="s">
        <v>537</v>
      </c>
      <c r="C126" s="2" t="s">
        <v>479</v>
      </c>
      <c r="D126" s="2" t="s">
        <v>600</v>
      </c>
      <c r="E126" s="2" t="s">
        <v>539</v>
      </c>
      <c r="F126" s="18">
        <f>VLOOKUP(C126,'Functional Assignment'!$C$1:$AU$563,8,)</f>
        <v>0</v>
      </c>
      <c r="G126" s="18">
        <f>IF(VLOOKUP($E126,$D$5:$AI$471,3,)=0,0,(VLOOKUP($E126,$D$5:$AI$471,4,)/VLOOKUP($E126,$D$5:$AI$471,3,))*$F126)</f>
        <v>0</v>
      </c>
      <c r="H126" s="18">
        <f>IF(VLOOKUP($E126,$D$5:$AI$471,3,)=0,0,(VLOOKUP($E126,$D$5:$AI$471,5,)/VLOOKUP($E126,$D$5:$AI$471,3,))*$F126)</f>
        <v>0</v>
      </c>
      <c r="I126" s="18">
        <f>IF(VLOOKUP($E126,$D$5:$AI$471,3,)=0,0,(VLOOKUP($E126,$D$5:$AI$471,6,)/VLOOKUP($E126,$D$5:$AI$471,3,))*$F126)</f>
        <v>0</v>
      </c>
      <c r="J126" s="18">
        <f>IF(VLOOKUP($E126,$D$5:$AI$471,3,)=0,0,(VLOOKUP($E126,$D$5:$AI$471,7,)/VLOOKUP($E126,$D$5:$AI$471,3,))*$F126)</f>
        <v>0</v>
      </c>
      <c r="K126" s="18">
        <f>IF(VLOOKUP($E126,$D$5:$AI$471,3,)=0,0,(VLOOKUP($E126,$D$5:$AI$471,8,)/VLOOKUP($E126,$D$5:$AI$471,3,))*$F126)</f>
        <v>0</v>
      </c>
      <c r="L126" s="18">
        <f>IF(VLOOKUP($E126,$D$5:$AI$471,3,)=0,0,(VLOOKUP($E126,$D$5:$AI$471,9,)/VLOOKUP($E126,$D$5:$AI$471,3,))*$F126)</f>
        <v>0</v>
      </c>
      <c r="M126" s="18">
        <f>IF(VLOOKUP($E126,$D$5:$AI$471,3,)=0,0,(VLOOKUP($E126,$D$5:$AI$471,10,)/VLOOKUP($E126,$D$5:$AI$471,3,))*$F126)</f>
        <v>0</v>
      </c>
      <c r="N126" s="18">
        <f>IF(VLOOKUP($E126,$D$5:$AI$471,3,)=0,0,(VLOOKUP($E126,$D$5:$AI$471,11,)/VLOOKUP($E126,$D$5:$AI$471,3,))*$F126)</f>
        <v>0</v>
      </c>
      <c r="O126" s="18">
        <f>IF(VLOOKUP($E126,$D$5:$AI$471,3,)=0,0,(VLOOKUP($E126,$D$5:$AI$471,12,)/VLOOKUP($E126,$D$5:$AI$471,3,))*$F126)</f>
        <v>0</v>
      </c>
      <c r="P126" s="18">
        <f>IF(VLOOKUP($E126,$D$5:$AI$471,3,)=0,0,(VLOOKUP($E126,$D$5:$AI$471,13,)/VLOOKUP($E126,$D$5:$AI$471,3,))*$F126)</f>
        <v>0</v>
      </c>
      <c r="Q126" s="18">
        <f>IF(VLOOKUP($E126,$D$5:$AI$471,3,)=0,0,(VLOOKUP($E126,$D$5:$AI$471,14,)/VLOOKUP($E126,$D$5:$AI$471,3,))*$F126)</f>
        <v>0</v>
      </c>
      <c r="R126" s="18">
        <f>IF(VLOOKUP($E126,$D$5:$AI$471,3,)=0,0,(VLOOKUP($E126,$D$5:$AI$471,15,)/VLOOKUP($E126,$D$5:$AI$471,3,))*$F126)</f>
        <v>0</v>
      </c>
      <c r="S126" s="18">
        <f>IF(VLOOKUP($E126,$D$5:$AI$471,3,)=0,0,(VLOOKUP($E126,$D$5:$AI$471,16,)/VLOOKUP($E126,$D$5:$AI$471,3,))*$F126)</f>
        <v>0</v>
      </c>
      <c r="T126" s="18">
        <f>IF(VLOOKUP($E126,$D$5:$AI$471,3,)=0,0,(VLOOKUP($E126,$D$5:$AI$471,17,)/VLOOKUP($E126,$D$5:$AI$471,3,))*$F126)</f>
        <v>0</v>
      </c>
      <c r="U126" s="18">
        <f>IF(VLOOKUP($E126,$D$5:$AI$471,3,)=0,0,(VLOOKUP($E126,$D$5:$AI$471,18,)/VLOOKUP($E126,$D$5:$AI$471,3,))*$F126)</f>
        <v>0</v>
      </c>
      <c r="V126" s="18">
        <f>IF(VLOOKUP($E126,$D$5:$AI$471,3,)=0,0,(VLOOKUP($E126,$D$5:$AI$471,19,)/VLOOKUP($E126,$D$5:$AI$471,3,))*$F126)</f>
        <v>0</v>
      </c>
      <c r="W126" s="18">
        <f>IF(VLOOKUP($E126,$D$5:$AI$471,3,)=0,0,(VLOOKUP($E126,$D$5:$AI$471,20,)/VLOOKUP($E126,$D$5:$AI$471,3,))*$F126)</f>
        <v>0</v>
      </c>
      <c r="X126" s="18">
        <f>IF(VLOOKUP($E126,$D$5:$AI$471,3,)=0,0,(VLOOKUP($E126,$D$5:$AI$471,21,)/VLOOKUP($E126,$D$5:$AI$471,3,))*$F126)</f>
        <v>0</v>
      </c>
      <c r="Y126" s="18">
        <f>IF(VLOOKUP($E126,$D$5:$AI$471,3,)=0,0,(VLOOKUP($E126,$D$5:$AI$471,22,)/VLOOKUP($E126,$D$5:$AI$471,3,))*$F126)</f>
        <v>0</v>
      </c>
      <c r="Z126" s="18">
        <f>IF(VLOOKUP($E126,$D$5:$AI$471,3,)=0,0,(VLOOKUP($E126,$D$5:$AI$471,23,)/VLOOKUP($E126,$D$5:$AI$471,3,))*$F126)</f>
        <v>0</v>
      </c>
      <c r="AA126" s="18">
        <f>IF(VLOOKUP($E126,$D$5:$AI$471,3,)=0,0,(VLOOKUP($E126,$D$5:$AI$471,24,)/VLOOKUP($E126,$D$5:$AI$471,3,))*$F126)</f>
        <v>0</v>
      </c>
      <c r="AB126" s="18">
        <f>IF(VLOOKUP($E126,$D$5:$AI$471,3,)=0,0,(VLOOKUP($E126,$D$5:$AI$471,25,)/VLOOKUP($E126,$D$5:$AI$471,3,))*$F126)</f>
        <v>0</v>
      </c>
      <c r="AC126" s="18">
        <f>IF(VLOOKUP($E126,$D$5:$AI$471,3,)=0,0,(VLOOKUP($E126,$D$5:$AI$471,26,)/VLOOKUP($E126,$D$5:$AI$471,3,))*$F126)</f>
        <v>0</v>
      </c>
      <c r="AD126" s="18">
        <f>IF(VLOOKUP($E126,$D$5:$AI$471,3,)=0,0,(VLOOKUP($E126,$D$5:$AI$471,27,)/VLOOKUP($E126,$D$5:$AI$471,3,))*$F126)</f>
        <v>0</v>
      </c>
      <c r="AE126" s="18">
        <f>IF(VLOOKUP($E126,$D$5:$AI$471,3,)=0,0,(VLOOKUP($E126,$D$5:$AI$471,28,)/VLOOKUP($E126,$D$5:$AI$471,3,))*$F126)</f>
        <v>0</v>
      </c>
      <c r="AF126" s="18">
        <f>IF(VLOOKUP($E126,$D$5:$AI$471,3,)=0,0,(VLOOKUP($E126,$D$5:$AI$471,29,)/VLOOKUP($E126,$D$5:$AI$471,3,))*$F126)</f>
        <v>0</v>
      </c>
      <c r="AG126" s="18">
        <f>IF(VLOOKUP($E126,$D$5:$AI$471,3,)=0,0,(VLOOKUP($E126,$D$5:$AI$471,30,)/VLOOKUP($E126,$D$5:$AI$471,3,))*$F126)</f>
        <v>0</v>
      </c>
      <c r="AH126" s="20">
        <f t="shared" si="20"/>
        <v>0</v>
      </c>
      <c r="AI126" s="15" t="str">
        <f t="shared" si="21"/>
        <v>ok</v>
      </c>
    </row>
    <row r="127" spans="1:35" x14ac:dyDescent="0.3">
      <c r="A127" s="21" t="s">
        <v>540</v>
      </c>
      <c r="C127" s="2" t="s">
        <v>479</v>
      </c>
      <c r="D127" s="2" t="s">
        <v>601</v>
      </c>
      <c r="E127" s="2" t="s">
        <v>542</v>
      </c>
      <c r="F127" s="18">
        <f>VLOOKUP(C127,'Functional Assignment'!$C$1:$AU$563,9,)</f>
        <v>0</v>
      </c>
      <c r="G127" s="18">
        <f>IF(VLOOKUP($E127,$D$5:$AI$471,3,)=0,0,(VLOOKUP($E127,$D$5:$AI$471,4,)/VLOOKUP($E127,$D$5:$AI$471,3,))*$F127)</f>
        <v>0</v>
      </c>
      <c r="H127" s="18">
        <f>IF(VLOOKUP($E127,$D$5:$AI$471,3,)=0,0,(VLOOKUP($E127,$D$5:$AI$471,5,)/VLOOKUP($E127,$D$5:$AI$471,3,))*$F127)</f>
        <v>0</v>
      </c>
      <c r="I127" s="18">
        <f>IF(VLOOKUP($E127,$D$5:$AI$471,3,)=0,0,(VLOOKUP($E127,$D$5:$AI$471,6,)/VLOOKUP($E127,$D$5:$AI$471,3,))*$F127)</f>
        <v>0</v>
      </c>
      <c r="J127" s="18">
        <f>IF(VLOOKUP($E127,$D$5:$AI$471,3,)=0,0,(VLOOKUP($E127,$D$5:$AI$471,7,)/VLOOKUP($E127,$D$5:$AI$471,3,))*$F127)</f>
        <v>0</v>
      </c>
      <c r="K127" s="18">
        <f>IF(VLOOKUP($E127,$D$5:$AI$471,3,)=0,0,(VLOOKUP($E127,$D$5:$AI$471,8,)/VLOOKUP($E127,$D$5:$AI$471,3,))*$F127)</f>
        <v>0</v>
      </c>
      <c r="L127" s="18">
        <f>IF(VLOOKUP($E127,$D$5:$AI$471,3,)=0,0,(VLOOKUP($E127,$D$5:$AI$471,9,)/VLOOKUP($E127,$D$5:$AI$471,3,))*$F127)</f>
        <v>0</v>
      </c>
      <c r="M127" s="18">
        <f>IF(VLOOKUP($E127,$D$5:$AI$471,3,)=0,0,(VLOOKUP($E127,$D$5:$AI$471,10,)/VLOOKUP($E127,$D$5:$AI$471,3,))*$F127)</f>
        <v>0</v>
      </c>
      <c r="N127" s="18">
        <f>IF(VLOOKUP($E127,$D$5:$AI$471,3,)=0,0,(VLOOKUP($E127,$D$5:$AI$471,11,)/VLOOKUP($E127,$D$5:$AI$471,3,))*$F127)</f>
        <v>0</v>
      </c>
      <c r="O127" s="18">
        <f>IF(VLOOKUP($E127,$D$5:$AI$471,3,)=0,0,(VLOOKUP($E127,$D$5:$AI$471,12,)/VLOOKUP($E127,$D$5:$AI$471,3,))*$F127)</f>
        <v>0</v>
      </c>
      <c r="P127" s="18">
        <f>IF(VLOOKUP($E127,$D$5:$AI$471,3,)=0,0,(VLOOKUP($E127,$D$5:$AI$471,13,)/VLOOKUP($E127,$D$5:$AI$471,3,))*$F127)</f>
        <v>0</v>
      </c>
      <c r="Q127" s="18">
        <f>IF(VLOOKUP($E127,$D$5:$AI$471,3,)=0,0,(VLOOKUP($E127,$D$5:$AI$471,14,)/VLOOKUP($E127,$D$5:$AI$471,3,))*$F127)</f>
        <v>0</v>
      </c>
      <c r="R127" s="18">
        <f>IF(VLOOKUP($E127,$D$5:$AI$471,3,)=0,0,(VLOOKUP($E127,$D$5:$AI$471,15,)/VLOOKUP($E127,$D$5:$AI$471,3,))*$F127)</f>
        <v>0</v>
      </c>
      <c r="S127" s="18">
        <f>IF(VLOOKUP($E127,$D$5:$AI$471,3,)=0,0,(VLOOKUP($E127,$D$5:$AI$471,16,)/VLOOKUP($E127,$D$5:$AI$471,3,))*$F127)</f>
        <v>0</v>
      </c>
      <c r="T127" s="18">
        <f>IF(VLOOKUP($E127,$D$5:$AI$471,3,)=0,0,(VLOOKUP($E127,$D$5:$AI$471,17,)/VLOOKUP($E127,$D$5:$AI$471,3,))*$F127)</f>
        <v>0</v>
      </c>
      <c r="U127" s="18">
        <f>IF(VLOOKUP($E127,$D$5:$AI$471,3,)=0,0,(VLOOKUP($E127,$D$5:$AI$471,18,)/VLOOKUP($E127,$D$5:$AI$471,3,))*$F127)</f>
        <v>0</v>
      </c>
      <c r="V127" s="18">
        <f>IF(VLOOKUP($E127,$D$5:$AI$471,3,)=0,0,(VLOOKUP($E127,$D$5:$AI$471,19,)/VLOOKUP($E127,$D$5:$AI$471,3,))*$F127)</f>
        <v>0</v>
      </c>
      <c r="W127" s="18">
        <f>IF(VLOOKUP($E127,$D$5:$AI$471,3,)=0,0,(VLOOKUP($E127,$D$5:$AI$471,20,)/VLOOKUP($E127,$D$5:$AI$471,3,))*$F127)</f>
        <v>0</v>
      </c>
      <c r="X127" s="18">
        <f>IF(VLOOKUP($E127,$D$5:$AI$471,3,)=0,0,(VLOOKUP($E127,$D$5:$AI$471,21,)/VLOOKUP($E127,$D$5:$AI$471,3,))*$F127)</f>
        <v>0</v>
      </c>
      <c r="Y127" s="18">
        <f>IF(VLOOKUP($E127,$D$5:$AI$471,3,)=0,0,(VLOOKUP($E127,$D$5:$AI$471,22,)/VLOOKUP($E127,$D$5:$AI$471,3,))*$F127)</f>
        <v>0</v>
      </c>
      <c r="Z127" s="18">
        <f>IF(VLOOKUP($E127,$D$5:$AI$471,3,)=0,0,(VLOOKUP($E127,$D$5:$AI$471,23,)/VLOOKUP($E127,$D$5:$AI$471,3,))*$F127)</f>
        <v>0</v>
      </c>
      <c r="AA127" s="18">
        <f>IF(VLOOKUP($E127,$D$5:$AI$471,3,)=0,0,(VLOOKUP($E127,$D$5:$AI$471,24,)/VLOOKUP($E127,$D$5:$AI$471,3,))*$F127)</f>
        <v>0</v>
      </c>
      <c r="AB127" s="18">
        <f>IF(VLOOKUP($E127,$D$5:$AI$471,3,)=0,0,(VLOOKUP($E127,$D$5:$AI$471,25,)/VLOOKUP($E127,$D$5:$AI$471,3,))*$F127)</f>
        <v>0</v>
      </c>
      <c r="AC127" s="18">
        <f>IF(VLOOKUP($E127,$D$5:$AI$471,3,)=0,0,(VLOOKUP($E127,$D$5:$AI$471,26,)/VLOOKUP($E127,$D$5:$AI$471,3,))*$F127)</f>
        <v>0</v>
      </c>
      <c r="AD127" s="18">
        <f>IF(VLOOKUP($E127,$D$5:$AI$471,3,)=0,0,(VLOOKUP($E127,$D$5:$AI$471,27,)/VLOOKUP($E127,$D$5:$AI$471,3,))*$F127)</f>
        <v>0</v>
      </c>
      <c r="AE127" s="18">
        <f>IF(VLOOKUP($E127,$D$5:$AI$471,3,)=0,0,(VLOOKUP($E127,$D$5:$AI$471,28,)/VLOOKUP($E127,$D$5:$AI$471,3,))*$F127)</f>
        <v>0</v>
      </c>
      <c r="AF127" s="18">
        <f>IF(VLOOKUP($E127,$D$5:$AI$471,3,)=0,0,(VLOOKUP($E127,$D$5:$AI$471,29,)/VLOOKUP($E127,$D$5:$AI$471,3,))*$F127)</f>
        <v>0</v>
      </c>
      <c r="AG127" s="18">
        <f>IF(VLOOKUP($E127,$D$5:$AI$471,3,)=0,0,(VLOOKUP($E127,$D$5:$AI$471,30,)/VLOOKUP($E127,$D$5:$AI$471,3,))*$F127)</f>
        <v>0</v>
      </c>
      <c r="AH127" s="20">
        <f t="shared" si="20"/>
        <v>0</v>
      </c>
      <c r="AI127" s="15" t="str">
        <f t="shared" si="21"/>
        <v>ok</v>
      </c>
    </row>
    <row r="128" spans="1:35" x14ac:dyDescent="0.3">
      <c r="A128" s="21" t="s">
        <v>543</v>
      </c>
      <c r="C128" s="2" t="s">
        <v>479</v>
      </c>
      <c r="D128" s="2" t="s">
        <v>602</v>
      </c>
      <c r="E128" s="2" t="s">
        <v>545</v>
      </c>
      <c r="F128" s="18">
        <f>VLOOKUP(C128,'Functional Assignment'!$C$1:$AU$563,10,)</f>
        <v>708919.32296040934</v>
      </c>
      <c r="G128" s="18">
        <f>IF(VLOOKUP($E128,$D$5:$AI$471,3,)=0,0,(VLOOKUP($E128,$D$5:$AI$471,4,)/VLOOKUP($E128,$D$5:$AI$471,3,))*$F128)</f>
        <v>0</v>
      </c>
      <c r="H128" s="18">
        <f>IF(VLOOKUP($E128,$D$5:$AI$471,3,)=0,0,(VLOOKUP($E128,$D$5:$AI$471,5,)/VLOOKUP($E128,$D$5:$AI$471,3,))*$F128)</f>
        <v>0</v>
      </c>
      <c r="I128" s="18">
        <f>IF(VLOOKUP($E128,$D$5:$AI$471,3,)=0,0,(VLOOKUP($E128,$D$5:$AI$471,6,)/VLOOKUP($E128,$D$5:$AI$471,3,))*$F128)</f>
        <v>0</v>
      </c>
      <c r="J128" s="18">
        <f>IF(VLOOKUP($E128,$D$5:$AI$471,3,)=0,0,(VLOOKUP($E128,$D$5:$AI$471,7,)/VLOOKUP($E128,$D$5:$AI$471,3,))*$F128)</f>
        <v>0</v>
      </c>
      <c r="K128" s="18">
        <f>IF(VLOOKUP($E128,$D$5:$AI$471,3,)=0,0,(VLOOKUP($E128,$D$5:$AI$471,8,)/VLOOKUP($E128,$D$5:$AI$471,3,))*$F128)</f>
        <v>0</v>
      </c>
      <c r="L128" s="18">
        <f>IF(VLOOKUP($E128,$D$5:$AI$471,3,)=0,0,(VLOOKUP($E128,$D$5:$AI$471,9,)/VLOOKUP($E128,$D$5:$AI$471,3,))*$F128)</f>
        <v>0</v>
      </c>
      <c r="M128" s="18">
        <f>IF(VLOOKUP($E128,$D$5:$AI$471,3,)=0,0,(VLOOKUP($E128,$D$5:$AI$471,10,)/VLOOKUP($E128,$D$5:$AI$471,3,))*$F128)</f>
        <v>708919.32296040934</v>
      </c>
      <c r="N128" s="18">
        <f>IF(VLOOKUP($E128,$D$5:$AI$471,3,)=0,0,(VLOOKUP($E128,$D$5:$AI$471,11,)/VLOOKUP($E128,$D$5:$AI$471,3,))*$F128)</f>
        <v>0</v>
      </c>
      <c r="O128" s="18">
        <f>IF(VLOOKUP($E128,$D$5:$AI$471,3,)=0,0,(VLOOKUP($E128,$D$5:$AI$471,12,)/VLOOKUP($E128,$D$5:$AI$471,3,))*$F128)</f>
        <v>0</v>
      </c>
      <c r="P128" s="18">
        <f>IF(VLOOKUP($E128,$D$5:$AI$471,3,)=0,0,(VLOOKUP($E128,$D$5:$AI$471,13,)/VLOOKUP($E128,$D$5:$AI$471,3,))*$F128)</f>
        <v>0</v>
      </c>
      <c r="Q128" s="18">
        <f>IF(VLOOKUP($E128,$D$5:$AI$471,3,)=0,0,(VLOOKUP($E128,$D$5:$AI$471,14,)/VLOOKUP($E128,$D$5:$AI$471,3,))*$F128)</f>
        <v>0</v>
      </c>
      <c r="R128" s="18">
        <f>IF(VLOOKUP($E128,$D$5:$AI$471,3,)=0,0,(VLOOKUP($E128,$D$5:$AI$471,15,)/VLOOKUP($E128,$D$5:$AI$471,3,))*$F128)</f>
        <v>0</v>
      </c>
      <c r="S128" s="18">
        <f>IF(VLOOKUP($E128,$D$5:$AI$471,3,)=0,0,(VLOOKUP($E128,$D$5:$AI$471,16,)/VLOOKUP($E128,$D$5:$AI$471,3,))*$F128)</f>
        <v>0</v>
      </c>
      <c r="T128" s="18">
        <f>IF(VLOOKUP($E128,$D$5:$AI$471,3,)=0,0,(VLOOKUP($E128,$D$5:$AI$471,17,)/VLOOKUP($E128,$D$5:$AI$471,3,))*$F128)</f>
        <v>0</v>
      </c>
      <c r="U128" s="18">
        <f>IF(VLOOKUP($E128,$D$5:$AI$471,3,)=0,0,(VLOOKUP($E128,$D$5:$AI$471,18,)/VLOOKUP($E128,$D$5:$AI$471,3,))*$F128)</f>
        <v>0</v>
      </c>
      <c r="V128" s="18">
        <f>IF(VLOOKUP($E128,$D$5:$AI$471,3,)=0,0,(VLOOKUP($E128,$D$5:$AI$471,19,)/VLOOKUP($E128,$D$5:$AI$471,3,))*$F128)</f>
        <v>0</v>
      </c>
      <c r="W128" s="18">
        <f>IF(VLOOKUP($E128,$D$5:$AI$471,3,)=0,0,(VLOOKUP($E128,$D$5:$AI$471,20,)/VLOOKUP($E128,$D$5:$AI$471,3,))*$F128)</f>
        <v>0</v>
      </c>
      <c r="X128" s="18">
        <f>IF(VLOOKUP($E128,$D$5:$AI$471,3,)=0,0,(VLOOKUP($E128,$D$5:$AI$471,21,)/VLOOKUP($E128,$D$5:$AI$471,3,))*$F128)</f>
        <v>0</v>
      </c>
      <c r="Y128" s="18">
        <f>IF(VLOOKUP($E128,$D$5:$AI$471,3,)=0,0,(VLOOKUP($E128,$D$5:$AI$471,22,)/VLOOKUP($E128,$D$5:$AI$471,3,))*$F128)</f>
        <v>0</v>
      </c>
      <c r="Z128" s="18">
        <f>IF(VLOOKUP($E128,$D$5:$AI$471,3,)=0,0,(VLOOKUP($E128,$D$5:$AI$471,23,)/VLOOKUP($E128,$D$5:$AI$471,3,))*$F128)</f>
        <v>0</v>
      </c>
      <c r="AA128" s="18">
        <f>IF(VLOOKUP($E128,$D$5:$AI$471,3,)=0,0,(VLOOKUP($E128,$D$5:$AI$471,24,)/VLOOKUP($E128,$D$5:$AI$471,3,))*$F128)</f>
        <v>0</v>
      </c>
      <c r="AB128" s="18">
        <f>IF(VLOOKUP($E128,$D$5:$AI$471,3,)=0,0,(VLOOKUP($E128,$D$5:$AI$471,25,)/VLOOKUP($E128,$D$5:$AI$471,3,))*$F128)</f>
        <v>0</v>
      </c>
      <c r="AC128" s="18">
        <f>IF(VLOOKUP($E128,$D$5:$AI$471,3,)=0,0,(VLOOKUP($E128,$D$5:$AI$471,26,)/VLOOKUP($E128,$D$5:$AI$471,3,))*$F128)</f>
        <v>0</v>
      </c>
      <c r="AD128" s="18">
        <f>IF(VLOOKUP($E128,$D$5:$AI$471,3,)=0,0,(VLOOKUP($E128,$D$5:$AI$471,27,)/VLOOKUP($E128,$D$5:$AI$471,3,))*$F128)</f>
        <v>0</v>
      </c>
      <c r="AE128" s="18">
        <f>IF(VLOOKUP($E128,$D$5:$AI$471,3,)=0,0,(VLOOKUP($E128,$D$5:$AI$471,28,)/VLOOKUP($E128,$D$5:$AI$471,3,))*$F128)</f>
        <v>0</v>
      </c>
      <c r="AF128" s="18">
        <f>IF(VLOOKUP($E128,$D$5:$AI$471,3,)=0,0,(VLOOKUP($E128,$D$5:$AI$471,29,)/VLOOKUP($E128,$D$5:$AI$471,3,))*$F128)</f>
        <v>0</v>
      </c>
      <c r="AG128" s="18">
        <f>IF(VLOOKUP($E128,$D$5:$AI$471,3,)=0,0,(VLOOKUP($E128,$D$5:$AI$471,30,)/VLOOKUP($E128,$D$5:$AI$471,3,))*$F128)</f>
        <v>0</v>
      </c>
      <c r="AH128" s="20">
        <f t="shared" si="20"/>
        <v>708919.32296040934</v>
      </c>
      <c r="AI128" s="15" t="str">
        <f t="shared" si="21"/>
        <v>ok</v>
      </c>
    </row>
    <row r="129" spans="1:35" x14ac:dyDescent="0.3">
      <c r="A129" s="2" t="s">
        <v>546</v>
      </c>
      <c r="D129" s="2" t="s">
        <v>603</v>
      </c>
      <c r="F129" s="18">
        <f>SUM(F124:F128)</f>
        <v>113127000.20837134</v>
      </c>
      <c r="G129" s="18">
        <f t="shared" ref="G129:AG129" si="22">SUM(G124:G128)</f>
        <v>86416013.713611618</v>
      </c>
      <c r="H129" s="18">
        <f t="shared" si="22"/>
        <v>7253102.0790741723</v>
      </c>
      <c r="I129" s="18">
        <f t="shared" si="22"/>
        <v>2612909.1502031828</v>
      </c>
      <c r="J129" s="18">
        <f t="shared" si="22"/>
        <v>4220910.366789788</v>
      </c>
      <c r="K129" s="18">
        <f t="shared" si="22"/>
        <v>11915145.575732149</v>
      </c>
      <c r="L129" s="18">
        <f t="shared" si="22"/>
        <v>0</v>
      </c>
      <c r="M129" s="18">
        <f t="shared" si="22"/>
        <v>708919.32296040934</v>
      </c>
      <c r="N129" s="18">
        <f t="shared" si="22"/>
        <v>0</v>
      </c>
      <c r="O129" s="18">
        <f t="shared" si="22"/>
        <v>0</v>
      </c>
      <c r="P129" s="18">
        <f t="shared" si="22"/>
        <v>0</v>
      </c>
      <c r="Q129" s="18">
        <f t="shared" si="22"/>
        <v>0</v>
      </c>
      <c r="R129" s="18">
        <f t="shared" si="22"/>
        <v>0</v>
      </c>
      <c r="S129" s="18">
        <f t="shared" si="22"/>
        <v>0</v>
      </c>
      <c r="T129" s="18">
        <f t="shared" si="22"/>
        <v>0</v>
      </c>
      <c r="U129" s="18">
        <f t="shared" si="22"/>
        <v>0</v>
      </c>
      <c r="V129" s="18">
        <f t="shared" si="22"/>
        <v>0</v>
      </c>
      <c r="W129" s="18">
        <f t="shared" si="22"/>
        <v>0</v>
      </c>
      <c r="X129" s="18">
        <f t="shared" si="22"/>
        <v>0</v>
      </c>
      <c r="Y129" s="18">
        <f t="shared" si="22"/>
        <v>0</v>
      </c>
      <c r="Z129" s="18">
        <f t="shared" si="22"/>
        <v>0</v>
      </c>
      <c r="AA129" s="18">
        <f t="shared" si="22"/>
        <v>0</v>
      </c>
      <c r="AB129" s="18">
        <f t="shared" si="22"/>
        <v>0</v>
      </c>
      <c r="AC129" s="18">
        <f t="shared" si="22"/>
        <v>0</v>
      </c>
      <c r="AD129" s="18">
        <f t="shared" si="22"/>
        <v>0</v>
      </c>
      <c r="AE129" s="18">
        <f t="shared" si="22"/>
        <v>0</v>
      </c>
      <c r="AF129" s="18">
        <f t="shared" si="22"/>
        <v>0</v>
      </c>
      <c r="AG129" s="18">
        <f t="shared" si="22"/>
        <v>0</v>
      </c>
      <c r="AH129" s="20">
        <f t="shared" si="20"/>
        <v>113127000.20837131</v>
      </c>
      <c r="AI129" s="15" t="str">
        <f t="shared" si="21"/>
        <v>ok</v>
      </c>
    </row>
    <row r="130" spans="1:35" x14ac:dyDescent="0.3">
      <c r="F130" s="19"/>
      <c r="G130" s="19"/>
    </row>
    <row r="131" spans="1:35" x14ac:dyDescent="0.3">
      <c r="F131" s="19"/>
      <c r="G131" s="19"/>
    </row>
    <row r="132" spans="1:35" x14ac:dyDescent="0.3">
      <c r="A132" s="3" t="s">
        <v>29</v>
      </c>
      <c r="C132" s="2" t="s">
        <v>479</v>
      </c>
      <c r="D132" s="2" t="s">
        <v>604</v>
      </c>
      <c r="E132" s="2" t="s">
        <v>549</v>
      </c>
      <c r="F132" s="18">
        <f>VLOOKUP(C132,'Functional Assignment'!$C$1:$AU$563,11,)</f>
        <v>20260285.312311795</v>
      </c>
      <c r="G132" s="18">
        <f>IF(VLOOKUP($E132,$D$5:$AI$471,3,)=0,0,(VLOOKUP($E132,$D$5:$AI$471,4,)/VLOOKUP($E132,$D$5:$AI$471,3,))*$F132)</f>
        <v>15988651.820460131</v>
      </c>
      <c r="H132" s="18">
        <f>IF(VLOOKUP($E132,$D$5:$AI$471,3,)=0,0,(VLOOKUP($E132,$D$5:$AI$471,5,)/VLOOKUP($E132,$D$5:$AI$471,3,))*$F132)</f>
        <v>1196838.0711139629</v>
      </c>
      <c r="I132" s="18">
        <f>IF(VLOOKUP($E132,$D$5:$AI$471,3,)=0,0,(VLOOKUP($E132,$D$5:$AI$471,6,)/VLOOKUP($E132,$D$5:$AI$471,3,))*$F132)</f>
        <v>405806.76882691437</v>
      </c>
      <c r="J132" s="18">
        <f>IF(VLOOKUP($E132,$D$5:$AI$471,3,)=0,0,(VLOOKUP($E132,$D$5:$AI$471,7,)/VLOOKUP($E132,$D$5:$AI$471,3,))*$F132)</f>
        <v>653698.02533892414</v>
      </c>
      <c r="K132" s="18">
        <f>IF(VLOOKUP($E132,$D$5:$AI$471,3,)=0,0,(VLOOKUP($E132,$D$5:$AI$471,8,)/VLOOKUP($E132,$D$5:$AI$471,3,))*$F132)</f>
        <v>1757054.5284232532</v>
      </c>
      <c r="L132" s="18">
        <f>IF(VLOOKUP($E132,$D$5:$AI$471,3,)=0,0,(VLOOKUP($E132,$D$5:$AI$471,9,)/VLOOKUP($E132,$D$5:$AI$471,3,))*$F132)</f>
        <v>258236.0981486096</v>
      </c>
      <c r="M132" s="18">
        <f>IF(VLOOKUP($E132,$D$5:$AI$471,3,)=0,0,(VLOOKUP($E132,$D$5:$AI$471,10,)/VLOOKUP($E132,$D$5:$AI$471,3,))*$F132)</f>
        <v>0</v>
      </c>
      <c r="N132" s="18">
        <f>IF(VLOOKUP($E132,$D$5:$AI$471,3,)=0,0,(VLOOKUP($E132,$D$5:$AI$471,11,)/VLOOKUP($E132,$D$5:$AI$471,3,))*$F132)</f>
        <v>0</v>
      </c>
      <c r="O132" s="18">
        <f>IF(VLOOKUP($E132,$D$5:$AI$471,3,)=0,0,(VLOOKUP($E132,$D$5:$AI$471,12,)/VLOOKUP($E132,$D$5:$AI$471,3,))*$F132)</f>
        <v>0</v>
      </c>
      <c r="P132" s="18">
        <f>IF(VLOOKUP($E132,$D$5:$AI$471,3,)=0,0,(VLOOKUP($E132,$D$5:$AI$471,13,)/VLOOKUP($E132,$D$5:$AI$471,3,))*$F132)</f>
        <v>0</v>
      </c>
      <c r="Q132" s="18">
        <f>IF(VLOOKUP($E132,$D$5:$AI$471,3,)=0,0,(VLOOKUP($E132,$D$5:$AI$471,14,)/VLOOKUP($E132,$D$5:$AI$471,3,))*$F132)</f>
        <v>0</v>
      </c>
      <c r="R132" s="18">
        <f>IF(VLOOKUP($E132,$D$5:$AI$471,3,)=0,0,(VLOOKUP($E132,$D$5:$AI$471,15,)/VLOOKUP($E132,$D$5:$AI$471,3,))*$F132)</f>
        <v>0</v>
      </c>
      <c r="S132" s="18">
        <f>IF(VLOOKUP($E132,$D$5:$AI$471,3,)=0,0,(VLOOKUP($E132,$D$5:$AI$471,16,)/VLOOKUP($E132,$D$5:$AI$471,3,))*$F132)</f>
        <v>0</v>
      </c>
      <c r="T132" s="18">
        <f>IF(VLOOKUP($E132,$D$5:$AI$471,3,)=0,0,(VLOOKUP($E132,$D$5:$AI$471,17,)/VLOOKUP($E132,$D$5:$AI$471,3,))*$F132)</f>
        <v>0</v>
      </c>
      <c r="U132" s="18">
        <f>IF(VLOOKUP($E132,$D$5:$AI$471,3,)=0,0,(VLOOKUP($E132,$D$5:$AI$471,18,)/VLOOKUP($E132,$D$5:$AI$471,3,))*$F132)</f>
        <v>0</v>
      </c>
      <c r="V132" s="18">
        <f>IF(VLOOKUP($E132,$D$5:$AI$471,3,)=0,0,(VLOOKUP($E132,$D$5:$AI$471,19,)/VLOOKUP($E132,$D$5:$AI$471,3,))*$F132)</f>
        <v>0</v>
      </c>
      <c r="W132" s="18">
        <f>IF(VLOOKUP($E132,$D$5:$AI$471,3,)=0,0,(VLOOKUP($E132,$D$5:$AI$471,20,)/VLOOKUP($E132,$D$5:$AI$471,3,))*$F132)</f>
        <v>0</v>
      </c>
      <c r="X132" s="18">
        <f>IF(VLOOKUP($E132,$D$5:$AI$471,3,)=0,0,(VLOOKUP($E132,$D$5:$AI$471,21,)/VLOOKUP($E132,$D$5:$AI$471,3,))*$F132)</f>
        <v>0</v>
      </c>
      <c r="Y132" s="18">
        <f>IF(VLOOKUP($E132,$D$5:$AI$471,3,)=0,0,(VLOOKUP($E132,$D$5:$AI$471,22,)/VLOOKUP($E132,$D$5:$AI$471,3,))*$F132)</f>
        <v>0</v>
      </c>
      <c r="Z132" s="18">
        <f>IF(VLOOKUP($E132,$D$5:$AI$471,3,)=0,0,(VLOOKUP($E132,$D$5:$AI$471,23,)/VLOOKUP($E132,$D$5:$AI$471,3,))*$F132)</f>
        <v>0</v>
      </c>
      <c r="AA132" s="18">
        <f>IF(VLOOKUP($E132,$D$5:$AI$471,3,)=0,0,(VLOOKUP($E132,$D$5:$AI$471,24,)/VLOOKUP($E132,$D$5:$AI$471,3,))*$F132)</f>
        <v>0</v>
      </c>
      <c r="AB132" s="18">
        <f>IF(VLOOKUP($E132,$D$5:$AI$471,3,)=0,0,(VLOOKUP($E132,$D$5:$AI$471,25,)/VLOOKUP($E132,$D$5:$AI$471,3,))*$F132)</f>
        <v>0</v>
      </c>
      <c r="AC132" s="18">
        <f>IF(VLOOKUP($E132,$D$5:$AI$471,3,)=0,0,(VLOOKUP($E132,$D$5:$AI$471,26,)/VLOOKUP($E132,$D$5:$AI$471,3,))*$F132)</f>
        <v>0</v>
      </c>
      <c r="AD132" s="18">
        <f>IF(VLOOKUP($E132,$D$5:$AI$471,3,)=0,0,(VLOOKUP($E132,$D$5:$AI$471,27,)/VLOOKUP($E132,$D$5:$AI$471,3,))*$F132)</f>
        <v>0</v>
      </c>
      <c r="AE132" s="18">
        <f>IF(VLOOKUP($E132,$D$5:$AI$471,3,)=0,0,(VLOOKUP($E132,$D$5:$AI$471,28,)/VLOOKUP($E132,$D$5:$AI$471,3,))*$F132)</f>
        <v>0</v>
      </c>
      <c r="AF132" s="18">
        <f>IF(VLOOKUP($E132,$D$5:$AI$471,3,)=0,0,(VLOOKUP($E132,$D$5:$AI$471,29,)/VLOOKUP($E132,$D$5:$AI$471,3,))*$F132)</f>
        <v>0</v>
      </c>
      <c r="AG132" s="18">
        <f>IF(VLOOKUP($E132,$D$5:$AI$471,3,)=0,0,(VLOOKUP($E132,$D$5:$AI$471,30,)/VLOOKUP($E132,$D$5:$AI$471,3,))*$F132)</f>
        <v>0</v>
      </c>
      <c r="AH132" s="20">
        <f>SUM(G132:AG132)</f>
        <v>20260285.312311798</v>
      </c>
      <c r="AI132" s="15" t="str">
        <f>IF(ABS(F132-AH132)&lt;0.01,"ok","err")</f>
        <v>ok</v>
      </c>
    </row>
    <row r="133" spans="1:35" x14ac:dyDescent="0.3">
      <c r="F133" s="19"/>
      <c r="G133" s="19"/>
    </row>
    <row r="134" spans="1:35" x14ac:dyDescent="0.3">
      <c r="A134" s="3"/>
      <c r="F134" s="19"/>
      <c r="G134" s="19"/>
    </row>
    <row r="135" spans="1:35" x14ac:dyDescent="0.3">
      <c r="A135" s="3" t="s">
        <v>550</v>
      </c>
      <c r="C135" s="2" t="s">
        <v>479</v>
      </c>
      <c r="D135" s="2" t="s">
        <v>605</v>
      </c>
      <c r="E135" s="2" t="s">
        <v>552</v>
      </c>
      <c r="F135" s="18">
        <f>VLOOKUP(C135,'Functional Assignment'!$C$1:$AU$563,13,)</f>
        <v>8663779.428388413</v>
      </c>
      <c r="G135" s="18">
        <f>IF(VLOOKUP($E135,$D$5:$AI$471,3,)=0,0,(VLOOKUP($E135,$D$5:$AI$471,4,)/VLOOKUP($E135,$D$5:$AI$471,3,))*$F135)</f>
        <v>8628101.9452678449</v>
      </c>
      <c r="H135" s="18">
        <f>IF(VLOOKUP($E135,$D$5:$AI$471,3,)=0,0,(VLOOKUP($E135,$D$5:$AI$471,5,)/VLOOKUP($E135,$D$5:$AI$471,3,))*$F135)</f>
        <v>0</v>
      </c>
      <c r="I135" s="18">
        <f>IF(VLOOKUP($E135,$D$5:$AI$471,3,)=0,0,(VLOOKUP($E135,$D$5:$AI$471,6,)/VLOOKUP($E135,$D$5:$AI$471,3,))*$F135)</f>
        <v>0</v>
      </c>
      <c r="J135" s="18">
        <f>IF(VLOOKUP($E135,$D$5:$AI$471,3,)=0,0,(VLOOKUP($E135,$D$5:$AI$471,7,)/VLOOKUP($E135,$D$5:$AI$471,3,))*$F135)</f>
        <v>35677.483120567929</v>
      </c>
      <c r="K135" s="18">
        <f>IF(VLOOKUP($E135,$D$5:$AI$471,3,)=0,0,(VLOOKUP($E135,$D$5:$AI$471,8,)/VLOOKUP($E135,$D$5:$AI$471,3,))*$F135)</f>
        <v>0</v>
      </c>
      <c r="L135" s="18">
        <f>IF(VLOOKUP($E135,$D$5:$AI$471,3,)=0,0,(VLOOKUP($E135,$D$5:$AI$471,9,)/VLOOKUP($E135,$D$5:$AI$471,3,))*$F135)</f>
        <v>0</v>
      </c>
      <c r="M135" s="18">
        <f>IF(VLOOKUP($E135,$D$5:$AI$471,3,)=0,0,(VLOOKUP($E135,$D$5:$AI$471,10,)/VLOOKUP($E135,$D$5:$AI$471,3,))*$F135)</f>
        <v>0</v>
      </c>
      <c r="N135" s="18">
        <f>IF(VLOOKUP($E135,$D$5:$AI$471,3,)=0,0,(VLOOKUP($E135,$D$5:$AI$471,11,)/VLOOKUP($E135,$D$5:$AI$471,3,))*$F135)</f>
        <v>0</v>
      </c>
      <c r="O135" s="18">
        <f>IF(VLOOKUP($E135,$D$5:$AI$471,3,)=0,0,(VLOOKUP($E135,$D$5:$AI$471,12,)/VLOOKUP($E135,$D$5:$AI$471,3,))*$F135)</f>
        <v>0</v>
      </c>
      <c r="P135" s="18">
        <f>IF(VLOOKUP($E135,$D$5:$AI$471,3,)=0,0,(VLOOKUP($E135,$D$5:$AI$471,13,)/VLOOKUP($E135,$D$5:$AI$471,3,))*$F135)</f>
        <v>0</v>
      </c>
      <c r="Q135" s="18">
        <f>IF(VLOOKUP($E135,$D$5:$AI$471,3,)=0,0,(VLOOKUP($E135,$D$5:$AI$471,14,)/VLOOKUP($E135,$D$5:$AI$471,3,))*$F135)</f>
        <v>0</v>
      </c>
      <c r="R135" s="18">
        <f>IF(VLOOKUP($E135,$D$5:$AI$471,3,)=0,0,(VLOOKUP($E135,$D$5:$AI$471,15,)/VLOOKUP($E135,$D$5:$AI$471,3,))*$F135)</f>
        <v>0</v>
      </c>
      <c r="S135" s="18">
        <f>IF(VLOOKUP($E135,$D$5:$AI$471,3,)=0,0,(VLOOKUP($E135,$D$5:$AI$471,16,)/VLOOKUP($E135,$D$5:$AI$471,3,))*$F135)</f>
        <v>0</v>
      </c>
      <c r="T135" s="18">
        <f>IF(VLOOKUP($E135,$D$5:$AI$471,3,)=0,0,(VLOOKUP($E135,$D$5:$AI$471,17,)/VLOOKUP($E135,$D$5:$AI$471,3,))*$F135)</f>
        <v>0</v>
      </c>
      <c r="U135" s="18">
        <f>IF(VLOOKUP($E135,$D$5:$AI$471,3,)=0,0,(VLOOKUP($E135,$D$5:$AI$471,18,)/VLOOKUP($E135,$D$5:$AI$471,3,))*$F135)</f>
        <v>0</v>
      </c>
      <c r="V135" s="18">
        <f>IF(VLOOKUP($E135,$D$5:$AI$471,3,)=0,0,(VLOOKUP($E135,$D$5:$AI$471,19,)/VLOOKUP($E135,$D$5:$AI$471,3,))*$F135)</f>
        <v>0</v>
      </c>
      <c r="W135" s="18">
        <f>IF(VLOOKUP($E135,$D$5:$AI$471,3,)=0,0,(VLOOKUP($E135,$D$5:$AI$471,20,)/VLOOKUP($E135,$D$5:$AI$471,3,))*$F135)</f>
        <v>0</v>
      </c>
      <c r="X135" s="18">
        <f>IF(VLOOKUP($E135,$D$5:$AI$471,3,)=0,0,(VLOOKUP($E135,$D$5:$AI$471,21,)/VLOOKUP($E135,$D$5:$AI$471,3,))*$F135)</f>
        <v>0</v>
      </c>
      <c r="Y135" s="18">
        <f>IF(VLOOKUP($E135,$D$5:$AI$471,3,)=0,0,(VLOOKUP($E135,$D$5:$AI$471,22,)/VLOOKUP($E135,$D$5:$AI$471,3,))*$F135)</f>
        <v>0</v>
      </c>
      <c r="Z135" s="18">
        <f>IF(VLOOKUP($E135,$D$5:$AI$471,3,)=0,0,(VLOOKUP($E135,$D$5:$AI$471,23,)/VLOOKUP($E135,$D$5:$AI$471,3,))*$F135)</f>
        <v>0</v>
      </c>
      <c r="AA135" s="18">
        <f>IF(VLOOKUP($E135,$D$5:$AI$471,3,)=0,0,(VLOOKUP($E135,$D$5:$AI$471,24,)/VLOOKUP($E135,$D$5:$AI$471,3,))*$F135)</f>
        <v>0</v>
      </c>
      <c r="AB135" s="18">
        <f>IF(VLOOKUP($E135,$D$5:$AI$471,3,)=0,0,(VLOOKUP($E135,$D$5:$AI$471,25,)/VLOOKUP($E135,$D$5:$AI$471,3,))*$F135)</f>
        <v>0</v>
      </c>
      <c r="AC135" s="18">
        <f>IF(VLOOKUP($E135,$D$5:$AI$471,3,)=0,0,(VLOOKUP($E135,$D$5:$AI$471,26,)/VLOOKUP($E135,$D$5:$AI$471,3,))*$F135)</f>
        <v>0</v>
      </c>
      <c r="AD135" s="18">
        <f>IF(VLOOKUP($E135,$D$5:$AI$471,3,)=0,0,(VLOOKUP($E135,$D$5:$AI$471,27,)/VLOOKUP($E135,$D$5:$AI$471,3,))*$F135)</f>
        <v>0</v>
      </c>
      <c r="AE135" s="18">
        <f>IF(VLOOKUP($E135,$D$5:$AI$471,3,)=0,0,(VLOOKUP($E135,$D$5:$AI$471,28,)/VLOOKUP($E135,$D$5:$AI$471,3,))*$F135)</f>
        <v>0</v>
      </c>
      <c r="AF135" s="18">
        <f>IF(VLOOKUP($E135,$D$5:$AI$471,3,)=0,0,(VLOOKUP($E135,$D$5:$AI$471,29,)/VLOOKUP($E135,$D$5:$AI$471,3,))*$F135)</f>
        <v>0</v>
      </c>
      <c r="AG135" s="18">
        <f>IF(VLOOKUP($E135,$D$5:$AI$471,3,)=0,0,(VLOOKUP($E135,$D$5:$AI$471,30,)/VLOOKUP($E135,$D$5:$AI$471,3,))*$F135)</f>
        <v>0</v>
      </c>
      <c r="AH135" s="20">
        <f>SUM(G135:AG135)</f>
        <v>8663779.428388413</v>
      </c>
      <c r="AI135" s="15" t="str">
        <f>IF(ABS(F135-AH135)&lt;0.01,"ok","err")</f>
        <v>ok</v>
      </c>
    </row>
    <row r="136" spans="1:35" x14ac:dyDescent="0.3">
      <c r="A136" s="3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20"/>
      <c r="AI136" s="15"/>
    </row>
    <row r="137" spans="1:35" x14ac:dyDescent="0.3">
      <c r="F137" s="19"/>
    </row>
    <row r="138" spans="1:35" x14ac:dyDescent="0.3">
      <c r="A138" s="3" t="s">
        <v>553</v>
      </c>
      <c r="C138" s="2" t="s">
        <v>479</v>
      </c>
      <c r="D138" s="2" t="s">
        <v>606</v>
      </c>
      <c r="E138" s="2" t="s">
        <v>555</v>
      </c>
      <c r="F138" s="18">
        <f>VLOOKUP(C138,'Functional Assignment'!$C$1:$AU$563,14,)</f>
        <v>115987.97092846477</v>
      </c>
      <c r="G138" s="18">
        <f>IF(VLOOKUP($E138,$D$5:$AI$471,3,)=0,0,(VLOOKUP($E138,$D$5:$AI$471,4,)/VLOOKUP($E138,$D$5:$AI$471,3,))*$F138)</f>
        <v>115670.34070228001</v>
      </c>
      <c r="H138" s="18">
        <f>IF(VLOOKUP($E138,$D$5:$AI$471,3,)=0,0,(VLOOKUP($E138,$D$5:$AI$471,5,)/VLOOKUP($E138,$D$5:$AI$471,3,))*$F138)</f>
        <v>0</v>
      </c>
      <c r="I138" s="18">
        <f>IF(VLOOKUP($E138,$D$5:$AI$471,3,)=0,0,(VLOOKUP($E138,$D$5:$AI$471,6,)/VLOOKUP($E138,$D$5:$AI$471,3,))*$F138)</f>
        <v>0</v>
      </c>
      <c r="J138" s="18">
        <f>IF(VLOOKUP($E138,$D$5:$AI$471,3,)=0,0,(VLOOKUP($E138,$D$5:$AI$471,7,)/VLOOKUP($E138,$D$5:$AI$471,3,))*$F138)</f>
        <v>317.63022618475065</v>
      </c>
      <c r="K138" s="18">
        <f>IF(VLOOKUP($E138,$D$5:$AI$471,3,)=0,0,(VLOOKUP($E138,$D$5:$AI$471,8,)/VLOOKUP($E138,$D$5:$AI$471,3,))*$F138)</f>
        <v>0</v>
      </c>
      <c r="L138" s="18">
        <f>IF(VLOOKUP($E138,$D$5:$AI$471,3,)=0,0,(VLOOKUP($E138,$D$5:$AI$471,9,)/VLOOKUP($E138,$D$5:$AI$471,3,))*$F138)</f>
        <v>0</v>
      </c>
      <c r="M138" s="18">
        <f>IF(VLOOKUP($E138,$D$5:$AI$471,3,)=0,0,(VLOOKUP($E138,$D$5:$AI$471,10,)/VLOOKUP($E138,$D$5:$AI$471,3,))*$F138)</f>
        <v>0</v>
      </c>
      <c r="N138" s="18">
        <f>IF(VLOOKUP($E138,$D$5:$AI$471,3,)=0,0,(VLOOKUP($E138,$D$5:$AI$471,11,)/VLOOKUP($E138,$D$5:$AI$471,3,))*$F138)</f>
        <v>0</v>
      </c>
      <c r="O138" s="18">
        <f>IF(VLOOKUP($E138,$D$5:$AI$471,3,)=0,0,(VLOOKUP($E138,$D$5:$AI$471,12,)/VLOOKUP($E138,$D$5:$AI$471,3,))*$F138)</f>
        <v>0</v>
      </c>
      <c r="P138" s="18">
        <f>IF(VLOOKUP($E138,$D$5:$AI$471,3,)=0,0,(VLOOKUP($E138,$D$5:$AI$471,13,)/VLOOKUP($E138,$D$5:$AI$471,3,))*$F138)</f>
        <v>0</v>
      </c>
      <c r="Q138" s="18">
        <f>IF(VLOOKUP($E138,$D$5:$AI$471,3,)=0,0,(VLOOKUP($E138,$D$5:$AI$471,14,)/VLOOKUP($E138,$D$5:$AI$471,3,))*$F138)</f>
        <v>0</v>
      </c>
      <c r="R138" s="18">
        <f>IF(VLOOKUP($E138,$D$5:$AI$471,3,)=0,0,(VLOOKUP($E138,$D$5:$AI$471,15,)/VLOOKUP($E138,$D$5:$AI$471,3,))*$F138)</f>
        <v>0</v>
      </c>
      <c r="S138" s="18">
        <f>IF(VLOOKUP($E138,$D$5:$AI$471,3,)=0,0,(VLOOKUP($E138,$D$5:$AI$471,16,)/VLOOKUP($E138,$D$5:$AI$471,3,))*$F138)</f>
        <v>0</v>
      </c>
      <c r="T138" s="18">
        <f>IF(VLOOKUP($E138,$D$5:$AI$471,3,)=0,0,(VLOOKUP($E138,$D$5:$AI$471,17,)/VLOOKUP($E138,$D$5:$AI$471,3,))*$F138)</f>
        <v>0</v>
      </c>
      <c r="U138" s="18">
        <f>IF(VLOOKUP($E138,$D$5:$AI$471,3,)=0,0,(VLOOKUP($E138,$D$5:$AI$471,18,)/VLOOKUP($E138,$D$5:$AI$471,3,))*$F138)</f>
        <v>0</v>
      </c>
      <c r="V138" s="18">
        <f>IF(VLOOKUP($E138,$D$5:$AI$471,3,)=0,0,(VLOOKUP($E138,$D$5:$AI$471,19,)/VLOOKUP($E138,$D$5:$AI$471,3,))*$F138)</f>
        <v>0</v>
      </c>
      <c r="W138" s="18">
        <f>IF(VLOOKUP($E138,$D$5:$AI$471,3,)=0,0,(VLOOKUP($E138,$D$5:$AI$471,20,)/VLOOKUP($E138,$D$5:$AI$471,3,))*$F138)</f>
        <v>0</v>
      </c>
      <c r="X138" s="18">
        <f>IF(VLOOKUP($E138,$D$5:$AI$471,3,)=0,0,(VLOOKUP($E138,$D$5:$AI$471,21,)/VLOOKUP($E138,$D$5:$AI$471,3,))*$F138)</f>
        <v>0</v>
      </c>
      <c r="Y138" s="18">
        <f>IF(VLOOKUP($E138,$D$5:$AI$471,3,)=0,0,(VLOOKUP($E138,$D$5:$AI$471,22,)/VLOOKUP($E138,$D$5:$AI$471,3,))*$F138)</f>
        <v>0</v>
      </c>
      <c r="Z138" s="18">
        <f>IF(VLOOKUP($E138,$D$5:$AI$471,3,)=0,0,(VLOOKUP($E138,$D$5:$AI$471,23,)/VLOOKUP($E138,$D$5:$AI$471,3,))*$F138)</f>
        <v>0</v>
      </c>
      <c r="AA138" s="18">
        <f>IF(VLOOKUP($E138,$D$5:$AI$471,3,)=0,0,(VLOOKUP($E138,$D$5:$AI$471,24,)/VLOOKUP($E138,$D$5:$AI$471,3,))*$F138)</f>
        <v>0</v>
      </c>
      <c r="AB138" s="18">
        <f>IF(VLOOKUP($E138,$D$5:$AI$471,3,)=0,0,(VLOOKUP($E138,$D$5:$AI$471,25,)/VLOOKUP($E138,$D$5:$AI$471,3,))*$F138)</f>
        <v>0</v>
      </c>
      <c r="AC138" s="18">
        <f>IF(VLOOKUP($E138,$D$5:$AI$471,3,)=0,0,(VLOOKUP($E138,$D$5:$AI$471,26,)/VLOOKUP($E138,$D$5:$AI$471,3,))*$F138)</f>
        <v>0</v>
      </c>
      <c r="AD138" s="18">
        <f>IF(VLOOKUP($E138,$D$5:$AI$471,3,)=0,0,(VLOOKUP($E138,$D$5:$AI$471,27,)/VLOOKUP($E138,$D$5:$AI$471,3,))*$F138)</f>
        <v>0</v>
      </c>
      <c r="AE138" s="18">
        <f>IF(VLOOKUP($E138,$D$5:$AI$471,3,)=0,0,(VLOOKUP($E138,$D$5:$AI$471,28,)/VLOOKUP($E138,$D$5:$AI$471,3,))*$F138)</f>
        <v>0</v>
      </c>
      <c r="AF138" s="18">
        <f>IF(VLOOKUP($E138,$D$5:$AI$471,3,)=0,0,(VLOOKUP($E138,$D$5:$AI$471,29,)/VLOOKUP($E138,$D$5:$AI$471,3,))*$F138)</f>
        <v>0</v>
      </c>
      <c r="AG138" s="18">
        <f>IF(VLOOKUP($E138,$D$5:$AI$471,3,)=0,0,(VLOOKUP($E138,$D$5:$AI$471,30,)/VLOOKUP($E138,$D$5:$AI$471,3,))*$F138)</f>
        <v>0</v>
      </c>
      <c r="AH138" s="20">
        <f>SUM(G138:AG138)</f>
        <v>115987.97092846475</v>
      </c>
      <c r="AI138" s="15" t="str">
        <f>IF(ABS(F138-AH138)&lt;0.01,"ok","err")</f>
        <v>ok</v>
      </c>
    </row>
    <row r="139" spans="1:35" x14ac:dyDescent="0.3">
      <c r="F139" s="19"/>
    </row>
    <row r="140" spans="1:35" x14ac:dyDescent="0.3">
      <c r="F140" s="19"/>
    </row>
    <row r="141" spans="1:35" x14ac:dyDescent="0.3">
      <c r="A141" s="2" t="s">
        <v>1</v>
      </c>
      <c r="D141" s="2" t="s">
        <v>607</v>
      </c>
      <c r="F141" s="18">
        <f>F129+F132+F135+F138</f>
        <v>142167052.92000002</v>
      </c>
      <c r="G141" s="18">
        <f t="shared" ref="G141:AG141" si="23">G129+G132+G135+G138</f>
        <v>111148437.82004187</v>
      </c>
      <c r="H141" s="18">
        <f t="shared" si="23"/>
        <v>8449940.150188135</v>
      </c>
      <c r="I141" s="18">
        <f t="shared" si="23"/>
        <v>3018715.9190300973</v>
      </c>
      <c r="J141" s="18">
        <f t="shared" si="23"/>
        <v>4910603.5054754652</v>
      </c>
      <c r="K141" s="18">
        <f t="shared" si="23"/>
        <v>13672200.104155403</v>
      </c>
      <c r="L141" s="18">
        <f t="shared" si="23"/>
        <v>258236.0981486096</v>
      </c>
      <c r="M141" s="18">
        <f t="shared" si="23"/>
        <v>708919.32296040934</v>
      </c>
      <c r="N141" s="18">
        <f t="shared" si="23"/>
        <v>0</v>
      </c>
      <c r="O141" s="18">
        <f t="shared" si="23"/>
        <v>0</v>
      </c>
      <c r="P141" s="18">
        <f t="shared" si="23"/>
        <v>0</v>
      </c>
      <c r="Q141" s="18">
        <f t="shared" si="23"/>
        <v>0</v>
      </c>
      <c r="R141" s="18">
        <f t="shared" si="23"/>
        <v>0</v>
      </c>
      <c r="S141" s="18">
        <f t="shared" si="23"/>
        <v>0</v>
      </c>
      <c r="T141" s="18">
        <f t="shared" si="23"/>
        <v>0</v>
      </c>
      <c r="U141" s="18">
        <f t="shared" si="23"/>
        <v>0</v>
      </c>
      <c r="V141" s="18">
        <f t="shared" si="23"/>
        <v>0</v>
      </c>
      <c r="W141" s="18">
        <f t="shared" si="23"/>
        <v>0</v>
      </c>
      <c r="X141" s="18">
        <f t="shared" si="23"/>
        <v>0</v>
      </c>
      <c r="Y141" s="18">
        <f t="shared" si="23"/>
        <v>0</v>
      </c>
      <c r="Z141" s="18">
        <f t="shared" si="23"/>
        <v>0</v>
      </c>
      <c r="AA141" s="18">
        <f t="shared" si="23"/>
        <v>0</v>
      </c>
      <c r="AB141" s="18">
        <f t="shared" si="23"/>
        <v>0</v>
      </c>
      <c r="AC141" s="18">
        <f t="shared" si="23"/>
        <v>0</v>
      </c>
      <c r="AD141" s="18">
        <f t="shared" si="23"/>
        <v>0</v>
      </c>
      <c r="AE141" s="18">
        <f t="shared" si="23"/>
        <v>0</v>
      </c>
      <c r="AF141" s="18">
        <f t="shared" si="23"/>
        <v>0</v>
      </c>
      <c r="AG141" s="18">
        <f t="shared" si="23"/>
        <v>0</v>
      </c>
      <c r="AH141" s="20">
        <f>SUM(G141:AG141)</f>
        <v>142167052.91999999</v>
      </c>
      <c r="AI141" s="15" t="str">
        <f>IF(ABS(F141-AH141)&lt;0.01,"ok","err")</f>
        <v>ok</v>
      </c>
    </row>
    <row r="144" spans="1:35" x14ac:dyDescent="0.3">
      <c r="A144" s="16" t="s">
        <v>608</v>
      </c>
    </row>
    <row r="146" spans="1:35" x14ac:dyDescent="0.3">
      <c r="A146" s="3" t="s">
        <v>530</v>
      </c>
    </row>
    <row r="147" spans="1:35" x14ac:dyDescent="0.3">
      <c r="A147" s="21" t="s">
        <v>531</v>
      </c>
      <c r="C147" s="2" t="s">
        <v>487</v>
      </c>
      <c r="D147" s="2" t="s">
        <v>609</v>
      </c>
      <c r="E147" s="2" t="s">
        <v>533</v>
      </c>
      <c r="F147" s="18">
        <f>VLOOKUP(C147,'Functional Assignment'!$C$1:$AU$563,6,)</f>
        <v>1576871</v>
      </c>
      <c r="G147" s="18">
        <f>IF(VLOOKUP($E147,$D$5:$AI$471,3,)=0,0,(VLOOKUP($E147,$D$5:$AI$471,4,)/VLOOKUP($E147,$D$5:$AI$471,3,))*$F147)</f>
        <v>1299620.177485052</v>
      </c>
      <c r="H147" s="18">
        <f>IF(VLOOKUP($E147,$D$5:$AI$471,3,)=0,0,(VLOOKUP($E147,$D$5:$AI$471,5,)/VLOOKUP($E147,$D$5:$AI$471,3,))*$F147)</f>
        <v>64791.361307120977</v>
      </c>
      <c r="I147" s="18">
        <f>IF(VLOOKUP($E147,$D$5:$AI$471,3,)=0,0,(VLOOKUP($E147,$D$5:$AI$471,6,)/VLOOKUP($E147,$D$5:$AI$471,3,))*$F147)</f>
        <v>15840.872851451628</v>
      </c>
      <c r="J147" s="18">
        <f>IF(VLOOKUP($E147,$D$5:$AI$471,3,)=0,0,(VLOOKUP($E147,$D$5:$AI$471,7,)/VLOOKUP($E147,$D$5:$AI$471,3,))*$F147)</f>
        <v>34245.853752155075</v>
      </c>
      <c r="K147" s="18">
        <f>IF(VLOOKUP($E147,$D$5:$AI$471,3,)=0,0,(VLOOKUP($E147,$D$5:$AI$471,8,)/VLOOKUP($E147,$D$5:$AI$471,3,))*$F147)</f>
        <v>162372.73460421964</v>
      </c>
      <c r="L147" s="18">
        <f>IF(VLOOKUP($E147,$D$5:$AI$471,3,)=0,0,(VLOOKUP($E147,$D$5:$AI$471,9,)/VLOOKUP($E147,$D$5:$AI$471,3,))*$F147)</f>
        <v>0</v>
      </c>
      <c r="M147" s="18">
        <f>IF(VLOOKUP($E147,$D$5:$AI$471,3,)=0,0,(VLOOKUP($E147,$D$5:$AI$471,10,)/VLOOKUP($E147,$D$5:$AI$471,3,))*$F147)</f>
        <v>0</v>
      </c>
      <c r="N147" s="18">
        <f>IF(VLOOKUP($E147,$D$5:$AI$471,3,)=0,0,(VLOOKUP($E147,$D$5:$AI$471,11,)/VLOOKUP($E147,$D$5:$AI$471,3,))*$F147)</f>
        <v>0</v>
      </c>
      <c r="O147" s="18">
        <f>IF(VLOOKUP($E147,$D$5:$AI$471,3,)=0,0,(VLOOKUP($E147,$D$5:$AI$471,12,)/VLOOKUP($E147,$D$5:$AI$471,3,))*$F147)</f>
        <v>0</v>
      </c>
      <c r="P147" s="18">
        <f>IF(VLOOKUP($E147,$D$5:$AI$471,3,)=0,0,(VLOOKUP($E147,$D$5:$AI$471,13,)/VLOOKUP($E147,$D$5:$AI$471,3,))*$F147)</f>
        <v>0</v>
      </c>
      <c r="Q147" s="18">
        <f>IF(VLOOKUP($E147,$D$5:$AI$471,3,)=0,0,(VLOOKUP($E147,$D$5:$AI$471,14,)/VLOOKUP($E147,$D$5:$AI$471,3,))*$F147)</f>
        <v>0</v>
      </c>
      <c r="R147" s="18">
        <f>IF(VLOOKUP($E147,$D$5:$AI$471,3,)=0,0,(VLOOKUP($E147,$D$5:$AI$471,15,)/VLOOKUP($E147,$D$5:$AI$471,3,))*$F147)</f>
        <v>0</v>
      </c>
      <c r="S147" s="18">
        <f>IF(VLOOKUP($E147,$D$5:$AI$471,3,)=0,0,(VLOOKUP($E147,$D$5:$AI$471,16,)/VLOOKUP($E147,$D$5:$AI$471,3,))*$F147)</f>
        <v>0</v>
      </c>
      <c r="T147" s="18">
        <f>IF(VLOOKUP($E147,$D$5:$AI$471,3,)=0,0,(VLOOKUP($E147,$D$5:$AI$471,17,)/VLOOKUP($E147,$D$5:$AI$471,3,))*$F147)</f>
        <v>0</v>
      </c>
      <c r="U147" s="18">
        <f>IF(VLOOKUP($E147,$D$5:$AI$471,3,)=0,0,(VLOOKUP($E147,$D$5:$AI$471,18,)/VLOOKUP($E147,$D$5:$AI$471,3,))*$F147)</f>
        <v>0</v>
      </c>
      <c r="V147" s="18">
        <f>IF(VLOOKUP($E147,$D$5:$AI$471,3,)=0,0,(VLOOKUP($E147,$D$5:$AI$471,19,)/VLOOKUP($E147,$D$5:$AI$471,3,))*$F147)</f>
        <v>0</v>
      </c>
      <c r="W147" s="18">
        <f>IF(VLOOKUP($E147,$D$5:$AI$471,3,)=0,0,(VLOOKUP($E147,$D$5:$AI$471,20,)/VLOOKUP($E147,$D$5:$AI$471,3,))*$F147)</f>
        <v>0</v>
      </c>
      <c r="X147" s="18">
        <f>IF(VLOOKUP($E147,$D$5:$AI$471,3,)=0,0,(VLOOKUP($E147,$D$5:$AI$471,21,)/VLOOKUP($E147,$D$5:$AI$471,3,))*$F147)</f>
        <v>0</v>
      </c>
      <c r="Y147" s="18">
        <f>IF(VLOOKUP($E147,$D$5:$AI$471,3,)=0,0,(VLOOKUP($E147,$D$5:$AI$471,22,)/VLOOKUP($E147,$D$5:$AI$471,3,))*$F147)</f>
        <v>0</v>
      </c>
      <c r="Z147" s="18">
        <f>IF(VLOOKUP($E147,$D$5:$AI$471,3,)=0,0,(VLOOKUP($E147,$D$5:$AI$471,23,)/VLOOKUP($E147,$D$5:$AI$471,3,))*$F147)</f>
        <v>0</v>
      </c>
      <c r="AA147" s="18">
        <f>IF(VLOOKUP($E147,$D$5:$AI$471,3,)=0,0,(VLOOKUP($E147,$D$5:$AI$471,24,)/VLOOKUP($E147,$D$5:$AI$471,3,))*$F147)</f>
        <v>0</v>
      </c>
      <c r="AB147" s="18">
        <f>IF(VLOOKUP($E147,$D$5:$AI$471,3,)=0,0,(VLOOKUP($E147,$D$5:$AI$471,25,)/VLOOKUP($E147,$D$5:$AI$471,3,))*$F147)</f>
        <v>0</v>
      </c>
      <c r="AC147" s="18">
        <f>IF(VLOOKUP($E147,$D$5:$AI$471,3,)=0,0,(VLOOKUP($E147,$D$5:$AI$471,26,)/VLOOKUP($E147,$D$5:$AI$471,3,))*$F147)</f>
        <v>0</v>
      </c>
      <c r="AD147" s="18">
        <f>IF(VLOOKUP($E147,$D$5:$AI$471,3,)=0,0,(VLOOKUP($E147,$D$5:$AI$471,27,)/VLOOKUP($E147,$D$5:$AI$471,3,))*$F147)</f>
        <v>0</v>
      </c>
      <c r="AE147" s="18">
        <f>IF(VLOOKUP($E147,$D$5:$AI$471,3,)=0,0,(VLOOKUP($E147,$D$5:$AI$471,28,)/VLOOKUP($E147,$D$5:$AI$471,3,))*$F147)</f>
        <v>0</v>
      </c>
      <c r="AF147" s="18">
        <f>IF(VLOOKUP($E147,$D$5:$AI$471,3,)=0,0,(VLOOKUP($E147,$D$5:$AI$471,29,)/VLOOKUP($E147,$D$5:$AI$471,3,))*$F147)</f>
        <v>0</v>
      </c>
      <c r="AG147" s="18">
        <f>IF(VLOOKUP($E147,$D$5:$AI$471,3,)=0,0,(VLOOKUP($E147,$D$5:$AI$471,30,)/VLOOKUP($E147,$D$5:$AI$471,3,))*$F147)</f>
        <v>0</v>
      </c>
      <c r="AH147" s="20">
        <f t="shared" ref="AH147:AH152" si="24">SUM(G147:AG147)</f>
        <v>1576870.9999999993</v>
      </c>
      <c r="AI147" s="15" t="str">
        <f t="shared" ref="AI147:AI152" si="25">IF(ABS(F147-AH147)&lt;0.01,"ok","err")</f>
        <v>ok</v>
      </c>
    </row>
    <row r="148" spans="1:35" x14ac:dyDescent="0.3">
      <c r="A148" s="21" t="s">
        <v>534</v>
      </c>
      <c r="C148" s="2" t="s">
        <v>487</v>
      </c>
      <c r="D148" s="2" t="s">
        <v>610</v>
      </c>
      <c r="E148" s="2" t="s">
        <v>536</v>
      </c>
      <c r="F148" s="18">
        <f>VLOOKUP(C148,'Functional Assignment'!$C$1:$AU$563,7,)</f>
        <v>0</v>
      </c>
      <c r="G148" s="18">
        <f>IF(VLOOKUP($E148,$D$5:$AI$471,3,)=0,0,(VLOOKUP($E148,$D$5:$AI$471,4,)/VLOOKUP($E148,$D$5:$AI$471,3,))*$F148)</f>
        <v>0</v>
      </c>
      <c r="H148" s="18">
        <f>IF(VLOOKUP($E148,$D$5:$AI$471,3,)=0,0,(VLOOKUP($E148,$D$5:$AI$471,5,)/VLOOKUP($E148,$D$5:$AI$471,3,))*$F148)</f>
        <v>0</v>
      </c>
      <c r="I148" s="18">
        <f>IF(VLOOKUP($E148,$D$5:$AI$471,3,)=0,0,(VLOOKUP($E148,$D$5:$AI$471,6,)/VLOOKUP($E148,$D$5:$AI$471,3,))*$F148)</f>
        <v>0</v>
      </c>
      <c r="J148" s="18">
        <f>IF(VLOOKUP($E148,$D$5:$AI$471,3,)=0,0,(VLOOKUP($E148,$D$5:$AI$471,7,)/VLOOKUP($E148,$D$5:$AI$471,3,))*$F148)</f>
        <v>0</v>
      </c>
      <c r="K148" s="18">
        <f>IF(VLOOKUP($E148,$D$5:$AI$471,3,)=0,0,(VLOOKUP($E148,$D$5:$AI$471,8,)/VLOOKUP($E148,$D$5:$AI$471,3,))*$F148)</f>
        <v>0</v>
      </c>
      <c r="L148" s="18">
        <f>IF(VLOOKUP($E148,$D$5:$AI$471,3,)=0,0,(VLOOKUP($E148,$D$5:$AI$471,9,)/VLOOKUP($E148,$D$5:$AI$471,3,))*$F148)</f>
        <v>0</v>
      </c>
      <c r="M148" s="18">
        <f>IF(VLOOKUP($E148,$D$5:$AI$471,3,)=0,0,(VLOOKUP($E148,$D$5:$AI$471,10,)/VLOOKUP($E148,$D$5:$AI$471,3,))*$F148)</f>
        <v>0</v>
      </c>
      <c r="N148" s="18">
        <f>IF(VLOOKUP($E148,$D$5:$AI$471,3,)=0,0,(VLOOKUP($E148,$D$5:$AI$471,11,)/VLOOKUP($E148,$D$5:$AI$471,3,))*$F148)</f>
        <v>0</v>
      </c>
      <c r="O148" s="18">
        <f>IF(VLOOKUP($E148,$D$5:$AI$471,3,)=0,0,(VLOOKUP($E148,$D$5:$AI$471,12,)/VLOOKUP($E148,$D$5:$AI$471,3,))*$F148)</f>
        <v>0</v>
      </c>
      <c r="P148" s="18">
        <f>IF(VLOOKUP($E148,$D$5:$AI$471,3,)=0,0,(VLOOKUP($E148,$D$5:$AI$471,13,)/VLOOKUP($E148,$D$5:$AI$471,3,))*$F148)</f>
        <v>0</v>
      </c>
      <c r="Q148" s="18">
        <f>IF(VLOOKUP($E148,$D$5:$AI$471,3,)=0,0,(VLOOKUP($E148,$D$5:$AI$471,14,)/VLOOKUP($E148,$D$5:$AI$471,3,))*$F148)</f>
        <v>0</v>
      </c>
      <c r="R148" s="18">
        <f>IF(VLOOKUP($E148,$D$5:$AI$471,3,)=0,0,(VLOOKUP($E148,$D$5:$AI$471,15,)/VLOOKUP($E148,$D$5:$AI$471,3,))*$F148)</f>
        <v>0</v>
      </c>
      <c r="S148" s="18">
        <f>IF(VLOOKUP($E148,$D$5:$AI$471,3,)=0,0,(VLOOKUP($E148,$D$5:$AI$471,16,)/VLOOKUP($E148,$D$5:$AI$471,3,))*$F148)</f>
        <v>0</v>
      </c>
      <c r="T148" s="18">
        <f>IF(VLOOKUP($E148,$D$5:$AI$471,3,)=0,0,(VLOOKUP($E148,$D$5:$AI$471,17,)/VLOOKUP($E148,$D$5:$AI$471,3,))*$F148)</f>
        <v>0</v>
      </c>
      <c r="U148" s="18">
        <f>IF(VLOOKUP($E148,$D$5:$AI$471,3,)=0,0,(VLOOKUP($E148,$D$5:$AI$471,18,)/VLOOKUP($E148,$D$5:$AI$471,3,))*$F148)</f>
        <v>0</v>
      </c>
      <c r="V148" s="18">
        <f>IF(VLOOKUP($E148,$D$5:$AI$471,3,)=0,0,(VLOOKUP($E148,$D$5:$AI$471,19,)/VLOOKUP($E148,$D$5:$AI$471,3,))*$F148)</f>
        <v>0</v>
      </c>
      <c r="W148" s="18">
        <f>IF(VLOOKUP($E148,$D$5:$AI$471,3,)=0,0,(VLOOKUP($E148,$D$5:$AI$471,20,)/VLOOKUP($E148,$D$5:$AI$471,3,))*$F148)</f>
        <v>0</v>
      </c>
      <c r="X148" s="18">
        <f>IF(VLOOKUP($E148,$D$5:$AI$471,3,)=0,0,(VLOOKUP($E148,$D$5:$AI$471,21,)/VLOOKUP($E148,$D$5:$AI$471,3,))*$F148)</f>
        <v>0</v>
      </c>
      <c r="Y148" s="18">
        <f>IF(VLOOKUP($E148,$D$5:$AI$471,3,)=0,0,(VLOOKUP($E148,$D$5:$AI$471,22,)/VLOOKUP($E148,$D$5:$AI$471,3,))*$F148)</f>
        <v>0</v>
      </c>
      <c r="Z148" s="18">
        <f>IF(VLOOKUP($E148,$D$5:$AI$471,3,)=0,0,(VLOOKUP($E148,$D$5:$AI$471,23,)/VLOOKUP($E148,$D$5:$AI$471,3,))*$F148)</f>
        <v>0</v>
      </c>
      <c r="AA148" s="18">
        <f>IF(VLOOKUP($E148,$D$5:$AI$471,3,)=0,0,(VLOOKUP($E148,$D$5:$AI$471,24,)/VLOOKUP($E148,$D$5:$AI$471,3,))*$F148)</f>
        <v>0</v>
      </c>
      <c r="AB148" s="18">
        <f>IF(VLOOKUP($E148,$D$5:$AI$471,3,)=0,0,(VLOOKUP($E148,$D$5:$AI$471,25,)/VLOOKUP($E148,$D$5:$AI$471,3,))*$F148)</f>
        <v>0</v>
      </c>
      <c r="AC148" s="18">
        <f>IF(VLOOKUP($E148,$D$5:$AI$471,3,)=0,0,(VLOOKUP($E148,$D$5:$AI$471,26,)/VLOOKUP($E148,$D$5:$AI$471,3,))*$F148)</f>
        <v>0</v>
      </c>
      <c r="AD148" s="18">
        <f>IF(VLOOKUP($E148,$D$5:$AI$471,3,)=0,0,(VLOOKUP($E148,$D$5:$AI$471,27,)/VLOOKUP($E148,$D$5:$AI$471,3,))*$F148)</f>
        <v>0</v>
      </c>
      <c r="AE148" s="18">
        <f>IF(VLOOKUP($E148,$D$5:$AI$471,3,)=0,0,(VLOOKUP($E148,$D$5:$AI$471,28,)/VLOOKUP($E148,$D$5:$AI$471,3,))*$F148)</f>
        <v>0</v>
      </c>
      <c r="AF148" s="18">
        <f>IF(VLOOKUP($E148,$D$5:$AI$471,3,)=0,0,(VLOOKUP($E148,$D$5:$AI$471,29,)/VLOOKUP($E148,$D$5:$AI$471,3,))*$F148)</f>
        <v>0</v>
      </c>
      <c r="AG148" s="18">
        <f>IF(VLOOKUP($E148,$D$5:$AI$471,3,)=0,0,(VLOOKUP($E148,$D$5:$AI$471,30,)/VLOOKUP($E148,$D$5:$AI$471,3,))*$F148)</f>
        <v>0</v>
      </c>
      <c r="AH148" s="20">
        <f t="shared" si="24"/>
        <v>0</v>
      </c>
      <c r="AI148" s="15" t="str">
        <f t="shared" si="25"/>
        <v>ok</v>
      </c>
    </row>
    <row r="149" spans="1:35" x14ac:dyDescent="0.3">
      <c r="A149" s="21" t="s">
        <v>537</v>
      </c>
      <c r="C149" s="2" t="s">
        <v>487</v>
      </c>
      <c r="D149" s="2" t="s">
        <v>611</v>
      </c>
      <c r="E149" s="2" t="s">
        <v>539</v>
      </c>
      <c r="F149" s="18">
        <f>VLOOKUP(C149,'Functional Assignment'!$C$1:$AU$563,8,)</f>
        <v>0</v>
      </c>
      <c r="G149" s="18">
        <f>IF(VLOOKUP($E149,$D$5:$AI$471,3,)=0,0,(VLOOKUP($E149,$D$5:$AI$471,4,)/VLOOKUP($E149,$D$5:$AI$471,3,))*$F149)</f>
        <v>0</v>
      </c>
      <c r="H149" s="18">
        <f>IF(VLOOKUP($E149,$D$5:$AI$471,3,)=0,0,(VLOOKUP($E149,$D$5:$AI$471,5,)/VLOOKUP($E149,$D$5:$AI$471,3,))*$F149)</f>
        <v>0</v>
      </c>
      <c r="I149" s="18">
        <f>IF(VLOOKUP($E149,$D$5:$AI$471,3,)=0,0,(VLOOKUP($E149,$D$5:$AI$471,6,)/VLOOKUP($E149,$D$5:$AI$471,3,))*$F149)</f>
        <v>0</v>
      </c>
      <c r="J149" s="18">
        <f>IF(VLOOKUP($E149,$D$5:$AI$471,3,)=0,0,(VLOOKUP($E149,$D$5:$AI$471,7,)/VLOOKUP($E149,$D$5:$AI$471,3,))*$F149)</f>
        <v>0</v>
      </c>
      <c r="K149" s="18">
        <f>IF(VLOOKUP($E149,$D$5:$AI$471,3,)=0,0,(VLOOKUP($E149,$D$5:$AI$471,8,)/VLOOKUP($E149,$D$5:$AI$471,3,))*$F149)</f>
        <v>0</v>
      </c>
      <c r="L149" s="18">
        <f>IF(VLOOKUP($E149,$D$5:$AI$471,3,)=0,0,(VLOOKUP($E149,$D$5:$AI$471,9,)/VLOOKUP($E149,$D$5:$AI$471,3,))*$F149)</f>
        <v>0</v>
      </c>
      <c r="M149" s="18">
        <f>IF(VLOOKUP($E149,$D$5:$AI$471,3,)=0,0,(VLOOKUP($E149,$D$5:$AI$471,10,)/VLOOKUP($E149,$D$5:$AI$471,3,))*$F149)</f>
        <v>0</v>
      </c>
      <c r="N149" s="18">
        <f>IF(VLOOKUP($E149,$D$5:$AI$471,3,)=0,0,(VLOOKUP($E149,$D$5:$AI$471,11,)/VLOOKUP($E149,$D$5:$AI$471,3,))*$F149)</f>
        <v>0</v>
      </c>
      <c r="O149" s="18">
        <f>IF(VLOOKUP($E149,$D$5:$AI$471,3,)=0,0,(VLOOKUP($E149,$D$5:$AI$471,12,)/VLOOKUP($E149,$D$5:$AI$471,3,))*$F149)</f>
        <v>0</v>
      </c>
      <c r="P149" s="18">
        <f>IF(VLOOKUP($E149,$D$5:$AI$471,3,)=0,0,(VLOOKUP($E149,$D$5:$AI$471,13,)/VLOOKUP($E149,$D$5:$AI$471,3,))*$F149)</f>
        <v>0</v>
      </c>
      <c r="Q149" s="18">
        <f>IF(VLOOKUP($E149,$D$5:$AI$471,3,)=0,0,(VLOOKUP($E149,$D$5:$AI$471,14,)/VLOOKUP($E149,$D$5:$AI$471,3,))*$F149)</f>
        <v>0</v>
      </c>
      <c r="R149" s="18">
        <f>IF(VLOOKUP($E149,$D$5:$AI$471,3,)=0,0,(VLOOKUP($E149,$D$5:$AI$471,15,)/VLOOKUP($E149,$D$5:$AI$471,3,))*$F149)</f>
        <v>0</v>
      </c>
      <c r="S149" s="18">
        <f>IF(VLOOKUP($E149,$D$5:$AI$471,3,)=0,0,(VLOOKUP($E149,$D$5:$AI$471,16,)/VLOOKUP($E149,$D$5:$AI$471,3,))*$F149)</f>
        <v>0</v>
      </c>
      <c r="T149" s="18">
        <f>IF(VLOOKUP($E149,$D$5:$AI$471,3,)=0,0,(VLOOKUP($E149,$D$5:$AI$471,17,)/VLOOKUP($E149,$D$5:$AI$471,3,))*$F149)</f>
        <v>0</v>
      </c>
      <c r="U149" s="18">
        <f>IF(VLOOKUP($E149,$D$5:$AI$471,3,)=0,0,(VLOOKUP($E149,$D$5:$AI$471,18,)/VLOOKUP($E149,$D$5:$AI$471,3,))*$F149)</f>
        <v>0</v>
      </c>
      <c r="V149" s="18">
        <f>IF(VLOOKUP($E149,$D$5:$AI$471,3,)=0,0,(VLOOKUP($E149,$D$5:$AI$471,19,)/VLOOKUP($E149,$D$5:$AI$471,3,))*$F149)</f>
        <v>0</v>
      </c>
      <c r="W149" s="18">
        <f>IF(VLOOKUP($E149,$D$5:$AI$471,3,)=0,0,(VLOOKUP($E149,$D$5:$AI$471,20,)/VLOOKUP($E149,$D$5:$AI$471,3,))*$F149)</f>
        <v>0</v>
      </c>
      <c r="X149" s="18">
        <f>IF(VLOOKUP($E149,$D$5:$AI$471,3,)=0,0,(VLOOKUP($E149,$D$5:$AI$471,21,)/VLOOKUP($E149,$D$5:$AI$471,3,))*$F149)</f>
        <v>0</v>
      </c>
      <c r="Y149" s="18">
        <f>IF(VLOOKUP($E149,$D$5:$AI$471,3,)=0,0,(VLOOKUP($E149,$D$5:$AI$471,22,)/VLOOKUP($E149,$D$5:$AI$471,3,))*$F149)</f>
        <v>0</v>
      </c>
      <c r="Z149" s="18">
        <f>IF(VLOOKUP($E149,$D$5:$AI$471,3,)=0,0,(VLOOKUP($E149,$D$5:$AI$471,23,)/VLOOKUP($E149,$D$5:$AI$471,3,))*$F149)</f>
        <v>0</v>
      </c>
      <c r="AA149" s="18">
        <f>IF(VLOOKUP($E149,$D$5:$AI$471,3,)=0,0,(VLOOKUP($E149,$D$5:$AI$471,24,)/VLOOKUP($E149,$D$5:$AI$471,3,))*$F149)</f>
        <v>0</v>
      </c>
      <c r="AB149" s="18">
        <f>IF(VLOOKUP($E149,$D$5:$AI$471,3,)=0,0,(VLOOKUP($E149,$D$5:$AI$471,25,)/VLOOKUP($E149,$D$5:$AI$471,3,))*$F149)</f>
        <v>0</v>
      </c>
      <c r="AC149" s="18">
        <f>IF(VLOOKUP($E149,$D$5:$AI$471,3,)=0,0,(VLOOKUP($E149,$D$5:$AI$471,26,)/VLOOKUP($E149,$D$5:$AI$471,3,))*$F149)</f>
        <v>0</v>
      </c>
      <c r="AD149" s="18">
        <f>IF(VLOOKUP($E149,$D$5:$AI$471,3,)=0,0,(VLOOKUP($E149,$D$5:$AI$471,27,)/VLOOKUP($E149,$D$5:$AI$471,3,))*$F149)</f>
        <v>0</v>
      </c>
      <c r="AE149" s="18">
        <f>IF(VLOOKUP($E149,$D$5:$AI$471,3,)=0,0,(VLOOKUP($E149,$D$5:$AI$471,28,)/VLOOKUP($E149,$D$5:$AI$471,3,))*$F149)</f>
        <v>0</v>
      </c>
      <c r="AF149" s="18">
        <f>IF(VLOOKUP($E149,$D$5:$AI$471,3,)=0,0,(VLOOKUP($E149,$D$5:$AI$471,29,)/VLOOKUP($E149,$D$5:$AI$471,3,))*$F149)</f>
        <v>0</v>
      </c>
      <c r="AG149" s="18">
        <f>IF(VLOOKUP($E149,$D$5:$AI$471,3,)=0,0,(VLOOKUP($E149,$D$5:$AI$471,30,)/VLOOKUP($E149,$D$5:$AI$471,3,))*$F149)</f>
        <v>0</v>
      </c>
      <c r="AH149" s="20">
        <f t="shared" si="24"/>
        <v>0</v>
      </c>
      <c r="AI149" s="15" t="str">
        <f t="shared" si="25"/>
        <v>ok</v>
      </c>
    </row>
    <row r="150" spans="1:35" x14ac:dyDescent="0.3">
      <c r="A150" s="21" t="s">
        <v>540</v>
      </c>
      <c r="C150" s="2" t="s">
        <v>487</v>
      </c>
      <c r="D150" s="2" t="s">
        <v>612</v>
      </c>
      <c r="E150" s="2" t="s">
        <v>542</v>
      </c>
      <c r="F150" s="18">
        <f>VLOOKUP(C150,'Functional Assignment'!$C$1:$AU$563,9,)</f>
        <v>0</v>
      </c>
      <c r="G150" s="18">
        <f>IF(VLOOKUP($E150,$D$5:$AI$471,3,)=0,0,(VLOOKUP($E150,$D$5:$AI$471,4,)/VLOOKUP($E150,$D$5:$AI$471,3,))*$F150)</f>
        <v>0</v>
      </c>
      <c r="H150" s="18">
        <f>IF(VLOOKUP($E150,$D$5:$AI$471,3,)=0,0,(VLOOKUP($E150,$D$5:$AI$471,5,)/VLOOKUP($E150,$D$5:$AI$471,3,))*$F150)</f>
        <v>0</v>
      </c>
      <c r="I150" s="18">
        <f>IF(VLOOKUP($E150,$D$5:$AI$471,3,)=0,0,(VLOOKUP($E150,$D$5:$AI$471,6,)/VLOOKUP($E150,$D$5:$AI$471,3,))*$F150)</f>
        <v>0</v>
      </c>
      <c r="J150" s="18">
        <f>IF(VLOOKUP($E150,$D$5:$AI$471,3,)=0,0,(VLOOKUP($E150,$D$5:$AI$471,7,)/VLOOKUP($E150,$D$5:$AI$471,3,))*$F150)</f>
        <v>0</v>
      </c>
      <c r="K150" s="18">
        <f>IF(VLOOKUP($E150,$D$5:$AI$471,3,)=0,0,(VLOOKUP($E150,$D$5:$AI$471,8,)/VLOOKUP($E150,$D$5:$AI$471,3,))*$F150)</f>
        <v>0</v>
      </c>
      <c r="L150" s="18">
        <f>IF(VLOOKUP($E150,$D$5:$AI$471,3,)=0,0,(VLOOKUP($E150,$D$5:$AI$471,9,)/VLOOKUP($E150,$D$5:$AI$471,3,))*$F150)</f>
        <v>0</v>
      </c>
      <c r="M150" s="18">
        <f>IF(VLOOKUP($E150,$D$5:$AI$471,3,)=0,0,(VLOOKUP($E150,$D$5:$AI$471,10,)/VLOOKUP($E150,$D$5:$AI$471,3,))*$F150)</f>
        <v>0</v>
      </c>
      <c r="N150" s="18">
        <f>IF(VLOOKUP($E150,$D$5:$AI$471,3,)=0,0,(VLOOKUP($E150,$D$5:$AI$471,11,)/VLOOKUP($E150,$D$5:$AI$471,3,))*$F150)</f>
        <v>0</v>
      </c>
      <c r="O150" s="18">
        <f>IF(VLOOKUP($E150,$D$5:$AI$471,3,)=0,0,(VLOOKUP($E150,$D$5:$AI$471,12,)/VLOOKUP($E150,$D$5:$AI$471,3,))*$F150)</f>
        <v>0</v>
      </c>
      <c r="P150" s="18">
        <f>IF(VLOOKUP($E150,$D$5:$AI$471,3,)=0,0,(VLOOKUP($E150,$D$5:$AI$471,13,)/VLOOKUP($E150,$D$5:$AI$471,3,))*$F150)</f>
        <v>0</v>
      </c>
      <c r="Q150" s="18">
        <f>IF(VLOOKUP($E150,$D$5:$AI$471,3,)=0,0,(VLOOKUP($E150,$D$5:$AI$471,14,)/VLOOKUP($E150,$D$5:$AI$471,3,))*$F150)</f>
        <v>0</v>
      </c>
      <c r="R150" s="18">
        <f>IF(VLOOKUP($E150,$D$5:$AI$471,3,)=0,0,(VLOOKUP($E150,$D$5:$AI$471,15,)/VLOOKUP($E150,$D$5:$AI$471,3,))*$F150)</f>
        <v>0</v>
      </c>
      <c r="S150" s="18">
        <f>IF(VLOOKUP($E150,$D$5:$AI$471,3,)=0,0,(VLOOKUP($E150,$D$5:$AI$471,16,)/VLOOKUP($E150,$D$5:$AI$471,3,))*$F150)</f>
        <v>0</v>
      </c>
      <c r="T150" s="18">
        <f>IF(VLOOKUP($E150,$D$5:$AI$471,3,)=0,0,(VLOOKUP($E150,$D$5:$AI$471,17,)/VLOOKUP($E150,$D$5:$AI$471,3,))*$F150)</f>
        <v>0</v>
      </c>
      <c r="U150" s="18">
        <f>IF(VLOOKUP($E150,$D$5:$AI$471,3,)=0,0,(VLOOKUP($E150,$D$5:$AI$471,18,)/VLOOKUP($E150,$D$5:$AI$471,3,))*$F150)</f>
        <v>0</v>
      </c>
      <c r="V150" s="18">
        <f>IF(VLOOKUP($E150,$D$5:$AI$471,3,)=0,0,(VLOOKUP($E150,$D$5:$AI$471,19,)/VLOOKUP($E150,$D$5:$AI$471,3,))*$F150)</f>
        <v>0</v>
      </c>
      <c r="W150" s="18">
        <f>IF(VLOOKUP($E150,$D$5:$AI$471,3,)=0,0,(VLOOKUP($E150,$D$5:$AI$471,20,)/VLOOKUP($E150,$D$5:$AI$471,3,))*$F150)</f>
        <v>0</v>
      </c>
      <c r="X150" s="18">
        <f>IF(VLOOKUP($E150,$D$5:$AI$471,3,)=0,0,(VLOOKUP($E150,$D$5:$AI$471,21,)/VLOOKUP($E150,$D$5:$AI$471,3,))*$F150)</f>
        <v>0</v>
      </c>
      <c r="Y150" s="18">
        <f>IF(VLOOKUP($E150,$D$5:$AI$471,3,)=0,0,(VLOOKUP($E150,$D$5:$AI$471,22,)/VLOOKUP($E150,$D$5:$AI$471,3,))*$F150)</f>
        <v>0</v>
      </c>
      <c r="Z150" s="18">
        <f>IF(VLOOKUP($E150,$D$5:$AI$471,3,)=0,0,(VLOOKUP($E150,$D$5:$AI$471,23,)/VLOOKUP($E150,$D$5:$AI$471,3,))*$F150)</f>
        <v>0</v>
      </c>
      <c r="AA150" s="18">
        <f>IF(VLOOKUP($E150,$D$5:$AI$471,3,)=0,0,(VLOOKUP($E150,$D$5:$AI$471,24,)/VLOOKUP($E150,$D$5:$AI$471,3,))*$F150)</f>
        <v>0</v>
      </c>
      <c r="AB150" s="18">
        <f>IF(VLOOKUP($E150,$D$5:$AI$471,3,)=0,0,(VLOOKUP($E150,$D$5:$AI$471,25,)/VLOOKUP($E150,$D$5:$AI$471,3,))*$F150)</f>
        <v>0</v>
      </c>
      <c r="AC150" s="18">
        <f>IF(VLOOKUP($E150,$D$5:$AI$471,3,)=0,0,(VLOOKUP($E150,$D$5:$AI$471,26,)/VLOOKUP($E150,$D$5:$AI$471,3,))*$F150)</f>
        <v>0</v>
      </c>
      <c r="AD150" s="18">
        <f>IF(VLOOKUP($E150,$D$5:$AI$471,3,)=0,0,(VLOOKUP($E150,$D$5:$AI$471,27,)/VLOOKUP($E150,$D$5:$AI$471,3,))*$F150)</f>
        <v>0</v>
      </c>
      <c r="AE150" s="18">
        <f>IF(VLOOKUP($E150,$D$5:$AI$471,3,)=0,0,(VLOOKUP($E150,$D$5:$AI$471,28,)/VLOOKUP($E150,$D$5:$AI$471,3,))*$F150)</f>
        <v>0</v>
      </c>
      <c r="AF150" s="18">
        <f>IF(VLOOKUP($E150,$D$5:$AI$471,3,)=0,0,(VLOOKUP($E150,$D$5:$AI$471,29,)/VLOOKUP($E150,$D$5:$AI$471,3,))*$F150)</f>
        <v>0</v>
      </c>
      <c r="AG150" s="18">
        <f>IF(VLOOKUP($E150,$D$5:$AI$471,3,)=0,0,(VLOOKUP($E150,$D$5:$AI$471,30,)/VLOOKUP($E150,$D$5:$AI$471,3,))*$F150)</f>
        <v>0</v>
      </c>
      <c r="AH150" s="20">
        <f t="shared" si="24"/>
        <v>0</v>
      </c>
      <c r="AI150" s="15" t="str">
        <f t="shared" si="25"/>
        <v>ok</v>
      </c>
    </row>
    <row r="151" spans="1:35" x14ac:dyDescent="0.3">
      <c r="A151" s="21" t="s">
        <v>543</v>
      </c>
      <c r="C151" s="2" t="s">
        <v>487</v>
      </c>
      <c r="D151" s="2" t="s">
        <v>613</v>
      </c>
      <c r="E151" s="2" t="s">
        <v>545</v>
      </c>
      <c r="F151" s="18">
        <f>VLOOKUP(C151,'Functional Assignment'!$C$1:$AU$563,10,)</f>
        <v>0</v>
      </c>
      <c r="G151" s="18">
        <f>IF(VLOOKUP($E151,$D$5:$AI$471,3,)=0,0,(VLOOKUP($E151,$D$5:$AI$471,4,)/VLOOKUP($E151,$D$5:$AI$471,3,))*$F151)</f>
        <v>0</v>
      </c>
      <c r="H151" s="18">
        <f>IF(VLOOKUP($E151,$D$5:$AI$471,3,)=0,0,(VLOOKUP($E151,$D$5:$AI$471,5,)/VLOOKUP($E151,$D$5:$AI$471,3,))*$F151)</f>
        <v>0</v>
      </c>
      <c r="I151" s="18">
        <f>IF(VLOOKUP($E151,$D$5:$AI$471,3,)=0,0,(VLOOKUP($E151,$D$5:$AI$471,6,)/VLOOKUP($E151,$D$5:$AI$471,3,))*$F151)</f>
        <v>0</v>
      </c>
      <c r="J151" s="18">
        <f>IF(VLOOKUP($E151,$D$5:$AI$471,3,)=0,0,(VLOOKUP($E151,$D$5:$AI$471,7,)/VLOOKUP($E151,$D$5:$AI$471,3,))*$F151)</f>
        <v>0</v>
      </c>
      <c r="K151" s="18">
        <f>IF(VLOOKUP($E151,$D$5:$AI$471,3,)=0,0,(VLOOKUP($E151,$D$5:$AI$471,8,)/VLOOKUP($E151,$D$5:$AI$471,3,))*$F151)</f>
        <v>0</v>
      </c>
      <c r="L151" s="18">
        <f>IF(VLOOKUP($E151,$D$5:$AI$471,3,)=0,0,(VLOOKUP($E151,$D$5:$AI$471,9,)/VLOOKUP($E151,$D$5:$AI$471,3,))*$F151)</f>
        <v>0</v>
      </c>
      <c r="M151" s="18">
        <f>IF(VLOOKUP($E151,$D$5:$AI$471,3,)=0,0,(VLOOKUP($E151,$D$5:$AI$471,10,)/VLOOKUP($E151,$D$5:$AI$471,3,))*$F151)</f>
        <v>0</v>
      </c>
      <c r="N151" s="18">
        <f>IF(VLOOKUP($E151,$D$5:$AI$471,3,)=0,0,(VLOOKUP($E151,$D$5:$AI$471,11,)/VLOOKUP($E151,$D$5:$AI$471,3,))*$F151)</f>
        <v>0</v>
      </c>
      <c r="O151" s="18">
        <f>IF(VLOOKUP($E151,$D$5:$AI$471,3,)=0,0,(VLOOKUP($E151,$D$5:$AI$471,12,)/VLOOKUP($E151,$D$5:$AI$471,3,))*$F151)</f>
        <v>0</v>
      </c>
      <c r="P151" s="18">
        <f>IF(VLOOKUP($E151,$D$5:$AI$471,3,)=0,0,(VLOOKUP($E151,$D$5:$AI$471,13,)/VLOOKUP($E151,$D$5:$AI$471,3,))*$F151)</f>
        <v>0</v>
      </c>
      <c r="Q151" s="18">
        <f>IF(VLOOKUP($E151,$D$5:$AI$471,3,)=0,0,(VLOOKUP($E151,$D$5:$AI$471,14,)/VLOOKUP($E151,$D$5:$AI$471,3,))*$F151)</f>
        <v>0</v>
      </c>
      <c r="R151" s="18">
        <f>IF(VLOOKUP($E151,$D$5:$AI$471,3,)=0,0,(VLOOKUP($E151,$D$5:$AI$471,15,)/VLOOKUP($E151,$D$5:$AI$471,3,))*$F151)</f>
        <v>0</v>
      </c>
      <c r="S151" s="18">
        <f>IF(VLOOKUP($E151,$D$5:$AI$471,3,)=0,0,(VLOOKUP($E151,$D$5:$AI$471,16,)/VLOOKUP($E151,$D$5:$AI$471,3,))*$F151)</f>
        <v>0</v>
      </c>
      <c r="T151" s="18">
        <f>IF(VLOOKUP($E151,$D$5:$AI$471,3,)=0,0,(VLOOKUP($E151,$D$5:$AI$471,17,)/VLOOKUP($E151,$D$5:$AI$471,3,))*$F151)</f>
        <v>0</v>
      </c>
      <c r="U151" s="18">
        <f>IF(VLOOKUP($E151,$D$5:$AI$471,3,)=0,0,(VLOOKUP($E151,$D$5:$AI$471,18,)/VLOOKUP($E151,$D$5:$AI$471,3,))*$F151)</f>
        <v>0</v>
      </c>
      <c r="V151" s="18">
        <f>IF(VLOOKUP($E151,$D$5:$AI$471,3,)=0,0,(VLOOKUP($E151,$D$5:$AI$471,19,)/VLOOKUP($E151,$D$5:$AI$471,3,))*$F151)</f>
        <v>0</v>
      </c>
      <c r="W151" s="18">
        <f>IF(VLOOKUP($E151,$D$5:$AI$471,3,)=0,0,(VLOOKUP($E151,$D$5:$AI$471,20,)/VLOOKUP($E151,$D$5:$AI$471,3,))*$F151)</f>
        <v>0</v>
      </c>
      <c r="X151" s="18">
        <f>IF(VLOOKUP($E151,$D$5:$AI$471,3,)=0,0,(VLOOKUP($E151,$D$5:$AI$471,21,)/VLOOKUP($E151,$D$5:$AI$471,3,))*$F151)</f>
        <v>0</v>
      </c>
      <c r="Y151" s="18">
        <f>IF(VLOOKUP($E151,$D$5:$AI$471,3,)=0,0,(VLOOKUP($E151,$D$5:$AI$471,22,)/VLOOKUP($E151,$D$5:$AI$471,3,))*$F151)</f>
        <v>0</v>
      </c>
      <c r="Z151" s="18">
        <f>IF(VLOOKUP($E151,$D$5:$AI$471,3,)=0,0,(VLOOKUP($E151,$D$5:$AI$471,23,)/VLOOKUP($E151,$D$5:$AI$471,3,))*$F151)</f>
        <v>0</v>
      </c>
      <c r="AA151" s="18">
        <f>IF(VLOOKUP($E151,$D$5:$AI$471,3,)=0,0,(VLOOKUP($E151,$D$5:$AI$471,24,)/VLOOKUP($E151,$D$5:$AI$471,3,))*$F151)</f>
        <v>0</v>
      </c>
      <c r="AB151" s="18">
        <f>IF(VLOOKUP($E151,$D$5:$AI$471,3,)=0,0,(VLOOKUP($E151,$D$5:$AI$471,25,)/VLOOKUP($E151,$D$5:$AI$471,3,))*$F151)</f>
        <v>0</v>
      </c>
      <c r="AC151" s="18">
        <f>IF(VLOOKUP($E151,$D$5:$AI$471,3,)=0,0,(VLOOKUP($E151,$D$5:$AI$471,26,)/VLOOKUP($E151,$D$5:$AI$471,3,))*$F151)</f>
        <v>0</v>
      </c>
      <c r="AD151" s="18">
        <f>IF(VLOOKUP($E151,$D$5:$AI$471,3,)=0,0,(VLOOKUP($E151,$D$5:$AI$471,27,)/VLOOKUP($E151,$D$5:$AI$471,3,))*$F151)</f>
        <v>0</v>
      </c>
      <c r="AE151" s="18">
        <f>IF(VLOOKUP($E151,$D$5:$AI$471,3,)=0,0,(VLOOKUP($E151,$D$5:$AI$471,28,)/VLOOKUP($E151,$D$5:$AI$471,3,))*$F151)</f>
        <v>0</v>
      </c>
      <c r="AF151" s="18">
        <f>IF(VLOOKUP($E151,$D$5:$AI$471,3,)=0,0,(VLOOKUP($E151,$D$5:$AI$471,29,)/VLOOKUP($E151,$D$5:$AI$471,3,))*$F151)</f>
        <v>0</v>
      </c>
      <c r="AG151" s="18">
        <f>IF(VLOOKUP($E151,$D$5:$AI$471,3,)=0,0,(VLOOKUP($E151,$D$5:$AI$471,30,)/VLOOKUP($E151,$D$5:$AI$471,3,))*$F151)</f>
        <v>0</v>
      </c>
      <c r="AH151" s="20">
        <f t="shared" si="24"/>
        <v>0</v>
      </c>
      <c r="AI151" s="15" t="str">
        <f t="shared" si="25"/>
        <v>ok</v>
      </c>
    </row>
    <row r="152" spans="1:35" x14ac:dyDescent="0.3">
      <c r="A152" s="2" t="s">
        <v>546</v>
      </c>
      <c r="D152" s="2" t="s">
        <v>614</v>
      </c>
      <c r="F152" s="18">
        <f>SUM(F147:F151)</f>
        <v>1576871</v>
      </c>
      <c r="G152" s="18">
        <f t="shared" ref="G152:AG152" si="26">SUM(G147:G151)</f>
        <v>1299620.177485052</v>
      </c>
      <c r="H152" s="18">
        <f t="shared" si="26"/>
        <v>64791.361307120977</v>
      </c>
      <c r="I152" s="18">
        <f t="shared" si="26"/>
        <v>15840.872851451628</v>
      </c>
      <c r="J152" s="18">
        <f t="shared" si="26"/>
        <v>34245.853752155075</v>
      </c>
      <c r="K152" s="18">
        <f t="shared" si="26"/>
        <v>162372.73460421964</v>
      </c>
      <c r="L152" s="18">
        <f t="shared" si="26"/>
        <v>0</v>
      </c>
      <c r="M152" s="18">
        <f t="shared" si="26"/>
        <v>0</v>
      </c>
      <c r="N152" s="18">
        <f t="shared" si="26"/>
        <v>0</v>
      </c>
      <c r="O152" s="18">
        <f t="shared" si="26"/>
        <v>0</v>
      </c>
      <c r="P152" s="18">
        <f t="shared" si="26"/>
        <v>0</v>
      </c>
      <c r="Q152" s="18">
        <f t="shared" si="26"/>
        <v>0</v>
      </c>
      <c r="R152" s="18">
        <f t="shared" si="26"/>
        <v>0</v>
      </c>
      <c r="S152" s="18">
        <f t="shared" si="26"/>
        <v>0</v>
      </c>
      <c r="T152" s="18">
        <f t="shared" si="26"/>
        <v>0</v>
      </c>
      <c r="U152" s="18">
        <f t="shared" si="26"/>
        <v>0</v>
      </c>
      <c r="V152" s="18">
        <f t="shared" si="26"/>
        <v>0</v>
      </c>
      <c r="W152" s="18">
        <f t="shared" si="26"/>
        <v>0</v>
      </c>
      <c r="X152" s="18">
        <f t="shared" si="26"/>
        <v>0</v>
      </c>
      <c r="Y152" s="18">
        <f t="shared" si="26"/>
        <v>0</v>
      </c>
      <c r="Z152" s="18">
        <f t="shared" si="26"/>
        <v>0</v>
      </c>
      <c r="AA152" s="18">
        <f t="shared" si="26"/>
        <v>0</v>
      </c>
      <c r="AB152" s="18">
        <f t="shared" si="26"/>
        <v>0</v>
      </c>
      <c r="AC152" s="18">
        <f t="shared" si="26"/>
        <v>0</v>
      </c>
      <c r="AD152" s="18">
        <f t="shared" si="26"/>
        <v>0</v>
      </c>
      <c r="AE152" s="18">
        <f t="shared" si="26"/>
        <v>0</v>
      </c>
      <c r="AF152" s="18">
        <f t="shared" si="26"/>
        <v>0</v>
      </c>
      <c r="AG152" s="18">
        <f t="shared" si="26"/>
        <v>0</v>
      </c>
      <c r="AH152" s="20">
        <f t="shared" si="24"/>
        <v>1576870.9999999993</v>
      </c>
      <c r="AI152" s="15" t="str">
        <f t="shared" si="25"/>
        <v>ok</v>
      </c>
    </row>
    <row r="153" spans="1:35" x14ac:dyDescent="0.3">
      <c r="F153" s="19"/>
      <c r="G153" s="19"/>
    </row>
    <row r="154" spans="1:35" x14ac:dyDescent="0.3">
      <c r="F154" s="19"/>
      <c r="G154" s="19"/>
    </row>
    <row r="155" spans="1:35" x14ac:dyDescent="0.3">
      <c r="A155" s="3" t="s">
        <v>29</v>
      </c>
      <c r="C155" s="2" t="s">
        <v>487</v>
      </c>
      <c r="D155" s="2" t="s">
        <v>615</v>
      </c>
      <c r="E155" s="2" t="s">
        <v>549</v>
      </c>
      <c r="F155" s="18">
        <f>VLOOKUP(C155,'Functional Assignment'!$C$1:$AU$563,11,)</f>
        <v>0</v>
      </c>
      <c r="G155" s="18">
        <f>IF(VLOOKUP($E155,$D$5:$AI$471,3,)=0,0,(VLOOKUP($E155,$D$5:$AI$471,4,)/VLOOKUP($E155,$D$5:$AI$471,3,))*$F155)</f>
        <v>0</v>
      </c>
      <c r="H155" s="18">
        <f>IF(VLOOKUP($E155,$D$5:$AI$471,3,)=0,0,(VLOOKUP($E155,$D$5:$AI$471,5,)/VLOOKUP($E155,$D$5:$AI$471,3,))*$F155)</f>
        <v>0</v>
      </c>
      <c r="I155" s="18">
        <f>IF(VLOOKUP($E155,$D$5:$AI$471,3,)=0,0,(VLOOKUP($E155,$D$5:$AI$471,6,)/VLOOKUP($E155,$D$5:$AI$471,3,))*$F155)</f>
        <v>0</v>
      </c>
      <c r="J155" s="18">
        <f>IF(VLOOKUP($E155,$D$5:$AI$471,3,)=0,0,(VLOOKUP($E155,$D$5:$AI$471,7,)/VLOOKUP($E155,$D$5:$AI$471,3,))*$F155)</f>
        <v>0</v>
      </c>
      <c r="K155" s="18">
        <f>IF(VLOOKUP($E155,$D$5:$AI$471,3,)=0,0,(VLOOKUP($E155,$D$5:$AI$471,8,)/VLOOKUP($E155,$D$5:$AI$471,3,))*$F155)</f>
        <v>0</v>
      </c>
      <c r="L155" s="18">
        <f>IF(VLOOKUP($E155,$D$5:$AI$471,3,)=0,0,(VLOOKUP($E155,$D$5:$AI$471,9,)/VLOOKUP($E155,$D$5:$AI$471,3,))*$F155)</f>
        <v>0</v>
      </c>
      <c r="M155" s="18">
        <f>IF(VLOOKUP($E155,$D$5:$AI$471,3,)=0,0,(VLOOKUP($E155,$D$5:$AI$471,10,)/VLOOKUP($E155,$D$5:$AI$471,3,))*$F155)</f>
        <v>0</v>
      </c>
      <c r="N155" s="18">
        <f>IF(VLOOKUP($E155,$D$5:$AI$471,3,)=0,0,(VLOOKUP($E155,$D$5:$AI$471,11,)/VLOOKUP($E155,$D$5:$AI$471,3,))*$F155)</f>
        <v>0</v>
      </c>
      <c r="O155" s="18">
        <f>IF(VLOOKUP($E155,$D$5:$AI$471,3,)=0,0,(VLOOKUP($E155,$D$5:$AI$471,12,)/VLOOKUP($E155,$D$5:$AI$471,3,))*$F155)</f>
        <v>0</v>
      </c>
      <c r="P155" s="18">
        <f>IF(VLOOKUP($E155,$D$5:$AI$471,3,)=0,0,(VLOOKUP($E155,$D$5:$AI$471,13,)/VLOOKUP($E155,$D$5:$AI$471,3,))*$F155)</f>
        <v>0</v>
      </c>
      <c r="Q155" s="18">
        <f>IF(VLOOKUP($E155,$D$5:$AI$471,3,)=0,0,(VLOOKUP($E155,$D$5:$AI$471,14,)/VLOOKUP($E155,$D$5:$AI$471,3,))*$F155)</f>
        <v>0</v>
      </c>
      <c r="R155" s="18">
        <f>IF(VLOOKUP($E155,$D$5:$AI$471,3,)=0,0,(VLOOKUP($E155,$D$5:$AI$471,15,)/VLOOKUP($E155,$D$5:$AI$471,3,))*$F155)</f>
        <v>0</v>
      </c>
      <c r="S155" s="18">
        <f>IF(VLOOKUP($E155,$D$5:$AI$471,3,)=0,0,(VLOOKUP($E155,$D$5:$AI$471,16,)/VLOOKUP($E155,$D$5:$AI$471,3,))*$F155)</f>
        <v>0</v>
      </c>
      <c r="T155" s="18">
        <f>IF(VLOOKUP($E155,$D$5:$AI$471,3,)=0,0,(VLOOKUP($E155,$D$5:$AI$471,17,)/VLOOKUP($E155,$D$5:$AI$471,3,))*$F155)</f>
        <v>0</v>
      </c>
      <c r="U155" s="18">
        <f>IF(VLOOKUP($E155,$D$5:$AI$471,3,)=0,0,(VLOOKUP($E155,$D$5:$AI$471,18,)/VLOOKUP($E155,$D$5:$AI$471,3,))*$F155)</f>
        <v>0</v>
      </c>
      <c r="V155" s="18">
        <f>IF(VLOOKUP($E155,$D$5:$AI$471,3,)=0,0,(VLOOKUP($E155,$D$5:$AI$471,19,)/VLOOKUP($E155,$D$5:$AI$471,3,))*$F155)</f>
        <v>0</v>
      </c>
      <c r="W155" s="18">
        <f>IF(VLOOKUP($E155,$D$5:$AI$471,3,)=0,0,(VLOOKUP($E155,$D$5:$AI$471,20,)/VLOOKUP($E155,$D$5:$AI$471,3,))*$F155)</f>
        <v>0</v>
      </c>
      <c r="X155" s="18">
        <f>IF(VLOOKUP($E155,$D$5:$AI$471,3,)=0,0,(VLOOKUP($E155,$D$5:$AI$471,21,)/VLOOKUP($E155,$D$5:$AI$471,3,))*$F155)</f>
        <v>0</v>
      </c>
      <c r="Y155" s="18">
        <f>IF(VLOOKUP($E155,$D$5:$AI$471,3,)=0,0,(VLOOKUP($E155,$D$5:$AI$471,22,)/VLOOKUP($E155,$D$5:$AI$471,3,))*$F155)</f>
        <v>0</v>
      </c>
      <c r="Z155" s="18">
        <f>IF(VLOOKUP($E155,$D$5:$AI$471,3,)=0,0,(VLOOKUP($E155,$D$5:$AI$471,23,)/VLOOKUP($E155,$D$5:$AI$471,3,))*$F155)</f>
        <v>0</v>
      </c>
      <c r="AA155" s="18">
        <f>IF(VLOOKUP($E155,$D$5:$AI$471,3,)=0,0,(VLOOKUP($E155,$D$5:$AI$471,24,)/VLOOKUP($E155,$D$5:$AI$471,3,))*$F155)</f>
        <v>0</v>
      </c>
      <c r="AB155" s="18">
        <f>IF(VLOOKUP($E155,$D$5:$AI$471,3,)=0,0,(VLOOKUP($E155,$D$5:$AI$471,25,)/VLOOKUP($E155,$D$5:$AI$471,3,))*$F155)</f>
        <v>0</v>
      </c>
      <c r="AC155" s="18">
        <f>IF(VLOOKUP($E155,$D$5:$AI$471,3,)=0,0,(VLOOKUP($E155,$D$5:$AI$471,26,)/VLOOKUP($E155,$D$5:$AI$471,3,))*$F155)</f>
        <v>0</v>
      </c>
      <c r="AD155" s="18">
        <f>IF(VLOOKUP($E155,$D$5:$AI$471,3,)=0,0,(VLOOKUP($E155,$D$5:$AI$471,27,)/VLOOKUP($E155,$D$5:$AI$471,3,))*$F155)</f>
        <v>0</v>
      </c>
      <c r="AE155" s="18">
        <f>IF(VLOOKUP($E155,$D$5:$AI$471,3,)=0,0,(VLOOKUP($E155,$D$5:$AI$471,28,)/VLOOKUP($E155,$D$5:$AI$471,3,))*$F155)</f>
        <v>0</v>
      </c>
      <c r="AF155" s="18">
        <f>IF(VLOOKUP($E155,$D$5:$AI$471,3,)=0,0,(VLOOKUP($E155,$D$5:$AI$471,29,)/VLOOKUP($E155,$D$5:$AI$471,3,))*$F155)</f>
        <v>0</v>
      </c>
      <c r="AG155" s="18">
        <f>IF(VLOOKUP($E155,$D$5:$AI$471,3,)=0,0,(VLOOKUP($E155,$D$5:$AI$471,30,)/VLOOKUP($E155,$D$5:$AI$471,3,))*$F155)</f>
        <v>0</v>
      </c>
      <c r="AH155" s="20">
        <f>SUM(G155:AG155)</f>
        <v>0</v>
      </c>
      <c r="AI155" s="15" t="str">
        <f>IF(ABS(F155-AH155)&lt;0.01,"ok","err")</f>
        <v>ok</v>
      </c>
    </row>
    <row r="156" spans="1:35" x14ac:dyDescent="0.3">
      <c r="F156" s="19"/>
      <c r="G156" s="19"/>
    </row>
    <row r="157" spans="1:35" x14ac:dyDescent="0.3">
      <c r="A157" s="3"/>
      <c r="F157" s="19"/>
      <c r="G157" s="19"/>
    </row>
    <row r="158" spans="1:35" x14ac:dyDescent="0.3">
      <c r="A158" s="3" t="s">
        <v>550</v>
      </c>
      <c r="C158" s="2" t="s">
        <v>487</v>
      </c>
      <c r="D158" s="2" t="s">
        <v>616</v>
      </c>
      <c r="E158" s="2" t="s">
        <v>552</v>
      </c>
      <c r="F158" s="18">
        <f>VLOOKUP(C158,'Functional Assignment'!$C$1:$AU$563,13,)</f>
        <v>0</v>
      </c>
      <c r="G158" s="18">
        <f>IF(VLOOKUP($E158,$D$5:$AI$471,3,)=0,0,(VLOOKUP($E158,$D$5:$AI$471,4,)/VLOOKUP($E158,$D$5:$AI$471,3,))*$F158)</f>
        <v>0</v>
      </c>
      <c r="H158" s="18">
        <f>IF(VLOOKUP($E158,$D$5:$AI$471,3,)=0,0,(VLOOKUP($E158,$D$5:$AI$471,5,)/VLOOKUP($E158,$D$5:$AI$471,3,))*$F158)</f>
        <v>0</v>
      </c>
      <c r="I158" s="18">
        <f>IF(VLOOKUP($E158,$D$5:$AI$471,3,)=0,0,(VLOOKUP($E158,$D$5:$AI$471,6,)/VLOOKUP($E158,$D$5:$AI$471,3,))*$F158)</f>
        <v>0</v>
      </c>
      <c r="J158" s="18">
        <f>IF(VLOOKUP($E158,$D$5:$AI$471,3,)=0,0,(VLOOKUP($E158,$D$5:$AI$471,7,)/VLOOKUP($E158,$D$5:$AI$471,3,))*$F158)</f>
        <v>0</v>
      </c>
      <c r="K158" s="18">
        <f>IF(VLOOKUP($E158,$D$5:$AI$471,3,)=0,0,(VLOOKUP($E158,$D$5:$AI$471,8,)/VLOOKUP($E158,$D$5:$AI$471,3,))*$F158)</f>
        <v>0</v>
      </c>
      <c r="L158" s="18">
        <f>IF(VLOOKUP($E158,$D$5:$AI$471,3,)=0,0,(VLOOKUP($E158,$D$5:$AI$471,9,)/VLOOKUP($E158,$D$5:$AI$471,3,))*$F158)</f>
        <v>0</v>
      </c>
      <c r="M158" s="18">
        <f>IF(VLOOKUP($E158,$D$5:$AI$471,3,)=0,0,(VLOOKUP($E158,$D$5:$AI$471,10,)/VLOOKUP($E158,$D$5:$AI$471,3,))*$F158)</f>
        <v>0</v>
      </c>
      <c r="N158" s="18">
        <f>IF(VLOOKUP($E158,$D$5:$AI$471,3,)=0,0,(VLOOKUP($E158,$D$5:$AI$471,11,)/VLOOKUP($E158,$D$5:$AI$471,3,))*$F158)</f>
        <v>0</v>
      </c>
      <c r="O158" s="18">
        <f>IF(VLOOKUP($E158,$D$5:$AI$471,3,)=0,0,(VLOOKUP($E158,$D$5:$AI$471,12,)/VLOOKUP($E158,$D$5:$AI$471,3,))*$F158)</f>
        <v>0</v>
      </c>
      <c r="P158" s="18">
        <f>IF(VLOOKUP($E158,$D$5:$AI$471,3,)=0,0,(VLOOKUP($E158,$D$5:$AI$471,13,)/VLOOKUP($E158,$D$5:$AI$471,3,))*$F158)</f>
        <v>0</v>
      </c>
      <c r="Q158" s="18">
        <f>IF(VLOOKUP($E158,$D$5:$AI$471,3,)=0,0,(VLOOKUP($E158,$D$5:$AI$471,14,)/VLOOKUP($E158,$D$5:$AI$471,3,))*$F158)</f>
        <v>0</v>
      </c>
      <c r="R158" s="18">
        <f>IF(VLOOKUP($E158,$D$5:$AI$471,3,)=0,0,(VLOOKUP($E158,$D$5:$AI$471,15,)/VLOOKUP($E158,$D$5:$AI$471,3,))*$F158)</f>
        <v>0</v>
      </c>
      <c r="S158" s="18">
        <f>IF(VLOOKUP($E158,$D$5:$AI$471,3,)=0,0,(VLOOKUP($E158,$D$5:$AI$471,16,)/VLOOKUP($E158,$D$5:$AI$471,3,))*$F158)</f>
        <v>0</v>
      </c>
      <c r="T158" s="18">
        <f>IF(VLOOKUP($E158,$D$5:$AI$471,3,)=0,0,(VLOOKUP($E158,$D$5:$AI$471,17,)/VLOOKUP($E158,$D$5:$AI$471,3,))*$F158)</f>
        <v>0</v>
      </c>
      <c r="U158" s="18">
        <f>IF(VLOOKUP($E158,$D$5:$AI$471,3,)=0,0,(VLOOKUP($E158,$D$5:$AI$471,18,)/VLOOKUP($E158,$D$5:$AI$471,3,))*$F158)</f>
        <v>0</v>
      </c>
      <c r="V158" s="18">
        <f>IF(VLOOKUP($E158,$D$5:$AI$471,3,)=0,0,(VLOOKUP($E158,$D$5:$AI$471,19,)/VLOOKUP($E158,$D$5:$AI$471,3,))*$F158)</f>
        <v>0</v>
      </c>
      <c r="W158" s="18">
        <f>IF(VLOOKUP($E158,$D$5:$AI$471,3,)=0,0,(VLOOKUP($E158,$D$5:$AI$471,20,)/VLOOKUP($E158,$D$5:$AI$471,3,))*$F158)</f>
        <v>0</v>
      </c>
      <c r="X158" s="18">
        <f>IF(VLOOKUP($E158,$D$5:$AI$471,3,)=0,0,(VLOOKUP($E158,$D$5:$AI$471,21,)/VLOOKUP($E158,$D$5:$AI$471,3,))*$F158)</f>
        <v>0</v>
      </c>
      <c r="Y158" s="18">
        <f>IF(VLOOKUP($E158,$D$5:$AI$471,3,)=0,0,(VLOOKUP($E158,$D$5:$AI$471,22,)/VLOOKUP($E158,$D$5:$AI$471,3,))*$F158)</f>
        <v>0</v>
      </c>
      <c r="Z158" s="18">
        <f>IF(VLOOKUP($E158,$D$5:$AI$471,3,)=0,0,(VLOOKUP($E158,$D$5:$AI$471,23,)/VLOOKUP($E158,$D$5:$AI$471,3,))*$F158)</f>
        <v>0</v>
      </c>
      <c r="AA158" s="18">
        <f>IF(VLOOKUP($E158,$D$5:$AI$471,3,)=0,0,(VLOOKUP($E158,$D$5:$AI$471,24,)/VLOOKUP($E158,$D$5:$AI$471,3,))*$F158)</f>
        <v>0</v>
      </c>
      <c r="AB158" s="18">
        <f>IF(VLOOKUP($E158,$D$5:$AI$471,3,)=0,0,(VLOOKUP($E158,$D$5:$AI$471,25,)/VLOOKUP($E158,$D$5:$AI$471,3,))*$F158)</f>
        <v>0</v>
      </c>
      <c r="AC158" s="18">
        <f>IF(VLOOKUP($E158,$D$5:$AI$471,3,)=0,0,(VLOOKUP($E158,$D$5:$AI$471,26,)/VLOOKUP($E158,$D$5:$AI$471,3,))*$F158)</f>
        <v>0</v>
      </c>
      <c r="AD158" s="18">
        <f>IF(VLOOKUP($E158,$D$5:$AI$471,3,)=0,0,(VLOOKUP($E158,$D$5:$AI$471,27,)/VLOOKUP($E158,$D$5:$AI$471,3,))*$F158)</f>
        <v>0</v>
      </c>
      <c r="AE158" s="18">
        <f>IF(VLOOKUP($E158,$D$5:$AI$471,3,)=0,0,(VLOOKUP($E158,$D$5:$AI$471,28,)/VLOOKUP($E158,$D$5:$AI$471,3,))*$F158)</f>
        <v>0</v>
      </c>
      <c r="AF158" s="18">
        <f>IF(VLOOKUP($E158,$D$5:$AI$471,3,)=0,0,(VLOOKUP($E158,$D$5:$AI$471,29,)/VLOOKUP($E158,$D$5:$AI$471,3,))*$F158)</f>
        <v>0</v>
      </c>
      <c r="AG158" s="18">
        <f>IF(VLOOKUP($E158,$D$5:$AI$471,3,)=0,0,(VLOOKUP($E158,$D$5:$AI$471,30,)/VLOOKUP($E158,$D$5:$AI$471,3,))*$F158)</f>
        <v>0</v>
      </c>
      <c r="AH158" s="20">
        <f>SUM(G158:AG158)</f>
        <v>0</v>
      </c>
      <c r="AI158" s="15" t="str">
        <f>IF(ABS(F158-AH158)&lt;0.01,"ok","err")</f>
        <v>ok</v>
      </c>
    </row>
    <row r="159" spans="1:35" x14ac:dyDescent="0.3">
      <c r="A159" s="3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20"/>
      <c r="AI159" s="15"/>
    </row>
    <row r="160" spans="1:35" x14ac:dyDescent="0.3">
      <c r="F160" s="19"/>
    </row>
    <row r="161" spans="1:35" x14ac:dyDescent="0.3">
      <c r="A161" s="3" t="s">
        <v>553</v>
      </c>
      <c r="C161" s="2" t="s">
        <v>487</v>
      </c>
      <c r="D161" s="2" t="s">
        <v>617</v>
      </c>
      <c r="E161" s="2" t="s">
        <v>555</v>
      </c>
      <c r="F161" s="18">
        <f>VLOOKUP(C161,'Functional Assignment'!$C$1:$AU$563,14,)</f>
        <v>0</v>
      </c>
      <c r="G161" s="18">
        <f>IF(VLOOKUP($E161,$D$5:$AI$471,3,)=0,0,(VLOOKUP($E161,$D$5:$AI$471,4,)/VLOOKUP($E161,$D$5:$AI$471,3,))*$F161)</f>
        <v>0</v>
      </c>
      <c r="H161" s="18">
        <f>IF(VLOOKUP($E161,$D$5:$AI$471,3,)=0,0,(VLOOKUP($E161,$D$5:$AI$471,5,)/VLOOKUP($E161,$D$5:$AI$471,3,))*$F161)</f>
        <v>0</v>
      </c>
      <c r="I161" s="18">
        <f>IF(VLOOKUP($E161,$D$5:$AI$471,3,)=0,0,(VLOOKUP($E161,$D$5:$AI$471,6,)/VLOOKUP($E161,$D$5:$AI$471,3,))*$F161)</f>
        <v>0</v>
      </c>
      <c r="J161" s="18">
        <f>IF(VLOOKUP($E161,$D$5:$AI$471,3,)=0,0,(VLOOKUP($E161,$D$5:$AI$471,7,)/VLOOKUP($E161,$D$5:$AI$471,3,))*$F161)</f>
        <v>0</v>
      </c>
      <c r="K161" s="18">
        <f>IF(VLOOKUP($E161,$D$5:$AI$471,3,)=0,0,(VLOOKUP($E161,$D$5:$AI$471,8,)/VLOOKUP($E161,$D$5:$AI$471,3,))*$F161)</f>
        <v>0</v>
      </c>
      <c r="L161" s="18">
        <f>IF(VLOOKUP($E161,$D$5:$AI$471,3,)=0,0,(VLOOKUP($E161,$D$5:$AI$471,9,)/VLOOKUP($E161,$D$5:$AI$471,3,))*$F161)</f>
        <v>0</v>
      </c>
      <c r="M161" s="18">
        <f>IF(VLOOKUP($E161,$D$5:$AI$471,3,)=0,0,(VLOOKUP($E161,$D$5:$AI$471,10,)/VLOOKUP($E161,$D$5:$AI$471,3,))*$F161)</f>
        <v>0</v>
      </c>
      <c r="N161" s="18">
        <f>IF(VLOOKUP($E161,$D$5:$AI$471,3,)=0,0,(VLOOKUP($E161,$D$5:$AI$471,11,)/VLOOKUP($E161,$D$5:$AI$471,3,))*$F161)</f>
        <v>0</v>
      </c>
      <c r="O161" s="18">
        <f>IF(VLOOKUP($E161,$D$5:$AI$471,3,)=0,0,(VLOOKUP($E161,$D$5:$AI$471,12,)/VLOOKUP($E161,$D$5:$AI$471,3,))*$F161)</f>
        <v>0</v>
      </c>
      <c r="P161" s="18">
        <f>IF(VLOOKUP($E161,$D$5:$AI$471,3,)=0,0,(VLOOKUP($E161,$D$5:$AI$471,13,)/VLOOKUP($E161,$D$5:$AI$471,3,))*$F161)</f>
        <v>0</v>
      </c>
      <c r="Q161" s="18">
        <f>IF(VLOOKUP($E161,$D$5:$AI$471,3,)=0,0,(VLOOKUP($E161,$D$5:$AI$471,14,)/VLOOKUP($E161,$D$5:$AI$471,3,))*$F161)</f>
        <v>0</v>
      </c>
      <c r="R161" s="18">
        <f>IF(VLOOKUP($E161,$D$5:$AI$471,3,)=0,0,(VLOOKUP($E161,$D$5:$AI$471,15,)/VLOOKUP($E161,$D$5:$AI$471,3,))*$F161)</f>
        <v>0</v>
      </c>
      <c r="S161" s="18">
        <f>IF(VLOOKUP($E161,$D$5:$AI$471,3,)=0,0,(VLOOKUP($E161,$D$5:$AI$471,16,)/VLOOKUP($E161,$D$5:$AI$471,3,))*$F161)</f>
        <v>0</v>
      </c>
      <c r="T161" s="18">
        <f>IF(VLOOKUP($E161,$D$5:$AI$471,3,)=0,0,(VLOOKUP($E161,$D$5:$AI$471,17,)/VLOOKUP($E161,$D$5:$AI$471,3,))*$F161)</f>
        <v>0</v>
      </c>
      <c r="U161" s="18">
        <f>IF(VLOOKUP($E161,$D$5:$AI$471,3,)=0,0,(VLOOKUP($E161,$D$5:$AI$471,18,)/VLOOKUP($E161,$D$5:$AI$471,3,))*$F161)</f>
        <v>0</v>
      </c>
      <c r="V161" s="18">
        <f>IF(VLOOKUP($E161,$D$5:$AI$471,3,)=0,0,(VLOOKUP($E161,$D$5:$AI$471,19,)/VLOOKUP($E161,$D$5:$AI$471,3,))*$F161)</f>
        <v>0</v>
      </c>
      <c r="W161" s="18">
        <f>IF(VLOOKUP($E161,$D$5:$AI$471,3,)=0,0,(VLOOKUP($E161,$D$5:$AI$471,20,)/VLOOKUP($E161,$D$5:$AI$471,3,))*$F161)</f>
        <v>0</v>
      </c>
      <c r="X161" s="18">
        <f>IF(VLOOKUP($E161,$D$5:$AI$471,3,)=0,0,(VLOOKUP($E161,$D$5:$AI$471,21,)/VLOOKUP($E161,$D$5:$AI$471,3,))*$F161)</f>
        <v>0</v>
      </c>
      <c r="Y161" s="18">
        <f>IF(VLOOKUP($E161,$D$5:$AI$471,3,)=0,0,(VLOOKUP($E161,$D$5:$AI$471,22,)/VLOOKUP($E161,$D$5:$AI$471,3,))*$F161)</f>
        <v>0</v>
      </c>
      <c r="Z161" s="18">
        <f>IF(VLOOKUP($E161,$D$5:$AI$471,3,)=0,0,(VLOOKUP($E161,$D$5:$AI$471,23,)/VLOOKUP($E161,$D$5:$AI$471,3,))*$F161)</f>
        <v>0</v>
      </c>
      <c r="AA161" s="18">
        <f>IF(VLOOKUP($E161,$D$5:$AI$471,3,)=0,0,(VLOOKUP($E161,$D$5:$AI$471,24,)/VLOOKUP($E161,$D$5:$AI$471,3,))*$F161)</f>
        <v>0</v>
      </c>
      <c r="AB161" s="18">
        <f>IF(VLOOKUP($E161,$D$5:$AI$471,3,)=0,0,(VLOOKUP($E161,$D$5:$AI$471,25,)/VLOOKUP($E161,$D$5:$AI$471,3,))*$F161)</f>
        <v>0</v>
      </c>
      <c r="AC161" s="18">
        <f>IF(VLOOKUP($E161,$D$5:$AI$471,3,)=0,0,(VLOOKUP($E161,$D$5:$AI$471,26,)/VLOOKUP($E161,$D$5:$AI$471,3,))*$F161)</f>
        <v>0</v>
      </c>
      <c r="AD161" s="18">
        <f>IF(VLOOKUP($E161,$D$5:$AI$471,3,)=0,0,(VLOOKUP($E161,$D$5:$AI$471,27,)/VLOOKUP($E161,$D$5:$AI$471,3,))*$F161)</f>
        <v>0</v>
      </c>
      <c r="AE161" s="18">
        <f>IF(VLOOKUP($E161,$D$5:$AI$471,3,)=0,0,(VLOOKUP($E161,$D$5:$AI$471,28,)/VLOOKUP($E161,$D$5:$AI$471,3,))*$F161)</f>
        <v>0</v>
      </c>
      <c r="AF161" s="18">
        <f>IF(VLOOKUP($E161,$D$5:$AI$471,3,)=0,0,(VLOOKUP($E161,$D$5:$AI$471,29,)/VLOOKUP($E161,$D$5:$AI$471,3,))*$F161)</f>
        <v>0</v>
      </c>
      <c r="AG161" s="18">
        <f>IF(VLOOKUP($E161,$D$5:$AI$471,3,)=0,0,(VLOOKUP($E161,$D$5:$AI$471,30,)/VLOOKUP($E161,$D$5:$AI$471,3,))*$F161)</f>
        <v>0</v>
      </c>
      <c r="AH161" s="20">
        <f>SUM(G161:AG161)</f>
        <v>0</v>
      </c>
      <c r="AI161" s="15" t="str">
        <f>IF(ABS(F161-AH161)&lt;0.01,"ok","err")</f>
        <v>ok</v>
      </c>
    </row>
    <row r="162" spans="1:35" x14ac:dyDescent="0.3">
      <c r="F162" s="19"/>
    </row>
    <row r="163" spans="1:35" x14ac:dyDescent="0.3">
      <c r="F163" s="19"/>
    </row>
    <row r="164" spans="1:35" x14ac:dyDescent="0.3">
      <c r="A164" s="2" t="s">
        <v>1</v>
      </c>
      <c r="D164" s="2" t="s">
        <v>618</v>
      </c>
      <c r="F164" s="18">
        <f>F152+F155+F158+F161</f>
        <v>1576871</v>
      </c>
      <c r="G164" s="18">
        <f t="shared" ref="G164:AG164" si="27">G152+G155+G158+G161</f>
        <v>1299620.177485052</v>
      </c>
      <c r="H164" s="18">
        <f t="shared" si="27"/>
        <v>64791.361307120977</v>
      </c>
      <c r="I164" s="18">
        <f t="shared" si="27"/>
        <v>15840.872851451628</v>
      </c>
      <c r="J164" s="18">
        <f t="shared" si="27"/>
        <v>34245.853752155075</v>
      </c>
      <c r="K164" s="18">
        <f t="shared" si="27"/>
        <v>162372.73460421964</v>
      </c>
      <c r="L164" s="18">
        <f t="shared" si="27"/>
        <v>0</v>
      </c>
      <c r="M164" s="18">
        <f t="shared" si="27"/>
        <v>0</v>
      </c>
      <c r="N164" s="18">
        <f t="shared" si="27"/>
        <v>0</v>
      </c>
      <c r="O164" s="18">
        <f t="shared" si="27"/>
        <v>0</v>
      </c>
      <c r="P164" s="18">
        <f t="shared" si="27"/>
        <v>0</v>
      </c>
      <c r="Q164" s="18">
        <f t="shared" si="27"/>
        <v>0</v>
      </c>
      <c r="R164" s="18">
        <f t="shared" si="27"/>
        <v>0</v>
      </c>
      <c r="S164" s="18">
        <f t="shared" si="27"/>
        <v>0</v>
      </c>
      <c r="T164" s="18">
        <f t="shared" si="27"/>
        <v>0</v>
      </c>
      <c r="U164" s="18">
        <f t="shared" si="27"/>
        <v>0</v>
      </c>
      <c r="V164" s="18">
        <f t="shared" si="27"/>
        <v>0</v>
      </c>
      <c r="W164" s="18">
        <f t="shared" si="27"/>
        <v>0</v>
      </c>
      <c r="X164" s="18">
        <f t="shared" si="27"/>
        <v>0</v>
      </c>
      <c r="Y164" s="18">
        <f t="shared" si="27"/>
        <v>0</v>
      </c>
      <c r="Z164" s="18">
        <f t="shared" si="27"/>
        <v>0</v>
      </c>
      <c r="AA164" s="18">
        <f t="shared" si="27"/>
        <v>0</v>
      </c>
      <c r="AB164" s="18">
        <f t="shared" si="27"/>
        <v>0</v>
      </c>
      <c r="AC164" s="18">
        <f t="shared" si="27"/>
        <v>0</v>
      </c>
      <c r="AD164" s="18">
        <f t="shared" si="27"/>
        <v>0</v>
      </c>
      <c r="AE164" s="18">
        <f t="shared" si="27"/>
        <v>0</v>
      </c>
      <c r="AF164" s="18">
        <f t="shared" si="27"/>
        <v>0</v>
      </c>
      <c r="AG164" s="18">
        <f t="shared" si="27"/>
        <v>0</v>
      </c>
      <c r="AH164" s="20">
        <f>SUM(G164:AG164)</f>
        <v>1576870.9999999993</v>
      </c>
      <c r="AI164" s="15" t="str">
        <f>IF(ABS(F164-AH164)&lt;0.01,"ok","err")</f>
        <v>ok</v>
      </c>
    </row>
    <row r="166" spans="1:35" x14ac:dyDescent="0.3">
      <c r="A166" s="16" t="s">
        <v>619</v>
      </c>
    </row>
    <row r="168" spans="1:35" x14ac:dyDescent="0.3">
      <c r="A168" s="3" t="s">
        <v>530</v>
      </c>
    </row>
    <row r="169" spans="1:35" x14ac:dyDescent="0.3">
      <c r="A169" s="21" t="s">
        <v>531</v>
      </c>
      <c r="C169" s="2" t="s">
        <v>489</v>
      </c>
      <c r="D169" s="2" t="s">
        <v>620</v>
      </c>
      <c r="E169" s="2" t="s">
        <v>533</v>
      </c>
      <c r="F169" s="18">
        <f>VLOOKUP(C169,'Functional Assignment'!$C$1:$AU$563,6,)</f>
        <v>83800.187818297432</v>
      </c>
      <c r="G169" s="18">
        <f>IF(VLOOKUP($E169,$D$5:$AI$471,3,)=0,0,(VLOOKUP($E169,$D$5:$AI$471,4,)/VLOOKUP($E169,$D$5:$AI$471,3,))*$F169)</f>
        <v>69066.153772690595</v>
      </c>
      <c r="H169" s="18">
        <f>IF(VLOOKUP($E169,$D$5:$AI$471,3,)=0,0,(VLOOKUP($E169,$D$5:$AI$471,5,)/VLOOKUP($E169,$D$5:$AI$471,3,))*$F169)</f>
        <v>3443.2291839598206</v>
      </c>
      <c r="I169" s="18">
        <f>IF(VLOOKUP($E169,$D$5:$AI$471,3,)=0,0,(VLOOKUP($E169,$D$5:$AI$471,6,)/VLOOKUP($E169,$D$5:$AI$471,3,))*$F169)</f>
        <v>841.83685295589498</v>
      </c>
      <c r="J169" s="18">
        <f>IF(VLOOKUP($E169,$D$5:$AI$471,3,)=0,0,(VLOOKUP($E169,$D$5:$AI$471,7,)/VLOOKUP($E169,$D$5:$AI$471,3,))*$F169)</f>
        <v>1819.9389654756421</v>
      </c>
      <c r="K169" s="18">
        <f>IF(VLOOKUP($E169,$D$5:$AI$471,3,)=0,0,(VLOOKUP($E169,$D$5:$AI$471,8,)/VLOOKUP($E169,$D$5:$AI$471,3,))*$F169)</f>
        <v>8629.0290432154379</v>
      </c>
      <c r="L169" s="18">
        <f>IF(VLOOKUP($E169,$D$5:$AI$471,3,)=0,0,(VLOOKUP($E169,$D$5:$AI$471,9,)/VLOOKUP($E169,$D$5:$AI$471,3,))*$F169)</f>
        <v>0</v>
      </c>
      <c r="M169" s="18">
        <f>IF(VLOOKUP($E169,$D$5:$AI$471,3,)=0,0,(VLOOKUP($E169,$D$5:$AI$471,10,)/VLOOKUP($E169,$D$5:$AI$471,3,))*$F169)</f>
        <v>0</v>
      </c>
      <c r="N169" s="18">
        <f>IF(VLOOKUP($E169,$D$5:$AI$471,3,)=0,0,(VLOOKUP($E169,$D$5:$AI$471,11,)/VLOOKUP($E169,$D$5:$AI$471,3,))*$F169)</f>
        <v>0</v>
      </c>
      <c r="O169" s="18">
        <f>IF(VLOOKUP($E169,$D$5:$AI$471,3,)=0,0,(VLOOKUP($E169,$D$5:$AI$471,12,)/VLOOKUP($E169,$D$5:$AI$471,3,))*$F169)</f>
        <v>0</v>
      </c>
      <c r="P169" s="18">
        <f>IF(VLOOKUP($E169,$D$5:$AI$471,3,)=0,0,(VLOOKUP($E169,$D$5:$AI$471,13,)/VLOOKUP($E169,$D$5:$AI$471,3,))*$F169)</f>
        <v>0</v>
      </c>
      <c r="Q169" s="18">
        <f>IF(VLOOKUP($E169,$D$5:$AI$471,3,)=0,0,(VLOOKUP($E169,$D$5:$AI$471,14,)/VLOOKUP($E169,$D$5:$AI$471,3,))*$F169)</f>
        <v>0</v>
      </c>
      <c r="R169" s="18">
        <f>IF(VLOOKUP($E169,$D$5:$AI$471,3,)=0,0,(VLOOKUP($E169,$D$5:$AI$471,15,)/VLOOKUP($E169,$D$5:$AI$471,3,))*$F169)</f>
        <v>0</v>
      </c>
      <c r="S169" s="18">
        <f>IF(VLOOKUP($E169,$D$5:$AI$471,3,)=0,0,(VLOOKUP($E169,$D$5:$AI$471,16,)/VLOOKUP($E169,$D$5:$AI$471,3,))*$F169)</f>
        <v>0</v>
      </c>
      <c r="T169" s="18">
        <f>IF(VLOOKUP($E169,$D$5:$AI$471,3,)=0,0,(VLOOKUP($E169,$D$5:$AI$471,17,)/VLOOKUP($E169,$D$5:$AI$471,3,))*$F169)</f>
        <v>0</v>
      </c>
      <c r="U169" s="18">
        <f>IF(VLOOKUP($E169,$D$5:$AI$471,3,)=0,0,(VLOOKUP($E169,$D$5:$AI$471,18,)/VLOOKUP($E169,$D$5:$AI$471,3,))*$F169)</f>
        <v>0</v>
      </c>
      <c r="V169" s="18">
        <f>IF(VLOOKUP($E169,$D$5:$AI$471,3,)=0,0,(VLOOKUP($E169,$D$5:$AI$471,19,)/VLOOKUP($E169,$D$5:$AI$471,3,))*$F169)</f>
        <v>0</v>
      </c>
      <c r="W169" s="18">
        <f>IF(VLOOKUP($E169,$D$5:$AI$471,3,)=0,0,(VLOOKUP($E169,$D$5:$AI$471,20,)/VLOOKUP($E169,$D$5:$AI$471,3,))*$F169)</f>
        <v>0</v>
      </c>
      <c r="X169" s="18">
        <f>IF(VLOOKUP($E169,$D$5:$AI$471,3,)=0,0,(VLOOKUP($E169,$D$5:$AI$471,21,)/VLOOKUP($E169,$D$5:$AI$471,3,))*$F169)</f>
        <v>0</v>
      </c>
      <c r="Y169" s="18">
        <f>IF(VLOOKUP($E169,$D$5:$AI$471,3,)=0,0,(VLOOKUP($E169,$D$5:$AI$471,22,)/VLOOKUP($E169,$D$5:$AI$471,3,))*$F169)</f>
        <v>0</v>
      </c>
      <c r="Z169" s="18">
        <f>IF(VLOOKUP($E169,$D$5:$AI$471,3,)=0,0,(VLOOKUP($E169,$D$5:$AI$471,23,)/VLOOKUP($E169,$D$5:$AI$471,3,))*$F169)</f>
        <v>0</v>
      </c>
      <c r="AA169" s="18">
        <f>IF(VLOOKUP($E169,$D$5:$AI$471,3,)=0,0,(VLOOKUP($E169,$D$5:$AI$471,24,)/VLOOKUP($E169,$D$5:$AI$471,3,))*$F169)</f>
        <v>0</v>
      </c>
      <c r="AB169" s="18">
        <f>IF(VLOOKUP($E169,$D$5:$AI$471,3,)=0,0,(VLOOKUP($E169,$D$5:$AI$471,25,)/VLOOKUP($E169,$D$5:$AI$471,3,))*$F169)</f>
        <v>0</v>
      </c>
      <c r="AC169" s="18">
        <f>IF(VLOOKUP($E169,$D$5:$AI$471,3,)=0,0,(VLOOKUP($E169,$D$5:$AI$471,26,)/VLOOKUP($E169,$D$5:$AI$471,3,))*$F169)</f>
        <v>0</v>
      </c>
      <c r="AD169" s="18">
        <f>IF(VLOOKUP($E169,$D$5:$AI$471,3,)=0,0,(VLOOKUP($E169,$D$5:$AI$471,27,)/VLOOKUP($E169,$D$5:$AI$471,3,))*$F169)</f>
        <v>0</v>
      </c>
      <c r="AE169" s="18">
        <f>IF(VLOOKUP($E169,$D$5:$AI$471,3,)=0,0,(VLOOKUP($E169,$D$5:$AI$471,28,)/VLOOKUP($E169,$D$5:$AI$471,3,))*$F169)</f>
        <v>0</v>
      </c>
      <c r="AF169" s="18">
        <f>IF(VLOOKUP($E169,$D$5:$AI$471,3,)=0,0,(VLOOKUP($E169,$D$5:$AI$471,29,)/VLOOKUP($E169,$D$5:$AI$471,3,))*$F169)</f>
        <v>0</v>
      </c>
      <c r="AG169" s="18">
        <f>IF(VLOOKUP($E169,$D$5:$AI$471,3,)=0,0,(VLOOKUP($E169,$D$5:$AI$471,30,)/VLOOKUP($E169,$D$5:$AI$471,3,))*$F169)</f>
        <v>0</v>
      </c>
      <c r="AH169" s="20">
        <f t="shared" ref="AH169:AH174" si="28">SUM(G169:AG169)</f>
        <v>83800.187818297389</v>
      </c>
      <c r="AI169" s="15" t="str">
        <f t="shared" ref="AI169:AI174" si="29">IF(ABS(F169-AH169)&lt;0.01,"ok","err")</f>
        <v>ok</v>
      </c>
    </row>
    <row r="170" spans="1:35" x14ac:dyDescent="0.3">
      <c r="A170" s="21" t="s">
        <v>534</v>
      </c>
      <c r="C170" s="2" t="s">
        <v>489</v>
      </c>
      <c r="D170" s="2" t="s">
        <v>621</v>
      </c>
      <c r="E170" s="2" t="s">
        <v>536</v>
      </c>
      <c r="F170" s="18">
        <f>VLOOKUP(C170,'Functional Assignment'!$C$1:$AU$563,7,)</f>
        <v>103387.0902173964</v>
      </c>
      <c r="G170" s="18">
        <f>IF(VLOOKUP($E170,$D$5:$AI$471,3,)=0,0,(VLOOKUP($E170,$D$5:$AI$471,4,)/VLOOKUP($E170,$D$5:$AI$471,3,))*$F170)</f>
        <v>74825.098046796629</v>
      </c>
      <c r="H170" s="18">
        <f>IF(VLOOKUP($E170,$D$5:$AI$471,3,)=0,0,(VLOOKUP($E170,$D$5:$AI$471,5,)/VLOOKUP($E170,$D$5:$AI$471,3,))*$F170)</f>
        <v>8633.9066718001959</v>
      </c>
      <c r="I170" s="18">
        <f>IF(VLOOKUP($E170,$D$5:$AI$471,3,)=0,0,(VLOOKUP($E170,$D$5:$AI$471,6,)/VLOOKUP($E170,$D$5:$AI$471,3,))*$F170)</f>
        <v>3508.9165821578076</v>
      </c>
      <c r="J170" s="18">
        <f>IF(VLOOKUP($E170,$D$5:$AI$471,3,)=0,0,(VLOOKUP($E170,$D$5:$AI$471,7,)/VLOOKUP($E170,$D$5:$AI$471,3,))*$F170)</f>
        <v>5208.2963163326422</v>
      </c>
      <c r="K170" s="18">
        <f>IF(VLOOKUP($E170,$D$5:$AI$471,3,)=0,0,(VLOOKUP($E170,$D$5:$AI$471,8,)/VLOOKUP($E170,$D$5:$AI$471,3,))*$F170)</f>
        <v>11210.872600309118</v>
      </c>
      <c r="L170" s="18">
        <f>IF(VLOOKUP($E170,$D$5:$AI$471,3,)=0,0,(VLOOKUP($E170,$D$5:$AI$471,9,)/VLOOKUP($E170,$D$5:$AI$471,3,))*$F170)</f>
        <v>0</v>
      </c>
      <c r="M170" s="18">
        <f>IF(VLOOKUP($E170,$D$5:$AI$471,3,)=0,0,(VLOOKUP($E170,$D$5:$AI$471,10,)/VLOOKUP($E170,$D$5:$AI$471,3,))*$F170)</f>
        <v>0</v>
      </c>
      <c r="N170" s="18">
        <f>IF(VLOOKUP($E170,$D$5:$AI$471,3,)=0,0,(VLOOKUP($E170,$D$5:$AI$471,11,)/VLOOKUP($E170,$D$5:$AI$471,3,))*$F170)</f>
        <v>0</v>
      </c>
      <c r="O170" s="18">
        <f>IF(VLOOKUP($E170,$D$5:$AI$471,3,)=0,0,(VLOOKUP($E170,$D$5:$AI$471,12,)/VLOOKUP($E170,$D$5:$AI$471,3,))*$F170)</f>
        <v>0</v>
      </c>
      <c r="P170" s="18">
        <f>IF(VLOOKUP($E170,$D$5:$AI$471,3,)=0,0,(VLOOKUP($E170,$D$5:$AI$471,13,)/VLOOKUP($E170,$D$5:$AI$471,3,))*$F170)</f>
        <v>0</v>
      </c>
      <c r="Q170" s="18">
        <f>IF(VLOOKUP($E170,$D$5:$AI$471,3,)=0,0,(VLOOKUP($E170,$D$5:$AI$471,14,)/VLOOKUP($E170,$D$5:$AI$471,3,))*$F170)</f>
        <v>0</v>
      </c>
      <c r="R170" s="18">
        <f>IF(VLOOKUP($E170,$D$5:$AI$471,3,)=0,0,(VLOOKUP($E170,$D$5:$AI$471,15,)/VLOOKUP($E170,$D$5:$AI$471,3,))*$F170)</f>
        <v>0</v>
      </c>
      <c r="S170" s="18">
        <f>IF(VLOOKUP($E170,$D$5:$AI$471,3,)=0,0,(VLOOKUP($E170,$D$5:$AI$471,16,)/VLOOKUP($E170,$D$5:$AI$471,3,))*$F170)</f>
        <v>0</v>
      </c>
      <c r="T170" s="18">
        <f>IF(VLOOKUP($E170,$D$5:$AI$471,3,)=0,0,(VLOOKUP($E170,$D$5:$AI$471,17,)/VLOOKUP($E170,$D$5:$AI$471,3,))*$F170)</f>
        <v>0</v>
      </c>
      <c r="U170" s="18">
        <f>IF(VLOOKUP($E170,$D$5:$AI$471,3,)=0,0,(VLOOKUP($E170,$D$5:$AI$471,18,)/VLOOKUP($E170,$D$5:$AI$471,3,))*$F170)</f>
        <v>0</v>
      </c>
      <c r="V170" s="18">
        <f>IF(VLOOKUP($E170,$D$5:$AI$471,3,)=0,0,(VLOOKUP($E170,$D$5:$AI$471,19,)/VLOOKUP($E170,$D$5:$AI$471,3,))*$F170)</f>
        <v>0</v>
      </c>
      <c r="W170" s="18">
        <f>IF(VLOOKUP($E170,$D$5:$AI$471,3,)=0,0,(VLOOKUP($E170,$D$5:$AI$471,20,)/VLOOKUP($E170,$D$5:$AI$471,3,))*$F170)</f>
        <v>0</v>
      </c>
      <c r="X170" s="18">
        <f>IF(VLOOKUP($E170,$D$5:$AI$471,3,)=0,0,(VLOOKUP($E170,$D$5:$AI$471,21,)/VLOOKUP($E170,$D$5:$AI$471,3,))*$F170)</f>
        <v>0</v>
      </c>
      <c r="Y170" s="18">
        <f>IF(VLOOKUP($E170,$D$5:$AI$471,3,)=0,0,(VLOOKUP($E170,$D$5:$AI$471,22,)/VLOOKUP($E170,$D$5:$AI$471,3,))*$F170)</f>
        <v>0</v>
      </c>
      <c r="Z170" s="18">
        <f>IF(VLOOKUP($E170,$D$5:$AI$471,3,)=0,0,(VLOOKUP($E170,$D$5:$AI$471,23,)/VLOOKUP($E170,$D$5:$AI$471,3,))*$F170)</f>
        <v>0</v>
      </c>
      <c r="AA170" s="18">
        <f>IF(VLOOKUP($E170,$D$5:$AI$471,3,)=0,0,(VLOOKUP($E170,$D$5:$AI$471,24,)/VLOOKUP($E170,$D$5:$AI$471,3,))*$F170)</f>
        <v>0</v>
      </c>
      <c r="AB170" s="18">
        <f>IF(VLOOKUP($E170,$D$5:$AI$471,3,)=0,0,(VLOOKUP($E170,$D$5:$AI$471,25,)/VLOOKUP($E170,$D$5:$AI$471,3,))*$F170)</f>
        <v>0</v>
      </c>
      <c r="AC170" s="18">
        <f>IF(VLOOKUP($E170,$D$5:$AI$471,3,)=0,0,(VLOOKUP($E170,$D$5:$AI$471,26,)/VLOOKUP($E170,$D$5:$AI$471,3,))*$F170)</f>
        <v>0</v>
      </c>
      <c r="AD170" s="18">
        <f>IF(VLOOKUP($E170,$D$5:$AI$471,3,)=0,0,(VLOOKUP($E170,$D$5:$AI$471,27,)/VLOOKUP($E170,$D$5:$AI$471,3,))*$F170)</f>
        <v>0</v>
      </c>
      <c r="AE170" s="18">
        <f>IF(VLOOKUP($E170,$D$5:$AI$471,3,)=0,0,(VLOOKUP($E170,$D$5:$AI$471,28,)/VLOOKUP($E170,$D$5:$AI$471,3,))*$F170)</f>
        <v>0</v>
      </c>
      <c r="AF170" s="18">
        <f>IF(VLOOKUP($E170,$D$5:$AI$471,3,)=0,0,(VLOOKUP($E170,$D$5:$AI$471,29,)/VLOOKUP($E170,$D$5:$AI$471,3,))*$F170)</f>
        <v>0</v>
      </c>
      <c r="AG170" s="18">
        <f>IF(VLOOKUP($E170,$D$5:$AI$471,3,)=0,0,(VLOOKUP($E170,$D$5:$AI$471,30,)/VLOOKUP($E170,$D$5:$AI$471,3,))*$F170)</f>
        <v>0</v>
      </c>
      <c r="AH170" s="20">
        <f t="shared" si="28"/>
        <v>103387.09021739638</v>
      </c>
      <c r="AI170" s="15" t="str">
        <f t="shared" si="29"/>
        <v>ok</v>
      </c>
    </row>
    <row r="171" spans="1:35" x14ac:dyDescent="0.3">
      <c r="A171" s="21" t="s">
        <v>537</v>
      </c>
      <c r="C171" s="2" t="s">
        <v>489</v>
      </c>
      <c r="D171" s="2" t="s">
        <v>622</v>
      </c>
      <c r="E171" s="2" t="s">
        <v>539</v>
      </c>
      <c r="F171" s="18">
        <f>VLOOKUP(C171,'Functional Assignment'!$C$1:$AU$563,8,)</f>
        <v>0</v>
      </c>
      <c r="G171" s="18">
        <f>IF(VLOOKUP($E171,$D$5:$AI$471,3,)=0,0,(VLOOKUP($E171,$D$5:$AI$471,4,)/VLOOKUP($E171,$D$5:$AI$471,3,))*$F171)</f>
        <v>0</v>
      </c>
      <c r="H171" s="18">
        <f>IF(VLOOKUP($E171,$D$5:$AI$471,3,)=0,0,(VLOOKUP($E171,$D$5:$AI$471,5,)/VLOOKUP($E171,$D$5:$AI$471,3,))*$F171)</f>
        <v>0</v>
      </c>
      <c r="I171" s="18">
        <f>IF(VLOOKUP($E171,$D$5:$AI$471,3,)=0,0,(VLOOKUP($E171,$D$5:$AI$471,6,)/VLOOKUP($E171,$D$5:$AI$471,3,))*$F171)</f>
        <v>0</v>
      </c>
      <c r="J171" s="18">
        <f>IF(VLOOKUP($E171,$D$5:$AI$471,3,)=0,0,(VLOOKUP($E171,$D$5:$AI$471,7,)/VLOOKUP($E171,$D$5:$AI$471,3,))*$F171)</f>
        <v>0</v>
      </c>
      <c r="K171" s="18">
        <f>IF(VLOOKUP($E171,$D$5:$AI$471,3,)=0,0,(VLOOKUP($E171,$D$5:$AI$471,8,)/VLOOKUP($E171,$D$5:$AI$471,3,))*$F171)</f>
        <v>0</v>
      </c>
      <c r="L171" s="18">
        <f>IF(VLOOKUP($E171,$D$5:$AI$471,3,)=0,0,(VLOOKUP($E171,$D$5:$AI$471,9,)/VLOOKUP($E171,$D$5:$AI$471,3,))*$F171)</f>
        <v>0</v>
      </c>
      <c r="M171" s="18">
        <f>IF(VLOOKUP($E171,$D$5:$AI$471,3,)=0,0,(VLOOKUP($E171,$D$5:$AI$471,10,)/VLOOKUP($E171,$D$5:$AI$471,3,))*$F171)</f>
        <v>0</v>
      </c>
      <c r="N171" s="18">
        <f>IF(VLOOKUP($E171,$D$5:$AI$471,3,)=0,0,(VLOOKUP($E171,$D$5:$AI$471,11,)/VLOOKUP($E171,$D$5:$AI$471,3,))*$F171)</f>
        <v>0</v>
      </c>
      <c r="O171" s="18">
        <f>IF(VLOOKUP($E171,$D$5:$AI$471,3,)=0,0,(VLOOKUP($E171,$D$5:$AI$471,12,)/VLOOKUP($E171,$D$5:$AI$471,3,))*$F171)</f>
        <v>0</v>
      </c>
      <c r="P171" s="18">
        <f>IF(VLOOKUP($E171,$D$5:$AI$471,3,)=0,0,(VLOOKUP($E171,$D$5:$AI$471,13,)/VLOOKUP($E171,$D$5:$AI$471,3,))*$F171)</f>
        <v>0</v>
      </c>
      <c r="Q171" s="18">
        <f>IF(VLOOKUP($E171,$D$5:$AI$471,3,)=0,0,(VLOOKUP($E171,$D$5:$AI$471,14,)/VLOOKUP($E171,$D$5:$AI$471,3,))*$F171)</f>
        <v>0</v>
      </c>
      <c r="R171" s="18">
        <f>IF(VLOOKUP($E171,$D$5:$AI$471,3,)=0,0,(VLOOKUP($E171,$D$5:$AI$471,15,)/VLOOKUP($E171,$D$5:$AI$471,3,))*$F171)</f>
        <v>0</v>
      </c>
      <c r="S171" s="18">
        <f>IF(VLOOKUP($E171,$D$5:$AI$471,3,)=0,0,(VLOOKUP($E171,$D$5:$AI$471,16,)/VLOOKUP($E171,$D$5:$AI$471,3,))*$F171)</f>
        <v>0</v>
      </c>
      <c r="T171" s="18">
        <f>IF(VLOOKUP($E171,$D$5:$AI$471,3,)=0,0,(VLOOKUP($E171,$D$5:$AI$471,17,)/VLOOKUP($E171,$D$5:$AI$471,3,))*$F171)</f>
        <v>0</v>
      </c>
      <c r="U171" s="18">
        <f>IF(VLOOKUP($E171,$D$5:$AI$471,3,)=0,0,(VLOOKUP($E171,$D$5:$AI$471,18,)/VLOOKUP($E171,$D$5:$AI$471,3,))*$F171)</f>
        <v>0</v>
      </c>
      <c r="V171" s="18">
        <f>IF(VLOOKUP($E171,$D$5:$AI$471,3,)=0,0,(VLOOKUP($E171,$D$5:$AI$471,19,)/VLOOKUP($E171,$D$5:$AI$471,3,))*$F171)</f>
        <v>0</v>
      </c>
      <c r="W171" s="18">
        <f>IF(VLOOKUP($E171,$D$5:$AI$471,3,)=0,0,(VLOOKUP($E171,$D$5:$AI$471,20,)/VLOOKUP($E171,$D$5:$AI$471,3,))*$F171)</f>
        <v>0</v>
      </c>
      <c r="X171" s="18">
        <f>IF(VLOOKUP($E171,$D$5:$AI$471,3,)=0,0,(VLOOKUP($E171,$D$5:$AI$471,21,)/VLOOKUP($E171,$D$5:$AI$471,3,))*$F171)</f>
        <v>0</v>
      </c>
      <c r="Y171" s="18">
        <f>IF(VLOOKUP($E171,$D$5:$AI$471,3,)=0,0,(VLOOKUP($E171,$D$5:$AI$471,22,)/VLOOKUP($E171,$D$5:$AI$471,3,))*$F171)</f>
        <v>0</v>
      </c>
      <c r="Z171" s="18">
        <f>IF(VLOOKUP($E171,$D$5:$AI$471,3,)=0,0,(VLOOKUP($E171,$D$5:$AI$471,23,)/VLOOKUP($E171,$D$5:$AI$471,3,))*$F171)</f>
        <v>0</v>
      </c>
      <c r="AA171" s="18">
        <f>IF(VLOOKUP($E171,$D$5:$AI$471,3,)=0,0,(VLOOKUP($E171,$D$5:$AI$471,24,)/VLOOKUP($E171,$D$5:$AI$471,3,))*$F171)</f>
        <v>0</v>
      </c>
      <c r="AB171" s="18">
        <f>IF(VLOOKUP($E171,$D$5:$AI$471,3,)=0,0,(VLOOKUP($E171,$D$5:$AI$471,25,)/VLOOKUP($E171,$D$5:$AI$471,3,))*$F171)</f>
        <v>0</v>
      </c>
      <c r="AC171" s="18">
        <f>IF(VLOOKUP($E171,$D$5:$AI$471,3,)=0,0,(VLOOKUP($E171,$D$5:$AI$471,26,)/VLOOKUP($E171,$D$5:$AI$471,3,))*$F171)</f>
        <v>0</v>
      </c>
      <c r="AD171" s="18">
        <f>IF(VLOOKUP($E171,$D$5:$AI$471,3,)=0,0,(VLOOKUP($E171,$D$5:$AI$471,27,)/VLOOKUP($E171,$D$5:$AI$471,3,))*$F171)</f>
        <v>0</v>
      </c>
      <c r="AE171" s="18">
        <f>IF(VLOOKUP($E171,$D$5:$AI$471,3,)=0,0,(VLOOKUP($E171,$D$5:$AI$471,28,)/VLOOKUP($E171,$D$5:$AI$471,3,))*$F171)</f>
        <v>0</v>
      </c>
      <c r="AF171" s="18">
        <f>IF(VLOOKUP($E171,$D$5:$AI$471,3,)=0,0,(VLOOKUP($E171,$D$5:$AI$471,29,)/VLOOKUP($E171,$D$5:$AI$471,3,))*$F171)</f>
        <v>0</v>
      </c>
      <c r="AG171" s="18">
        <f>IF(VLOOKUP($E171,$D$5:$AI$471,3,)=0,0,(VLOOKUP($E171,$D$5:$AI$471,30,)/VLOOKUP($E171,$D$5:$AI$471,3,))*$F171)</f>
        <v>0</v>
      </c>
      <c r="AH171" s="20">
        <f t="shared" si="28"/>
        <v>0</v>
      </c>
      <c r="AI171" s="15" t="str">
        <f t="shared" si="29"/>
        <v>ok</v>
      </c>
    </row>
    <row r="172" spans="1:35" x14ac:dyDescent="0.3">
      <c r="A172" s="21" t="s">
        <v>540</v>
      </c>
      <c r="C172" s="2" t="s">
        <v>489</v>
      </c>
      <c r="D172" s="2" t="s">
        <v>623</v>
      </c>
      <c r="E172" s="2" t="s">
        <v>542</v>
      </c>
      <c r="F172" s="18">
        <f>VLOOKUP(C172,'Functional Assignment'!$C$1:$AU$563,9,)</f>
        <v>0</v>
      </c>
      <c r="G172" s="18">
        <f>IF(VLOOKUP($E172,$D$5:$AI$471,3,)=0,0,(VLOOKUP($E172,$D$5:$AI$471,4,)/VLOOKUP($E172,$D$5:$AI$471,3,))*$F172)</f>
        <v>0</v>
      </c>
      <c r="H172" s="18">
        <f>IF(VLOOKUP($E172,$D$5:$AI$471,3,)=0,0,(VLOOKUP($E172,$D$5:$AI$471,5,)/VLOOKUP($E172,$D$5:$AI$471,3,))*$F172)</f>
        <v>0</v>
      </c>
      <c r="I172" s="18">
        <f>IF(VLOOKUP($E172,$D$5:$AI$471,3,)=0,0,(VLOOKUP($E172,$D$5:$AI$471,6,)/VLOOKUP($E172,$D$5:$AI$471,3,))*$F172)</f>
        <v>0</v>
      </c>
      <c r="J172" s="18">
        <f>IF(VLOOKUP($E172,$D$5:$AI$471,3,)=0,0,(VLOOKUP($E172,$D$5:$AI$471,7,)/VLOOKUP($E172,$D$5:$AI$471,3,))*$F172)</f>
        <v>0</v>
      </c>
      <c r="K172" s="18">
        <f>IF(VLOOKUP($E172,$D$5:$AI$471,3,)=0,0,(VLOOKUP($E172,$D$5:$AI$471,8,)/VLOOKUP($E172,$D$5:$AI$471,3,))*$F172)</f>
        <v>0</v>
      </c>
      <c r="L172" s="18">
        <f>IF(VLOOKUP($E172,$D$5:$AI$471,3,)=0,0,(VLOOKUP($E172,$D$5:$AI$471,9,)/VLOOKUP($E172,$D$5:$AI$471,3,))*$F172)</f>
        <v>0</v>
      </c>
      <c r="M172" s="18">
        <f>IF(VLOOKUP($E172,$D$5:$AI$471,3,)=0,0,(VLOOKUP($E172,$D$5:$AI$471,10,)/VLOOKUP($E172,$D$5:$AI$471,3,))*$F172)</f>
        <v>0</v>
      </c>
      <c r="N172" s="18">
        <f>IF(VLOOKUP($E172,$D$5:$AI$471,3,)=0,0,(VLOOKUP($E172,$D$5:$AI$471,11,)/VLOOKUP($E172,$D$5:$AI$471,3,))*$F172)</f>
        <v>0</v>
      </c>
      <c r="O172" s="18">
        <f>IF(VLOOKUP($E172,$D$5:$AI$471,3,)=0,0,(VLOOKUP($E172,$D$5:$AI$471,12,)/VLOOKUP($E172,$D$5:$AI$471,3,))*$F172)</f>
        <v>0</v>
      </c>
      <c r="P172" s="18">
        <f>IF(VLOOKUP($E172,$D$5:$AI$471,3,)=0,0,(VLOOKUP($E172,$D$5:$AI$471,13,)/VLOOKUP($E172,$D$5:$AI$471,3,))*$F172)</f>
        <v>0</v>
      </c>
      <c r="Q172" s="18">
        <f>IF(VLOOKUP($E172,$D$5:$AI$471,3,)=0,0,(VLOOKUP($E172,$D$5:$AI$471,14,)/VLOOKUP($E172,$D$5:$AI$471,3,))*$F172)</f>
        <v>0</v>
      </c>
      <c r="R172" s="18">
        <f>IF(VLOOKUP($E172,$D$5:$AI$471,3,)=0,0,(VLOOKUP($E172,$D$5:$AI$471,15,)/VLOOKUP($E172,$D$5:$AI$471,3,))*$F172)</f>
        <v>0</v>
      </c>
      <c r="S172" s="18">
        <f>IF(VLOOKUP($E172,$D$5:$AI$471,3,)=0,0,(VLOOKUP($E172,$D$5:$AI$471,16,)/VLOOKUP($E172,$D$5:$AI$471,3,))*$F172)</f>
        <v>0</v>
      </c>
      <c r="T172" s="18">
        <f>IF(VLOOKUP($E172,$D$5:$AI$471,3,)=0,0,(VLOOKUP($E172,$D$5:$AI$471,17,)/VLOOKUP($E172,$D$5:$AI$471,3,))*$F172)</f>
        <v>0</v>
      </c>
      <c r="U172" s="18">
        <f>IF(VLOOKUP($E172,$D$5:$AI$471,3,)=0,0,(VLOOKUP($E172,$D$5:$AI$471,18,)/VLOOKUP($E172,$D$5:$AI$471,3,))*$F172)</f>
        <v>0</v>
      </c>
      <c r="V172" s="18">
        <f>IF(VLOOKUP($E172,$D$5:$AI$471,3,)=0,0,(VLOOKUP($E172,$D$5:$AI$471,19,)/VLOOKUP($E172,$D$5:$AI$471,3,))*$F172)</f>
        <v>0</v>
      </c>
      <c r="W172" s="18">
        <f>IF(VLOOKUP($E172,$D$5:$AI$471,3,)=0,0,(VLOOKUP($E172,$D$5:$AI$471,20,)/VLOOKUP($E172,$D$5:$AI$471,3,))*$F172)</f>
        <v>0</v>
      </c>
      <c r="X172" s="18">
        <f>IF(VLOOKUP($E172,$D$5:$AI$471,3,)=0,0,(VLOOKUP($E172,$D$5:$AI$471,21,)/VLOOKUP($E172,$D$5:$AI$471,3,))*$F172)</f>
        <v>0</v>
      </c>
      <c r="Y172" s="18">
        <f>IF(VLOOKUP($E172,$D$5:$AI$471,3,)=0,0,(VLOOKUP($E172,$D$5:$AI$471,22,)/VLOOKUP($E172,$D$5:$AI$471,3,))*$F172)</f>
        <v>0</v>
      </c>
      <c r="Z172" s="18">
        <f>IF(VLOOKUP($E172,$D$5:$AI$471,3,)=0,0,(VLOOKUP($E172,$D$5:$AI$471,23,)/VLOOKUP($E172,$D$5:$AI$471,3,))*$F172)</f>
        <v>0</v>
      </c>
      <c r="AA172" s="18">
        <f>IF(VLOOKUP($E172,$D$5:$AI$471,3,)=0,0,(VLOOKUP($E172,$D$5:$AI$471,24,)/VLOOKUP($E172,$D$5:$AI$471,3,))*$F172)</f>
        <v>0</v>
      </c>
      <c r="AB172" s="18">
        <f>IF(VLOOKUP($E172,$D$5:$AI$471,3,)=0,0,(VLOOKUP($E172,$D$5:$AI$471,25,)/VLOOKUP($E172,$D$5:$AI$471,3,))*$F172)</f>
        <v>0</v>
      </c>
      <c r="AC172" s="18">
        <f>IF(VLOOKUP($E172,$D$5:$AI$471,3,)=0,0,(VLOOKUP($E172,$D$5:$AI$471,26,)/VLOOKUP($E172,$D$5:$AI$471,3,))*$F172)</f>
        <v>0</v>
      </c>
      <c r="AD172" s="18">
        <f>IF(VLOOKUP($E172,$D$5:$AI$471,3,)=0,0,(VLOOKUP($E172,$D$5:$AI$471,27,)/VLOOKUP($E172,$D$5:$AI$471,3,))*$F172)</f>
        <v>0</v>
      </c>
      <c r="AE172" s="18">
        <f>IF(VLOOKUP($E172,$D$5:$AI$471,3,)=0,0,(VLOOKUP($E172,$D$5:$AI$471,28,)/VLOOKUP($E172,$D$5:$AI$471,3,))*$F172)</f>
        <v>0</v>
      </c>
      <c r="AF172" s="18">
        <f>IF(VLOOKUP($E172,$D$5:$AI$471,3,)=0,0,(VLOOKUP($E172,$D$5:$AI$471,29,)/VLOOKUP($E172,$D$5:$AI$471,3,))*$F172)</f>
        <v>0</v>
      </c>
      <c r="AG172" s="18">
        <f>IF(VLOOKUP($E172,$D$5:$AI$471,3,)=0,0,(VLOOKUP($E172,$D$5:$AI$471,30,)/VLOOKUP($E172,$D$5:$AI$471,3,))*$F172)</f>
        <v>0</v>
      </c>
      <c r="AH172" s="20">
        <f t="shared" si="28"/>
        <v>0</v>
      </c>
      <c r="AI172" s="15" t="str">
        <f t="shared" si="29"/>
        <v>ok</v>
      </c>
    </row>
    <row r="173" spans="1:35" x14ac:dyDescent="0.3">
      <c r="A173" s="21" t="s">
        <v>543</v>
      </c>
      <c r="C173" s="2" t="s">
        <v>489</v>
      </c>
      <c r="D173" s="2" t="s">
        <v>624</v>
      </c>
      <c r="E173" s="2" t="s">
        <v>545</v>
      </c>
      <c r="F173" s="18">
        <f>VLOOKUP(C173,'Functional Assignment'!$C$1:$AU$563,10,)</f>
        <v>1200.3379285839878</v>
      </c>
      <c r="G173" s="18">
        <f>IF(VLOOKUP($E173,$D$5:$AI$471,3,)=0,0,(VLOOKUP($E173,$D$5:$AI$471,4,)/VLOOKUP($E173,$D$5:$AI$471,3,))*$F173)</f>
        <v>0</v>
      </c>
      <c r="H173" s="18">
        <f>IF(VLOOKUP($E173,$D$5:$AI$471,3,)=0,0,(VLOOKUP($E173,$D$5:$AI$471,5,)/VLOOKUP($E173,$D$5:$AI$471,3,))*$F173)</f>
        <v>0</v>
      </c>
      <c r="I173" s="18">
        <f>IF(VLOOKUP($E173,$D$5:$AI$471,3,)=0,0,(VLOOKUP($E173,$D$5:$AI$471,6,)/VLOOKUP($E173,$D$5:$AI$471,3,))*$F173)</f>
        <v>0</v>
      </c>
      <c r="J173" s="18">
        <f>IF(VLOOKUP($E173,$D$5:$AI$471,3,)=0,0,(VLOOKUP($E173,$D$5:$AI$471,7,)/VLOOKUP($E173,$D$5:$AI$471,3,))*$F173)</f>
        <v>0</v>
      </c>
      <c r="K173" s="18">
        <f>IF(VLOOKUP($E173,$D$5:$AI$471,3,)=0,0,(VLOOKUP($E173,$D$5:$AI$471,8,)/VLOOKUP($E173,$D$5:$AI$471,3,))*$F173)</f>
        <v>0</v>
      </c>
      <c r="L173" s="18">
        <f>IF(VLOOKUP($E173,$D$5:$AI$471,3,)=0,0,(VLOOKUP($E173,$D$5:$AI$471,9,)/VLOOKUP($E173,$D$5:$AI$471,3,))*$F173)</f>
        <v>0</v>
      </c>
      <c r="M173" s="18">
        <f>IF(VLOOKUP($E173,$D$5:$AI$471,3,)=0,0,(VLOOKUP($E173,$D$5:$AI$471,10,)/VLOOKUP($E173,$D$5:$AI$471,3,))*$F173)</f>
        <v>1200.3379285839878</v>
      </c>
      <c r="N173" s="18">
        <f>IF(VLOOKUP($E173,$D$5:$AI$471,3,)=0,0,(VLOOKUP($E173,$D$5:$AI$471,11,)/VLOOKUP($E173,$D$5:$AI$471,3,))*$F173)</f>
        <v>0</v>
      </c>
      <c r="O173" s="18">
        <f>IF(VLOOKUP($E173,$D$5:$AI$471,3,)=0,0,(VLOOKUP($E173,$D$5:$AI$471,12,)/VLOOKUP($E173,$D$5:$AI$471,3,))*$F173)</f>
        <v>0</v>
      </c>
      <c r="P173" s="18">
        <f>IF(VLOOKUP($E173,$D$5:$AI$471,3,)=0,0,(VLOOKUP($E173,$D$5:$AI$471,13,)/VLOOKUP($E173,$D$5:$AI$471,3,))*$F173)</f>
        <v>0</v>
      </c>
      <c r="Q173" s="18">
        <f>IF(VLOOKUP($E173,$D$5:$AI$471,3,)=0,0,(VLOOKUP($E173,$D$5:$AI$471,14,)/VLOOKUP($E173,$D$5:$AI$471,3,))*$F173)</f>
        <v>0</v>
      </c>
      <c r="R173" s="18">
        <f>IF(VLOOKUP($E173,$D$5:$AI$471,3,)=0,0,(VLOOKUP($E173,$D$5:$AI$471,15,)/VLOOKUP($E173,$D$5:$AI$471,3,))*$F173)</f>
        <v>0</v>
      </c>
      <c r="S173" s="18">
        <f>IF(VLOOKUP($E173,$D$5:$AI$471,3,)=0,0,(VLOOKUP($E173,$D$5:$AI$471,16,)/VLOOKUP($E173,$D$5:$AI$471,3,))*$F173)</f>
        <v>0</v>
      </c>
      <c r="T173" s="18">
        <f>IF(VLOOKUP($E173,$D$5:$AI$471,3,)=0,0,(VLOOKUP($E173,$D$5:$AI$471,17,)/VLOOKUP($E173,$D$5:$AI$471,3,))*$F173)</f>
        <v>0</v>
      </c>
      <c r="U173" s="18">
        <f>IF(VLOOKUP($E173,$D$5:$AI$471,3,)=0,0,(VLOOKUP($E173,$D$5:$AI$471,18,)/VLOOKUP($E173,$D$5:$AI$471,3,))*$F173)</f>
        <v>0</v>
      </c>
      <c r="V173" s="18">
        <f>IF(VLOOKUP($E173,$D$5:$AI$471,3,)=0,0,(VLOOKUP($E173,$D$5:$AI$471,19,)/VLOOKUP($E173,$D$5:$AI$471,3,))*$F173)</f>
        <v>0</v>
      </c>
      <c r="W173" s="18">
        <f>IF(VLOOKUP($E173,$D$5:$AI$471,3,)=0,0,(VLOOKUP($E173,$D$5:$AI$471,20,)/VLOOKUP($E173,$D$5:$AI$471,3,))*$F173)</f>
        <v>0</v>
      </c>
      <c r="X173" s="18">
        <f>IF(VLOOKUP($E173,$D$5:$AI$471,3,)=0,0,(VLOOKUP($E173,$D$5:$AI$471,21,)/VLOOKUP($E173,$D$5:$AI$471,3,))*$F173)</f>
        <v>0</v>
      </c>
      <c r="Y173" s="18">
        <f>IF(VLOOKUP($E173,$D$5:$AI$471,3,)=0,0,(VLOOKUP($E173,$D$5:$AI$471,22,)/VLOOKUP($E173,$D$5:$AI$471,3,))*$F173)</f>
        <v>0</v>
      </c>
      <c r="Z173" s="18">
        <f>IF(VLOOKUP($E173,$D$5:$AI$471,3,)=0,0,(VLOOKUP($E173,$D$5:$AI$471,23,)/VLOOKUP($E173,$D$5:$AI$471,3,))*$F173)</f>
        <v>0</v>
      </c>
      <c r="AA173" s="18">
        <f>IF(VLOOKUP($E173,$D$5:$AI$471,3,)=0,0,(VLOOKUP($E173,$D$5:$AI$471,24,)/VLOOKUP($E173,$D$5:$AI$471,3,))*$F173)</f>
        <v>0</v>
      </c>
      <c r="AB173" s="18">
        <f>IF(VLOOKUP($E173,$D$5:$AI$471,3,)=0,0,(VLOOKUP($E173,$D$5:$AI$471,25,)/VLOOKUP($E173,$D$5:$AI$471,3,))*$F173)</f>
        <v>0</v>
      </c>
      <c r="AC173" s="18">
        <f>IF(VLOOKUP($E173,$D$5:$AI$471,3,)=0,0,(VLOOKUP($E173,$D$5:$AI$471,26,)/VLOOKUP($E173,$D$5:$AI$471,3,))*$F173)</f>
        <v>0</v>
      </c>
      <c r="AD173" s="18">
        <f>IF(VLOOKUP($E173,$D$5:$AI$471,3,)=0,0,(VLOOKUP($E173,$D$5:$AI$471,27,)/VLOOKUP($E173,$D$5:$AI$471,3,))*$F173)</f>
        <v>0</v>
      </c>
      <c r="AE173" s="18">
        <f>IF(VLOOKUP($E173,$D$5:$AI$471,3,)=0,0,(VLOOKUP($E173,$D$5:$AI$471,28,)/VLOOKUP($E173,$D$5:$AI$471,3,))*$F173)</f>
        <v>0</v>
      </c>
      <c r="AF173" s="18">
        <f>IF(VLOOKUP($E173,$D$5:$AI$471,3,)=0,0,(VLOOKUP($E173,$D$5:$AI$471,29,)/VLOOKUP($E173,$D$5:$AI$471,3,))*$F173)</f>
        <v>0</v>
      </c>
      <c r="AG173" s="18">
        <f>IF(VLOOKUP($E173,$D$5:$AI$471,3,)=0,0,(VLOOKUP($E173,$D$5:$AI$471,30,)/VLOOKUP($E173,$D$5:$AI$471,3,))*$F173)</f>
        <v>0</v>
      </c>
      <c r="AH173" s="20">
        <f t="shared" si="28"/>
        <v>1200.3379285839878</v>
      </c>
      <c r="AI173" s="15" t="str">
        <f t="shared" si="29"/>
        <v>ok</v>
      </c>
    </row>
    <row r="174" spans="1:35" x14ac:dyDescent="0.3">
      <c r="A174" s="2" t="s">
        <v>546</v>
      </c>
      <c r="D174" s="2" t="s">
        <v>625</v>
      </c>
      <c r="F174" s="18">
        <f>SUM(F169:F173)</f>
        <v>188387.61596427782</v>
      </c>
      <c r="G174" s="18">
        <f t="shared" ref="G174:AG174" si="30">SUM(G169:G173)</f>
        <v>143891.25181948722</v>
      </c>
      <c r="H174" s="18">
        <f t="shared" si="30"/>
        <v>12077.135855760016</v>
      </c>
      <c r="I174" s="18">
        <f t="shared" si="30"/>
        <v>4350.7534351137028</v>
      </c>
      <c r="J174" s="18">
        <f t="shared" si="30"/>
        <v>7028.2352818082845</v>
      </c>
      <c r="K174" s="18">
        <f t="shared" si="30"/>
        <v>19839.901643524558</v>
      </c>
      <c r="L174" s="18">
        <f t="shared" si="30"/>
        <v>0</v>
      </c>
      <c r="M174" s="18">
        <f t="shared" si="30"/>
        <v>1200.3379285839878</v>
      </c>
      <c r="N174" s="18">
        <f t="shared" si="30"/>
        <v>0</v>
      </c>
      <c r="O174" s="18">
        <f t="shared" si="30"/>
        <v>0</v>
      </c>
      <c r="P174" s="18">
        <f t="shared" si="30"/>
        <v>0</v>
      </c>
      <c r="Q174" s="18">
        <f t="shared" si="30"/>
        <v>0</v>
      </c>
      <c r="R174" s="18">
        <f t="shared" si="30"/>
        <v>0</v>
      </c>
      <c r="S174" s="18">
        <f t="shared" si="30"/>
        <v>0</v>
      </c>
      <c r="T174" s="18">
        <f t="shared" si="30"/>
        <v>0</v>
      </c>
      <c r="U174" s="18">
        <f t="shared" si="30"/>
        <v>0</v>
      </c>
      <c r="V174" s="18">
        <f t="shared" si="30"/>
        <v>0</v>
      </c>
      <c r="W174" s="18">
        <f t="shared" si="30"/>
        <v>0</v>
      </c>
      <c r="X174" s="18">
        <f t="shared" si="30"/>
        <v>0</v>
      </c>
      <c r="Y174" s="18">
        <f t="shared" si="30"/>
        <v>0</v>
      </c>
      <c r="Z174" s="18">
        <f t="shared" si="30"/>
        <v>0</v>
      </c>
      <c r="AA174" s="18">
        <f t="shared" si="30"/>
        <v>0</v>
      </c>
      <c r="AB174" s="18">
        <f t="shared" si="30"/>
        <v>0</v>
      </c>
      <c r="AC174" s="18">
        <f t="shared" si="30"/>
        <v>0</v>
      </c>
      <c r="AD174" s="18">
        <f t="shared" si="30"/>
        <v>0</v>
      </c>
      <c r="AE174" s="18">
        <f t="shared" si="30"/>
        <v>0</v>
      </c>
      <c r="AF174" s="18">
        <f t="shared" si="30"/>
        <v>0</v>
      </c>
      <c r="AG174" s="18">
        <f t="shared" si="30"/>
        <v>0</v>
      </c>
      <c r="AH174" s="20">
        <f t="shared" si="28"/>
        <v>188387.61596427776</v>
      </c>
      <c r="AI174" s="15" t="str">
        <f t="shared" si="29"/>
        <v>ok</v>
      </c>
    </row>
    <row r="175" spans="1:35" x14ac:dyDescent="0.3">
      <c r="F175" s="19"/>
      <c r="G175" s="19"/>
    </row>
    <row r="176" spans="1:35" x14ac:dyDescent="0.3">
      <c r="F176" s="19"/>
      <c r="G176" s="19"/>
    </row>
    <row r="177" spans="1:35" x14ac:dyDescent="0.3">
      <c r="A177" s="3" t="s">
        <v>29</v>
      </c>
      <c r="C177" s="2" t="s">
        <v>489</v>
      </c>
      <c r="D177" s="2" t="s">
        <v>626</v>
      </c>
      <c r="E177" s="2" t="s">
        <v>549</v>
      </c>
      <c r="F177" s="18">
        <f>VLOOKUP(C177,'Functional Assignment'!$C$1:$AU$563,11,)</f>
        <v>42032.731653529729</v>
      </c>
      <c r="G177" s="18">
        <f>IF(VLOOKUP($E177,$D$5:$AI$471,3,)=0,0,(VLOOKUP($E177,$D$5:$AI$471,4,)/VLOOKUP($E177,$D$5:$AI$471,3,))*$F177)</f>
        <v>33170.644001875444</v>
      </c>
      <c r="H177" s="18">
        <f>IF(VLOOKUP($E177,$D$5:$AI$471,3,)=0,0,(VLOOKUP($E177,$D$5:$AI$471,5,)/VLOOKUP($E177,$D$5:$AI$471,3,))*$F177)</f>
        <v>2483.0041976403509</v>
      </c>
      <c r="I177" s="18">
        <f>IF(VLOOKUP($E177,$D$5:$AI$471,3,)=0,0,(VLOOKUP($E177,$D$5:$AI$471,6,)/VLOOKUP($E177,$D$5:$AI$471,3,))*$F177)</f>
        <v>841.90161956516692</v>
      </c>
      <c r="J177" s="18">
        <f>IF(VLOOKUP($E177,$D$5:$AI$471,3,)=0,0,(VLOOKUP($E177,$D$5:$AI$471,7,)/VLOOKUP($E177,$D$5:$AI$471,3,))*$F177)</f>
        <v>1356.1859202849525</v>
      </c>
      <c r="K177" s="18">
        <f>IF(VLOOKUP($E177,$D$5:$AI$471,3,)=0,0,(VLOOKUP($E177,$D$5:$AI$471,8,)/VLOOKUP($E177,$D$5:$AI$471,3,))*$F177)</f>
        <v>3645.2498252309538</v>
      </c>
      <c r="L177" s="18">
        <f>IF(VLOOKUP($E177,$D$5:$AI$471,3,)=0,0,(VLOOKUP($E177,$D$5:$AI$471,9,)/VLOOKUP($E177,$D$5:$AI$471,3,))*$F177)</f>
        <v>535.74608893286791</v>
      </c>
      <c r="M177" s="18">
        <f>IF(VLOOKUP($E177,$D$5:$AI$471,3,)=0,0,(VLOOKUP($E177,$D$5:$AI$471,10,)/VLOOKUP($E177,$D$5:$AI$471,3,))*$F177)</f>
        <v>0</v>
      </c>
      <c r="N177" s="18">
        <f>IF(VLOOKUP($E177,$D$5:$AI$471,3,)=0,0,(VLOOKUP($E177,$D$5:$AI$471,11,)/VLOOKUP($E177,$D$5:$AI$471,3,))*$F177)</f>
        <v>0</v>
      </c>
      <c r="O177" s="18">
        <f>IF(VLOOKUP($E177,$D$5:$AI$471,3,)=0,0,(VLOOKUP($E177,$D$5:$AI$471,12,)/VLOOKUP($E177,$D$5:$AI$471,3,))*$F177)</f>
        <v>0</v>
      </c>
      <c r="P177" s="18">
        <f>IF(VLOOKUP($E177,$D$5:$AI$471,3,)=0,0,(VLOOKUP($E177,$D$5:$AI$471,13,)/VLOOKUP($E177,$D$5:$AI$471,3,))*$F177)</f>
        <v>0</v>
      </c>
      <c r="Q177" s="18">
        <f>IF(VLOOKUP($E177,$D$5:$AI$471,3,)=0,0,(VLOOKUP($E177,$D$5:$AI$471,14,)/VLOOKUP($E177,$D$5:$AI$471,3,))*$F177)</f>
        <v>0</v>
      </c>
      <c r="R177" s="18">
        <f>IF(VLOOKUP($E177,$D$5:$AI$471,3,)=0,0,(VLOOKUP($E177,$D$5:$AI$471,15,)/VLOOKUP($E177,$D$5:$AI$471,3,))*$F177)</f>
        <v>0</v>
      </c>
      <c r="S177" s="18">
        <f>IF(VLOOKUP($E177,$D$5:$AI$471,3,)=0,0,(VLOOKUP($E177,$D$5:$AI$471,16,)/VLOOKUP($E177,$D$5:$AI$471,3,))*$F177)</f>
        <v>0</v>
      </c>
      <c r="T177" s="18">
        <f>IF(VLOOKUP($E177,$D$5:$AI$471,3,)=0,0,(VLOOKUP($E177,$D$5:$AI$471,17,)/VLOOKUP($E177,$D$5:$AI$471,3,))*$F177)</f>
        <v>0</v>
      </c>
      <c r="U177" s="18">
        <f>IF(VLOOKUP($E177,$D$5:$AI$471,3,)=0,0,(VLOOKUP($E177,$D$5:$AI$471,18,)/VLOOKUP($E177,$D$5:$AI$471,3,))*$F177)</f>
        <v>0</v>
      </c>
      <c r="V177" s="18">
        <f>IF(VLOOKUP($E177,$D$5:$AI$471,3,)=0,0,(VLOOKUP($E177,$D$5:$AI$471,19,)/VLOOKUP($E177,$D$5:$AI$471,3,))*$F177)</f>
        <v>0</v>
      </c>
      <c r="W177" s="18">
        <f>IF(VLOOKUP($E177,$D$5:$AI$471,3,)=0,0,(VLOOKUP($E177,$D$5:$AI$471,20,)/VLOOKUP($E177,$D$5:$AI$471,3,))*$F177)</f>
        <v>0</v>
      </c>
      <c r="X177" s="18">
        <f>IF(VLOOKUP($E177,$D$5:$AI$471,3,)=0,0,(VLOOKUP($E177,$D$5:$AI$471,21,)/VLOOKUP($E177,$D$5:$AI$471,3,))*$F177)</f>
        <v>0</v>
      </c>
      <c r="Y177" s="18">
        <f>IF(VLOOKUP($E177,$D$5:$AI$471,3,)=0,0,(VLOOKUP($E177,$D$5:$AI$471,22,)/VLOOKUP($E177,$D$5:$AI$471,3,))*$F177)</f>
        <v>0</v>
      </c>
      <c r="Z177" s="18">
        <f>IF(VLOOKUP($E177,$D$5:$AI$471,3,)=0,0,(VLOOKUP($E177,$D$5:$AI$471,23,)/VLOOKUP($E177,$D$5:$AI$471,3,))*$F177)</f>
        <v>0</v>
      </c>
      <c r="AA177" s="18">
        <f>IF(VLOOKUP($E177,$D$5:$AI$471,3,)=0,0,(VLOOKUP($E177,$D$5:$AI$471,24,)/VLOOKUP($E177,$D$5:$AI$471,3,))*$F177)</f>
        <v>0</v>
      </c>
      <c r="AB177" s="18">
        <f>IF(VLOOKUP($E177,$D$5:$AI$471,3,)=0,0,(VLOOKUP($E177,$D$5:$AI$471,25,)/VLOOKUP($E177,$D$5:$AI$471,3,))*$F177)</f>
        <v>0</v>
      </c>
      <c r="AC177" s="18">
        <f>IF(VLOOKUP($E177,$D$5:$AI$471,3,)=0,0,(VLOOKUP($E177,$D$5:$AI$471,26,)/VLOOKUP($E177,$D$5:$AI$471,3,))*$F177)</f>
        <v>0</v>
      </c>
      <c r="AD177" s="18">
        <f>IF(VLOOKUP($E177,$D$5:$AI$471,3,)=0,0,(VLOOKUP($E177,$D$5:$AI$471,27,)/VLOOKUP($E177,$D$5:$AI$471,3,))*$F177)</f>
        <v>0</v>
      </c>
      <c r="AE177" s="18">
        <f>IF(VLOOKUP($E177,$D$5:$AI$471,3,)=0,0,(VLOOKUP($E177,$D$5:$AI$471,28,)/VLOOKUP($E177,$D$5:$AI$471,3,))*$F177)</f>
        <v>0</v>
      </c>
      <c r="AF177" s="18">
        <f>IF(VLOOKUP($E177,$D$5:$AI$471,3,)=0,0,(VLOOKUP($E177,$D$5:$AI$471,29,)/VLOOKUP($E177,$D$5:$AI$471,3,))*$F177)</f>
        <v>0</v>
      </c>
      <c r="AG177" s="18">
        <f>IF(VLOOKUP($E177,$D$5:$AI$471,3,)=0,0,(VLOOKUP($E177,$D$5:$AI$471,30,)/VLOOKUP($E177,$D$5:$AI$471,3,))*$F177)</f>
        <v>0</v>
      </c>
      <c r="AH177" s="20">
        <f>SUM(G177:AG177)</f>
        <v>42032.731653529729</v>
      </c>
      <c r="AI177" s="15" t="str">
        <f>IF(ABS(F177-AH177)&lt;0.01,"ok","err")</f>
        <v>ok</v>
      </c>
    </row>
    <row r="178" spans="1:35" x14ac:dyDescent="0.3">
      <c r="F178" s="19"/>
      <c r="G178" s="19"/>
    </row>
    <row r="179" spans="1:35" x14ac:dyDescent="0.3">
      <c r="A179" s="3"/>
      <c r="F179" s="19"/>
      <c r="G179" s="19"/>
    </row>
    <row r="180" spans="1:35" x14ac:dyDescent="0.3">
      <c r="A180" s="3" t="s">
        <v>550</v>
      </c>
      <c r="C180" s="2" t="s">
        <v>489</v>
      </c>
      <c r="D180" s="2" t="s">
        <v>627</v>
      </c>
      <c r="E180" s="2" t="s">
        <v>552</v>
      </c>
      <c r="F180" s="18">
        <f>VLOOKUP(C180,'Functional Assignment'!$C$1:$AU$563,13,)</f>
        <v>17807.047200267723</v>
      </c>
      <c r="G180" s="18">
        <f>IF(VLOOKUP($E180,$D$5:$AI$471,3,)=0,0,(VLOOKUP($E180,$D$5:$AI$471,4,)/VLOOKUP($E180,$D$5:$AI$471,3,))*$F180)</f>
        <v>17733.71769884563</v>
      </c>
      <c r="H180" s="18">
        <f>IF(VLOOKUP($E180,$D$5:$AI$471,3,)=0,0,(VLOOKUP($E180,$D$5:$AI$471,5,)/VLOOKUP($E180,$D$5:$AI$471,3,))*$F180)</f>
        <v>0</v>
      </c>
      <c r="I180" s="18">
        <f>IF(VLOOKUP($E180,$D$5:$AI$471,3,)=0,0,(VLOOKUP($E180,$D$5:$AI$471,6,)/VLOOKUP($E180,$D$5:$AI$471,3,))*$F180)</f>
        <v>0</v>
      </c>
      <c r="J180" s="18">
        <f>IF(VLOOKUP($E180,$D$5:$AI$471,3,)=0,0,(VLOOKUP($E180,$D$5:$AI$471,7,)/VLOOKUP($E180,$D$5:$AI$471,3,))*$F180)</f>
        <v>73.329501422092989</v>
      </c>
      <c r="K180" s="18">
        <f>IF(VLOOKUP($E180,$D$5:$AI$471,3,)=0,0,(VLOOKUP($E180,$D$5:$AI$471,8,)/VLOOKUP($E180,$D$5:$AI$471,3,))*$F180)</f>
        <v>0</v>
      </c>
      <c r="L180" s="18">
        <f>IF(VLOOKUP($E180,$D$5:$AI$471,3,)=0,0,(VLOOKUP($E180,$D$5:$AI$471,9,)/VLOOKUP($E180,$D$5:$AI$471,3,))*$F180)</f>
        <v>0</v>
      </c>
      <c r="M180" s="18">
        <f>IF(VLOOKUP($E180,$D$5:$AI$471,3,)=0,0,(VLOOKUP($E180,$D$5:$AI$471,10,)/VLOOKUP($E180,$D$5:$AI$471,3,))*$F180)</f>
        <v>0</v>
      </c>
      <c r="N180" s="18">
        <f>IF(VLOOKUP($E180,$D$5:$AI$471,3,)=0,0,(VLOOKUP($E180,$D$5:$AI$471,11,)/VLOOKUP($E180,$D$5:$AI$471,3,))*$F180)</f>
        <v>0</v>
      </c>
      <c r="O180" s="18">
        <f>IF(VLOOKUP($E180,$D$5:$AI$471,3,)=0,0,(VLOOKUP($E180,$D$5:$AI$471,12,)/VLOOKUP($E180,$D$5:$AI$471,3,))*$F180)</f>
        <v>0</v>
      </c>
      <c r="P180" s="18">
        <f>IF(VLOOKUP($E180,$D$5:$AI$471,3,)=0,0,(VLOOKUP($E180,$D$5:$AI$471,13,)/VLOOKUP($E180,$D$5:$AI$471,3,))*$F180)</f>
        <v>0</v>
      </c>
      <c r="Q180" s="18">
        <f>IF(VLOOKUP($E180,$D$5:$AI$471,3,)=0,0,(VLOOKUP($E180,$D$5:$AI$471,14,)/VLOOKUP($E180,$D$5:$AI$471,3,))*$F180)</f>
        <v>0</v>
      </c>
      <c r="R180" s="18">
        <f>IF(VLOOKUP($E180,$D$5:$AI$471,3,)=0,0,(VLOOKUP($E180,$D$5:$AI$471,15,)/VLOOKUP($E180,$D$5:$AI$471,3,))*$F180)</f>
        <v>0</v>
      </c>
      <c r="S180" s="18">
        <f>IF(VLOOKUP($E180,$D$5:$AI$471,3,)=0,0,(VLOOKUP($E180,$D$5:$AI$471,16,)/VLOOKUP($E180,$D$5:$AI$471,3,))*$F180)</f>
        <v>0</v>
      </c>
      <c r="T180" s="18">
        <f>IF(VLOOKUP($E180,$D$5:$AI$471,3,)=0,0,(VLOOKUP($E180,$D$5:$AI$471,17,)/VLOOKUP($E180,$D$5:$AI$471,3,))*$F180)</f>
        <v>0</v>
      </c>
      <c r="U180" s="18">
        <f>IF(VLOOKUP($E180,$D$5:$AI$471,3,)=0,0,(VLOOKUP($E180,$D$5:$AI$471,18,)/VLOOKUP($E180,$D$5:$AI$471,3,))*$F180)</f>
        <v>0</v>
      </c>
      <c r="V180" s="18">
        <f>IF(VLOOKUP($E180,$D$5:$AI$471,3,)=0,0,(VLOOKUP($E180,$D$5:$AI$471,19,)/VLOOKUP($E180,$D$5:$AI$471,3,))*$F180)</f>
        <v>0</v>
      </c>
      <c r="W180" s="18">
        <f>IF(VLOOKUP($E180,$D$5:$AI$471,3,)=0,0,(VLOOKUP($E180,$D$5:$AI$471,20,)/VLOOKUP($E180,$D$5:$AI$471,3,))*$F180)</f>
        <v>0</v>
      </c>
      <c r="X180" s="18">
        <f>IF(VLOOKUP($E180,$D$5:$AI$471,3,)=0,0,(VLOOKUP($E180,$D$5:$AI$471,21,)/VLOOKUP($E180,$D$5:$AI$471,3,))*$F180)</f>
        <v>0</v>
      </c>
      <c r="Y180" s="18">
        <f>IF(VLOOKUP($E180,$D$5:$AI$471,3,)=0,0,(VLOOKUP($E180,$D$5:$AI$471,22,)/VLOOKUP($E180,$D$5:$AI$471,3,))*$F180)</f>
        <v>0</v>
      </c>
      <c r="Z180" s="18">
        <f>IF(VLOOKUP($E180,$D$5:$AI$471,3,)=0,0,(VLOOKUP($E180,$D$5:$AI$471,23,)/VLOOKUP($E180,$D$5:$AI$471,3,))*$F180)</f>
        <v>0</v>
      </c>
      <c r="AA180" s="18">
        <f>IF(VLOOKUP($E180,$D$5:$AI$471,3,)=0,0,(VLOOKUP($E180,$D$5:$AI$471,24,)/VLOOKUP($E180,$D$5:$AI$471,3,))*$F180)</f>
        <v>0</v>
      </c>
      <c r="AB180" s="18">
        <f>IF(VLOOKUP($E180,$D$5:$AI$471,3,)=0,0,(VLOOKUP($E180,$D$5:$AI$471,25,)/VLOOKUP($E180,$D$5:$AI$471,3,))*$F180)</f>
        <v>0</v>
      </c>
      <c r="AC180" s="18">
        <f>IF(VLOOKUP($E180,$D$5:$AI$471,3,)=0,0,(VLOOKUP($E180,$D$5:$AI$471,26,)/VLOOKUP($E180,$D$5:$AI$471,3,))*$F180)</f>
        <v>0</v>
      </c>
      <c r="AD180" s="18">
        <f>IF(VLOOKUP($E180,$D$5:$AI$471,3,)=0,0,(VLOOKUP($E180,$D$5:$AI$471,27,)/VLOOKUP($E180,$D$5:$AI$471,3,))*$F180)</f>
        <v>0</v>
      </c>
      <c r="AE180" s="18">
        <f>IF(VLOOKUP($E180,$D$5:$AI$471,3,)=0,0,(VLOOKUP($E180,$D$5:$AI$471,28,)/VLOOKUP($E180,$D$5:$AI$471,3,))*$F180)</f>
        <v>0</v>
      </c>
      <c r="AF180" s="18">
        <f>IF(VLOOKUP($E180,$D$5:$AI$471,3,)=0,0,(VLOOKUP($E180,$D$5:$AI$471,29,)/VLOOKUP($E180,$D$5:$AI$471,3,))*$F180)</f>
        <v>0</v>
      </c>
      <c r="AG180" s="18">
        <f>IF(VLOOKUP($E180,$D$5:$AI$471,3,)=0,0,(VLOOKUP($E180,$D$5:$AI$471,30,)/VLOOKUP($E180,$D$5:$AI$471,3,))*$F180)</f>
        <v>0</v>
      </c>
      <c r="AH180" s="20">
        <f>SUM(G180:AG180)</f>
        <v>17807.047200267723</v>
      </c>
      <c r="AI180" s="15" t="str">
        <f>IF(ABS(F180-AH180)&lt;0.01,"ok","err")</f>
        <v>ok</v>
      </c>
    </row>
    <row r="181" spans="1:35" x14ac:dyDescent="0.3">
      <c r="A181" s="3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20"/>
      <c r="AI181" s="15"/>
    </row>
    <row r="182" spans="1:35" x14ac:dyDescent="0.3">
      <c r="F182" s="19"/>
    </row>
    <row r="183" spans="1:35" x14ac:dyDescent="0.3">
      <c r="A183" s="3" t="s">
        <v>553</v>
      </c>
      <c r="C183" s="2" t="s">
        <v>489</v>
      </c>
      <c r="D183" s="2" t="s">
        <v>628</v>
      </c>
      <c r="E183" s="2" t="s">
        <v>555</v>
      </c>
      <c r="F183" s="18">
        <f>VLOOKUP(C183,'Functional Assignment'!$C$1:$AU$563,14,)</f>
        <v>238.39518192473727</v>
      </c>
      <c r="G183" s="18">
        <f>IF(VLOOKUP($E183,$D$5:$AI$471,3,)=0,0,(VLOOKUP($E183,$D$5:$AI$471,4,)/VLOOKUP($E183,$D$5:$AI$471,3,))*$F183)</f>
        <v>237.74234254018756</v>
      </c>
      <c r="H183" s="18">
        <f>IF(VLOOKUP($E183,$D$5:$AI$471,3,)=0,0,(VLOOKUP($E183,$D$5:$AI$471,5,)/VLOOKUP($E183,$D$5:$AI$471,3,))*$F183)</f>
        <v>0</v>
      </c>
      <c r="I183" s="18">
        <f>IF(VLOOKUP($E183,$D$5:$AI$471,3,)=0,0,(VLOOKUP($E183,$D$5:$AI$471,6,)/VLOOKUP($E183,$D$5:$AI$471,3,))*$F183)</f>
        <v>0</v>
      </c>
      <c r="J183" s="18">
        <f>IF(VLOOKUP($E183,$D$5:$AI$471,3,)=0,0,(VLOOKUP($E183,$D$5:$AI$471,7,)/VLOOKUP($E183,$D$5:$AI$471,3,))*$F183)</f>
        <v>0.65283938454971413</v>
      </c>
      <c r="K183" s="18">
        <f>IF(VLOOKUP($E183,$D$5:$AI$471,3,)=0,0,(VLOOKUP($E183,$D$5:$AI$471,8,)/VLOOKUP($E183,$D$5:$AI$471,3,))*$F183)</f>
        <v>0</v>
      </c>
      <c r="L183" s="18">
        <f>IF(VLOOKUP($E183,$D$5:$AI$471,3,)=0,0,(VLOOKUP($E183,$D$5:$AI$471,9,)/VLOOKUP($E183,$D$5:$AI$471,3,))*$F183)</f>
        <v>0</v>
      </c>
      <c r="M183" s="18">
        <f>IF(VLOOKUP($E183,$D$5:$AI$471,3,)=0,0,(VLOOKUP($E183,$D$5:$AI$471,10,)/VLOOKUP($E183,$D$5:$AI$471,3,))*$F183)</f>
        <v>0</v>
      </c>
      <c r="N183" s="18">
        <f>IF(VLOOKUP($E183,$D$5:$AI$471,3,)=0,0,(VLOOKUP($E183,$D$5:$AI$471,11,)/VLOOKUP($E183,$D$5:$AI$471,3,))*$F183)</f>
        <v>0</v>
      </c>
      <c r="O183" s="18">
        <f>IF(VLOOKUP($E183,$D$5:$AI$471,3,)=0,0,(VLOOKUP($E183,$D$5:$AI$471,12,)/VLOOKUP($E183,$D$5:$AI$471,3,))*$F183)</f>
        <v>0</v>
      </c>
      <c r="P183" s="18">
        <f>IF(VLOOKUP($E183,$D$5:$AI$471,3,)=0,0,(VLOOKUP($E183,$D$5:$AI$471,13,)/VLOOKUP($E183,$D$5:$AI$471,3,))*$F183)</f>
        <v>0</v>
      </c>
      <c r="Q183" s="18">
        <f>IF(VLOOKUP($E183,$D$5:$AI$471,3,)=0,0,(VLOOKUP($E183,$D$5:$AI$471,14,)/VLOOKUP($E183,$D$5:$AI$471,3,))*$F183)</f>
        <v>0</v>
      </c>
      <c r="R183" s="18">
        <f>IF(VLOOKUP($E183,$D$5:$AI$471,3,)=0,0,(VLOOKUP($E183,$D$5:$AI$471,15,)/VLOOKUP($E183,$D$5:$AI$471,3,))*$F183)</f>
        <v>0</v>
      </c>
      <c r="S183" s="18">
        <f>IF(VLOOKUP($E183,$D$5:$AI$471,3,)=0,0,(VLOOKUP($E183,$D$5:$AI$471,16,)/VLOOKUP($E183,$D$5:$AI$471,3,))*$F183)</f>
        <v>0</v>
      </c>
      <c r="T183" s="18">
        <f>IF(VLOOKUP($E183,$D$5:$AI$471,3,)=0,0,(VLOOKUP($E183,$D$5:$AI$471,17,)/VLOOKUP($E183,$D$5:$AI$471,3,))*$F183)</f>
        <v>0</v>
      </c>
      <c r="U183" s="18">
        <f>IF(VLOOKUP($E183,$D$5:$AI$471,3,)=0,0,(VLOOKUP($E183,$D$5:$AI$471,18,)/VLOOKUP($E183,$D$5:$AI$471,3,))*$F183)</f>
        <v>0</v>
      </c>
      <c r="V183" s="18">
        <f>IF(VLOOKUP($E183,$D$5:$AI$471,3,)=0,0,(VLOOKUP($E183,$D$5:$AI$471,19,)/VLOOKUP($E183,$D$5:$AI$471,3,))*$F183)</f>
        <v>0</v>
      </c>
      <c r="W183" s="18">
        <f>IF(VLOOKUP($E183,$D$5:$AI$471,3,)=0,0,(VLOOKUP($E183,$D$5:$AI$471,20,)/VLOOKUP($E183,$D$5:$AI$471,3,))*$F183)</f>
        <v>0</v>
      </c>
      <c r="X183" s="18">
        <f>IF(VLOOKUP($E183,$D$5:$AI$471,3,)=0,0,(VLOOKUP($E183,$D$5:$AI$471,21,)/VLOOKUP($E183,$D$5:$AI$471,3,))*$F183)</f>
        <v>0</v>
      </c>
      <c r="Y183" s="18">
        <f>IF(VLOOKUP($E183,$D$5:$AI$471,3,)=0,0,(VLOOKUP($E183,$D$5:$AI$471,22,)/VLOOKUP($E183,$D$5:$AI$471,3,))*$F183)</f>
        <v>0</v>
      </c>
      <c r="Z183" s="18">
        <f>IF(VLOOKUP($E183,$D$5:$AI$471,3,)=0,0,(VLOOKUP($E183,$D$5:$AI$471,23,)/VLOOKUP($E183,$D$5:$AI$471,3,))*$F183)</f>
        <v>0</v>
      </c>
      <c r="AA183" s="18">
        <f>IF(VLOOKUP($E183,$D$5:$AI$471,3,)=0,0,(VLOOKUP($E183,$D$5:$AI$471,24,)/VLOOKUP($E183,$D$5:$AI$471,3,))*$F183)</f>
        <v>0</v>
      </c>
      <c r="AB183" s="18">
        <f>IF(VLOOKUP($E183,$D$5:$AI$471,3,)=0,0,(VLOOKUP($E183,$D$5:$AI$471,25,)/VLOOKUP($E183,$D$5:$AI$471,3,))*$F183)</f>
        <v>0</v>
      </c>
      <c r="AC183" s="18">
        <f>IF(VLOOKUP($E183,$D$5:$AI$471,3,)=0,0,(VLOOKUP($E183,$D$5:$AI$471,26,)/VLOOKUP($E183,$D$5:$AI$471,3,))*$F183)</f>
        <v>0</v>
      </c>
      <c r="AD183" s="18">
        <f>IF(VLOOKUP($E183,$D$5:$AI$471,3,)=0,0,(VLOOKUP($E183,$D$5:$AI$471,27,)/VLOOKUP($E183,$D$5:$AI$471,3,))*$F183)</f>
        <v>0</v>
      </c>
      <c r="AE183" s="18">
        <f>IF(VLOOKUP($E183,$D$5:$AI$471,3,)=0,0,(VLOOKUP($E183,$D$5:$AI$471,28,)/VLOOKUP($E183,$D$5:$AI$471,3,))*$F183)</f>
        <v>0</v>
      </c>
      <c r="AF183" s="18">
        <f>IF(VLOOKUP($E183,$D$5:$AI$471,3,)=0,0,(VLOOKUP($E183,$D$5:$AI$471,29,)/VLOOKUP($E183,$D$5:$AI$471,3,))*$F183)</f>
        <v>0</v>
      </c>
      <c r="AG183" s="18">
        <f>IF(VLOOKUP($E183,$D$5:$AI$471,3,)=0,0,(VLOOKUP($E183,$D$5:$AI$471,30,)/VLOOKUP($E183,$D$5:$AI$471,3,))*$F183)</f>
        <v>0</v>
      </c>
      <c r="AH183" s="20">
        <f>SUM(G183:AG183)</f>
        <v>238.39518192473727</v>
      </c>
      <c r="AI183" s="15" t="str">
        <f>IF(ABS(F183-AH183)&lt;0.01,"ok","err")</f>
        <v>ok</v>
      </c>
    </row>
    <row r="184" spans="1:35" x14ac:dyDescent="0.3">
      <c r="F184" s="19"/>
    </row>
    <row r="185" spans="1:35" x14ac:dyDescent="0.3">
      <c r="F185" s="19"/>
    </row>
    <row r="186" spans="1:35" x14ac:dyDescent="0.3">
      <c r="A186" s="2" t="s">
        <v>1</v>
      </c>
      <c r="D186" s="2" t="s">
        <v>629</v>
      </c>
      <c r="F186" s="18">
        <f>F174+F177+F180+F183</f>
        <v>248465.79000000004</v>
      </c>
      <c r="G186" s="18">
        <f t="shared" ref="G186:AG186" si="31">G174+G177+G180+G183</f>
        <v>195033.35586274849</v>
      </c>
      <c r="H186" s="18">
        <f t="shared" si="31"/>
        <v>14560.140053400366</v>
      </c>
      <c r="I186" s="18">
        <f t="shared" si="31"/>
        <v>5192.6550546788694</v>
      </c>
      <c r="J186" s="18">
        <f t="shared" si="31"/>
        <v>8458.4035428998795</v>
      </c>
      <c r="K186" s="18">
        <f t="shared" si="31"/>
        <v>23485.15146875551</v>
      </c>
      <c r="L186" s="18">
        <f t="shared" si="31"/>
        <v>535.74608893286791</v>
      </c>
      <c r="M186" s="18">
        <f t="shared" si="31"/>
        <v>1200.3379285839878</v>
      </c>
      <c r="N186" s="18">
        <f t="shared" si="31"/>
        <v>0</v>
      </c>
      <c r="O186" s="18">
        <f t="shared" si="31"/>
        <v>0</v>
      </c>
      <c r="P186" s="18">
        <f t="shared" si="31"/>
        <v>0</v>
      </c>
      <c r="Q186" s="18">
        <f t="shared" si="31"/>
        <v>0</v>
      </c>
      <c r="R186" s="18">
        <f t="shared" si="31"/>
        <v>0</v>
      </c>
      <c r="S186" s="18">
        <f t="shared" si="31"/>
        <v>0</v>
      </c>
      <c r="T186" s="18">
        <f t="shared" si="31"/>
        <v>0</v>
      </c>
      <c r="U186" s="18">
        <f t="shared" si="31"/>
        <v>0</v>
      </c>
      <c r="V186" s="18">
        <f t="shared" si="31"/>
        <v>0</v>
      </c>
      <c r="W186" s="18">
        <f t="shared" si="31"/>
        <v>0</v>
      </c>
      <c r="X186" s="18">
        <f t="shared" si="31"/>
        <v>0</v>
      </c>
      <c r="Y186" s="18">
        <f t="shared" si="31"/>
        <v>0</v>
      </c>
      <c r="Z186" s="18">
        <f t="shared" si="31"/>
        <v>0</v>
      </c>
      <c r="AA186" s="18">
        <f t="shared" si="31"/>
        <v>0</v>
      </c>
      <c r="AB186" s="18">
        <f t="shared" si="31"/>
        <v>0</v>
      </c>
      <c r="AC186" s="18">
        <f t="shared" si="31"/>
        <v>0</v>
      </c>
      <c r="AD186" s="18">
        <f t="shared" si="31"/>
        <v>0</v>
      </c>
      <c r="AE186" s="18">
        <f t="shared" si="31"/>
        <v>0</v>
      </c>
      <c r="AF186" s="18">
        <f t="shared" si="31"/>
        <v>0</v>
      </c>
      <c r="AG186" s="18">
        <f t="shared" si="31"/>
        <v>0</v>
      </c>
      <c r="AH186" s="20">
        <f>SUM(G186:AG186)</f>
        <v>248465.78999999998</v>
      </c>
      <c r="AI186" s="15" t="str">
        <f>IF(ABS(F186-AH186)&lt;0.01,"ok","err")</f>
        <v>ok</v>
      </c>
    </row>
    <row r="188" spans="1:35" x14ac:dyDescent="0.3"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20"/>
      <c r="AI188" s="15"/>
    </row>
    <row r="189" spans="1:35" x14ac:dyDescent="0.3">
      <c r="A189" s="16" t="s">
        <v>495</v>
      </c>
    </row>
    <row r="191" spans="1:35" x14ac:dyDescent="0.3">
      <c r="A191" s="3" t="s">
        <v>530</v>
      </c>
    </row>
    <row r="192" spans="1:35" x14ac:dyDescent="0.3">
      <c r="A192" s="21" t="s">
        <v>531</v>
      </c>
      <c r="C192" s="2" t="s">
        <v>496</v>
      </c>
      <c r="D192" s="2" t="s">
        <v>630</v>
      </c>
      <c r="E192" s="2" t="s">
        <v>533</v>
      </c>
      <c r="F192" s="18">
        <f>VLOOKUP(C192,'Functional Assignment'!$C$1:$AU$563,6,)</f>
        <v>403137.52442995412</v>
      </c>
      <c r="G192" s="18">
        <f>IF(VLOOKUP($E192,$D$5:$AI$471,3,)=0,0,(VLOOKUP($E192,$D$5:$AI$471,4,)/VLOOKUP($E192,$D$5:$AI$471,3,))*$F192)</f>
        <v>332256.51372277219</v>
      </c>
      <c r="H192" s="18">
        <f>IF(VLOOKUP($E192,$D$5:$AI$471,3,)=0,0,(VLOOKUP($E192,$D$5:$AI$471,5,)/VLOOKUP($E192,$D$5:$AI$471,3,))*$F192)</f>
        <v>16564.341028403378</v>
      </c>
      <c r="I192" s="18">
        <f>IF(VLOOKUP($E192,$D$5:$AI$471,3,)=0,0,(VLOOKUP($E192,$D$5:$AI$471,6,)/VLOOKUP($E192,$D$5:$AI$471,3,))*$F192)</f>
        <v>4049.8241556499406</v>
      </c>
      <c r="J192" s="18">
        <f>IF(VLOOKUP($E192,$D$5:$AI$471,3,)=0,0,(VLOOKUP($E192,$D$5:$AI$471,7,)/VLOOKUP($E192,$D$5:$AI$471,3,))*$F192)</f>
        <v>8755.1795318919903</v>
      </c>
      <c r="K192" s="18">
        <f>IF(VLOOKUP($E192,$D$5:$AI$471,3,)=0,0,(VLOOKUP($E192,$D$5:$AI$471,8,)/VLOOKUP($E192,$D$5:$AI$471,3,))*$F192)</f>
        <v>41511.665991236478</v>
      </c>
      <c r="L192" s="18">
        <f>IF(VLOOKUP($E192,$D$5:$AI$471,3,)=0,0,(VLOOKUP($E192,$D$5:$AI$471,9,)/VLOOKUP($E192,$D$5:$AI$471,3,))*$F192)</f>
        <v>0</v>
      </c>
      <c r="M192" s="18">
        <f>IF(VLOOKUP($E192,$D$5:$AI$471,3,)=0,0,(VLOOKUP($E192,$D$5:$AI$471,10,)/VLOOKUP($E192,$D$5:$AI$471,3,))*$F192)</f>
        <v>0</v>
      </c>
      <c r="N192" s="18">
        <f>IF(VLOOKUP($E192,$D$5:$AI$471,3,)=0,0,(VLOOKUP($E192,$D$5:$AI$471,11,)/VLOOKUP($E192,$D$5:$AI$471,3,))*$F192)</f>
        <v>0</v>
      </c>
      <c r="O192" s="18">
        <f>IF(VLOOKUP($E192,$D$5:$AI$471,3,)=0,0,(VLOOKUP($E192,$D$5:$AI$471,12,)/VLOOKUP($E192,$D$5:$AI$471,3,))*$F192)</f>
        <v>0</v>
      </c>
      <c r="P192" s="18">
        <f>IF(VLOOKUP($E192,$D$5:$AI$471,3,)=0,0,(VLOOKUP($E192,$D$5:$AI$471,13,)/VLOOKUP($E192,$D$5:$AI$471,3,))*$F192)</f>
        <v>0</v>
      </c>
      <c r="Q192" s="18">
        <f>IF(VLOOKUP($E192,$D$5:$AI$471,3,)=0,0,(VLOOKUP($E192,$D$5:$AI$471,14,)/VLOOKUP($E192,$D$5:$AI$471,3,))*$F192)</f>
        <v>0</v>
      </c>
      <c r="R192" s="18">
        <f>IF(VLOOKUP($E192,$D$5:$AI$471,3,)=0,0,(VLOOKUP($E192,$D$5:$AI$471,15,)/VLOOKUP($E192,$D$5:$AI$471,3,))*$F192)</f>
        <v>0</v>
      </c>
      <c r="S192" s="18">
        <f>IF(VLOOKUP($E192,$D$5:$AI$471,3,)=0,0,(VLOOKUP($E192,$D$5:$AI$471,16,)/VLOOKUP($E192,$D$5:$AI$471,3,))*$F192)</f>
        <v>0</v>
      </c>
      <c r="T192" s="18">
        <f>IF(VLOOKUP($E192,$D$5:$AI$471,3,)=0,0,(VLOOKUP($E192,$D$5:$AI$471,17,)/VLOOKUP($E192,$D$5:$AI$471,3,))*$F192)</f>
        <v>0</v>
      </c>
      <c r="U192" s="18">
        <f>IF(VLOOKUP($E192,$D$5:$AI$471,3,)=0,0,(VLOOKUP($E192,$D$5:$AI$471,18,)/VLOOKUP($E192,$D$5:$AI$471,3,))*$F192)</f>
        <v>0</v>
      </c>
      <c r="V192" s="18">
        <f>IF(VLOOKUP($E192,$D$5:$AI$471,3,)=0,0,(VLOOKUP($E192,$D$5:$AI$471,19,)/VLOOKUP($E192,$D$5:$AI$471,3,))*$F192)</f>
        <v>0</v>
      </c>
      <c r="W192" s="18">
        <f>IF(VLOOKUP($E192,$D$5:$AI$471,3,)=0,0,(VLOOKUP($E192,$D$5:$AI$471,20,)/VLOOKUP($E192,$D$5:$AI$471,3,))*$F192)</f>
        <v>0</v>
      </c>
      <c r="X192" s="18">
        <f>IF(VLOOKUP($E192,$D$5:$AI$471,3,)=0,0,(VLOOKUP($E192,$D$5:$AI$471,21,)/VLOOKUP($E192,$D$5:$AI$471,3,))*$F192)</f>
        <v>0</v>
      </c>
      <c r="Y192" s="18">
        <f>IF(VLOOKUP($E192,$D$5:$AI$471,3,)=0,0,(VLOOKUP($E192,$D$5:$AI$471,22,)/VLOOKUP($E192,$D$5:$AI$471,3,))*$F192)</f>
        <v>0</v>
      </c>
      <c r="Z192" s="18">
        <f>IF(VLOOKUP($E192,$D$5:$AI$471,3,)=0,0,(VLOOKUP($E192,$D$5:$AI$471,23,)/VLOOKUP($E192,$D$5:$AI$471,3,))*$F192)</f>
        <v>0</v>
      </c>
      <c r="AA192" s="18">
        <f>IF(VLOOKUP($E192,$D$5:$AI$471,3,)=0,0,(VLOOKUP($E192,$D$5:$AI$471,24,)/VLOOKUP($E192,$D$5:$AI$471,3,))*$F192)</f>
        <v>0</v>
      </c>
      <c r="AB192" s="18">
        <f>IF(VLOOKUP($E192,$D$5:$AI$471,3,)=0,0,(VLOOKUP($E192,$D$5:$AI$471,25,)/VLOOKUP($E192,$D$5:$AI$471,3,))*$F192)</f>
        <v>0</v>
      </c>
      <c r="AC192" s="18">
        <f>IF(VLOOKUP($E192,$D$5:$AI$471,3,)=0,0,(VLOOKUP($E192,$D$5:$AI$471,26,)/VLOOKUP($E192,$D$5:$AI$471,3,))*$F192)</f>
        <v>0</v>
      </c>
      <c r="AD192" s="18">
        <f>IF(VLOOKUP($E192,$D$5:$AI$471,3,)=0,0,(VLOOKUP($E192,$D$5:$AI$471,27,)/VLOOKUP($E192,$D$5:$AI$471,3,))*$F192)</f>
        <v>0</v>
      </c>
      <c r="AE192" s="18">
        <f>IF(VLOOKUP($E192,$D$5:$AI$471,3,)=0,0,(VLOOKUP($E192,$D$5:$AI$471,28,)/VLOOKUP($E192,$D$5:$AI$471,3,))*$F192)</f>
        <v>0</v>
      </c>
      <c r="AF192" s="18">
        <f>IF(VLOOKUP($E192,$D$5:$AI$471,3,)=0,0,(VLOOKUP($E192,$D$5:$AI$471,29,)/VLOOKUP($E192,$D$5:$AI$471,3,))*$F192)</f>
        <v>0</v>
      </c>
      <c r="AG192" s="18">
        <f>IF(VLOOKUP($E192,$D$5:$AI$471,3,)=0,0,(VLOOKUP($E192,$D$5:$AI$471,30,)/VLOOKUP($E192,$D$5:$AI$471,3,))*$F192)</f>
        <v>0</v>
      </c>
      <c r="AH192" s="20">
        <f t="shared" ref="AH192:AH197" si="32">SUM(G192:AG192)</f>
        <v>403137.52442995395</v>
      </c>
      <c r="AI192" s="15" t="str">
        <f t="shared" ref="AI192:AI197" si="33">IF(ABS(F192-AH192)&lt;0.01,"ok","err")</f>
        <v>ok</v>
      </c>
    </row>
    <row r="193" spans="1:35" x14ac:dyDescent="0.3">
      <c r="A193" s="21" t="s">
        <v>534</v>
      </c>
      <c r="C193" s="2" t="s">
        <v>496</v>
      </c>
      <c r="D193" s="2" t="s">
        <v>631</v>
      </c>
      <c r="E193" s="2" t="s">
        <v>536</v>
      </c>
      <c r="F193" s="18">
        <f>VLOOKUP(C193,'Functional Assignment'!$C$1:$AU$563,7,)</f>
        <v>497364.2266605639</v>
      </c>
      <c r="G193" s="18">
        <f>IF(VLOOKUP($E193,$D$5:$AI$471,3,)=0,0,(VLOOKUP($E193,$D$5:$AI$471,4,)/VLOOKUP($E193,$D$5:$AI$471,3,))*$F193)</f>
        <v>359961.06425465341</v>
      </c>
      <c r="H193" s="18">
        <f>IF(VLOOKUP($E193,$D$5:$AI$471,3,)=0,0,(VLOOKUP($E193,$D$5:$AI$471,5,)/VLOOKUP($E193,$D$5:$AI$471,3,))*$F193)</f>
        <v>41535.130796792902</v>
      </c>
      <c r="I193" s="18">
        <f>IF(VLOOKUP($E193,$D$5:$AI$471,3,)=0,0,(VLOOKUP($E193,$D$5:$AI$471,6,)/VLOOKUP($E193,$D$5:$AI$471,3,))*$F193)</f>
        <v>16880.343364259708</v>
      </c>
      <c r="J193" s="18">
        <f>IF(VLOOKUP($E193,$D$5:$AI$471,3,)=0,0,(VLOOKUP($E193,$D$5:$AI$471,7,)/VLOOKUP($E193,$D$5:$AI$471,3,))*$F193)</f>
        <v>25055.548658394993</v>
      </c>
      <c r="K193" s="18">
        <f>IF(VLOOKUP($E193,$D$5:$AI$471,3,)=0,0,(VLOOKUP($E193,$D$5:$AI$471,8,)/VLOOKUP($E193,$D$5:$AI$471,3,))*$F193)</f>
        <v>53932.139586462843</v>
      </c>
      <c r="L193" s="18">
        <f>IF(VLOOKUP($E193,$D$5:$AI$471,3,)=0,0,(VLOOKUP($E193,$D$5:$AI$471,9,)/VLOOKUP($E193,$D$5:$AI$471,3,))*$F193)</f>
        <v>0</v>
      </c>
      <c r="M193" s="18">
        <f>IF(VLOOKUP($E193,$D$5:$AI$471,3,)=0,0,(VLOOKUP($E193,$D$5:$AI$471,10,)/VLOOKUP($E193,$D$5:$AI$471,3,))*$F193)</f>
        <v>0</v>
      </c>
      <c r="N193" s="18">
        <f>IF(VLOOKUP($E193,$D$5:$AI$471,3,)=0,0,(VLOOKUP($E193,$D$5:$AI$471,11,)/VLOOKUP($E193,$D$5:$AI$471,3,))*$F193)</f>
        <v>0</v>
      </c>
      <c r="O193" s="18">
        <f>IF(VLOOKUP($E193,$D$5:$AI$471,3,)=0,0,(VLOOKUP($E193,$D$5:$AI$471,12,)/VLOOKUP($E193,$D$5:$AI$471,3,))*$F193)</f>
        <v>0</v>
      </c>
      <c r="P193" s="18">
        <f>IF(VLOOKUP($E193,$D$5:$AI$471,3,)=0,0,(VLOOKUP($E193,$D$5:$AI$471,13,)/VLOOKUP($E193,$D$5:$AI$471,3,))*$F193)</f>
        <v>0</v>
      </c>
      <c r="Q193" s="18">
        <f>IF(VLOOKUP($E193,$D$5:$AI$471,3,)=0,0,(VLOOKUP($E193,$D$5:$AI$471,14,)/VLOOKUP($E193,$D$5:$AI$471,3,))*$F193)</f>
        <v>0</v>
      </c>
      <c r="R193" s="18">
        <f>IF(VLOOKUP($E193,$D$5:$AI$471,3,)=0,0,(VLOOKUP($E193,$D$5:$AI$471,15,)/VLOOKUP($E193,$D$5:$AI$471,3,))*$F193)</f>
        <v>0</v>
      </c>
      <c r="S193" s="18">
        <f>IF(VLOOKUP($E193,$D$5:$AI$471,3,)=0,0,(VLOOKUP($E193,$D$5:$AI$471,16,)/VLOOKUP($E193,$D$5:$AI$471,3,))*$F193)</f>
        <v>0</v>
      </c>
      <c r="T193" s="18">
        <f>IF(VLOOKUP($E193,$D$5:$AI$471,3,)=0,0,(VLOOKUP($E193,$D$5:$AI$471,17,)/VLOOKUP($E193,$D$5:$AI$471,3,))*$F193)</f>
        <v>0</v>
      </c>
      <c r="U193" s="18">
        <f>IF(VLOOKUP($E193,$D$5:$AI$471,3,)=0,0,(VLOOKUP($E193,$D$5:$AI$471,18,)/VLOOKUP($E193,$D$5:$AI$471,3,))*$F193)</f>
        <v>0</v>
      </c>
      <c r="V193" s="18">
        <f>IF(VLOOKUP($E193,$D$5:$AI$471,3,)=0,0,(VLOOKUP($E193,$D$5:$AI$471,19,)/VLOOKUP($E193,$D$5:$AI$471,3,))*$F193)</f>
        <v>0</v>
      </c>
      <c r="W193" s="18">
        <f>IF(VLOOKUP($E193,$D$5:$AI$471,3,)=0,0,(VLOOKUP($E193,$D$5:$AI$471,20,)/VLOOKUP($E193,$D$5:$AI$471,3,))*$F193)</f>
        <v>0</v>
      </c>
      <c r="X193" s="18">
        <f>IF(VLOOKUP($E193,$D$5:$AI$471,3,)=0,0,(VLOOKUP($E193,$D$5:$AI$471,21,)/VLOOKUP($E193,$D$5:$AI$471,3,))*$F193)</f>
        <v>0</v>
      </c>
      <c r="Y193" s="18">
        <f>IF(VLOOKUP($E193,$D$5:$AI$471,3,)=0,0,(VLOOKUP($E193,$D$5:$AI$471,22,)/VLOOKUP($E193,$D$5:$AI$471,3,))*$F193)</f>
        <v>0</v>
      </c>
      <c r="Z193" s="18">
        <f>IF(VLOOKUP($E193,$D$5:$AI$471,3,)=0,0,(VLOOKUP($E193,$D$5:$AI$471,23,)/VLOOKUP($E193,$D$5:$AI$471,3,))*$F193)</f>
        <v>0</v>
      </c>
      <c r="AA193" s="18">
        <f>IF(VLOOKUP($E193,$D$5:$AI$471,3,)=0,0,(VLOOKUP($E193,$D$5:$AI$471,24,)/VLOOKUP($E193,$D$5:$AI$471,3,))*$F193)</f>
        <v>0</v>
      </c>
      <c r="AB193" s="18">
        <f>IF(VLOOKUP($E193,$D$5:$AI$471,3,)=0,0,(VLOOKUP($E193,$D$5:$AI$471,25,)/VLOOKUP($E193,$D$5:$AI$471,3,))*$F193)</f>
        <v>0</v>
      </c>
      <c r="AC193" s="18">
        <f>IF(VLOOKUP($E193,$D$5:$AI$471,3,)=0,0,(VLOOKUP($E193,$D$5:$AI$471,26,)/VLOOKUP($E193,$D$5:$AI$471,3,))*$F193)</f>
        <v>0</v>
      </c>
      <c r="AD193" s="18">
        <f>IF(VLOOKUP($E193,$D$5:$AI$471,3,)=0,0,(VLOOKUP($E193,$D$5:$AI$471,27,)/VLOOKUP($E193,$D$5:$AI$471,3,))*$F193)</f>
        <v>0</v>
      </c>
      <c r="AE193" s="18">
        <f>IF(VLOOKUP($E193,$D$5:$AI$471,3,)=0,0,(VLOOKUP($E193,$D$5:$AI$471,28,)/VLOOKUP($E193,$D$5:$AI$471,3,))*$F193)</f>
        <v>0</v>
      </c>
      <c r="AF193" s="18">
        <f>IF(VLOOKUP($E193,$D$5:$AI$471,3,)=0,0,(VLOOKUP($E193,$D$5:$AI$471,29,)/VLOOKUP($E193,$D$5:$AI$471,3,))*$F193)</f>
        <v>0</v>
      </c>
      <c r="AG193" s="18">
        <f>IF(VLOOKUP($E193,$D$5:$AI$471,3,)=0,0,(VLOOKUP($E193,$D$5:$AI$471,30,)/VLOOKUP($E193,$D$5:$AI$471,3,))*$F193)</f>
        <v>0</v>
      </c>
      <c r="AH193" s="20">
        <f t="shared" si="32"/>
        <v>497364.22666056384</v>
      </c>
      <c r="AI193" s="15" t="str">
        <f t="shared" si="33"/>
        <v>ok</v>
      </c>
    </row>
    <row r="194" spans="1:35" x14ac:dyDescent="0.3">
      <c r="A194" s="21" t="s">
        <v>537</v>
      </c>
      <c r="C194" s="2" t="s">
        <v>496</v>
      </c>
      <c r="D194" s="2" t="s">
        <v>632</v>
      </c>
      <c r="E194" s="2" t="s">
        <v>539</v>
      </c>
      <c r="F194" s="18">
        <f>VLOOKUP(C194,'Functional Assignment'!$C$1:$AU$563,8,)</f>
        <v>0</v>
      </c>
      <c r="G194" s="18">
        <f>IF(VLOOKUP($E194,$D$5:$AI$471,3,)=0,0,(VLOOKUP($E194,$D$5:$AI$471,4,)/VLOOKUP($E194,$D$5:$AI$471,3,))*$F194)</f>
        <v>0</v>
      </c>
      <c r="H194" s="18">
        <f>IF(VLOOKUP($E194,$D$5:$AI$471,3,)=0,0,(VLOOKUP($E194,$D$5:$AI$471,5,)/VLOOKUP($E194,$D$5:$AI$471,3,))*$F194)</f>
        <v>0</v>
      </c>
      <c r="I194" s="18">
        <f>IF(VLOOKUP($E194,$D$5:$AI$471,3,)=0,0,(VLOOKUP($E194,$D$5:$AI$471,6,)/VLOOKUP($E194,$D$5:$AI$471,3,))*$F194)</f>
        <v>0</v>
      </c>
      <c r="J194" s="18">
        <f>IF(VLOOKUP($E194,$D$5:$AI$471,3,)=0,0,(VLOOKUP($E194,$D$5:$AI$471,7,)/VLOOKUP($E194,$D$5:$AI$471,3,))*$F194)</f>
        <v>0</v>
      </c>
      <c r="K194" s="18">
        <f>IF(VLOOKUP($E194,$D$5:$AI$471,3,)=0,0,(VLOOKUP($E194,$D$5:$AI$471,8,)/VLOOKUP($E194,$D$5:$AI$471,3,))*$F194)</f>
        <v>0</v>
      </c>
      <c r="L194" s="18">
        <f>IF(VLOOKUP($E194,$D$5:$AI$471,3,)=0,0,(VLOOKUP($E194,$D$5:$AI$471,9,)/VLOOKUP($E194,$D$5:$AI$471,3,))*$F194)</f>
        <v>0</v>
      </c>
      <c r="M194" s="18">
        <f>IF(VLOOKUP($E194,$D$5:$AI$471,3,)=0,0,(VLOOKUP($E194,$D$5:$AI$471,10,)/VLOOKUP($E194,$D$5:$AI$471,3,))*$F194)</f>
        <v>0</v>
      </c>
      <c r="N194" s="18">
        <f>IF(VLOOKUP($E194,$D$5:$AI$471,3,)=0,0,(VLOOKUP($E194,$D$5:$AI$471,11,)/VLOOKUP($E194,$D$5:$AI$471,3,))*$F194)</f>
        <v>0</v>
      </c>
      <c r="O194" s="18">
        <f>IF(VLOOKUP($E194,$D$5:$AI$471,3,)=0,0,(VLOOKUP($E194,$D$5:$AI$471,12,)/VLOOKUP($E194,$D$5:$AI$471,3,))*$F194)</f>
        <v>0</v>
      </c>
      <c r="P194" s="18">
        <f>IF(VLOOKUP($E194,$D$5:$AI$471,3,)=0,0,(VLOOKUP($E194,$D$5:$AI$471,13,)/VLOOKUP($E194,$D$5:$AI$471,3,))*$F194)</f>
        <v>0</v>
      </c>
      <c r="Q194" s="18">
        <f>IF(VLOOKUP($E194,$D$5:$AI$471,3,)=0,0,(VLOOKUP($E194,$D$5:$AI$471,14,)/VLOOKUP($E194,$D$5:$AI$471,3,))*$F194)</f>
        <v>0</v>
      </c>
      <c r="R194" s="18">
        <f>IF(VLOOKUP($E194,$D$5:$AI$471,3,)=0,0,(VLOOKUP($E194,$D$5:$AI$471,15,)/VLOOKUP($E194,$D$5:$AI$471,3,))*$F194)</f>
        <v>0</v>
      </c>
      <c r="S194" s="18">
        <f>IF(VLOOKUP($E194,$D$5:$AI$471,3,)=0,0,(VLOOKUP($E194,$D$5:$AI$471,16,)/VLOOKUP($E194,$D$5:$AI$471,3,))*$F194)</f>
        <v>0</v>
      </c>
      <c r="T194" s="18">
        <f>IF(VLOOKUP($E194,$D$5:$AI$471,3,)=0,0,(VLOOKUP($E194,$D$5:$AI$471,17,)/VLOOKUP($E194,$D$5:$AI$471,3,))*$F194)</f>
        <v>0</v>
      </c>
      <c r="U194" s="18">
        <f>IF(VLOOKUP($E194,$D$5:$AI$471,3,)=0,0,(VLOOKUP($E194,$D$5:$AI$471,18,)/VLOOKUP($E194,$D$5:$AI$471,3,))*$F194)</f>
        <v>0</v>
      </c>
      <c r="V194" s="18">
        <f>IF(VLOOKUP($E194,$D$5:$AI$471,3,)=0,0,(VLOOKUP($E194,$D$5:$AI$471,19,)/VLOOKUP($E194,$D$5:$AI$471,3,))*$F194)</f>
        <v>0</v>
      </c>
      <c r="W194" s="18">
        <f>IF(VLOOKUP($E194,$D$5:$AI$471,3,)=0,0,(VLOOKUP($E194,$D$5:$AI$471,20,)/VLOOKUP($E194,$D$5:$AI$471,3,))*$F194)</f>
        <v>0</v>
      </c>
      <c r="X194" s="18">
        <f>IF(VLOOKUP($E194,$D$5:$AI$471,3,)=0,0,(VLOOKUP($E194,$D$5:$AI$471,21,)/VLOOKUP($E194,$D$5:$AI$471,3,))*$F194)</f>
        <v>0</v>
      </c>
      <c r="Y194" s="18">
        <f>IF(VLOOKUP($E194,$D$5:$AI$471,3,)=0,0,(VLOOKUP($E194,$D$5:$AI$471,22,)/VLOOKUP($E194,$D$5:$AI$471,3,))*$F194)</f>
        <v>0</v>
      </c>
      <c r="Z194" s="18">
        <f>IF(VLOOKUP($E194,$D$5:$AI$471,3,)=0,0,(VLOOKUP($E194,$D$5:$AI$471,23,)/VLOOKUP($E194,$D$5:$AI$471,3,))*$F194)</f>
        <v>0</v>
      </c>
      <c r="AA194" s="18">
        <f>IF(VLOOKUP($E194,$D$5:$AI$471,3,)=0,0,(VLOOKUP($E194,$D$5:$AI$471,24,)/VLOOKUP($E194,$D$5:$AI$471,3,))*$F194)</f>
        <v>0</v>
      </c>
      <c r="AB194" s="18">
        <f>IF(VLOOKUP($E194,$D$5:$AI$471,3,)=0,0,(VLOOKUP($E194,$D$5:$AI$471,25,)/VLOOKUP($E194,$D$5:$AI$471,3,))*$F194)</f>
        <v>0</v>
      </c>
      <c r="AC194" s="18">
        <f>IF(VLOOKUP($E194,$D$5:$AI$471,3,)=0,0,(VLOOKUP($E194,$D$5:$AI$471,26,)/VLOOKUP($E194,$D$5:$AI$471,3,))*$F194)</f>
        <v>0</v>
      </c>
      <c r="AD194" s="18">
        <f>IF(VLOOKUP($E194,$D$5:$AI$471,3,)=0,0,(VLOOKUP($E194,$D$5:$AI$471,27,)/VLOOKUP($E194,$D$5:$AI$471,3,))*$F194)</f>
        <v>0</v>
      </c>
      <c r="AE194" s="18">
        <f>IF(VLOOKUP($E194,$D$5:$AI$471,3,)=0,0,(VLOOKUP($E194,$D$5:$AI$471,28,)/VLOOKUP($E194,$D$5:$AI$471,3,))*$F194)</f>
        <v>0</v>
      </c>
      <c r="AF194" s="18">
        <f>IF(VLOOKUP($E194,$D$5:$AI$471,3,)=0,0,(VLOOKUP($E194,$D$5:$AI$471,29,)/VLOOKUP($E194,$D$5:$AI$471,3,))*$F194)</f>
        <v>0</v>
      </c>
      <c r="AG194" s="18">
        <f>IF(VLOOKUP($E194,$D$5:$AI$471,3,)=0,0,(VLOOKUP($E194,$D$5:$AI$471,30,)/VLOOKUP($E194,$D$5:$AI$471,3,))*$F194)</f>
        <v>0</v>
      </c>
      <c r="AH194" s="20">
        <f t="shared" si="32"/>
        <v>0</v>
      </c>
      <c r="AI194" s="15" t="str">
        <f t="shared" si="33"/>
        <v>ok</v>
      </c>
    </row>
    <row r="195" spans="1:35" x14ac:dyDescent="0.3">
      <c r="A195" s="21" t="s">
        <v>540</v>
      </c>
      <c r="C195" s="2" t="s">
        <v>496</v>
      </c>
      <c r="D195" s="2" t="s">
        <v>633</v>
      </c>
      <c r="E195" s="2" t="s">
        <v>542</v>
      </c>
      <c r="F195" s="18">
        <f>VLOOKUP(C195,'Functional Assignment'!$C$1:$AU$563,9,)</f>
        <v>0</v>
      </c>
      <c r="G195" s="18">
        <f>IF(VLOOKUP($E195,$D$5:$AI$471,3,)=0,0,(VLOOKUP($E195,$D$5:$AI$471,4,)/VLOOKUP($E195,$D$5:$AI$471,3,))*$F195)</f>
        <v>0</v>
      </c>
      <c r="H195" s="18">
        <f>IF(VLOOKUP($E195,$D$5:$AI$471,3,)=0,0,(VLOOKUP($E195,$D$5:$AI$471,5,)/VLOOKUP($E195,$D$5:$AI$471,3,))*$F195)</f>
        <v>0</v>
      </c>
      <c r="I195" s="18">
        <f>IF(VLOOKUP($E195,$D$5:$AI$471,3,)=0,0,(VLOOKUP($E195,$D$5:$AI$471,6,)/VLOOKUP($E195,$D$5:$AI$471,3,))*$F195)</f>
        <v>0</v>
      </c>
      <c r="J195" s="18">
        <f>IF(VLOOKUP($E195,$D$5:$AI$471,3,)=0,0,(VLOOKUP($E195,$D$5:$AI$471,7,)/VLOOKUP($E195,$D$5:$AI$471,3,))*$F195)</f>
        <v>0</v>
      </c>
      <c r="K195" s="18">
        <f>IF(VLOOKUP($E195,$D$5:$AI$471,3,)=0,0,(VLOOKUP($E195,$D$5:$AI$471,8,)/VLOOKUP($E195,$D$5:$AI$471,3,))*$F195)</f>
        <v>0</v>
      </c>
      <c r="L195" s="18">
        <f>IF(VLOOKUP($E195,$D$5:$AI$471,3,)=0,0,(VLOOKUP($E195,$D$5:$AI$471,9,)/VLOOKUP($E195,$D$5:$AI$471,3,))*$F195)</f>
        <v>0</v>
      </c>
      <c r="M195" s="18">
        <f>IF(VLOOKUP($E195,$D$5:$AI$471,3,)=0,0,(VLOOKUP($E195,$D$5:$AI$471,10,)/VLOOKUP($E195,$D$5:$AI$471,3,))*$F195)</f>
        <v>0</v>
      </c>
      <c r="N195" s="18">
        <f>IF(VLOOKUP($E195,$D$5:$AI$471,3,)=0,0,(VLOOKUP($E195,$D$5:$AI$471,11,)/VLOOKUP($E195,$D$5:$AI$471,3,))*$F195)</f>
        <v>0</v>
      </c>
      <c r="O195" s="18">
        <f>IF(VLOOKUP($E195,$D$5:$AI$471,3,)=0,0,(VLOOKUP($E195,$D$5:$AI$471,12,)/VLOOKUP($E195,$D$5:$AI$471,3,))*$F195)</f>
        <v>0</v>
      </c>
      <c r="P195" s="18">
        <f>IF(VLOOKUP($E195,$D$5:$AI$471,3,)=0,0,(VLOOKUP($E195,$D$5:$AI$471,13,)/VLOOKUP($E195,$D$5:$AI$471,3,))*$F195)</f>
        <v>0</v>
      </c>
      <c r="Q195" s="18">
        <f>IF(VLOOKUP($E195,$D$5:$AI$471,3,)=0,0,(VLOOKUP($E195,$D$5:$AI$471,14,)/VLOOKUP($E195,$D$5:$AI$471,3,))*$F195)</f>
        <v>0</v>
      </c>
      <c r="R195" s="18">
        <f>IF(VLOOKUP($E195,$D$5:$AI$471,3,)=0,0,(VLOOKUP($E195,$D$5:$AI$471,15,)/VLOOKUP($E195,$D$5:$AI$471,3,))*$F195)</f>
        <v>0</v>
      </c>
      <c r="S195" s="18">
        <f>IF(VLOOKUP($E195,$D$5:$AI$471,3,)=0,0,(VLOOKUP($E195,$D$5:$AI$471,16,)/VLOOKUP($E195,$D$5:$AI$471,3,))*$F195)</f>
        <v>0</v>
      </c>
      <c r="T195" s="18">
        <f>IF(VLOOKUP($E195,$D$5:$AI$471,3,)=0,0,(VLOOKUP($E195,$D$5:$AI$471,17,)/VLOOKUP($E195,$D$5:$AI$471,3,))*$F195)</f>
        <v>0</v>
      </c>
      <c r="U195" s="18">
        <f>IF(VLOOKUP($E195,$D$5:$AI$471,3,)=0,0,(VLOOKUP($E195,$D$5:$AI$471,18,)/VLOOKUP($E195,$D$5:$AI$471,3,))*$F195)</f>
        <v>0</v>
      </c>
      <c r="V195" s="18">
        <f>IF(VLOOKUP($E195,$D$5:$AI$471,3,)=0,0,(VLOOKUP($E195,$D$5:$AI$471,19,)/VLOOKUP($E195,$D$5:$AI$471,3,))*$F195)</f>
        <v>0</v>
      </c>
      <c r="W195" s="18">
        <f>IF(VLOOKUP($E195,$D$5:$AI$471,3,)=0,0,(VLOOKUP($E195,$D$5:$AI$471,20,)/VLOOKUP($E195,$D$5:$AI$471,3,))*$F195)</f>
        <v>0</v>
      </c>
      <c r="X195" s="18">
        <f>IF(VLOOKUP($E195,$D$5:$AI$471,3,)=0,0,(VLOOKUP($E195,$D$5:$AI$471,21,)/VLOOKUP($E195,$D$5:$AI$471,3,))*$F195)</f>
        <v>0</v>
      </c>
      <c r="Y195" s="18">
        <f>IF(VLOOKUP($E195,$D$5:$AI$471,3,)=0,0,(VLOOKUP($E195,$D$5:$AI$471,22,)/VLOOKUP($E195,$D$5:$AI$471,3,))*$F195)</f>
        <v>0</v>
      </c>
      <c r="Z195" s="18">
        <f>IF(VLOOKUP($E195,$D$5:$AI$471,3,)=0,0,(VLOOKUP($E195,$D$5:$AI$471,23,)/VLOOKUP($E195,$D$5:$AI$471,3,))*$F195)</f>
        <v>0</v>
      </c>
      <c r="AA195" s="18">
        <f>IF(VLOOKUP($E195,$D$5:$AI$471,3,)=0,0,(VLOOKUP($E195,$D$5:$AI$471,24,)/VLOOKUP($E195,$D$5:$AI$471,3,))*$F195)</f>
        <v>0</v>
      </c>
      <c r="AB195" s="18">
        <f>IF(VLOOKUP($E195,$D$5:$AI$471,3,)=0,0,(VLOOKUP($E195,$D$5:$AI$471,25,)/VLOOKUP($E195,$D$5:$AI$471,3,))*$F195)</f>
        <v>0</v>
      </c>
      <c r="AC195" s="18">
        <f>IF(VLOOKUP($E195,$D$5:$AI$471,3,)=0,0,(VLOOKUP($E195,$D$5:$AI$471,26,)/VLOOKUP($E195,$D$5:$AI$471,3,))*$F195)</f>
        <v>0</v>
      </c>
      <c r="AD195" s="18">
        <f>IF(VLOOKUP($E195,$D$5:$AI$471,3,)=0,0,(VLOOKUP($E195,$D$5:$AI$471,27,)/VLOOKUP($E195,$D$5:$AI$471,3,))*$F195)</f>
        <v>0</v>
      </c>
      <c r="AE195" s="18">
        <f>IF(VLOOKUP($E195,$D$5:$AI$471,3,)=0,0,(VLOOKUP($E195,$D$5:$AI$471,28,)/VLOOKUP($E195,$D$5:$AI$471,3,))*$F195)</f>
        <v>0</v>
      </c>
      <c r="AF195" s="18">
        <f>IF(VLOOKUP($E195,$D$5:$AI$471,3,)=0,0,(VLOOKUP($E195,$D$5:$AI$471,29,)/VLOOKUP($E195,$D$5:$AI$471,3,))*$F195)</f>
        <v>0</v>
      </c>
      <c r="AG195" s="18">
        <f>IF(VLOOKUP($E195,$D$5:$AI$471,3,)=0,0,(VLOOKUP($E195,$D$5:$AI$471,30,)/VLOOKUP($E195,$D$5:$AI$471,3,))*$F195)</f>
        <v>0</v>
      </c>
      <c r="AH195" s="20">
        <f t="shared" si="32"/>
        <v>0</v>
      </c>
      <c r="AI195" s="15" t="str">
        <f t="shared" si="33"/>
        <v>ok</v>
      </c>
    </row>
    <row r="196" spans="1:35" x14ac:dyDescent="0.3">
      <c r="A196" s="21" t="s">
        <v>543</v>
      </c>
      <c r="C196" s="2" t="s">
        <v>496</v>
      </c>
      <c r="D196" s="2" t="s">
        <v>634</v>
      </c>
      <c r="E196" s="2" t="s">
        <v>545</v>
      </c>
      <c r="F196" s="18">
        <f>VLOOKUP(C196,'Functional Assignment'!$C$1:$AU$563,10,)</f>
        <v>5774.465112870188</v>
      </c>
      <c r="G196" s="18">
        <f>IF(VLOOKUP($E196,$D$5:$AI$471,3,)=0,0,(VLOOKUP($E196,$D$5:$AI$471,4,)/VLOOKUP($E196,$D$5:$AI$471,3,))*$F196)</f>
        <v>0</v>
      </c>
      <c r="H196" s="18">
        <f>IF(VLOOKUP($E196,$D$5:$AI$471,3,)=0,0,(VLOOKUP($E196,$D$5:$AI$471,5,)/VLOOKUP($E196,$D$5:$AI$471,3,))*$F196)</f>
        <v>0</v>
      </c>
      <c r="I196" s="18">
        <f>IF(VLOOKUP($E196,$D$5:$AI$471,3,)=0,0,(VLOOKUP($E196,$D$5:$AI$471,6,)/VLOOKUP($E196,$D$5:$AI$471,3,))*$F196)</f>
        <v>0</v>
      </c>
      <c r="J196" s="18">
        <f>IF(VLOOKUP($E196,$D$5:$AI$471,3,)=0,0,(VLOOKUP($E196,$D$5:$AI$471,7,)/VLOOKUP($E196,$D$5:$AI$471,3,))*$F196)</f>
        <v>0</v>
      </c>
      <c r="K196" s="18">
        <f>IF(VLOOKUP($E196,$D$5:$AI$471,3,)=0,0,(VLOOKUP($E196,$D$5:$AI$471,8,)/VLOOKUP($E196,$D$5:$AI$471,3,))*$F196)</f>
        <v>0</v>
      </c>
      <c r="L196" s="18">
        <f>IF(VLOOKUP($E196,$D$5:$AI$471,3,)=0,0,(VLOOKUP($E196,$D$5:$AI$471,9,)/VLOOKUP($E196,$D$5:$AI$471,3,))*$F196)</f>
        <v>0</v>
      </c>
      <c r="M196" s="18">
        <f>IF(VLOOKUP($E196,$D$5:$AI$471,3,)=0,0,(VLOOKUP($E196,$D$5:$AI$471,10,)/VLOOKUP($E196,$D$5:$AI$471,3,))*$F196)</f>
        <v>5774.465112870188</v>
      </c>
      <c r="N196" s="18">
        <f>IF(VLOOKUP($E196,$D$5:$AI$471,3,)=0,0,(VLOOKUP($E196,$D$5:$AI$471,11,)/VLOOKUP($E196,$D$5:$AI$471,3,))*$F196)</f>
        <v>0</v>
      </c>
      <c r="O196" s="18">
        <f>IF(VLOOKUP($E196,$D$5:$AI$471,3,)=0,0,(VLOOKUP($E196,$D$5:$AI$471,12,)/VLOOKUP($E196,$D$5:$AI$471,3,))*$F196)</f>
        <v>0</v>
      </c>
      <c r="P196" s="18">
        <f>IF(VLOOKUP($E196,$D$5:$AI$471,3,)=0,0,(VLOOKUP($E196,$D$5:$AI$471,13,)/VLOOKUP($E196,$D$5:$AI$471,3,))*$F196)</f>
        <v>0</v>
      </c>
      <c r="Q196" s="18">
        <f>IF(VLOOKUP($E196,$D$5:$AI$471,3,)=0,0,(VLOOKUP($E196,$D$5:$AI$471,14,)/VLOOKUP($E196,$D$5:$AI$471,3,))*$F196)</f>
        <v>0</v>
      </c>
      <c r="R196" s="18">
        <f>IF(VLOOKUP($E196,$D$5:$AI$471,3,)=0,0,(VLOOKUP($E196,$D$5:$AI$471,15,)/VLOOKUP($E196,$D$5:$AI$471,3,))*$F196)</f>
        <v>0</v>
      </c>
      <c r="S196" s="18">
        <f>IF(VLOOKUP($E196,$D$5:$AI$471,3,)=0,0,(VLOOKUP($E196,$D$5:$AI$471,16,)/VLOOKUP($E196,$D$5:$AI$471,3,))*$F196)</f>
        <v>0</v>
      </c>
      <c r="T196" s="18">
        <f>IF(VLOOKUP($E196,$D$5:$AI$471,3,)=0,0,(VLOOKUP($E196,$D$5:$AI$471,17,)/VLOOKUP($E196,$D$5:$AI$471,3,))*$F196)</f>
        <v>0</v>
      </c>
      <c r="U196" s="18">
        <f>IF(VLOOKUP($E196,$D$5:$AI$471,3,)=0,0,(VLOOKUP($E196,$D$5:$AI$471,18,)/VLOOKUP($E196,$D$5:$AI$471,3,))*$F196)</f>
        <v>0</v>
      </c>
      <c r="V196" s="18">
        <f>IF(VLOOKUP($E196,$D$5:$AI$471,3,)=0,0,(VLOOKUP($E196,$D$5:$AI$471,19,)/VLOOKUP($E196,$D$5:$AI$471,3,))*$F196)</f>
        <v>0</v>
      </c>
      <c r="W196" s="18">
        <f>IF(VLOOKUP($E196,$D$5:$AI$471,3,)=0,0,(VLOOKUP($E196,$D$5:$AI$471,20,)/VLOOKUP($E196,$D$5:$AI$471,3,))*$F196)</f>
        <v>0</v>
      </c>
      <c r="X196" s="18">
        <f>IF(VLOOKUP($E196,$D$5:$AI$471,3,)=0,0,(VLOOKUP($E196,$D$5:$AI$471,21,)/VLOOKUP($E196,$D$5:$AI$471,3,))*$F196)</f>
        <v>0</v>
      </c>
      <c r="Y196" s="18">
        <f>IF(VLOOKUP($E196,$D$5:$AI$471,3,)=0,0,(VLOOKUP($E196,$D$5:$AI$471,22,)/VLOOKUP($E196,$D$5:$AI$471,3,))*$F196)</f>
        <v>0</v>
      </c>
      <c r="Z196" s="18">
        <f>IF(VLOOKUP($E196,$D$5:$AI$471,3,)=0,0,(VLOOKUP($E196,$D$5:$AI$471,23,)/VLOOKUP($E196,$D$5:$AI$471,3,))*$F196)</f>
        <v>0</v>
      </c>
      <c r="AA196" s="18">
        <f>IF(VLOOKUP($E196,$D$5:$AI$471,3,)=0,0,(VLOOKUP($E196,$D$5:$AI$471,24,)/VLOOKUP($E196,$D$5:$AI$471,3,))*$F196)</f>
        <v>0</v>
      </c>
      <c r="AB196" s="18">
        <f>IF(VLOOKUP($E196,$D$5:$AI$471,3,)=0,0,(VLOOKUP($E196,$D$5:$AI$471,25,)/VLOOKUP($E196,$D$5:$AI$471,3,))*$F196)</f>
        <v>0</v>
      </c>
      <c r="AC196" s="18">
        <f>IF(VLOOKUP($E196,$D$5:$AI$471,3,)=0,0,(VLOOKUP($E196,$D$5:$AI$471,26,)/VLOOKUP($E196,$D$5:$AI$471,3,))*$F196)</f>
        <v>0</v>
      </c>
      <c r="AD196" s="18">
        <f>IF(VLOOKUP($E196,$D$5:$AI$471,3,)=0,0,(VLOOKUP($E196,$D$5:$AI$471,27,)/VLOOKUP($E196,$D$5:$AI$471,3,))*$F196)</f>
        <v>0</v>
      </c>
      <c r="AE196" s="18">
        <f>IF(VLOOKUP($E196,$D$5:$AI$471,3,)=0,0,(VLOOKUP($E196,$D$5:$AI$471,28,)/VLOOKUP($E196,$D$5:$AI$471,3,))*$F196)</f>
        <v>0</v>
      </c>
      <c r="AF196" s="18">
        <f>IF(VLOOKUP($E196,$D$5:$AI$471,3,)=0,0,(VLOOKUP($E196,$D$5:$AI$471,29,)/VLOOKUP($E196,$D$5:$AI$471,3,))*$F196)</f>
        <v>0</v>
      </c>
      <c r="AG196" s="18">
        <f>IF(VLOOKUP($E196,$D$5:$AI$471,3,)=0,0,(VLOOKUP($E196,$D$5:$AI$471,30,)/VLOOKUP($E196,$D$5:$AI$471,3,))*$F196)</f>
        <v>0</v>
      </c>
      <c r="AH196" s="20">
        <f t="shared" si="32"/>
        <v>5774.465112870188</v>
      </c>
      <c r="AI196" s="15" t="str">
        <f t="shared" si="33"/>
        <v>ok</v>
      </c>
    </row>
    <row r="197" spans="1:35" x14ac:dyDescent="0.3">
      <c r="A197" s="2" t="s">
        <v>546</v>
      </c>
      <c r="D197" s="2" t="s">
        <v>635</v>
      </c>
      <c r="F197" s="18">
        <f>SUM(F192:F196)</f>
        <v>906276.21620338818</v>
      </c>
      <c r="G197" s="18">
        <f t="shared" ref="G197:AG197" si="34">SUM(G192:G196)</f>
        <v>692217.57797742565</v>
      </c>
      <c r="H197" s="18">
        <f t="shared" si="34"/>
        <v>58099.471825196277</v>
      </c>
      <c r="I197" s="18">
        <f t="shared" si="34"/>
        <v>20930.16751990965</v>
      </c>
      <c r="J197" s="18">
        <f t="shared" si="34"/>
        <v>33810.728190286987</v>
      </c>
      <c r="K197" s="18">
        <f t="shared" si="34"/>
        <v>95443.805577699328</v>
      </c>
      <c r="L197" s="18">
        <f t="shared" si="34"/>
        <v>0</v>
      </c>
      <c r="M197" s="18">
        <f t="shared" si="34"/>
        <v>5774.465112870188</v>
      </c>
      <c r="N197" s="18">
        <f t="shared" si="34"/>
        <v>0</v>
      </c>
      <c r="O197" s="18">
        <f t="shared" si="34"/>
        <v>0</v>
      </c>
      <c r="P197" s="18">
        <f t="shared" si="34"/>
        <v>0</v>
      </c>
      <c r="Q197" s="18">
        <f t="shared" si="34"/>
        <v>0</v>
      </c>
      <c r="R197" s="18">
        <f t="shared" si="34"/>
        <v>0</v>
      </c>
      <c r="S197" s="18">
        <f t="shared" si="34"/>
        <v>0</v>
      </c>
      <c r="T197" s="18">
        <f t="shared" si="34"/>
        <v>0</v>
      </c>
      <c r="U197" s="18">
        <f t="shared" si="34"/>
        <v>0</v>
      </c>
      <c r="V197" s="18">
        <f t="shared" si="34"/>
        <v>0</v>
      </c>
      <c r="W197" s="18">
        <f t="shared" si="34"/>
        <v>0</v>
      </c>
      <c r="X197" s="18">
        <f t="shared" si="34"/>
        <v>0</v>
      </c>
      <c r="Y197" s="18">
        <f t="shared" si="34"/>
        <v>0</v>
      </c>
      <c r="Z197" s="18">
        <f t="shared" si="34"/>
        <v>0</v>
      </c>
      <c r="AA197" s="18">
        <f t="shared" si="34"/>
        <v>0</v>
      </c>
      <c r="AB197" s="18">
        <f t="shared" si="34"/>
        <v>0</v>
      </c>
      <c r="AC197" s="18">
        <f t="shared" si="34"/>
        <v>0</v>
      </c>
      <c r="AD197" s="18">
        <f t="shared" si="34"/>
        <v>0</v>
      </c>
      <c r="AE197" s="18">
        <f t="shared" si="34"/>
        <v>0</v>
      </c>
      <c r="AF197" s="18">
        <f t="shared" si="34"/>
        <v>0</v>
      </c>
      <c r="AG197" s="18">
        <f t="shared" si="34"/>
        <v>0</v>
      </c>
      <c r="AH197" s="20">
        <f t="shared" si="32"/>
        <v>906276.21620338818</v>
      </c>
      <c r="AI197" s="15" t="str">
        <f t="shared" si="33"/>
        <v>ok</v>
      </c>
    </row>
    <row r="198" spans="1:35" x14ac:dyDescent="0.3">
      <c r="F198" s="19"/>
      <c r="G198" s="19"/>
    </row>
    <row r="199" spans="1:35" x14ac:dyDescent="0.3">
      <c r="F199" s="19"/>
      <c r="G199" s="19"/>
    </row>
    <row r="200" spans="1:35" x14ac:dyDescent="0.3">
      <c r="A200" s="3" t="s">
        <v>29</v>
      </c>
      <c r="C200" s="2" t="s">
        <v>496</v>
      </c>
      <c r="D200" s="2" t="s">
        <v>636</v>
      </c>
      <c r="E200" s="2" t="s">
        <v>549</v>
      </c>
      <c r="F200" s="18">
        <f>VLOOKUP(C200,'Functional Assignment'!$C$1:$AU$563,11,)</f>
        <v>202206.84254997192</v>
      </c>
      <c r="G200" s="18">
        <f>IF(VLOOKUP($E200,$D$5:$AI$471,3,)=0,0,(VLOOKUP($E200,$D$5:$AI$471,4,)/VLOOKUP($E200,$D$5:$AI$471,3,))*$F200)</f>
        <v>159574.00161988151</v>
      </c>
      <c r="H200" s="18">
        <f>IF(VLOOKUP($E200,$D$5:$AI$471,3,)=0,0,(VLOOKUP($E200,$D$5:$AI$471,5,)/VLOOKUP($E200,$D$5:$AI$471,3,))*$F200)</f>
        <v>11944.987134830177</v>
      </c>
      <c r="I200" s="18">
        <f>IF(VLOOKUP($E200,$D$5:$AI$471,3,)=0,0,(VLOOKUP($E200,$D$5:$AI$471,6,)/VLOOKUP($E200,$D$5:$AI$471,3,))*$F200)</f>
        <v>4050.1357283469392</v>
      </c>
      <c r="J200" s="18">
        <f>IF(VLOOKUP($E200,$D$5:$AI$471,3,)=0,0,(VLOOKUP($E200,$D$5:$AI$471,7,)/VLOOKUP($E200,$D$5:$AI$471,3,))*$F200)</f>
        <v>6524.2029738155143</v>
      </c>
      <c r="K200" s="18">
        <f>IF(VLOOKUP($E200,$D$5:$AI$471,3,)=0,0,(VLOOKUP($E200,$D$5:$AI$471,8,)/VLOOKUP($E200,$D$5:$AI$471,3,))*$F200)</f>
        <v>17536.201633088247</v>
      </c>
      <c r="L200" s="18">
        <f>IF(VLOOKUP($E200,$D$5:$AI$471,3,)=0,0,(VLOOKUP($E200,$D$5:$AI$471,9,)/VLOOKUP($E200,$D$5:$AI$471,3,))*$F200)</f>
        <v>2577.3134600095509</v>
      </c>
      <c r="M200" s="18">
        <f>IF(VLOOKUP($E200,$D$5:$AI$471,3,)=0,0,(VLOOKUP($E200,$D$5:$AI$471,10,)/VLOOKUP($E200,$D$5:$AI$471,3,))*$F200)</f>
        <v>0</v>
      </c>
      <c r="N200" s="18">
        <f>IF(VLOOKUP($E200,$D$5:$AI$471,3,)=0,0,(VLOOKUP($E200,$D$5:$AI$471,11,)/VLOOKUP($E200,$D$5:$AI$471,3,))*$F200)</f>
        <v>0</v>
      </c>
      <c r="O200" s="18">
        <f>IF(VLOOKUP($E200,$D$5:$AI$471,3,)=0,0,(VLOOKUP($E200,$D$5:$AI$471,12,)/VLOOKUP($E200,$D$5:$AI$471,3,))*$F200)</f>
        <v>0</v>
      </c>
      <c r="P200" s="18">
        <f>IF(VLOOKUP($E200,$D$5:$AI$471,3,)=0,0,(VLOOKUP($E200,$D$5:$AI$471,13,)/VLOOKUP($E200,$D$5:$AI$471,3,))*$F200)</f>
        <v>0</v>
      </c>
      <c r="Q200" s="18">
        <f>IF(VLOOKUP($E200,$D$5:$AI$471,3,)=0,0,(VLOOKUP($E200,$D$5:$AI$471,14,)/VLOOKUP($E200,$D$5:$AI$471,3,))*$F200)</f>
        <v>0</v>
      </c>
      <c r="R200" s="18">
        <f>IF(VLOOKUP($E200,$D$5:$AI$471,3,)=0,0,(VLOOKUP($E200,$D$5:$AI$471,15,)/VLOOKUP($E200,$D$5:$AI$471,3,))*$F200)</f>
        <v>0</v>
      </c>
      <c r="S200" s="18">
        <f>IF(VLOOKUP($E200,$D$5:$AI$471,3,)=0,0,(VLOOKUP($E200,$D$5:$AI$471,16,)/VLOOKUP($E200,$D$5:$AI$471,3,))*$F200)</f>
        <v>0</v>
      </c>
      <c r="T200" s="18">
        <f>IF(VLOOKUP($E200,$D$5:$AI$471,3,)=0,0,(VLOOKUP($E200,$D$5:$AI$471,17,)/VLOOKUP($E200,$D$5:$AI$471,3,))*$F200)</f>
        <v>0</v>
      </c>
      <c r="U200" s="18">
        <f>IF(VLOOKUP($E200,$D$5:$AI$471,3,)=0,0,(VLOOKUP($E200,$D$5:$AI$471,18,)/VLOOKUP($E200,$D$5:$AI$471,3,))*$F200)</f>
        <v>0</v>
      </c>
      <c r="V200" s="18">
        <f>IF(VLOOKUP($E200,$D$5:$AI$471,3,)=0,0,(VLOOKUP($E200,$D$5:$AI$471,19,)/VLOOKUP($E200,$D$5:$AI$471,3,))*$F200)</f>
        <v>0</v>
      </c>
      <c r="W200" s="18">
        <f>IF(VLOOKUP($E200,$D$5:$AI$471,3,)=0,0,(VLOOKUP($E200,$D$5:$AI$471,20,)/VLOOKUP($E200,$D$5:$AI$471,3,))*$F200)</f>
        <v>0</v>
      </c>
      <c r="X200" s="18">
        <f>IF(VLOOKUP($E200,$D$5:$AI$471,3,)=0,0,(VLOOKUP($E200,$D$5:$AI$471,21,)/VLOOKUP($E200,$D$5:$AI$471,3,))*$F200)</f>
        <v>0</v>
      </c>
      <c r="Y200" s="18">
        <f>IF(VLOOKUP($E200,$D$5:$AI$471,3,)=0,0,(VLOOKUP($E200,$D$5:$AI$471,22,)/VLOOKUP($E200,$D$5:$AI$471,3,))*$F200)</f>
        <v>0</v>
      </c>
      <c r="Z200" s="18">
        <f>IF(VLOOKUP($E200,$D$5:$AI$471,3,)=0,0,(VLOOKUP($E200,$D$5:$AI$471,23,)/VLOOKUP($E200,$D$5:$AI$471,3,))*$F200)</f>
        <v>0</v>
      </c>
      <c r="AA200" s="18">
        <f>IF(VLOOKUP($E200,$D$5:$AI$471,3,)=0,0,(VLOOKUP($E200,$D$5:$AI$471,24,)/VLOOKUP($E200,$D$5:$AI$471,3,))*$F200)</f>
        <v>0</v>
      </c>
      <c r="AB200" s="18">
        <f>IF(VLOOKUP($E200,$D$5:$AI$471,3,)=0,0,(VLOOKUP($E200,$D$5:$AI$471,25,)/VLOOKUP($E200,$D$5:$AI$471,3,))*$F200)</f>
        <v>0</v>
      </c>
      <c r="AC200" s="18">
        <f>IF(VLOOKUP($E200,$D$5:$AI$471,3,)=0,0,(VLOOKUP($E200,$D$5:$AI$471,26,)/VLOOKUP($E200,$D$5:$AI$471,3,))*$F200)</f>
        <v>0</v>
      </c>
      <c r="AD200" s="18">
        <f>IF(VLOOKUP($E200,$D$5:$AI$471,3,)=0,0,(VLOOKUP($E200,$D$5:$AI$471,27,)/VLOOKUP($E200,$D$5:$AI$471,3,))*$F200)</f>
        <v>0</v>
      </c>
      <c r="AE200" s="18">
        <f>IF(VLOOKUP($E200,$D$5:$AI$471,3,)=0,0,(VLOOKUP($E200,$D$5:$AI$471,28,)/VLOOKUP($E200,$D$5:$AI$471,3,))*$F200)</f>
        <v>0</v>
      </c>
      <c r="AF200" s="18">
        <f>IF(VLOOKUP($E200,$D$5:$AI$471,3,)=0,0,(VLOOKUP($E200,$D$5:$AI$471,29,)/VLOOKUP($E200,$D$5:$AI$471,3,))*$F200)</f>
        <v>0</v>
      </c>
      <c r="AG200" s="18">
        <f>IF(VLOOKUP($E200,$D$5:$AI$471,3,)=0,0,(VLOOKUP($E200,$D$5:$AI$471,30,)/VLOOKUP($E200,$D$5:$AI$471,3,))*$F200)</f>
        <v>0</v>
      </c>
      <c r="AH200" s="20">
        <f>SUM(G200:AG200)</f>
        <v>202206.84254997197</v>
      </c>
      <c r="AI200" s="15" t="str">
        <f>IF(ABS(F200-AH200)&lt;0.01,"ok","err")</f>
        <v>ok</v>
      </c>
    </row>
    <row r="201" spans="1:35" x14ac:dyDescent="0.3">
      <c r="F201" s="19"/>
      <c r="G201" s="19"/>
    </row>
    <row r="202" spans="1:35" x14ac:dyDescent="0.3">
      <c r="A202" s="3"/>
      <c r="F202" s="19"/>
      <c r="G202" s="19"/>
    </row>
    <row r="203" spans="1:35" x14ac:dyDescent="0.3">
      <c r="A203" s="3" t="s">
        <v>550</v>
      </c>
      <c r="C203" s="2" t="s">
        <v>496</v>
      </c>
      <c r="D203" s="2" t="s">
        <v>637</v>
      </c>
      <c r="E203" s="2" t="s">
        <v>552</v>
      </c>
      <c r="F203" s="18">
        <f>VLOOKUP(C203,'Functional Assignment'!$C$1:$AU$563,13,)</f>
        <v>85664.353656207881</v>
      </c>
      <c r="G203" s="18">
        <f>IF(VLOOKUP($E203,$D$5:$AI$471,3,)=0,0,(VLOOKUP($E203,$D$5:$AI$471,4,)/VLOOKUP($E203,$D$5:$AI$471,3,))*$F203)</f>
        <v>85311.587457937727</v>
      </c>
      <c r="H203" s="18">
        <f>IF(VLOOKUP($E203,$D$5:$AI$471,3,)=0,0,(VLOOKUP($E203,$D$5:$AI$471,5,)/VLOOKUP($E203,$D$5:$AI$471,3,))*$F203)</f>
        <v>0</v>
      </c>
      <c r="I203" s="18">
        <f>IF(VLOOKUP($E203,$D$5:$AI$471,3,)=0,0,(VLOOKUP($E203,$D$5:$AI$471,6,)/VLOOKUP($E203,$D$5:$AI$471,3,))*$F203)</f>
        <v>0</v>
      </c>
      <c r="J203" s="18">
        <f>IF(VLOOKUP($E203,$D$5:$AI$471,3,)=0,0,(VLOOKUP($E203,$D$5:$AI$471,7,)/VLOOKUP($E203,$D$5:$AI$471,3,))*$F203)</f>
        <v>352.76619827015054</v>
      </c>
      <c r="K203" s="18">
        <f>IF(VLOOKUP($E203,$D$5:$AI$471,3,)=0,0,(VLOOKUP($E203,$D$5:$AI$471,8,)/VLOOKUP($E203,$D$5:$AI$471,3,))*$F203)</f>
        <v>0</v>
      </c>
      <c r="L203" s="18">
        <f>IF(VLOOKUP($E203,$D$5:$AI$471,3,)=0,0,(VLOOKUP($E203,$D$5:$AI$471,9,)/VLOOKUP($E203,$D$5:$AI$471,3,))*$F203)</f>
        <v>0</v>
      </c>
      <c r="M203" s="18">
        <f>IF(VLOOKUP($E203,$D$5:$AI$471,3,)=0,0,(VLOOKUP($E203,$D$5:$AI$471,10,)/VLOOKUP($E203,$D$5:$AI$471,3,))*$F203)</f>
        <v>0</v>
      </c>
      <c r="N203" s="18">
        <f>IF(VLOOKUP($E203,$D$5:$AI$471,3,)=0,0,(VLOOKUP($E203,$D$5:$AI$471,11,)/VLOOKUP($E203,$D$5:$AI$471,3,))*$F203)</f>
        <v>0</v>
      </c>
      <c r="O203" s="18">
        <f>IF(VLOOKUP($E203,$D$5:$AI$471,3,)=0,0,(VLOOKUP($E203,$D$5:$AI$471,12,)/VLOOKUP($E203,$D$5:$AI$471,3,))*$F203)</f>
        <v>0</v>
      </c>
      <c r="P203" s="18">
        <f>IF(VLOOKUP($E203,$D$5:$AI$471,3,)=0,0,(VLOOKUP($E203,$D$5:$AI$471,13,)/VLOOKUP($E203,$D$5:$AI$471,3,))*$F203)</f>
        <v>0</v>
      </c>
      <c r="Q203" s="18">
        <f>IF(VLOOKUP($E203,$D$5:$AI$471,3,)=0,0,(VLOOKUP($E203,$D$5:$AI$471,14,)/VLOOKUP($E203,$D$5:$AI$471,3,))*$F203)</f>
        <v>0</v>
      </c>
      <c r="R203" s="18">
        <f>IF(VLOOKUP($E203,$D$5:$AI$471,3,)=0,0,(VLOOKUP($E203,$D$5:$AI$471,15,)/VLOOKUP($E203,$D$5:$AI$471,3,))*$F203)</f>
        <v>0</v>
      </c>
      <c r="S203" s="18">
        <f>IF(VLOOKUP($E203,$D$5:$AI$471,3,)=0,0,(VLOOKUP($E203,$D$5:$AI$471,16,)/VLOOKUP($E203,$D$5:$AI$471,3,))*$F203)</f>
        <v>0</v>
      </c>
      <c r="T203" s="18">
        <f>IF(VLOOKUP($E203,$D$5:$AI$471,3,)=0,0,(VLOOKUP($E203,$D$5:$AI$471,17,)/VLOOKUP($E203,$D$5:$AI$471,3,))*$F203)</f>
        <v>0</v>
      </c>
      <c r="U203" s="18">
        <f>IF(VLOOKUP($E203,$D$5:$AI$471,3,)=0,0,(VLOOKUP($E203,$D$5:$AI$471,18,)/VLOOKUP($E203,$D$5:$AI$471,3,))*$F203)</f>
        <v>0</v>
      </c>
      <c r="V203" s="18">
        <f>IF(VLOOKUP($E203,$D$5:$AI$471,3,)=0,0,(VLOOKUP($E203,$D$5:$AI$471,19,)/VLOOKUP($E203,$D$5:$AI$471,3,))*$F203)</f>
        <v>0</v>
      </c>
      <c r="W203" s="18">
        <f>IF(VLOOKUP($E203,$D$5:$AI$471,3,)=0,0,(VLOOKUP($E203,$D$5:$AI$471,20,)/VLOOKUP($E203,$D$5:$AI$471,3,))*$F203)</f>
        <v>0</v>
      </c>
      <c r="X203" s="18">
        <f>IF(VLOOKUP($E203,$D$5:$AI$471,3,)=0,0,(VLOOKUP($E203,$D$5:$AI$471,21,)/VLOOKUP($E203,$D$5:$AI$471,3,))*$F203)</f>
        <v>0</v>
      </c>
      <c r="Y203" s="18">
        <f>IF(VLOOKUP($E203,$D$5:$AI$471,3,)=0,0,(VLOOKUP($E203,$D$5:$AI$471,22,)/VLOOKUP($E203,$D$5:$AI$471,3,))*$F203)</f>
        <v>0</v>
      </c>
      <c r="Z203" s="18">
        <f>IF(VLOOKUP($E203,$D$5:$AI$471,3,)=0,0,(VLOOKUP($E203,$D$5:$AI$471,23,)/VLOOKUP($E203,$D$5:$AI$471,3,))*$F203)</f>
        <v>0</v>
      </c>
      <c r="AA203" s="18">
        <f>IF(VLOOKUP($E203,$D$5:$AI$471,3,)=0,0,(VLOOKUP($E203,$D$5:$AI$471,24,)/VLOOKUP($E203,$D$5:$AI$471,3,))*$F203)</f>
        <v>0</v>
      </c>
      <c r="AB203" s="18">
        <f>IF(VLOOKUP($E203,$D$5:$AI$471,3,)=0,0,(VLOOKUP($E203,$D$5:$AI$471,25,)/VLOOKUP($E203,$D$5:$AI$471,3,))*$F203)</f>
        <v>0</v>
      </c>
      <c r="AC203" s="18">
        <f>IF(VLOOKUP($E203,$D$5:$AI$471,3,)=0,0,(VLOOKUP($E203,$D$5:$AI$471,26,)/VLOOKUP($E203,$D$5:$AI$471,3,))*$F203)</f>
        <v>0</v>
      </c>
      <c r="AD203" s="18">
        <f>IF(VLOOKUP($E203,$D$5:$AI$471,3,)=0,0,(VLOOKUP($E203,$D$5:$AI$471,27,)/VLOOKUP($E203,$D$5:$AI$471,3,))*$F203)</f>
        <v>0</v>
      </c>
      <c r="AE203" s="18">
        <f>IF(VLOOKUP($E203,$D$5:$AI$471,3,)=0,0,(VLOOKUP($E203,$D$5:$AI$471,28,)/VLOOKUP($E203,$D$5:$AI$471,3,))*$F203)</f>
        <v>0</v>
      </c>
      <c r="AF203" s="18">
        <f>IF(VLOOKUP($E203,$D$5:$AI$471,3,)=0,0,(VLOOKUP($E203,$D$5:$AI$471,29,)/VLOOKUP($E203,$D$5:$AI$471,3,))*$F203)</f>
        <v>0</v>
      </c>
      <c r="AG203" s="18">
        <f>IF(VLOOKUP($E203,$D$5:$AI$471,3,)=0,0,(VLOOKUP($E203,$D$5:$AI$471,30,)/VLOOKUP($E203,$D$5:$AI$471,3,))*$F203)</f>
        <v>0</v>
      </c>
      <c r="AH203" s="20">
        <f>SUM(G203:AG203)</f>
        <v>85664.353656207881</v>
      </c>
      <c r="AI203" s="15" t="str">
        <f>IF(ABS(F203-AH203)&lt;0.01,"ok","err")</f>
        <v>ok</v>
      </c>
    </row>
    <row r="204" spans="1:35" x14ac:dyDescent="0.3">
      <c r="A204" s="3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20"/>
      <c r="AI204" s="15"/>
    </row>
    <row r="205" spans="1:35" x14ac:dyDescent="0.3">
      <c r="F205" s="19"/>
    </row>
    <row r="206" spans="1:35" x14ac:dyDescent="0.3">
      <c r="A206" s="3" t="s">
        <v>553</v>
      </c>
      <c r="C206" s="2" t="s">
        <v>496</v>
      </c>
      <c r="D206" s="2" t="s">
        <v>638</v>
      </c>
      <c r="E206" s="2" t="s">
        <v>555</v>
      </c>
      <c r="F206" s="18">
        <f>VLOOKUP(C206,'Functional Assignment'!$C$1:$AU$563,14,)</f>
        <v>1146.8475904320437</v>
      </c>
      <c r="G206" s="18">
        <f>IF(VLOOKUP($E206,$D$5:$AI$471,3,)=0,0,(VLOOKUP($E206,$D$5:$AI$471,4,)/VLOOKUP($E206,$D$5:$AI$471,3,))*$F206)</f>
        <v>1143.7069763094548</v>
      </c>
      <c r="H206" s="18">
        <f>IF(VLOOKUP($E206,$D$5:$AI$471,3,)=0,0,(VLOOKUP($E206,$D$5:$AI$471,5,)/VLOOKUP($E206,$D$5:$AI$471,3,))*$F206)</f>
        <v>0</v>
      </c>
      <c r="I206" s="18">
        <f>IF(VLOOKUP($E206,$D$5:$AI$471,3,)=0,0,(VLOOKUP($E206,$D$5:$AI$471,6,)/VLOOKUP($E206,$D$5:$AI$471,3,))*$F206)</f>
        <v>0</v>
      </c>
      <c r="J206" s="18">
        <f>IF(VLOOKUP($E206,$D$5:$AI$471,3,)=0,0,(VLOOKUP($E206,$D$5:$AI$471,7,)/VLOOKUP($E206,$D$5:$AI$471,3,))*$F206)</f>
        <v>3.1406141225888922</v>
      </c>
      <c r="K206" s="18">
        <f>IF(VLOOKUP($E206,$D$5:$AI$471,3,)=0,0,(VLOOKUP($E206,$D$5:$AI$471,8,)/VLOOKUP($E206,$D$5:$AI$471,3,))*$F206)</f>
        <v>0</v>
      </c>
      <c r="L206" s="18">
        <f>IF(VLOOKUP($E206,$D$5:$AI$471,3,)=0,0,(VLOOKUP($E206,$D$5:$AI$471,9,)/VLOOKUP($E206,$D$5:$AI$471,3,))*$F206)</f>
        <v>0</v>
      </c>
      <c r="M206" s="18">
        <f>IF(VLOOKUP($E206,$D$5:$AI$471,3,)=0,0,(VLOOKUP($E206,$D$5:$AI$471,10,)/VLOOKUP($E206,$D$5:$AI$471,3,))*$F206)</f>
        <v>0</v>
      </c>
      <c r="N206" s="18">
        <f>IF(VLOOKUP($E206,$D$5:$AI$471,3,)=0,0,(VLOOKUP($E206,$D$5:$AI$471,11,)/VLOOKUP($E206,$D$5:$AI$471,3,))*$F206)</f>
        <v>0</v>
      </c>
      <c r="O206" s="18">
        <f>IF(VLOOKUP($E206,$D$5:$AI$471,3,)=0,0,(VLOOKUP($E206,$D$5:$AI$471,12,)/VLOOKUP($E206,$D$5:$AI$471,3,))*$F206)</f>
        <v>0</v>
      </c>
      <c r="P206" s="18">
        <f>IF(VLOOKUP($E206,$D$5:$AI$471,3,)=0,0,(VLOOKUP($E206,$D$5:$AI$471,13,)/VLOOKUP($E206,$D$5:$AI$471,3,))*$F206)</f>
        <v>0</v>
      </c>
      <c r="Q206" s="18">
        <f>IF(VLOOKUP($E206,$D$5:$AI$471,3,)=0,0,(VLOOKUP($E206,$D$5:$AI$471,14,)/VLOOKUP($E206,$D$5:$AI$471,3,))*$F206)</f>
        <v>0</v>
      </c>
      <c r="R206" s="18">
        <f>IF(VLOOKUP($E206,$D$5:$AI$471,3,)=0,0,(VLOOKUP($E206,$D$5:$AI$471,15,)/VLOOKUP($E206,$D$5:$AI$471,3,))*$F206)</f>
        <v>0</v>
      </c>
      <c r="S206" s="18">
        <f>IF(VLOOKUP($E206,$D$5:$AI$471,3,)=0,0,(VLOOKUP($E206,$D$5:$AI$471,16,)/VLOOKUP($E206,$D$5:$AI$471,3,))*$F206)</f>
        <v>0</v>
      </c>
      <c r="T206" s="18">
        <f>IF(VLOOKUP($E206,$D$5:$AI$471,3,)=0,0,(VLOOKUP($E206,$D$5:$AI$471,17,)/VLOOKUP($E206,$D$5:$AI$471,3,))*$F206)</f>
        <v>0</v>
      </c>
      <c r="U206" s="18">
        <f>IF(VLOOKUP($E206,$D$5:$AI$471,3,)=0,0,(VLOOKUP($E206,$D$5:$AI$471,18,)/VLOOKUP($E206,$D$5:$AI$471,3,))*$F206)</f>
        <v>0</v>
      </c>
      <c r="V206" s="18">
        <f>IF(VLOOKUP($E206,$D$5:$AI$471,3,)=0,0,(VLOOKUP($E206,$D$5:$AI$471,19,)/VLOOKUP($E206,$D$5:$AI$471,3,))*$F206)</f>
        <v>0</v>
      </c>
      <c r="W206" s="18">
        <f>IF(VLOOKUP($E206,$D$5:$AI$471,3,)=0,0,(VLOOKUP($E206,$D$5:$AI$471,20,)/VLOOKUP($E206,$D$5:$AI$471,3,))*$F206)</f>
        <v>0</v>
      </c>
      <c r="X206" s="18">
        <f>IF(VLOOKUP($E206,$D$5:$AI$471,3,)=0,0,(VLOOKUP($E206,$D$5:$AI$471,21,)/VLOOKUP($E206,$D$5:$AI$471,3,))*$F206)</f>
        <v>0</v>
      </c>
      <c r="Y206" s="18">
        <f>IF(VLOOKUP($E206,$D$5:$AI$471,3,)=0,0,(VLOOKUP($E206,$D$5:$AI$471,22,)/VLOOKUP($E206,$D$5:$AI$471,3,))*$F206)</f>
        <v>0</v>
      </c>
      <c r="Z206" s="18">
        <f>IF(VLOOKUP($E206,$D$5:$AI$471,3,)=0,0,(VLOOKUP($E206,$D$5:$AI$471,23,)/VLOOKUP($E206,$D$5:$AI$471,3,))*$F206)</f>
        <v>0</v>
      </c>
      <c r="AA206" s="18">
        <f>IF(VLOOKUP($E206,$D$5:$AI$471,3,)=0,0,(VLOOKUP($E206,$D$5:$AI$471,24,)/VLOOKUP($E206,$D$5:$AI$471,3,))*$F206)</f>
        <v>0</v>
      </c>
      <c r="AB206" s="18">
        <f>IF(VLOOKUP($E206,$D$5:$AI$471,3,)=0,0,(VLOOKUP($E206,$D$5:$AI$471,25,)/VLOOKUP($E206,$D$5:$AI$471,3,))*$F206)</f>
        <v>0</v>
      </c>
      <c r="AC206" s="18">
        <f>IF(VLOOKUP($E206,$D$5:$AI$471,3,)=0,0,(VLOOKUP($E206,$D$5:$AI$471,26,)/VLOOKUP($E206,$D$5:$AI$471,3,))*$F206)</f>
        <v>0</v>
      </c>
      <c r="AD206" s="18">
        <f>IF(VLOOKUP($E206,$D$5:$AI$471,3,)=0,0,(VLOOKUP($E206,$D$5:$AI$471,27,)/VLOOKUP($E206,$D$5:$AI$471,3,))*$F206)</f>
        <v>0</v>
      </c>
      <c r="AE206" s="18">
        <f>IF(VLOOKUP($E206,$D$5:$AI$471,3,)=0,0,(VLOOKUP($E206,$D$5:$AI$471,28,)/VLOOKUP($E206,$D$5:$AI$471,3,))*$F206)</f>
        <v>0</v>
      </c>
      <c r="AF206" s="18">
        <f>IF(VLOOKUP($E206,$D$5:$AI$471,3,)=0,0,(VLOOKUP($E206,$D$5:$AI$471,29,)/VLOOKUP($E206,$D$5:$AI$471,3,))*$F206)</f>
        <v>0</v>
      </c>
      <c r="AG206" s="18">
        <f>IF(VLOOKUP($E206,$D$5:$AI$471,3,)=0,0,(VLOOKUP($E206,$D$5:$AI$471,30,)/VLOOKUP($E206,$D$5:$AI$471,3,))*$F206)</f>
        <v>0</v>
      </c>
      <c r="AH206" s="20">
        <f>SUM(G206:AG206)</f>
        <v>1146.8475904320437</v>
      </c>
      <c r="AI206" s="15" t="str">
        <f>IF(ABS(F206-AH206)&lt;0.01,"ok","err")</f>
        <v>ok</v>
      </c>
    </row>
    <row r="207" spans="1:35" x14ac:dyDescent="0.3">
      <c r="F207" s="19"/>
    </row>
    <row r="208" spans="1:35" x14ac:dyDescent="0.3">
      <c r="F208" s="19"/>
    </row>
    <row r="209" spans="1:35" x14ac:dyDescent="0.3">
      <c r="A209" s="2" t="s">
        <v>1</v>
      </c>
      <c r="D209" s="2" t="s">
        <v>639</v>
      </c>
      <c r="F209" s="18">
        <f>F197+F200+F203+F206</f>
        <v>1195294.26</v>
      </c>
      <c r="G209" s="18">
        <f t="shared" ref="G209:AG209" si="35">G197+G200+G203+G206</f>
        <v>938246.87403155433</v>
      </c>
      <c r="H209" s="18">
        <f t="shared" si="35"/>
        <v>70044.458960026459</v>
      </c>
      <c r="I209" s="18">
        <f t="shared" si="35"/>
        <v>24980.30324825659</v>
      </c>
      <c r="J209" s="18">
        <f t="shared" si="35"/>
        <v>40690.837976495241</v>
      </c>
      <c r="K209" s="18">
        <f t="shared" si="35"/>
        <v>112980.00721078757</v>
      </c>
      <c r="L209" s="18">
        <f t="shared" si="35"/>
        <v>2577.3134600095509</v>
      </c>
      <c r="M209" s="18">
        <f t="shared" si="35"/>
        <v>5774.465112870188</v>
      </c>
      <c r="N209" s="18">
        <f t="shared" si="35"/>
        <v>0</v>
      </c>
      <c r="O209" s="18">
        <f t="shared" si="35"/>
        <v>0</v>
      </c>
      <c r="P209" s="18">
        <f t="shared" si="35"/>
        <v>0</v>
      </c>
      <c r="Q209" s="18">
        <f t="shared" si="35"/>
        <v>0</v>
      </c>
      <c r="R209" s="18">
        <f t="shared" si="35"/>
        <v>0</v>
      </c>
      <c r="S209" s="18">
        <f t="shared" si="35"/>
        <v>0</v>
      </c>
      <c r="T209" s="18">
        <f t="shared" si="35"/>
        <v>0</v>
      </c>
      <c r="U209" s="18">
        <f t="shared" si="35"/>
        <v>0</v>
      </c>
      <c r="V209" s="18">
        <f t="shared" si="35"/>
        <v>0</v>
      </c>
      <c r="W209" s="18">
        <f t="shared" si="35"/>
        <v>0</v>
      </c>
      <c r="X209" s="18">
        <f t="shared" si="35"/>
        <v>0</v>
      </c>
      <c r="Y209" s="18">
        <f t="shared" si="35"/>
        <v>0</v>
      </c>
      <c r="Z209" s="18">
        <f t="shared" si="35"/>
        <v>0</v>
      </c>
      <c r="AA209" s="18">
        <f t="shared" si="35"/>
        <v>0</v>
      </c>
      <c r="AB209" s="18">
        <f t="shared" si="35"/>
        <v>0</v>
      </c>
      <c r="AC209" s="18">
        <f t="shared" si="35"/>
        <v>0</v>
      </c>
      <c r="AD209" s="18">
        <f t="shared" si="35"/>
        <v>0</v>
      </c>
      <c r="AE209" s="18">
        <f t="shared" si="35"/>
        <v>0</v>
      </c>
      <c r="AF209" s="18">
        <f t="shared" si="35"/>
        <v>0</v>
      </c>
      <c r="AG209" s="18">
        <f t="shared" si="35"/>
        <v>0</v>
      </c>
      <c r="AH209" s="20">
        <f>SUM(G209:AG209)</f>
        <v>1195294.26</v>
      </c>
      <c r="AI209" s="15" t="str">
        <f>IF(ABS(F209-AH209)&lt;0.01,"ok","err")</f>
        <v>ok</v>
      </c>
    </row>
    <row r="210" spans="1:35" x14ac:dyDescent="0.3"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5"/>
    </row>
    <row r="211" spans="1:35" x14ac:dyDescent="0.3"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20"/>
      <c r="AI211" s="15"/>
    </row>
    <row r="212" spans="1:35" x14ac:dyDescent="0.3">
      <c r="A212" s="16" t="s">
        <v>640</v>
      </c>
    </row>
    <row r="214" spans="1:35" x14ac:dyDescent="0.3">
      <c r="A214" s="3" t="s">
        <v>530</v>
      </c>
    </row>
    <row r="215" spans="1:35" x14ac:dyDescent="0.3">
      <c r="A215" s="21" t="s">
        <v>531</v>
      </c>
      <c r="C215" s="2" t="s">
        <v>494</v>
      </c>
      <c r="D215" s="2" t="s">
        <v>641</v>
      </c>
      <c r="E215" s="2" t="s">
        <v>533</v>
      </c>
      <c r="F215" s="18">
        <f>VLOOKUP(C215,'Functional Assignment'!$C$1:$AU$563,6,)</f>
        <v>36209618.030369602</v>
      </c>
      <c r="G215" s="18">
        <f>IF(VLOOKUP($E215,$D$5:$AI$471,3,)=0,0,(VLOOKUP($E215,$D$5:$AI$471,4,)/VLOOKUP($E215,$D$5:$AI$471,3,))*$F215)</f>
        <v>29843119.831168741</v>
      </c>
      <c r="H215" s="18">
        <f>IF(VLOOKUP($E215,$D$5:$AI$471,3,)=0,0,(VLOOKUP($E215,$D$5:$AI$471,5,)/VLOOKUP($E215,$D$5:$AI$471,3,))*$F215)</f>
        <v>1487801.122982488</v>
      </c>
      <c r="I215" s="18">
        <f>IF(VLOOKUP($E215,$D$5:$AI$471,3,)=0,0,(VLOOKUP($E215,$D$5:$AI$471,6,)/VLOOKUP($E215,$D$5:$AI$471,3,))*$F215)</f>
        <v>363753.25262416212</v>
      </c>
      <c r="J215" s="18">
        <f>IF(VLOOKUP($E215,$D$5:$AI$471,3,)=0,0,(VLOOKUP($E215,$D$5:$AI$471,7,)/VLOOKUP($E215,$D$5:$AI$471,3,))*$F215)</f>
        <v>786386.00335058162</v>
      </c>
      <c r="K215" s="18">
        <f>IF(VLOOKUP($E215,$D$5:$AI$471,3,)=0,0,(VLOOKUP($E215,$D$5:$AI$471,8,)/VLOOKUP($E215,$D$5:$AI$471,3,))*$F215)</f>
        <v>3728557.8202436157</v>
      </c>
      <c r="L215" s="18">
        <f>IF(VLOOKUP($E215,$D$5:$AI$471,3,)=0,0,(VLOOKUP($E215,$D$5:$AI$471,9,)/VLOOKUP($E215,$D$5:$AI$471,3,))*$F215)</f>
        <v>0</v>
      </c>
      <c r="M215" s="18">
        <f>IF(VLOOKUP($E215,$D$5:$AI$471,3,)=0,0,(VLOOKUP($E215,$D$5:$AI$471,10,)/VLOOKUP($E215,$D$5:$AI$471,3,))*$F215)</f>
        <v>0</v>
      </c>
      <c r="N215" s="18">
        <f>IF(VLOOKUP($E215,$D$5:$AI$471,3,)=0,0,(VLOOKUP($E215,$D$5:$AI$471,11,)/VLOOKUP($E215,$D$5:$AI$471,3,))*$F215)</f>
        <v>0</v>
      </c>
      <c r="O215" s="18">
        <f>IF(VLOOKUP($E215,$D$5:$AI$471,3,)=0,0,(VLOOKUP($E215,$D$5:$AI$471,12,)/VLOOKUP($E215,$D$5:$AI$471,3,))*$F215)</f>
        <v>0</v>
      </c>
      <c r="P215" s="18">
        <f>IF(VLOOKUP($E215,$D$5:$AI$471,3,)=0,0,(VLOOKUP($E215,$D$5:$AI$471,13,)/VLOOKUP($E215,$D$5:$AI$471,3,))*$F215)</f>
        <v>0</v>
      </c>
      <c r="Q215" s="18">
        <f>IF(VLOOKUP($E215,$D$5:$AI$471,3,)=0,0,(VLOOKUP($E215,$D$5:$AI$471,14,)/VLOOKUP($E215,$D$5:$AI$471,3,))*$F215)</f>
        <v>0</v>
      </c>
      <c r="R215" s="18">
        <f>IF(VLOOKUP($E215,$D$5:$AI$471,3,)=0,0,(VLOOKUP($E215,$D$5:$AI$471,15,)/VLOOKUP($E215,$D$5:$AI$471,3,))*$F215)</f>
        <v>0</v>
      </c>
      <c r="S215" s="18">
        <f>IF(VLOOKUP($E215,$D$5:$AI$471,3,)=0,0,(VLOOKUP($E215,$D$5:$AI$471,16,)/VLOOKUP($E215,$D$5:$AI$471,3,))*$F215)</f>
        <v>0</v>
      </c>
      <c r="T215" s="18">
        <f>IF(VLOOKUP($E215,$D$5:$AI$471,3,)=0,0,(VLOOKUP($E215,$D$5:$AI$471,17,)/VLOOKUP($E215,$D$5:$AI$471,3,))*$F215)</f>
        <v>0</v>
      </c>
      <c r="U215" s="18">
        <f>IF(VLOOKUP($E215,$D$5:$AI$471,3,)=0,0,(VLOOKUP($E215,$D$5:$AI$471,18,)/VLOOKUP($E215,$D$5:$AI$471,3,))*$F215)</f>
        <v>0</v>
      </c>
      <c r="V215" s="18">
        <f>IF(VLOOKUP($E215,$D$5:$AI$471,3,)=0,0,(VLOOKUP($E215,$D$5:$AI$471,19,)/VLOOKUP($E215,$D$5:$AI$471,3,))*$F215)</f>
        <v>0</v>
      </c>
      <c r="W215" s="18">
        <f>IF(VLOOKUP($E215,$D$5:$AI$471,3,)=0,0,(VLOOKUP($E215,$D$5:$AI$471,20,)/VLOOKUP($E215,$D$5:$AI$471,3,))*$F215)</f>
        <v>0</v>
      </c>
      <c r="X215" s="18">
        <f>IF(VLOOKUP($E215,$D$5:$AI$471,3,)=0,0,(VLOOKUP($E215,$D$5:$AI$471,21,)/VLOOKUP($E215,$D$5:$AI$471,3,))*$F215)</f>
        <v>0</v>
      </c>
      <c r="Y215" s="18">
        <f>IF(VLOOKUP($E215,$D$5:$AI$471,3,)=0,0,(VLOOKUP($E215,$D$5:$AI$471,22,)/VLOOKUP($E215,$D$5:$AI$471,3,))*$F215)</f>
        <v>0</v>
      </c>
      <c r="Z215" s="18">
        <f>IF(VLOOKUP($E215,$D$5:$AI$471,3,)=0,0,(VLOOKUP($E215,$D$5:$AI$471,23,)/VLOOKUP($E215,$D$5:$AI$471,3,))*$F215)</f>
        <v>0</v>
      </c>
      <c r="AA215" s="18">
        <f>IF(VLOOKUP($E215,$D$5:$AI$471,3,)=0,0,(VLOOKUP($E215,$D$5:$AI$471,24,)/VLOOKUP($E215,$D$5:$AI$471,3,))*$F215)</f>
        <v>0</v>
      </c>
      <c r="AB215" s="18">
        <f>IF(VLOOKUP($E215,$D$5:$AI$471,3,)=0,0,(VLOOKUP($E215,$D$5:$AI$471,25,)/VLOOKUP($E215,$D$5:$AI$471,3,))*$F215)</f>
        <v>0</v>
      </c>
      <c r="AC215" s="18">
        <f>IF(VLOOKUP($E215,$D$5:$AI$471,3,)=0,0,(VLOOKUP($E215,$D$5:$AI$471,26,)/VLOOKUP($E215,$D$5:$AI$471,3,))*$F215)</f>
        <v>0</v>
      </c>
      <c r="AD215" s="18">
        <f>IF(VLOOKUP($E215,$D$5:$AI$471,3,)=0,0,(VLOOKUP($E215,$D$5:$AI$471,27,)/VLOOKUP($E215,$D$5:$AI$471,3,))*$F215)</f>
        <v>0</v>
      </c>
      <c r="AE215" s="18">
        <f>IF(VLOOKUP($E215,$D$5:$AI$471,3,)=0,0,(VLOOKUP($E215,$D$5:$AI$471,28,)/VLOOKUP($E215,$D$5:$AI$471,3,))*$F215)</f>
        <v>0</v>
      </c>
      <c r="AF215" s="18">
        <f>IF(VLOOKUP($E215,$D$5:$AI$471,3,)=0,0,(VLOOKUP($E215,$D$5:$AI$471,29,)/VLOOKUP($E215,$D$5:$AI$471,3,))*$F215)</f>
        <v>0</v>
      </c>
      <c r="AG215" s="18">
        <f>IF(VLOOKUP($E215,$D$5:$AI$471,3,)=0,0,(VLOOKUP($E215,$D$5:$AI$471,30,)/VLOOKUP($E215,$D$5:$AI$471,3,))*$F215)</f>
        <v>0</v>
      </c>
      <c r="AH215" s="20">
        <f t="shared" ref="AH215:AH220" si="36">SUM(G215:AG215)</f>
        <v>36209618.030369587</v>
      </c>
      <c r="AI215" s="15" t="str">
        <f t="shared" ref="AI215:AI220" si="37">IF(ABS(F215-AH215)&lt;0.01,"ok","err")</f>
        <v>ok</v>
      </c>
    </row>
    <row r="216" spans="1:35" x14ac:dyDescent="0.3">
      <c r="A216" s="21" t="s">
        <v>534</v>
      </c>
      <c r="C216" s="2" t="s">
        <v>494</v>
      </c>
      <c r="D216" s="2" t="s">
        <v>642</v>
      </c>
      <c r="E216" s="2" t="s">
        <v>536</v>
      </c>
      <c r="F216" s="18">
        <f>VLOOKUP(C216,'Functional Assignment'!$C$1:$AU$563,7,)</f>
        <v>44673014.983695343</v>
      </c>
      <c r="G216" s="18">
        <f>IF(VLOOKUP($E216,$D$5:$AI$471,3,)=0,0,(VLOOKUP($E216,$D$5:$AI$471,4,)/VLOOKUP($E216,$D$5:$AI$471,3,))*$F216)</f>
        <v>32331529.199363876</v>
      </c>
      <c r="H216" s="18">
        <f>IF(VLOOKUP($E216,$D$5:$AI$471,3,)=0,0,(VLOOKUP($E216,$D$5:$AI$471,5,)/VLOOKUP($E216,$D$5:$AI$471,3,))*$F216)</f>
        <v>3730665.417762741</v>
      </c>
      <c r="I216" s="18">
        <f>IF(VLOOKUP($E216,$D$5:$AI$471,3,)=0,0,(VLOOKUP($E216,$D$5:$AI$471,6,)/VLOOKUP($E216,$D$5:$AI$471,3,))*$F216)</f>
        <v>1516184.3003963046</v>
      </c>
      <c r="J216" s="18">
        <f>IF(VLOOKUP($E216,$D$5:$AI$471,3,)=0,0,(VLOOKUP($E216,$D$5:$AI$471,7,)/VLOOKUP($E216,$D$5:$AI$471,3,))*$F216)</f>
        <v>2250477.2974053891</v>
      </c>
      <c r="K216" s="18">
        <f>IF(VLOOKUP($E216,$D$5:$AI$471,3,)=0,0,(VLOOKUP($E216,$D$5:$AI$471,8,)/VLOOKUP($E216,$D$5:$AI$471,3,))*$F216)</f>
        <v>4844158.76876703</v>
      </c>
      <c r="L216" s="18">
        <f>IF(VLOOKUP($E216,$D$5:$AI$471,3,)=0,0,(VLOOKUP($E216,$D$5:$AI$471,9,)/VLOOKUP($E216,$D$5:$AI$471,3,))*$F216)</f>
        <v>0</v>
      </c>
      <c r="M216" s="18">
        <f>IF(VLOOKUP($E216,$D$5:$AI$471,3,)=0,0,(VLOOKUP($E216,$D$5:$AI$471,10,)/VLOOKUP($E216,$D$5:$AI$471,3,))*$F216)</f>
        <v>0</v>
      </c>
      <c r="N216" s="18">
        <f>IF(VLOOKUP($E216,$D$5:$AI$471,3,)=0,0,(VLOOKUP($E216,$D$5:$AI$471,11,)/VLOOKUP($E216,$D$5:$AI$471,3,))*$F216)</f>
        <v>0</v>
      </c>
      <c r="O216" s="18">
        <f>IF(VLOOKUP($E216,$D$5:$AI$471,3,)=0,0,(VLOOKUP($E216,$D$5:$AI$471,12,)/VLOOKUP($E216,$D$5:$AI$471,3,))*$F216)</f>
        <v>0</v>
      </c>
      <c r="P216" s="18">
        <f>IF(VLOOKUP($E216,$D$5:$AI$471,3,)=0,0,(VLOOKUP($E216,$D$5:$AI$471,13,)/VLOOKUP($E216,$D$5:$AI$471,3,))*$F216)</f>
        <v>0</v>
      </c>
      <c r="Q216" s="18">
        <f>IF(VLOOKUP($E216,$D$5:$AI$471,3,)=0,0,(VLOOKUP($E216,$D$5:$AI$471,14,)/VLOOKUP($E216,$D$5:$AI$471,3,))*$F216)</f>
        <v>0</v>
      </c>
      <c r="R216" s="18">
        <f>IF(VLOOKUP($E216,$D$5:$AI$471,3,)=0,0,(VLOOKUP($E216,$D$5:$AI$471,15,)/VLOOKUP($E216,$D$5:$AI$471,3,))*$F216)</f>
        <v>0</v>
      </c>
      <c r="S216" s="18">
        <f>IF(VLOOKUP($E216,$D$5:$AI$471,3,)=0,0,(VLOOKUP($E216,$D$5:$AI$471,16,)/VLOOKUP($E216,$D$5:$AI$471,3,))*$F216)</f>
        <v>0</v>
      </c>
      <c r="T216" s="18">
        <f>IF(VLOOKUP($E216,$D$5:$AI$471,3,)=0,0,(VLOOKUP($E216,$D$5:$AI$471,17,)/VLOOKUP($E216,$D$5:$AI$471,3,))*$F216)</f>
        <v>0</v>
      </c>
      <c r="U216" s="18">
        <f>IF(VLOOKUP($E216,$D$5:$AI$471,3,)=0,0,(VLOOKUP($E216,$D$5:$AI$471,18,)/VLOOKUP($E216,$D$5:$AI$471,3,))*$F216)</f>
        <v>0</v>
      </c>
      <c r="V216" s="18">
        <f>IF(VLOOKUP($E216,$D$5:$AI$471,3,)=0,0,(VLOOKUP($E216,$D$5:$AI$471,19,)/VLOOKUP($E216,$D$5:$AI$471,3,))*$F216)</f>
        <v>0</v>
      </c>
      <c r="W216" s="18">
        <f>IF(VLOOKUP($E216,$D$5:$AI$471,3,)=0,0,(VLOOKUP($E216,$D$5:$AI$471,20,)/VLOOKUP($E216,$D$5:$AI$471,3,))*$F216)</f>
        <v>0</v>
      </c>
      <c r="X216" s="18">
        <f>IF(VLOOKUP($E216,$D$5:$AI$471,3,)=0,0,(VLOOKUP($E216,$D$5:$AI$471,21,)/VLOOKUP($E216,$D$5:$AI$471,3,))*$F216)</f>
        <v>0</v>
      </c>
      <c r="Y216" s="18">
        <f>IF(VLOOKUP($E216,$D$5:$AI$471,3,)=0,0,(VLOOKUP($E216,$D$5:$AI$471,22,)/VLOOKUP($E216,$D$5:$AI$471,3,))*$F216)</f>
        <v>0</v>
      </c>
      <c r="Z216" s="18">
        <f>IF(VLOOKUP($E216,$D$5:$AI$471,3,)=0,0,(VLOOKUP($E216,$D$5:$AI$471,23,)/VLOOKUP($E216,$D$5:$AI$471,3,))*$F216)</f>
        <v>0</v>
      </c>
      <c r="AA216" s="18">
        <f>IF(VLOOKUP($E216,$D$5:$AI$471,3,)=0,0,(VLOOKUP($E216,$D$5:$AI$471,24,)/VLOOKUP($E216,$D$5:$AI$471,3,))*$F216)</f>
        <v>0</v>
      </c>
      <c r="AB216" s="18">
        <f>IF(VLOOKUP($E216,$D$5:$AI$471,3,)=0,0,(VLOOKUP($E216,$D$5:$AI$471,25,)/VLOOKUP($E216,$D$5:$AI$471,3,))*$F216)</f>
        <v>0</v>
      </c>
      <c r="AC216" s="18">
        <f>IF(VLOOKUP($E216,$D$5:$AI$471,3,)=0,0,(VLOOKUP($E216,$D$5:$AI$471,26,)/VLOOKUP($E216,$D$5:$AI$471,3,))*$F216)</f>
        <v>0</v>
      </c>
      <c r="AD216" s="18">
        <f>IF(VLOOKUP($E216,$D$5:$AI$471,3,)=0,0,(VLOOKUP($E216,$D$5:$AI$471,27,)/VLOOKUP($E216,$D$5:$AI$471,3,))*$F216)</f>
        <v>0</v>
      </c>
      <c r="AE216" s="18">
        <f>IF(VLOOKUP($E216,$D$5:$AI$471,3,)=0,0,(VLOOKUP($E216,$D$5:$AI$471,28,)/VLOOKUP($E216,$D$5:$AI$471,3,))*$F216)</f>
        <v>0</v>
      </c>
      <c r="AF216" s="18">
        <f>IF(VLOOKUP($E216,$D$5:$AI$471,3,)=0,0,(VLOOKUP($E216,$D$5:$AI$471,29,)/VLOOKUP($E216,$D$5:$AI$471,3,))*$F216)</f>
        <v>0</v>
      </c>
      <c r="AG216" s="18">
        <f>IF(VLOOKUP($E216,$D$5:$AI$471,3,)=0,0,(VLOOKUP($E216,$D$5:$AI$471,30,)/VLOOKUP($E216,$D$5:$AI$471,3,))*$F216)</f>
        <v>0</v>
      </c>
      <c r="AH216" s="20">
        <f t="shared" si="36"/>
        <v>44673014.983695343</v>
      </c>
      <c r="AI216" s="15" t="str">
        <f t="shared" si="37"/>
        <v>ok</v>
      </c>
    </row>
    <row r="217" spans="1:35" x14ac:dyDescent="0.3">
      <c r="A217" s="21" t="s">
        <v>537</v>
      </c>
      <c r="C217" s="2" t="s">
        <v>494</v>
      </c>
      <c r="D217" s="2" t="s">
        <v>643</v>
      </c>
      <c r="E217" s="2" t="s">
        <v>539</v>
      </c>
      <c r="F217" s="18">
        <f>VLOOKUP(C217,'Functional Assignment'!$C$1:$AU$563,8,)</f>
        <v>0</v>
      </c>
      <c r="G217" s="18">
        <f>IF(VLOOKUP($E217,$D$5:$AI$471,3,)=0,0,(VLOOKUP($E217,$D$5:$AI$471,4,)/VLOOKUP($E217,$D$5:$AI$471,3,))*$F217)</f>
        <v>0</v>
      </c>
      <c r="H217" s="18">
        <f>IF(VLOOKUP($E217,$D$5:$AI$471,3,)=0,0,(VLOOKUP($E217,$D$5:$AI$471,5,)/VLOOKUP($E217,$D$5:$AI$471,3,))*$F217)</f>
        <v>0</v>
      </c>
      <c r="I217" s="18">
        <f>IF(VLOOKUP($E217,$D$5:$AI$471,3,)=0,0,(VLOOKUP($E217,$D$5:$AI$471,6,)/VLOOKUP($E217,$D$5:$AI$471,3,))*$F217)</f>
        <v>0</v>
      </c>
      <c r="J217" s="18">
        <f>IF(VLOOKUP($E217,$D$5:$AI$471,3,)=0,0,(VLOOKUP($E217,$D$5:$AI$471,7,)/VLOOKUP($E217,$D$5:$AI$471,3,))*$F217)</f>
        <v>0</v>
      </c>
      <c r="K217" s="18">
        <f>IF(VLOOKUP($E217,$D$5:$AI$471,3,)=0,0,(VLOOKUP($E217,$D$5:$AI$471,8,)/VLOOKUP($E217,$D$5:$AI$471,3,))*$F217)</f>
        <v>0</v>
      </c>
      <c r="L217" s="18">
        <f>IF(VLOOKUP($E217,$D$5:$AI$471,3,)=0,0,(VLOOKUP($E217,$D$5:$AI$471,9,)/VLOOKUP($E217,$D$5:$AI$471,3,))*$F217)</f>
        <v>0</v>
      </c>
      <c r="M217" s="18">
        <f>IF(VLOOKUP($E217,$D$5:$AI$471,3,)=0,0,(VLOOKUP($E217,$D$5:$AI$471,10,)/VLOOKUP($E217,$D$5:$AI$471,3,))*$F217)</f>
        <v>0</v>
      </c>
      <c r="N217" s="18">
        <f>IF(VLOOKUP($E217,$D$5:$AI$471,3,)=0,0,(VLOOKUP($E217,$D$5:$AI$471,11,)/VLOOKUP($E217,$D$5:$AI$471,3,))*$F217)</f>
        <v>0</v>
      </c>
      <c r="O217" s="18">
        <f>IF(VLOOKUP($E217,$D$5:$AI$471,3,)=0,0,(VLOOKUP($E217,$D$5:$AI$471,12,)/VLOOKUP($E217,$D$5:$AI$471,3,))*$F217)</f>
        <v>0</v>
      </c>
      <c r="P217" s="18">
        <f>IF(VLOOKUP($E217,$D$5:$AI$471,3,)=0,0,(VLOOKUP($E217,$D$5:$AI$471,13,)/VLOOKUP($E217,$D$5:$AI$471,3,))*$F217)</f>
        <v>0</v>
      </c>
      <c r="Q217" s="18">
        <f>IF(VLOOKUP($E217,$D$5:$AI$471,3,)=0,0,(VLOOKUP($E217,$D$5:$AI$471,14,)/VLOOKUP($E217,$D$5:$AI$471,3,))*$F217)</f>
        <v>0</v>
      </c>
      <c r="R217" s="18">
        <f>IF(VLOOKUP($E217,$D$5:$AI$471,3,)=0,0,(VLOOKUP($E217,$D$5:$AI$471,15,)/VLOOKUP($E217,$D$5:$AI$471,3,))*$F217)</f>
        <v>0</v>
      </c>
      <c r="S217" s="18">
        <f>IF(VLOOKUP($E217,$D$5:$AI$471,3,)=0,0,(VLOOKUP($E217,$D$5:$AI$471,16,)/VLOOKUP($E217,$D$5:$AI$471,3,))*$F217)</f>
        <v>0</v>
      </c>
      <c r="T217" s="18">
        <f>IF(VLOOKUP($E217,$D$5:$AI$471,3,)=0,0,(VLOOKUP($E217,$D$5:$AI$471,17,)/VLOOKUP($E217,$D$5:$AI$471,3,))*$F217)</f>
        <v>0</v>
      </c>
      <c r="U217" s="18">
        <f>IF(VLOOKUP($E217,$D$5:$AI$471,3,)=0,0,(VLOOKUP($E217,$D$5:$AI$471,18,)/VLOOKUP($E217,$D$5:$AI$471,3,))*$F217)</f>
        <v>0</v>
      </c>
      <c r="V217" s="18">
        <f>IF(VLOOKUP($E217,$D$5:$AI$471,3,)=0,0,(VLOOKUP($E217,$D$5:$AI$471,19,)/VLOOKUP($E217,$D$5:$AI$471,3,))*$F217)</f>
        <v>0</v>
      </c>
      <c r="W217" s="18">
        <f>IF(VLOOKUP($E217,$D$5:$AI$471,3,)=0,0,(VLOOKUP($E217,$D$5:$AI$471,20,)/VLOOKUP($E217,$D$5:$AI$471,3,))*$F217)</f>
        <v>0</v>
      </c>
      <c r="X217" s="18">
        <f>IF(VLOOKUP($E217,$D$5:$AI$471,3,)=0,0,(VLOOKUP($E217,$D$5:$AI$471,21,)/VLOOKUP($E217,$D$5:$AI$471,3,))*$F217)</f>
        <v>0</v>
      </c>
      <c r="Y217" s="18">
        <f>IF(VLOOKUP($E217,$D$5:$AI$471,3,)=0,0,(VLOOKUP($E217,$D$5:$AI$471,22,)/VLOOKUP($E217,$D$5:$AI$471,3,))*$F217)</f>
        <v>0</v>
      </c>
      <c r="Z217" s="18">
        <f>IF(VLOOKUP($E217,$D$5:$AI$471,3,)=0,0,(VLOOKUP($E217,$D$5:$AI$471,23,)/VLOOKUP($E217,$D$5:$AI$471,3,))*$F217)</f>
        <v>0</v>
      </c>
      <c r="AA217" s="18">
        <f>IF(VLOOKUP($E217,$D$5:$AI$471,3,)=0,0,(VLOOKUP($E217,$D$5:$AI$471,24,)/VLOOKUP($E217,$D$5:$AI$471,3,))*$F217)</f>
        <v>0</v>
      </c>
      <c r="AB217" s="18">
        <f>IF(VLOOKUP($E217,$D$5:$AI$471,3,)=0,0,(VLOOKUP($E217,$D$5:$AI$471,25,)/VLOOKUP($E217,$D$5:$AI$471,3,))*$F217)</f>
        <v>0</v>
      </c>
      <c r="AC217" s="18">
        <f>IF(VLOOKUP($E217,$D$5:$AI$471,3,)=0,0,(VLOOKUP($E217,$D$5:$AI$471,26,)/VLOOKUP($E217,$D$5:$AI$471,3,))*$F217)</f>
        <v>0</v>
      </c>
      <c r="AD217" s="18">
        <f>IF(VLOOKUP($E217,$D$5:$AI$471,3,)=0,0,(VLOOKUP($E217,$D$5:$AI$471,27,)/VLOOKUP($E217,$D$5:$AI$471,3,))*$F217)</f>
        <v>0</v>
      </c>
      <c r="AE217" s="18">
        <f>IF(VLOOKUP($E217,$D$5:$AI$471,3,)=0,0,(VLOOKUP($E217,$D$5:$AI$471,28,)/VLOOKUP($E217,$D$5:$AI$471,3,))*$F217)</f>
        <v>0</v>
      </c>
      <c r="AF217" s="18">
        <f>IF(VLOOKUP($E217,$D$5:$AI$471,3,)=0,0,(VLOOKUP($E217,$D$5:$AI$471,29,)/VLOOKUP($E217,$D$5:$AI$471,3,))*$F217)</f>
        <v>0</v>
      </c>
      <c r="AG217" s="18">
        <f>IF(VLOOKUP($E217,$D$5:$AI$471,3,)=0,0,(VLOOKUP($E217,$D$5:$AI$471,30,)/VLOOKUP($E217,$D$5:$AI$471,3,))*$F217)</f>
        <v>0</v>
      </c>
      <c r="AH217" s="20">
        <f t="shared" si="36"/>
        <v>0</v>
      </c>
      <c r="AI217" s="15" t="str">
        <f t="shared" si="37"/>
        <v>ok</v>
      </c>
    </row>
    <row r="218" spans="1:35" x14ac:dyDescent="0.3">
      <c r="A218" s="21" t="s">
        <v>540</v>
      </c>
      <c r="C218" s="2" t="s">
        <v>494</v>
      </c>
      <c r="D218" s="2" t="s">
        <v>644</v>
      </c>
      <c r="E218" s="2" t="s">
        <v>542</v>
      </c>
      <c r="F218" s="18">
        <f>VLOOKUP(C218,'Functional Assignment'!$C$1:$AU$563,9,)</f>
        <v>0</v>
      </c>
      <c r="G218" s="18">
        <f>IF(VLOOKUP($E218,$D$5:$AI$471,3,)=0,0,(VLOOKUP($E218,$D$5:$AI$471,4,)/VLOOKUP($E218,$D$5:$AI$471,3,))*$F218)</f>
        <v>0</v>
      </c>
      <c r="H218" s="18">
        <f>IF(VLOOKUP($E218,$D$5:$AI$471,3,)=0,0,(VLOOKUP($E218,$D$5:$AI$471,5,)/VLOOKUP($E218,$D$5:$AI$471,3,))*$F218)</f>
        <v>0</v>
      </c>
      <c r="I218" s="18">
        <f>IF(VLOOKUP($E218,$D$5:$AI$471,3,)=0,0,(VLOOKUP($E218,$D$5:$AI$471,6,)/VLOOKUP($E218,$D$5:$AI$471,3,))*$F218)</f>
        <v>0</v>
      </c>
      <c r="J218" s="18">
        <f>IF(VLOOKUP($E218,$D$5:$AI$471,3,)=0,0,(VLOOKUP($E218,$D$5:$AI$471,7,)/VLOOKUP($E218,$D$5:$AI$471,3,))*$F218)</f>
        <v>0</v>
      </c>
      <c r="K218" s="18">
        <f>IF(VLOOKUP($E218,$D$5:$AI$471,3,)=0,0,(VLOOKUP($E218,$D$5:$AI$471,8,)/VLOOKUP($E218,$D$5:$AI$471,3,))*$F218)</f>
        <v>0</v>
      </c>
      <c r="L218" s="18">
        <f>IF(VLOOKUP($E218,$D$5:$AI$471,3,)=0,0,(VLOOKUP($E218,$D$5:$AI$471,9,)/VLOOKUP($E218,$D$5:$AI$471,3,))*$F218)</f>
        <v>0</v>
      </c>
      <c r="M218" s="18">
        <f>IF(VLOOKUP($E218,$D$5:$AI$471,3,)=0,0,(VLOOKUP($E218,$D$5:$AI$471,10,)/VLOOKUP($E218,$D$5:$AI$471,3,))*$F218)</f>
        <v>0</v>
      </c>
      <c r="N218" s="18">
        <f>IF(VLOOKUP($E218,$D$5:$AI$471,3,)=0,0,(VLOOKUP($E218,$D$5:$AI$471,11,)/VLOOKUP($E218,$D$5:$AI$471,3,))*$F218)</f>
        <v>0</v>
      </c>
      <c r="O218" s="18">
        <f>IF(VLOOKUP($E218,$D$5:$AI$471,3,)=0,0,(VLOOKUP($E218,$D$5:$AI$471,12,)/VLOOKUP($E218,$D$5:$AI$471,3,))*$F218)</f>
        <v>0</v>
      </c>
      <c r="P218" s="18">
        <f>IF(VLOOKUP($E218,$D$5:$AI$471,3,)=0,0,(VLOOKUP($E218,$D$5:$AI$471,13,)/VLOOKUP($E218,$D$5:$AI$471,3,))*$F218)</f>
        <v>0</v>
      </c>
      <c r="Q218" s="18">
        <f>IF(VLOOKUP($E218,$D$5:$AI$471,3,)=0,0,(VLOOKUP($E218,$D$5:$AI$471,14,)/VLOOKUP($E218,$D$5:$AI$471,3,))*$F218)</f>
        <v>0</v>
      </c>
      <c r="R218" s="18">
        <f>IF(VLOOKUP($E218,$D$5:$AI$471,3,)=0,0,(VLOOKUP($E218,$D$5:$AI$471,15,)/VLOOKUP($E218,$D$5:$AI$471,3,))*$F218)</f>
        <v>0</v>
      </c>
      <c r="S218" s="18">
        <f>IF(VLOOKUP($E218,$D$5:$AI$471,3,)=0,0,(VLOOKUP($E218,$D$5:$AI$471,16,)/VLOOKUP($E218,$D$5:$AI$471,3,))*$F218)</f>
        <v>0</v>
      </c>
      <c r="T218" s="18">
        <f>IF(VLOOKUP($E218,$D$5:$AI$471,3,)=0,0,(VLOOKUP($E218,$D$5:$AI$471,17,)/VLOOKUP($E218,$D$5:$AI$471,3,))*$F218)</f>
        <v>0</v>
      </c>
      <c r="U218" s="18">
        <f>IF(VLOOKUP($E218,$D$5:$AI$471,3,)=0,0,(VLOOKUP($E218,$D$5:$AI$471,18,)/VLOOKUP($E218,$D$5:$AI$471,3,))*$F218)</f>
        <v>0</v>
      </c>
      <c r="V218" s="18">
        <f>IF(VLOOKUP($E218,$D$5:$AI$471,3,)=0,0,(VLOOKUP($E218,$D$5:$AI$471,19,)/VLOOKUP($E218,$D$5:$AI$471,3,))*$F218)</f>
        <v>0</v>
      </c>
      <c r="W218" s="18">
        <f>IF(VLOOKUP($E218,$D$5:$AI$471,3,)=0,0,(VLOOKUP($E218,$D$5:$AI$471,20,)/VLOOKUP($E218,$D$5:$AI$471,3,))*$F218)</f>
        <v>0</v>
      </c>
      <c r="X218" s="18">
        <f>IF(VLOOKUP($E218,$D$5:$AI$471,3,)=0,0,(VLOOKUP($E218,$D$5:$AI$471,21,)/VLOOKUP($E218,$D$5:$AI$471,3,))*$F218)</f>
        <v>0</v>
      </c>
      <c r="Y218" s="18">
        <f>IF(VLOOKUP($E218,$D$5:$AI$471,3,)=0,0,(VLOOKUP($E218,$D$5:$AI$471,22,)/VLOOKUP($E218,$D$5:$AI$471,3,))*$F218)</f>
        <v>0</v>
      </c>
      <c r="Z218" s="18">
        <f>IF(VLOOKUP($E218,$D$5:$AI$471,3,)=0,0,(VLOOKUP($E218,$D$5:$AI$471,23,)/VLOOKUP($E218,$D$5:$AI$471,3,))*$F218)</f>
        <v>0</v>
      </c>
      <c r="AA218" s="18">
        <f>IF(VLOOKUP($E218,$D$5:$AI$471,3,)=0,0,(VLOOKUP($E218,$D$5:$AI$471,24,)/VLOOKUP($E218,$D$5:$AI$471,3,))*$F218)</f>
        <v>0</v>
      </c>
      <c r="AB218" s="18">
        <f>IF(VLOOKUP($E218,$D$5:$AI$471,3,)=0,0,(VLOOKUP($E218,$D$5:$AI$471,25,)/VLOOKUP($E218,$D$5:$AI$471,3,))*$F218)</f>
        <v>0</v>
      </c>
      <c r="AC218" s="18">
        <f>IF(VLOOKUP($E218,$D$5:$AI$471,3,)=0,0,(VLOOKUP($E218,$D$5:$AI$471,26,)/VLOOKUP($E218,$D$5:$AI$471,3,))*$F218)</f>
        <v>0</v>
      </c>
      <c r="AD218" s="18">
        <f>IF(VLOOKUP($E218,$D$5:$AI$471,3,)=0,0,(VLOOKUP($E218,$D$5:$AI$471,27,)/VLOOKUP($E218,$D$5:$AI$471,3,))*$F218)</f>
        <v>0</v>
      </c>
      <c r="AE218" s="18">
        <f>IF(VLOOKUP($E218,$D$5:$AI$471,3,)=0,0,(VLOOKUP($E218,$D$5:$AI$471,28,)/VLOOKUP($E218,$D$5:$AI$471,3,))*$F218)</f>
        <v>0</v>
      </c>
      <c r="AF218" s="18">
        <f>IF(VLOOKUP($E218,$D$5:$AI$471,3,)=0,0,(VLOOKUP($E218,$D$5:$AI$471,29,)/VLOOKUP($E218,$D$5:$AI$471,3,))*$F218)</f>
        <v>0</v>
      </c>
      <c r="AG218" s="18">
        <f>IF(VLOOKUP($E218,$D$5:$AI$471,3,)=0,0,(VLOOKUP($E218,$D$5:$AI$471,30,)/VLOOKUP($E218,$D$5:$AI$471,3,))*$F218)</f>
        <v>0</v>
      </c>
      <c r="AH218" s="20">
        <f t="shared" si="36"/>
        <v>0</v>
      </c>
      <c r="AI218" s="15" t="str">
        <f t="shared" si="37"/>
        <v>ok</v>
      </c>
    </row>
    <row r="219" spans="1:35" x14ac:dyDescent="0.3">
      <c r="A219" s="21" t="s">
        <v>543</v>
      </c>
      <c r="C219" s="2" t="s">
        <v>494</v>
      </c>
      <c r="D219" s="2" t="s">
        <v>645</v>
      </c>
      <c r="E219" s="2" t="s">
        <v>545</v>
      </c>
      <c r="F219" s="18">
        <f>VLOOKUP(C219,'Functional Assignment'!$C$1:$AU$563,10,)</f>
        <v>518659.67168991378</v>
      </c>
      <c r="G219" s="18">
        <f>IF(VLOOKUP($E219,$D$5:$AI$471,3,)=0,0,(VLOOKUP($E219,$D$5:$AI$471,4,)/VLOOKUP($E219,$D$5:$AI$471,3,))*$F219)</f>
        <v>0</v>
      </c>
      <c r="H219" s="18">
        <f>IF(VLOOKUP($E219,$D$5:$AI$471,3,)=0,0,(VLOOKUP($E219,$D$5:$AI$471,5,)/VLOOKUP($E219,$D$5:$AI$471,3,))*$F219)</f>
        <v>0</v>
      </c>
      <c r="I219" s="18">
        <f>IF(VLOOKUP($E219,$D$5:$AI$471,3,)=0,0,(VLOOKUP($E219,$D$5:$AI$471,6,)/VLOOKUP($E219,$D$5:$AI$471,3,))*$F219)</f>
        <v>0</v>
      </c>
      <c r="J219" s="18">
        <f>IF(VLOOKUP($E219,$D$5:$AI$471,3,)=0,0,(VLOOKUP($E219,$D$5:$AI$471,7,)/VLOOKUP($E219,$D$5:$AI$471,3,))*$F219)</f>
        <v>0</v>
      </c>
      <c r="K219" s="18">
        <f>IF(VLOOKUP($E219,$D$5:$AI$471,3,)=0,0,(VLOOKUP($E219,$D$5:$AI$471,8,)/VLOOKUP($E219,$D$5:$AI$471,3,))*$F219)</f>
        <v>0</v>
      </c>
      <c r="L219" s="18">
        <f>IF(VLOOKUP($E219,$D$5:$AI$471,3,)=0,0,(VLOOKUP($E219,$D$5:$AI$471,9,)/VLOOKUP($E219,$D$5:$AI$471,3,))*$F219)</f>
        <v>0</v>
      </c>
      <c r="M219" s="18">
        <f>IF(VLOOKUP($E219,$D$5:$AI$471,3,)=0,0,(VLOOKUP($E219,$D$5:$AI$471,10,)/VLOOKUP($E219,$D$5:$AI$471,3,))*$F219)</f>
        <v>518659.67168991378</v>
      </c>
      <c r="N219" s="18">
        <f>IF(VLOOKUP($E219,$D$5:$AI$471,3,)=0,0,(VLOOKUP($E219,$D$5:$AI$471,11,)/VLOOKUP($E219,$D$5:$AI$471,3,))*$F219)</f>
        <v>0</v>
      </c>
      <c r="O219" s="18">
        <f>IF(VLOOKUP($E219,$D$5:$AI$471,3,)=0,0,(VLOOKUP($E219,$D$5:$AI$471,12,)/VLOOKUP($E219,$D$5:$AI$471,3,))*$F219)</f>
        <v>0</v>
      </c>
      <c r="P219" s="18">
        <f>IF(VLOOKUP($E219,$D$5:$AI$471,3,)=0,0,(VLOOKUP($E219,$D$5:$AI$471,13,)/VLOOKUP($E219,$D$5:$AI$471,3,))*$F219)</f>
        <v>0</v>
      </c>
      <c r="Q219" s="18">
        <f>IF(VLOOKUP($E219,$D$5:$AI$471,3,)=0,0,(VLOOKUP($E219,$D$5:$AI$471,14,)/VLOOKUP($E219,$D$5:$AI$471,3,))*$F219)</f>
        <v>0</v>
      </c>
      <c r="R219" s="18">
        <f>IF(VLOOKUP($E219,$D$5:$AI$471,3,)=0,0,(VLOOKUP($E219,$D$5:$AI$471,15,)/VLOOKUP($E219,$D$5:$AI$471,3,))*$F219)</f>
        <v>0</v>
      </c>
      <c r="S219" s="18">
        <f>IF(VLOOKUP($E219,$D$5:$AI$471,3,)=0,0,(VLOOKUP($E219,$D$5:$AI$471,16,)/VLOOKUP($E219,$D$5:$AI$471,3,))*$F219)</f>
        <v>0</v>
      </c>
      <c r="T219" s="18">
        <f>IF(VLOOKUP($E219,$D$5:$AI$471,3,)=0,0,(VLOOKUP($E219,$D$5:$AI$471,17,)/VLOOKUP($E219,$D$5:$AI$471,3,))*$F219)</f>
        <v>0</v>
      </c>
      <c r="U219" s="18">
        <f>IF(VLOOKUP($E219,$D$5:$AI$471,3,)=0,0,(VLOOKUP($E219,$D$5:$AI$471,18,)/VLOOKUP($E219,$D$5:$AI$471,3,))*$F219)</f>
        <v>0</v>
      </c>
      <c r="V219" s="18">
        <f>IF(VLOOKUP($E219,$D$5:$AI$471,3,)=0,0,(VLOOKUP($E219,$D$5:$AI$471,19,)/VLOOKUP($E219,$D$5:$AI$471,3,))*$F219)</f>
        <v>0</v>
      </c>
      <c r="W219" s="18">
        <f>IF(VLOOKUP($E219,$D$5:$AI$471,3,)=0,0,(VLOOKUP($E219,$D$5:$AI$471,20,)/VLOOKUP($E219,$D$5:$AI$471,3,))*$F219)</f>
        <v>0</v>
      </c>
      <c r="X219" s="18">
        <f>IF(VLOOKUP($E219,$D$5:$AI$471,3,)=0,0,(VLOOKUP($E219,$D$5:$AI$471,21,)/VLOOKUP($E219,$D$5:$AI$471,3,))*$F219)</f>
        <v>0</v>
      </c>
      <c r="Y219" s="18">
        <f>IF(VLOOKUP($E219,$D$5:$AI$471,3,)=0,0,(VLOOKUP($E219,$D$5:$AI$471,22,)/VLOOKUP($E219,$D$5:$AI$471,3,))*$F219)</f>
        <v>0</v>
      </c>
      <c r="Z219" s="18">
        <f>IF(VLOOKUP($E219,$D$5:$AI$471,3,)=0,0,(VLOOKUP($E219,$D$5:$AI$471,23,)/VLOOKUP($E219,$D$5:$AI$471,3,))*$F219)</f>
        <v>0</v>
      </c>
      <c r="AA219" s="18">
        <f>IF(VLOOKUP($E219,$D$5:$AI$471,3,)=0,0,(VLOOKUP($E219,$D$5:$AI$471,24,)/VLOOKUP($E219,$D$5:$AI$471,3,))*$F219)</f>
        <v>0</v>
      </c>
      <c r="AB219" s="18">
        <f>IF(VLOOKUP($E219,$D$5:$AI$471,3,)=0,0,(VLOOKUP($E219,$D$5:$AI$471,25,)/VLOOKUP($E219,$D$5:$AI$471,3,))*$F219)</f>
        <v>0</v>
      </c>
      <c r="AC219" s="18">
        <f>IF(VLOOKUP($E219,$D$5:$AI$471,3,)=0,0,(VLOOKUP($E219,$D$5:$AI$471,26,)/VLOOKUP($E219,$D$5:$AI$471,3,))*$F219)</f>
        <v>0</v>
      </c>
      <c r="AD219" s="18">
        <f>IF(VLOOKUP($E219,$D$5:$AI$471,3,)=0,0,(VLOOKUP($E219,$D$5:$AI$471,27,)/VLOOKUP($E219,$D$5:$AI$471,3,))*$F219)</f>
        <v>0</v>
      </c>
      <c r="AE219" s="18">
        <f>IF(VLOOKUP($E219,$D$5:$AI$471,3,)=0,0,(VLOOKUP($E219,$D$5:$AI$471,28,)/VLOOKUP($E219,$D$5:$AI$471,3,))*$F219)</f>
        <v>0</v>
      </c>
      <c r="AF219" s="18">
        <f>IF(VLOOKUP($E219,$D$5:$AI$471,3,)=0,0,(VLOOKUP($E219,$D$5:$AI$471,29,)/VLOOKUP($E219,$D$5:$AI$471,3,))*$F219)</f>
        <v>0</v>
      </c>
      <c r="AG219" s="18">
        <f>IF(VLOOKUP($E219,$D$5:$AI$471,3,)=0,0,(VLOOKUP($E219,$D$5:$AI$471,30,)/VLOOKUP($E219,$D$5:$AI$471,3,))*$F219)</f>
        <v>0</v>
      </c>
      <c r="AH219" s="20">
        <f t="shared" si="36"/>
        <v>518659.67168991378</v>
      </c>
      <c r="AI219" s="15" t="str">
        <f t="shared" si="37"/>
        <v>ok</v>
      </c>
    </row>
    <row r="220" spans="1:35" x14ac:dyDescent="0.3">
      <c r="A220" s="2" t="s">
        <v>546</v>
      </c>
      <c r="D220" s="2" t="s">
        <v>646</v>
      </c>
      <c r="F220" s="18">
        <f>SUM(F215:F219)</f>
        <v>81401292.685754851</v>
      </c>
      <c r="G220" s="18">
        <f t="shared" ref="G220:AG220" si="38">SUM(G215:G219)</f>
        <v>62174649.030532613</v>
      </c>
      <c r="H220" s="18">
        <f t="shared" si="38"/>
        <v>5218466.5407452285</v>
      </c>
      <c r="I220" s="18">
        <f t="shared" si="38"/>
        <v>1879937.5530204666</v>
      </c>
      <c r="J220" s="18">
        <f t="shared" si="38"/>
        <v>3036863.3007559706</v>
      </c>
      <c r="K220" s="18">
        <f t="shared" si="38"/>
        <v>8572716.5890106447</v>
      </c>
      <c r="L220" s="18">
        <f t="shared" si="38"/>
        <v>0</v>
      </c>
      <c r="M220" s="18">
        <f t="shared" si="38"/>
        <v>518659.67168991378</v>
      </c>
      <c r="N220" s="18">
        <f t="shared" si="38"/>
        <v>0</v>
      </c>
      <c r="O220" s="18">
        <f t="shared" si="38"/>
        <v>0</v>
      </c>
      <c r="P220" s="18">
        <f t="shared" si="38"/>
        <v>0</v>
      </c>
      <c r="Q220" s="18">
        <f t="shared" si="38"/>
        <v>0</v>
      </c>
      <c r="R220" s="18">
        <f t="shared" si="38"/>
        <v>0</v>
      </c>
      <c r="S220" s="18">
        <f t="shared" si="38"/>
        <v>0</v>
      </c>
      <c r="T220" s="18">
        <f t="shared" si="38"/>
        <v>0</v>
      </c>
      <c r="U220" s="18">
        <f t="shared" si="38"/>
        <v>0</v>
      </c>
      <c r="V220" s="18">
        <f t="shared" si="38"/>
        <v>0</v>
      </c>
      <c r="W220" s="18">
        <f t="shared" si="38"/>
        <v>0</v>
      </c>
      <c r="X220" s="18">
        <f t="shared" si="38"/>
        <v>0</v>
      </c>
      <c r="Y220" s="18">
        <f t="shared" si="38"/>
        <v>0</v>
      </c>
      <c r="Z220" s="18">
        <f t="shared" si="38"/>
        <v>0</v>
      </c>
      <c r="AA220" s="18">
        <f t="shared" si="38"/>
        <v>0</v>
      </c>
      <c r="AB220" s="18">
        <f t="shared" si="38"/>
        <v>0</v>
      </c>
      <c r="AC220" s="18">
        <f t="shared" si="38"/>
        <v>0</v>
      </c>
      <c r="AD220" s="18">
        <f t="shared" si="38"/>
        <v>0</v>
      </c>
      <c r="AE220" s="18">
        <f t="shared" si="38"/>
        <v>0</v>
      </c>
      <c r="AF220" s="18">
        <f t="shared" si="38"/>
        <v>0</v>
      </c>
      <c r="AG220" s="18">
        <f t="shared" si="38"/>
        <v>0</v>
      </c>
      <c r="AH220" s="20">
        <f t="shared" si="36"/>
        <v>81401292.685754836</v>
      </c>
      <c r="AI220" s="15" t="str">
        <f t="shared" si="37"/>
        <v>ok</v>
      </c>
    </row>
    <row r="221" spans="1:35" x14ac:dyDescent="0.3">
      <c r="F221" s="19"/>
      <c r="G221" s="19"/>
    </row>
    <row r="222" spans="1:35" x14ac:dyDescent="0.3">
      <c r="F222" s="19"/>
      <c r="G222" s="19"/>
    </row>
    <row r="223" spans="1:35" x14ac:dyDescent="0.3">
      <c r="A223" s="3" t="s">
        <v>29</v>
      </c>
      <c r="C223" s="2" t="s">
        <v>494</v>
      </c>
      <c r="D223" s="2" t="s">
        <v>647</v>
      </c>
      <c r="E223" s="2" t="s">
        <v>549</v>
      </c>
      <c r="F223" s="18">
        <f>VLOOKUP(C223,'Functional Assignment'!$C$1:$AU$563,11,)</f>
        <v>18162121.083158441</v>
      </c>
      <c r="G223" s="18">
        <f>IF(VLOOKUP($E223,$D$5:$AI$471,3,)=0,0,(VLOOKUP($E223,$D$5:$AI$471,4,)/VLOOKUP($E223,$D$5:$AI$471,3,))*$F223)</f>
        <v>14332859.870595966</v>
      </c>
      <c r="H223" s="18">
        <f>IF(VLOOKUP($E223,$D$5:$AI$471,3,)=0,0,(VLOOKUP($E223,$D$5:$AI$471,5,)/VLOOKUP($E223,$D$5:$AI$471,3,))*$F223)</f>
        <v>1072892.9839549863</v>
      </c>
      <c r="I223" s="18">
        <f>IF(VLOOKUP($E223,$D$5:$AI$471,3,)=0,0,(VLOOKUP($E223,$D$5:$AI$471,6,)/VLOOKUP($E223,$D$5:$AI$471,3,))*$F223)</f>
        <v>363781.23793354997</v>
      </c>
      <c r="J223" s="18">
        <f>IF(VLOOKUP($E223,$D$5:$AI$471,3,)=0,0,(VLOOKUP($E223,$D$5:$AI$471,7,)/VLOOKUP($E223,$D$5:$AI$471,3,))*$F223)</f>
        <v>586000.76479734445</v>
      </c>
      <c r="K223" s="18">
        <f>IF(VLOOKUP($E223,$D$5:$AI$471,3,)=0,0,(VLOOKUP($E223,$D$5:$AI$471,8,)/VLOOKUP($E223,$D$5:$AI$471,3,))*$F223)</f>
        <v>1575093.1738134387</v>
      </c>
      <c r="L223" s="18">
        <f>IF(VLOOKUP($E223,$D$5:$AI$471,3,)=0,0,(VLOOKUP($E223,$D$5:$AI$471,9,)/VLOOKUP($E223,$D$5:$AI$471,3,))*$F223)</f>
        <v>231493.05206315825</v>
      </c>
      <c r="M223" s="18">
        <f>IF(VLOOKUP($E223,$D$5:$AI$471,3,)=0,0,(VLOOKUP($E223,$D$5:$AI$471,10,)/VLOOKUP($E223,$D$5:$AI$471,3,))*$F223)</f>
        <v>0</v>
      </c>
      <c r="N223" s="18">
        <f>IF(VLOOKUP($E223,$D$5:$AI$471,3,)=0,0,(VLOOKUP($E223,$D$5:$AI$471,11,)/VLOOKUP($E223,$D$5:$AI$471,3,))*$F223)</f>
        <v>0</v>
      </c>
      <c r="O223" s="18">
        <f>IF(VLOOKUP($E223,$D$5:$AI$471,3,)=0,0,(VLOOKUP($E223,$D$5:$AI$471,12,)/VLOOKUP($E223,$D$5:$AI$471,3,))*$F223)</f>
        <v>0</v>
      </c>
      <c r="P223" s="18">
        <f>IF(VLOOKUP($E223,$D$5:$AI$471,3,)=0,0,(VLOOKUP($E223,$D$5:$AI$471,13,)/VLOOKUP($E223,$D$5:$AI$471,3,))*$F223)</f>
        <v>0</v>
      </c>
      <c r="Q223" s="18">
        <f>IF(VLOOKUP($E223,$D$5:$AI$471,3,)=0,0,(VLOOKUP($E223,$D$5:$AI$471,14,)/VLOOKUP($E223,$D$5:$AI$471,3,))*$F223)</f>
        <v>0</v>
      </c>
      <c r="R223" s="18">
        <f>IF(VLOOKUP($E223,$D$5:$AI$471,3,)=0,0,(VLOOKUP($E223,$D$5:$AI$471,15,)/VLOOKUP($E223,$D$5:$AI$471,3,))*$F223)</f>
        <v>0</v>
      </c>
      <c r="S223" s="18">
        <f>IF(VLOOKUP($E223,$D$5:$AI$471,3,)=0,0,(VLOOKUP($E223,$D$5:$AI$471,16,)/VLOOKUP($E223,$D$5:$AI$471,3,))*$F223)</f>
        <v>0</v>
      </c>
      <c r="T223" s="18">
        <f>IF(VLOOKUP($E223,$D$5:$AI$471,3,)=0,0,(VLOOKUP($E223,$D$5:$AI$471,17,)/VLOOKUP($E223,$D$5:$AI$471,3,))*$F223)</f>
        <v>0</v>
      </c>
      <c r="U223" s="18">
        <f>IF(VLOOKUP($E223,$D$5:$AI$471,3,)=0,0,(VLOOKUP($E223,$D$5:$AI$471,18,)/VLOOKUP($E223,$D$5:$AI$471,3,))*$F223)</f>
        <v>0</v>
      </c>
      <c r="V223" s="18">
        <f>IF(VLOOKUP($E223,$D$5:$AI$471,3,)=0,0,(VLOOKUP($E223,$D$5:$AI$471,19,)/VLOOKUP($E223,$D$5:$AI$471,3,))*$F223)</f>
        <v>0</v>
      </c>
      <c r="W223" s="18">
        <f>IF(VLOOKUP($E223,$D$5:$AI$471,3,)=0,0,(VLOOKUP($E223,$D$5:$AI$471,20,)/VLOOKUP($E223,$D$5:$AI$471,3,))*$F223)</f>
        <v>0</v>
      </c>
      <c r="X223" s="18">
        <f>IF(VLOOKUP($E223,$D$5:$AI$471,3,)=0,0,(VLOOKUP($E223,$D$5:$AI$471,21,)/VLOOKUP($E223,$D$5:$AI$471,3,))*$F223)</f>
        <v>0</v>
      </c>
      <c r="Y223" s="18">
        <f>IF(VLOOKUP($E223,$D$5:$AI$471,3,)=0,0,(VLOOKUP($E223,$D$5:$AI$471,22,)/VLOOKUP($E223,$D$5:$AI$471,3,))*$F223)</f>
        <v>0</v>
      </c>
      <c r="Z223" s="18">
        <f>IF(VLOOKUP($E223,$D$5:$AI$471,3,)=0,0,(VLOOKUP($E223,$D$5:$AI$471,23,)/VLOOKUP($E223,$D$5:$AI$471,3,))*$F223)</f>
        <v>0</v>
      </c>
      <c r="AA223" s="18">
        <f>IF(VLOOKUP($E223,$D$5:$AI$471,3,)=0,0,(VLOOKUP($E223,$D$5:$AI$471,24,)/VLOOKUP($E223,$D$5:$AI$471,3,))*$F223)</f>
        <v>0</v>
      </c>
      <c r="AB223" s="18">
        <f>IF(VLOOKUP($E223,$D$5:$AI$471,3,)=0,0,(VLOOKUP($E223,$D$5:$AI$471,25,)/VLOOKUP($E223,$D$5:$AI$471,3,))*$F223)</f>
        <v>0</v>
      </c>
      <c r="AC223" s="18">
        <f>IF(VLOOKUP($E223,$D$5:$AI$471,3,)=0,0,(VLOOKUP($E223,$D$5:$AI$471,26,)/VLOOKUP($E223,$D$5:$AI$471,3,))*$F223)</f>
        <v>0</v>
      </c>
      <c r="AD223" s="18">
        <f>IF(VLOOKUP($E223,$D$5:$AI$471,3,)=0,0,(VLOOKUP($E223,$D$5:$AI$471,27,)/VLOOKUP($E223,$D$5:$AI$471,3,))*$F223)</f>
        <v>0</v>
      </c>
      <c r="AE223" s="18">
        <f>IF(VLOOKUP($E223,$D$5:$AI$471,3,)=0,0,(VLOOKUP($E223,$D$5:$AI$471,28,)/VLOOKUP($E223,$D$5:$AI$471,3,))*$F223)</f>
        <v>0</v>
      </c>
      <c r="AF223" s="18">
        <f>IF(VLOOKUP($E223,$D$5:$AI$471,3,)=0,0,(VLOOKUP($E223,$D$5:$AI$471,29,)/VLOOKUP($E223,$D$5:$AI$471,3,))*$F223)</f>
        <v>0</v>
      </c>
      <c r="AG223" s="18">
        <f>IF(VLOOKUP($E223,$D$5:$AI$471,3,)=0,0,(VLOOKUP($E223,$D$5:$AI$471,30,)/VLOOKUP($E223,$D$5:$AI$471,3,))*$F223)</f>
        <v>0</v>
      </c>
      <c r="AH223" s="20">
        <f>SUM(G223:AG223)</f>
        <v>18162121.083158445</v>
      </c>
      <c r="AI223" s="15" t="str">
        <f>IF(ABS(F223-AH223)&lt;0.01,"ok","err")</f>
        <v>ok</v>
      </c>
    </row>
    <row r="224" spans="1:35" x14ac:dyDescent="0.3">
      <c r="F224" s="19"/>
      <c r="G224" s="19"/>
    </row>
    <row r="225" spans="1:35" x14ac:dyDescent="0.3">
      <c r="A225" s="3"/>
      <c r="F225" s="19"/>
      <c r="G225" s="19"/>
    </row>
    <row r="226" spans="1:35" x14ac:dyDescent="0.3">
      <c r="A226" s="3" t="s">
        <v>550</v>
      </c>
      <c r="C226" s="2" t="s">
        <v>494</v>
      </c>
      <c r="D226" s="2" t="s">
        <v>648</v>
      </c>
      <c r="E226" s="2" t="s">
        <v>552</v>
      </c>
      <c r="F226" s="18">
        <f>VLOOKUP(C226,'Functional Assignment'!$C$1:$AU$563,13,)</f>
        <v>7694330.9335837821</v>
      </c>
      <c r="G226" s="18">
        <f>IF(VLOOKUP($E226,$D$5:$AI$471,3,)=0,0,(VLOOKUP($E226,$D$5:$AI$471,4,)/VLOOKUP($E226,$D$5:$AI$471,3,))*$F226)</f>
        <v>7662645.6437774068</v>
      </c>
      <c r="H226" s="18">
        <f>IF(VLOOKUP($E226,$D$5:$AI$471,3,)=0,0,(VLOOKUP($E226,$D$5:$AI$471,5,)/VLOOKUP($E226,$D$5:$AI$471,3,))*$F226)</f>
        <v>0</v>
      </c>
      <c r="I226" s="18">
        <f>IF(VLOOKUP($E226,$D$5:$AI$471,3,)=0,0,(VLOOKUP($E226,$D$5:$AI$471,6,)/VLOOKUP($E226,$D$5:$AI$471,3,))*$F226)</f>
        <v>0</v>
      </c>
      <c r="J226" s="18">
        <f>IF(VLOOKUP($E226,$D$5:$AI$471,3,)=0,0,(VLOOKUP($E226,$D$5:$AI$471,7,)/VLOOKUP($E226,$D$5:$AI$471,3,))*$F226)</f>
        <v>31685.289806375262</v>
      </c>
      <c r="K226" s="18">
        <f>IF(VLOOKUP($E226,$D$5:$AI$471,3,)=0,0,(VLOOKUP($E226,$D$5:$AI$471,8,)/VLOOKUP($E226,$D$5:$AI$471,3,))*$F226)</f>
        <v>0</v>
      </c>
      <c r="L226" s="18">
        <f>IF(VLOOKUP($E226,$D$5:$AI$471,3,)=0,0,(VLOOKUP($E226,$D$5:$AI$471,9,)/VLOOKUP($E226,$D$5:$AI$471,3,))*$F226)</f>
        <v>0</v>
      </c>
      <c r="M226" s="18">
        <f>IF(VLOOKUP($E226,$D$5:$AI$471,3,)=0,0,(VLOOKUP($E226,$D$5:$AI$471,10,)/VLOOKUP($E226,$D$5:$AI$471,3,))*$F226)</f>
        <v>0</v>
      </c>
      <c r="N226" s="18">
        <f>IF(VLOOKUP($E226,$D$5:$AI$471,3,)=0,0,(VLOOKUP($E226,$D$5:$AI$471,11,)/VLOOKUP($E226,$D$5:$AI$471,3,))*$F226)</f>
        <v>0</v>
      </c>
      <c r="O226" s="18">
        <f>IF(VLOOKUP($E226,$D$5:$AI$471,3,)=0,0,(VLOOKUP($E226,$D$5:$AI$471,12,)/VLOOKUP($E226,$D$5:$AI$471,3,))*$F226)</f>
        <v>0</v>
      </c>
      <c r="P226" s="18">
        <f>IF(VLOOKUP($E226,$D$5:$AI$471,3,)=0,0,(VLOOKUP($E226,$D$5:$AI$471,13,)/VLOOKUP($E226,$D$5:$AI$471,3,))*$F226)</f>
        <v>0</v>
      </c>
      <c r="Q226" s="18">
        <f>IF(VLOOKUP($E226,$D$5:$AI$471,3,)=0,0,(VLOOKUP($E226,$D$5:$AI$471,14,)/VLOOKUP($E226,$D$5:$AI$471,3,))*$F226)</f>
        <v>0</v>
      </c>
      <c r="R226" s="18">
        <f>IF(VLOOKUP($E226,$D$5:$AI$471,3,)=0,0,(VLOOKUP($E226,$D$5:$AI$471,15,)/VLOOKUP($E226,$D$5:$AI$471,3,))*$F226)</f>
        <v>0</v>
      </c>
      <c r="S226" s="18">
        <f>IF(VLOOKUP($E226,$D$5:$AI$471,3,)=0,0,(VLOOKUP($E226,$D$5:$AI$471,16,)/VLOOKUP($E226,$D$5:$AI$471,3,))*$F226)</f>
        <v>0</v>
      </c>
      <c r="T226" s="18">
        <f>IF(VLOOKUP($E226,$D$5:$AI$471,3,)=0,0,(VLOOKUP($E226,$D$5:$AI$471,17,)/VLOOKUP($E226,$D$5:$AI$471,3,))*$F226)</f>
        <v>0</v>
      </c>
      <c r="U226" s="18">
        <f>IF(VLOOKUP($E226,$D$5:$AI$471,3,)=0,0,(VLOOKUP($E226,$D$5:$AI$471,18,)/VLOOKUP($E226,$D$5:$AI$471,3,))*$F226)</f>
        <v>0</v>
      </c>
      <c r="V226" s="18">
        <f>IF(VLOOKUP($E226,$D$5:$AI$471,3,)=0,0,(VLOOKUP($E226,$D$5:$AI$471,19,)/VLOOKUP($E226,$D$5:$AI$471,3,))*$F226)</f>
        <v>0</v>
      </c>
      <c r="W226" s="18">
        <f>IF(VLOOKUP($E226,$D$5:$AI$471,3,)=0,0,(VLOOKUP($E226,$D$5:$AI$471,20,)/VLOOKUP($E226,$D$5:$AI$471,3,))*$F226)</f>
        <v>0</v>
      </c>
      <c r="X226" s="18">
        <f>IF(VLOOKUP($E226,$D$5:$AI$471,3,)=0,0,(VLOOKUP($E226,$D$5:$AI$471,21,)/VLOOKUP($E226,$D$5:$AI$471,3,))*$F226)</f>
        <v>0</v>
      </c>
      <c r="Y226" s="18">
        <f>IF(VLOOKUP($E226,$D$5:$AI$471,3,)=0,0,(VLOOKUP($E226,$D$5:$AI$471,22,)/VLOOKUP($E226,$D$5:$AI$471,3,))*$F226)</f>
        <v>0</v>
      </c>
      <c r="Z226" s="18">
        <f>IF(VLOOKUP($E226,$D$5:$AI$471,3,)=0,0,(VLOOKUP($E226,$D$5:$AI$471,23,)/VLOOKUP($E226,$D$5:$AI$471,3,))*$F226)</f>
        <v>0</v>
      </c>
      <c r="AA226" s="18">
        <f>IF(VLOOKUP($E226,$D$5:$AI$471,3,)=0,0,(VLOOKUP($E226,$D$5:$AI$471,24,)/VLOOKUP($E226,$D$5:$AI$471,3,))*$F226)</f>
        <v>0</v>
      </c>
      <c r="AB226" s="18">
        <f>IF(VLOOKUP($E226,$D$5:$AI$471,3,)=0,0,(VLOOKUP($E226,$D$5:$AI$471,25,)/VLOOKUP($E226,$D$5:$AI$471,3,))*$F226)</f>
        <v>0</v>
      </c>
      <c r="AC226" s="18">
        <f>IF(VLOOKUP($E226,$D$5:$AI$471,3,)=0,0,(VLOOKUP($E226,$D$5:$AI$471,26,)/VLOOKUP($E226,$D$5:$AI$471,3,))*$F226)</f>
        <v>0</v>
      </c>
      <c r="AD226" s="18">
        <f>IF(VLOOKUP($E226,$D$5:$AI$471,3,)=0,0,(VLOOKUP($E226,$D$5:$AI$471,27,)/VLOOKUP($E226,$D$5:$AI$471,3,))*$F226)</f>
        <v>0</v>
      </c>
      <c r="AE226" s="18">
        <f>IF(VLOOKUP($E226,$D$5:$AI$471,3,)=0,0,(VLOOKUP($E226,$D$5:$AI$471,28,)/VLOOKUP($E226,$D$5:$AI$471,3,))*$F226)</f>
        <v>0</v>
      </c>
      <c r="AF226" s="18">
        <f>IF(VLOOKUP($E226,$D$5:$AI$471,3,)=0,0,(VLOOKUP($E226,$D$5:$AI$471,29,)/VLOOKUP($E226,$D$5:$AI$471,3,))*$F226)</f>
        <v>0</v>
      </c>
      <c r="AG226" s="18">
        <f>IF(VLOOKUP($E226,$D$5:$AI$471,3,)=0,0,(VLOOKUP($E226,$D$5:$AI$471,30,)/VLOOKUP($E226,$D$5:$AI$471,3,))*$F226)</f>
        <v>0</v>
      </c>
      <c r="AH226" s="20">
        <f>SUM(G226:AG226)</f>
        <v>7694330.9335837821</v>
      </c>
      <c r="AI226" s="15" t="str">
        <f>IF(ABS(F226-AH226)&lt;0.01,"ok","err")</f>
        <v>ok</v>
      </c>
    </row>
    <row r="227" spans="1:35" x14ac:dyDescent="0.3">
      <c r="A227" s="3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20"/>
      <c r="AI227" s="15"/>
    </row>
    <row r="228" spans="1:35" x14ac:dyDescent="0.3">
      <c r="F228" s="19"/>
    </row>
    <row r="229" spans="1:35" x14ac:dyDescent="0.3">
      <c r="A229" s="3" t="s">
        <v>553</v>
      </c>
      <c r="C229" s="2" t="s">
        <v>494</v>
      </c>
      <c r="D229" s="2" t="s">
        <v>649</v>
      </c>
      <c r="E229" s="2" t="s">
        <v>555</v>
      </c>
      <c r="F229" s="18">
        <f>VLOOKUP(C229,'Functional Assignment'!$C$1:$AU$563,14,)</f>
        <v>103009.29750291565</v>
      </c>
      <c r="G229" s="18">
        <f>IF(VLOOKUP($E229,$D$5:$AI$471,3,)=0,0,(VLOOKUP($E229,$D$5:$AI$471,4,)/VLOOKUP($E229,$D$5:$AI$471,3,))*$F229)</f>
        <v>102727.20905699256</v>
      </c>
      <c r="H229" s="18">
        <f>IF(VLOOKUP($E229,$D$5:$AI$471,3,)=0,0,(VLOOKUP($E229,$D$5:$AI$471,5,)/VLOOKUP($E229,$D$5:$AI$471,3,))*$F229)</f>
        <v>0</v>
      </c>
      <c r="I229" s="18">
        <f>IF(VLOOKUP($E229,$D$5:$AI$471,3,)=0,0,(VLOOKUP($E229,$D$5:$AI$471,6,)/VLOOKUP($E229,$D$5:$AI$471,3,))*$F229)</f>
        <v>0</v>
      </c>
      <c r="J229" s="18">
        <f>IF(VLOOKUP($E229,$D$5:$AI$471,3,)=0,0,(VLOOKUP($E229,$D$5:$AI$471,7,)/VLOOKUP($E229,$D$5:$AI$471,3,))*$F229)</f>
        <v>282.08844592309174</v>
      </c>
      <c r="K229" s="18">
        <f>IF(VLOOKUP($E229,$D$5:$AI$471,3,)=0,0,(VLOOKUP($E229,$D$5:$AI$471,8,)/VLOOKUP($E229,$D$5:$AI$471,3,))*$F229)</f>
        <v>0</v>
      </c>
      <c r="L229" s="18">
        <f>IF(VLOOKUP($E229,$D$5:$AI$471,3,)=0,0,(VLOOKUP($E229,$D$5:$AI$471,9,)/VLOOKUP($E229,$D$5:$AI$471,3,))*$F229)</f>
        <v>0</v>
      </c>
      <c r="M229" s="18">
        <f>IF(VLOOKUP($E229,$D$5:$AI$471,3,)=0,0,(VLOOKUP($E229,$D$5:$AI$471,10,)/VLOOKUP($E229,$D$5:$AI$471,3,))*$F229)</f>
        <v>0</v>
      </c>
      <c r="N229" s="18">
        <f>IF(VLOOKUP($E229,$D$5:$AI$471,3,)=0,0,(VLOOKUP($E229,$D$5:$AI$471,11,)/VLOOKUP($E229,$D$5:$AI$471,3,))*$F229)</f>
        <v>0</v>
      </c>
      <c r="O229" s="18">
        <f>IF(VLOOKUP($E229,$D$5:$AI$471,3,)=0,0,(VLOOKUP($E229,$D$5:$AI$471,12,)/VLOOKUP($E229,$D$5:$AI$471,3,))*$F229)</f>
        <v>0</v>
      </c>
      <c r="P229" s="18">
        <f>IF(VLOOKUP($E229,$D$5:$AI$471,3,)=0,0,(VLOOKUP($E229,$D$5:$AI$471,13,)/VLOOKUP($E229,$D$5:$AI$471,3,))*$F229)</f>
        <v>0</v>
      </c>
      <c r="Q229" s="18">
        <f>IF(VLOOKUP($E229,$D$5:$AI$471,3,)=0,0,(VLOOKUP($E229,$D$5:$AI$471,14,)/VLOOKUP($E229,$D$5:$AI$471,3,))*$F229)</f>
        <v>0</v>
      </c>
      <c r="R229" s="18">
        <f>IF(VLOOKUP($E229,$D$5:$AI$471,3,)=0,0,(VLOOKUP($E229,$D$5:$AI$471,15,)/VLOOKUP($E229,$D$5:$AI$471,3,))*$F229)</f>
        <v>0</v>
      </c>
      <c r="S229" s="18">
        <f>IF(VLOOKUP($E229,$D$5:$AI$471,3,)=0,0,(VLOOKUP($E229,$D$5:$AI$471,16,)/VLOOKUP($E229,$D$5:$AI$471,3,))*$F229)</f>
        <v>0</v>
      </c>
      <c r="T229" s="18">
        <f>IF(VLOOKUP($E229,$D$5:$AI$471,3,)=0,0,(VLOOKUP($E229,$D$5:$AI$471,17,)/VLOOKUP($E229,$D$5:$AI$471,3,))*$F229)</f>
        <v>0</v>
      </c>
      <c r="U229" s="18">
        <f>IF(VLOOKUP($E229,$D$5:$AI$471,3,)=0,0,(VLOOKUP($E229,$D$5:$AI$471,18,)/VLOOKUP($E229,$D$5:$AI$471,3,))*$F229)</f>
        <v>0</v>
      </c>
      <c r="V229" s="18">
        <f>IF(VLOOKUP($E229,$D$5:$AI$471,3,)=0,0,(VLOOKUP($E229,$D$5:$AI$471,19,)/VLOOKUP($E229,$D$5:$AI$471,3,))*$F229)</f>
        <v>0</v>
      </c>
      <c r="W229" s="18">
        <f>IF(VLOOKUP($E229,$D$5:$AI$471,3,)=0,0,(VLOOKUP($E229,$D$5:$AI$471,20,)/VLOOKUP($E229,$D$5:$AI$471,3,))*$F229)</f>
        <v>0</v>
      </c>
      <c r="X229" s="18">
        <f>IF(VLOOKUP($E229,$D$5:$AI$471,3,)=0,0,(VLOOKUP($E229,$D$5:$AI$471,21,)/VLOOKUP($E229,$D$5:$AI$471,3,))*$F229)</f>
        <v>0</v>
      </c>
      <c r="Y229" s="18">
        <f>IF(VLOOKUP($E229,$D$5:$AI$471,3,)=0,0,(VLOOKUP($E229,$D$5:$AI$471,22,)/VLOOKUP($E229,$D$5:$AI$471,3,))*$F229)</f>
        <v>0</v>
      </c>
      <c r="Z229" s="18">
        <f>IF(VLOOKUP($E229,$D$5:$AI$471,3,)=0,0,(VLOOKUP($E229,$D$5:$AI$471,23,)/VLOOKUP($E229,$D$5:$AI$471,3,))*$F229)</f>
        <v>0</v>
      </c>
      <c r="AA229" s="18">
        <f>IF(VLOOKUP($E229,$D$5:$AI$471,3,)=0,0,(VLOOKUP($E229,$D$5:$AI$471,24,)/VLOOKUP($E229,$D$5:$AI$471,3,))*$F229)</f>
        <v>0</v>
      </c>
      <c r="AB229" s="18">
        <f>IF(VLOOKUP($E229,$D$5:$AI$471,3,)=0,0,(VLOOKUP($E229,$D$5:$AI$471,25,)/VLOOKUP($E229,$D$5:$AI$471,3,))*$F229)</f>
        <v>0</v>
      </c>
      <c r="AC229" s="18">
        <f>IF(VLOOKUP($E229,$D$5:$AI$471,3,)=0,0,(VLOOKUP($E229,$D$5:$AI$471,26,)/VLOOKUP($E229,$D$5:$AI$471,3,))*$F229)</f>
        <v>0</v>
      </c>
      <c r="AD229" s="18">
        <f>IF(VLOOKUP($E229,$D$5:$AI$471,3,)=0,0,(VLOOKUP($E229,$D$5:$AI$471,27,)/VLOOKUP($E229,$D$5:$AI$471,3,))*$F229)</f>
        <v>0</v>
      </c>
      <c r="AE229" s="18">
        <f>IF(VLOOKUP($E229,$D$5:$AI$471,3,)=0,0,(VLOOKUP($E229,$D$5:$AI$471,28,)/VLOOKUP($E229,$D$5:$AI$471,3,))*$F229)</f>
        <v>0</v>
      </c>
      <c r="AF229" s="18">
        <f>IF(VLOOKUP($E229,$D$5:$AI$471,3,)=0,0,(VLOOKUP($E229,$D$5:$AI$471,29,)/VLOOKUP($E229,$D$5:$AI$471,3,))*$F229)</f>
        <v>0</v>
      </c>
      <c r="AG229" s="18">
        <f>IF(VLOOKUP($E229,$D$5:$AI$471,3,)=0,0,(VLOOKUP($E229,$D$5:$AI$471,30,)/VLOOKUP($E229,$D$5:$AI$471,3,))*$F229)</f>
        <v>0</v>
      </c>
      <c r="AH229" s="20">
        <f>SUM(G229:AG229)</f>
        <v>103009.29750291565</v>
      </c>
      <c r="AI229" s="15" t="str">
        <f>IF(ABS(F229-AH229)&lt;0.01,"ok","err")</f>
        <v>ok</v>
      </c>
    </row>
    <row r="230" spans="1:35" x14ac:dyDescent="0.3">
      <c r="F230" s="19"/>
    </row>
    <row r="231" spans="1:35" x14ac:dyDescent="0.3">
      <c r="F231" s="19"/>
    </row>
    <row r="232" spans="1:35" x14ac:dyDescent="0.3">
      <c r="A232" s="2" t="s">
        <v>1</v>
      </c>
      <c r="D232" s="2" t="s">
        <v>650</v>
      </c>
      <c r="F232" s="18">
        <f>F220+F223+F226+F229</f>
        <v>107360754</v>
      </c>
      <c r="G232" s="18">
        <f t="shared" ref="G232:AG232" si="39">G220+G223+G226+G229</f>
        <v>84272881.753962964</v>
      </c>
      <c r="H232" s="18">
        <f t="shared" si="39"/>
        <v>6291359.5247002151</v>
      </c>
      <c r="I232" s="18">
        <f t="shared" si="39"/>
        <v>2243718.7909540166</v>
      </c>
      <c r="J232" s="18">
        <f t="shared" si="39"/>
        <v>3654831.4438056136</v>
      </c>
      <c r="K232" s="18">
        <f t="shared" si="39"/>
        <v>10147809.762824083</v>
      </c>
      <c r="L232" s="18">
        <f t="shared" si="39"/>
        <v>231493.05206315825</v>
      </c>
      <c r="M232" s="18">
        <f t="shared" si="39"/>
        <v>518659.67168991378</v>
      </c>
      <c r="N232" s="18">
        <f t="shared" si="39"/>
        <v>0</v>
      </c>
      <c r="O232" s="18">
        <f t="shared" si="39"/>
        <v>0</v>
      </c>
      <c r="P232" s="18">
        <f t="shared" si="39"/>
        <v>0</v>
      </c>
      <c r="Q232" s="18">
        <f t="shared" si="39"/>
        <v>0</v>
      </c>
      <c r="R232" s="18">
        <f t="shared" si="39"/>
        <v>0</v>
      </c>
      <c r="S232" s="18">
        <f t="shared" si="39"/>
        <v>0</v>
      </c>
      <c r="T232" s="18">
        <f t="shared" si="39"/>
        <v>0</v>
      </c>
      <c r="U232" s="18">
        <f t="shared" si="39"/>
        <v>0</v>
      </c>
      <c r="V232" s="18">
        <f t="shared" si="39"/>
        <v>0</v>
      </c>
      <c r="W232" s="18">
        <f t="shared" si="39"/>
        <v>0</v>
      </c>
      <c r="X232" s="18">
        <f t="shared" si="39"/>
        <v>0</v>
      </c>
      <c r="Y232" s="18">
        <f t="shared" si="39"/>
        <v>0</v>
      </c>
      <c r="Z232" s="18">
        <f t="shared" si="39"/>
        <v>0</v>
      </c>
      <c r="AA232" s="18">
        <f t="shared" si="39"/>
        <v>0</v>
      </c>
      <c r="AB232" s="18">
        <f t="shared" si="39"/>
        <v>0</v>
      </c>
      <c r="AC232" s="18">
        <f t="shared" si="39"/>
        <v>0</v>
      </c>
      <c r="AD232" s="18">
        <f t="shared" si="39"/>
        <v>0</v>
      </c>
      <c r="AE232" s="18">
        <f t="shared" si="39"/>
        <v>0</v>
      </c>
      <c r="AF232" s="18">
        <f t="shared" si="39"/>
        <v>0</v>
      </c>
      <c r="AG232" s="18">
        <f t="shared" si="39"/>
        <v>0</v>
      </c>
      <c r="AH232" s="20">
        <f>SUM(G232:AG232)</f>
        <v>107360753.99999997</v>
      </c>
      <c r="AI232" s="15" t="str">
        <f>IF(ABS(F232-AH232)&lt;0.01,"ok","err")</f>
        <v>ok</v>
      </c>
    </row>
    <row r="233" spans="1:35" x14ac:dyDescent="0.3"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5"/>
    </row>
    <row r="234" spans="1:35" x14ac:dyDescent="0.3"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20"/>
      <c r="AI234" s="15"/>
    </row>
    <row r="235" spans="1:35" x14ac:dyDescent="0.3">
      <c r="A235" s="16" t="s">
        <v>651</v>
      </c>
    </row>
    <row r="236" spans="1:35" x14ac:dyDescent="0.3">
      <c r="F236" s="20"/>
    </row>
    <row r="237" spans="1:35" x14ac:dyDescent="0.3">
      <c r="A237" s="3" t="s">
        <v>652</v>
      </c>
    </row>
    <row r="238" spans="1:35" x14ac:dyDescent="0.3">
      <c r="A238" s="21" t="s">
        <v>653</v>
      </c>
      <c r="D238" s="2" t="s">
        <v>654</v>
      </c>
      <c r="E238" s="2" t="s">
        <v>655</v>
      </c>
      <c r="F238" s="44">
        <v>1064315497</v>
      </c>
      <c r="G238" s="18">
        <f>IF(VLOOKUP($E238,$D$5:$AI$471,3,)=0,0,(VLOOKUP($E238,$D$5:$AI$471,4,)/VLOOKUP($E238,$D$5:$AI$471,3,))*$F238)</f>
        <v>802186833.29582334</v>
      </c>
      <c r="H238" s="18">
        <f>IF(VLOOKUP($E238,$D$5:$AI$471,3,)=0,0,(VLOOKUP($E238,$D$5:$AI$471,5,)/VLOOKUP($E238,$D$5:$AI$471,3,))*$F238)</f>
        <v>76651718.270461783</v>
      </c>
      <c r="I238" s="18">
        <f>IF(VLOOKUP($E238,$D$5:$AI$471,3,)=0,0,(VLOOKUP($E238,$D$5:$AI$471,6,)/VLOOKUP($E238,$D$5:$AI$471,3,))*$F238)</f>
        <v>30261663.5015711</v>
      </c>
      <c r="J238" s="18">
        <f>IF(VLOOKUP($E238,$D$5:$AI$471,3,)=0,0,(VLOOKUP($E238,$D$5:$AI$471,7,)/VLOOKUP($E238,$D$5:$AI$471,3,))*$F238)</f>
        <v>45700645.757464081</v>
      </c>
      <c r="K238" s="18">
        <f>IF(VLOOKUP($E238,$D$5:$AI$471,3,)=0,0,(VLOOKUP($E238,$D$5:$AI$471,8,)/VLOOKUP($E238,$D$5:$AI$471,3,))*$F238)</f>
        <v>82398978.365719587</v>
      </c>
      <c r="L238" s="18">
        <f>IF(VLOOKUP($E238,$D$5:$AI$471,3,)=0,0,(VLOOKUP($E238,$D$5:$AI$471,9,)/VLOOKUP($E238,$D$5:$AI$471,3,))*$F238)</f>
        <v>13169153.218271764</v>
      </c>
      <c r="M238" s="18">
        <f>IF(VLOOKUP($E238,$D$5:$AI$471,3,)=0,0,(VLOOKUP($E238,$D$5:$AI$471,10,)/VLOOKUP($E238,$D$5:$AI$471,3,))*$F238)</f>
        <v>13946504.590688303</v>
      </c>
      <c r="N238" s="18">
        <f>IF(VLOOKUP($E238,$D$5:$AI$471,3,)=0,0,(VLOOKUP($E238,$D$5:$AI$471,11,)/VLOOKUP($E238,$D$5:$AI$471,3,))*$F238)</f>
        <v>0</v>
      </c>
      <c r="O238" s="18">
        <f>IF(VLOOKUP($E238,$D$5:$AI$471,3,)=0,0,(VLOOKUP($E238,$D$5:$AI$471,12,)/VLOOKUP($E238,$D$5:$AI$471,3,))*$F238)</f>
        <v>0</v>
      </c>
      <c r="P238" s="18">
        <f>IF(VLOOKUP($E238,$D$5:$AI$471,3,)=0,0,(VLOOKUP($E238,$D$5:$AI$471,13,)/VLOOKUP($E238,$D$5:$AI$471,3,))*$F238)</f>
        <v>0</v>
      </c>
      <c r="Q238" s="18">
        <f>IF(VLOOKUP($E238,$D$5:$AI$471,3,)=0,0,(VLOOKUP($E238,$D$5:$AI$471,14,)/VLOOKUP($E238,$D$5:$AI$471,3,))*$F238)</f>
        <v>0</v>
      </c>
      <c r="R238" s="18">
        <f>IF(VLOOKUP($E238,$D$5:$AI$471,3,)=0,0,(VLOOKUP($E238,$D$5:$AI$471,15,)/VLOOKUP($E238,$D$5:$AI$471,3,))*$F238)</f>
        <v>0</v>
      </c>
      <c r="S238" s="18">
        <f>IF(VLOOKUP($E238,$D$5:$AI$471,3,)=0,0,(VLOOKUP($E238,$D$5:$AI$471,16,)/VLOOKUP($E238,$D$5:$AI$471,3,))*$F238)</f>
        <v>0</v>
      </c>
      <c r="T238" s="18">
        <f>IF(VLOOKUP($E238,$D$5:$AI$471,3,)=0,0,(VLOOKUP($E238,$D$5:$AI$471,17,)/VLOOKUP($E238,$D$5:$AI$471,3,))*$F238)</f>
        <v>0</v>
      </c>
      <c r="U238" s="18">
        <f>IF(VLOOKUP($E238,$D$5:$AI$471,3,)=0,0,(VLOOKUP($E238,$D$5:$AI$471,18,)/VLOOKUP($E238,$D$5:$AI$471,3,))*$F238)</f>
        <v>0</v>
      </c>
      <c r="V238" s="18">
        <f>IF(VLOOKUP($E238,$D$5:$AI$471,3,)=0,0,(VLOOKUP($E238,$D$5:$AI$471,19,)/VLOOKUP($E238,$D$5:$AI$471,3,))*$F238)</f>
        <v>0</v>
      </c>
      <c r="W238" s="18">
        <f>IF(VLOOKUP($E238,$D$5:$AI$471,3,)=0,0,(VLOOKUP($E238,$D$5:$AI$471,20,)/VLOOKUP($E238,$D$5:$AI$471,3,))*$F238)</f>
        <v>0</v>
      </c>
      <c r="X238" s="18">
        <f>IF(VLOOKUP($E238,$D$5:$AI$471,3,)=0,0,(VLOOKUP($E238,$D$5:$AI$471,21,)/VLOOKUP($E238,$D$5:$AI$471,3,))*$F238)</f>
        <v>0</v>
      </c>
      <c r="Y238" s="18">
        <f>IF(VLOOKUP($E238,$D$5:$AI$471,3,)=0,0,(VLOOKUP($E238,$D$5:$AI$471,22,)/VLOOKUP($E238,$D$5:$AI$471,3,))*$F238)</f>
        <v>0</v>
      </c>
      <c r="Z238" s="18">
        <f>IF(VLOOKUP($E238,$D$5:$AI$471,3,)=0,0,(VLOOKUP($E238,$D$5:$AI$471,23,)/VLOOKUP($E238,$D$5:$AI$471,3,))*$F238)</f>
        <v>0</v>
      </c>
      <c r="AA238" s="18">
        <f>IF(VLOOKUP($E238,$D$5:$AI$471,3,)=0,0,(VLOOKUP($E238,$D$5:$AI$471,24,)/VLOOKUP($E238,$D$5:$AI$471,3,))*$F238)</f>
        <v>0</v>
      </c>
      <c r="AB238" s="18">
        <f>IF(VLOOKUP($E238,$D$5:$AI$471,3,)=0,0,(VLOOKUP($E238,$D$5:$AI$471,25,)/VLOOKUP($E238,$D$5:$AI$471,3,))*$F238)</f>
        <v>0</v>
      </c>
      <c r="AC238" s="18">
        <f>IF(VLOOKUP($E238,$D$5:$AI$471,3,)=0,0,(VLOOKUP($E238,$D$5:$AI$471,26,)/VLOOKUP($E238,$D$5:$AI$471,3,))*$F238)</f>
        <v>0</v>
      </c>
      <c r="AD238" s="18">
        <f>IF(VLOOKUP($E238,$D$5:$AI$471,3,)=0,0,(VLOOKUP($E238,$D$5:$AI$471,27,)/VLOOKUP($E238,$D$5:$AI$471,3,))*$F238)</f>
        <v>0</v>
      </c>
      <c r="AE238" s="18">
        <f>IF(VLOOKUP($E238,$D$5:$AI$471,3,)=0,0,(VLOOKUP($E238,$D$5:$AI$471,28,)/VLOOKUP($E238,$D$5:$AI$471,3,))*$F238)</f>
        <v>0</v>
      </c>
      <c r="AF238" s="18">
        <f>IF(VLOOKUP($E238,$D$5:$AI$471,3,)=0,0,(VLOOKUP($E238,$D$5:$AI$471,29,)/VLOOKUP($E238,$D$5:$AI$471,3,))*$F238)</f>
        <v>0</v>
      </c>
      <c r="AG238" s="18">
        <f>IF(VLOOKUP($E238,$D$5:$AI$471,3,)=0,0,(VLOOKUP($E238,$D$5:$AI$471,30,)/VLOOKUP($E238,$D$5:$AI$471,3,))*$F238)</f>
        <v>0</v>
      </c>
      <c r="AH238" s="20">
        <f t="shared" ref="AH238:AH247" si="40">SUM(G238:AG238)</f>
        <v>1064315496.9999999</v>
      </c>
      <c r="AI238" s="15" t="str">
        <f t="shared" ref="AI238:AI247" si="41">IF(ABS(F238-AH238)&lt;0.01,"ok","err")</f>
        <v>ok</v>
      </c>
    </row>
    <row r="239" spans="1:35" x14ac:dyDescent="0.3">
      <c r="A239" s="21" t="s">
        <v>656</v>
      </c>
      <c r="E239" s="2" t="s">
        <v>122</v>
      </c>
      <c r="F239" s="44">
        <v>45436</v>
      </c>
      <c r="G239" s="18">
        <f>IF(VLOOKUP($E239,$D$5:$AI$471,3,)=0,0,(VLOOKUP($E239,$D$5:$AI$471,4,)/VLOOKUP($E239,$D$5:$AI$471,3,))*$F239)</f>
        <v>31713.195836175804</v>
      </c>
      <c r="H239" s="18">
        <f>IF(VLOOKUP($E239,$D$5:$AI$471,3,)=0,0,(VLOOKUP($E239,$D$5:$AI$471,5,)/VLOOKUP($E239,$D$5:$AI$471,3,))*$F239)</f>
        <v>3659.3172646806388</v>
      </c>
      <c r="I239" s="18">
        <f>IF(VLOOKUP($E239,$D$5:$AI$471,3,)=0,0,(VLOOKUP($E239,$D$5:$AI$471,6,)/VLOOKUP($E239,$D$5:$AI$471,3,))*$F239)</f>
        <v>1487.1876101409159</v>
      </c>
      <c r="J239" s="18">
        <f>IF(VLOOKUP($E239,$D$5:$AI$471,3,)=0,0,(VLOOKUP($E239,$D$5:$AI$471,7,)/VLOOKUP($E239,$D$5:$AI$471,3,))*$F239)</f>
        <v>2207.4374155766491</v>
      </c>
      <c r="K239" s="18">
        <f>IF(VLOOKUP($E239,$D$5:$AI$471,3,)=0,0,(VLOOKUP($E239,$D$5:$AI$471,8,)/VLOOKUP($E239,$D$5:$AI$471,3,))*$F239)</f>
        <v>4751.5153009978767</v>
      </c>
      <c r="L239" s="18">
        <f>IF(VLOOKUP($E239,$D$5:$AI$471,3,)=0,0,(VLOOKUP($E239,$D$5:$AI$471,9,)/VLOOKUP($E239,$D$5:$AI$471,3,))*$F239)</f>
        <v>948.28095760357235</v>
      </c>
      <c r="M239" s="18">
        <f>IF(VLOOKUP($E239,$D$5:$AI$471,3,)=0,0,(VLOOKUP($E239,$D$5:$AI$471,10,)/VLOOKUP($E239,$D$5:$AI$471,3,))*$F239)</f>
        <v>669.06561482454549</v>
      </c>
      <c r="N239" s="18">
        <f>IF(VLOOKUP($E239,$D$5:$AI$471,3,)=0,0,(VLOOKUP($E239,$D$5:$AI$471,11,)/VLOOKUP($E239,$D$5:$AI$471,3,))*$F239)</f>
        <v>0</v>
      </c>
      <c r="O239" s="18">
        <f>IF(VLOOKUP($E239,$D$5:$AI$471,3,)=0,0,(VLOOKUP($E239,$D$5:$AI$471,12,)/VLOOKUP($E239,$D$5:$AI$471,3,))*$F239)</f>
        <v>0</v>
      </c>
      <c r="P239" s="18">
        <f>IF(VLOOKUP($E239,$D$5:$AI$471,3,)=0,0,(VLOOKUP($E239,$D$5:$AI$471,13,)/VLOOKUP($E239,$D$5:$AI$471,3,))*$F239)</f>
        <v>0</v>
      </c>
      <c r="Q239" s="18">
        <f>IF(VLOOKUP($E239,$D$5:$AI$471,3,)=0,0,(VLOOKUP($E239,$D$5:$AI$471,14,)/VLOOKUP($E239,$D$5:$AI$471,3,))*$F239)</f>
        <v>0</v>
      </c>
      <c r="R239" s="18">
        <f>IF(VLOOKUP($E239,$D$5:$AI$471,3,)=0,0,(VLOOKUP($E239,$D$5:$AI$471,15,)/VLOOKUP($E239,$D$5:$AI$471,3,))*$F239)</f>
        <v>0</v>
      </c>
      <c r="S239" s="18">
        <f>IF(VLOOKUP($E239,$D$5:$AI$471,3,)=0,0,(VLOOKUP($E239,$D$5:$AI$471,16,)/VLOOKUP($E239,$D$5:$AI$471,3,))*$F239)</f>
        <v>0</v>
      </c>
      <c r="T239" s="18">
        <f>IF(VLOOKUP($E239,$D$5:$AI$471,3,)=0,0,(VLOOKUP($E239,$D$5:$AI$471,17,)/VLOOKUP($E239,$D$5:$AI$471,3,))*$F239)</f>
        <v>0</v>
      </c>
      <c r="U239" s="18">
        <f>IF(VLOOKUP($E239,$D$5:$AI$471,3,)=0,0,(VLOOKUP($E239,$D$5:$AI$471,18,)/VLOOKUP($E239,$D$5:$AI$471,3,))*$F239)</f>
        <v>0</v>
      </c>
      <c r="V239" s="18">
        <f>IF(VLOOKUP($E239,$D$5:$AI$471,3,)=0,0,(VLOOKUP($E239,$D$5:$AI$471,19,)/VLOOKUP($E239,$D$5:$AI$471,3,))*$F239)</f>
        <v>0</v>
      </c>
      <c r="W239" s="18">
        <f>IF(VLOOKUP($E239,$D$5:$AI$471,3,)=0,0,(VLOOKUP($E239,$D$5:$AI$471,20,)/VLOOKUP($E239,$D$5:$AI$471,3,))*$F239)</f>
        <v>0</v>
      </c>
      <c r="X239" s="18">
        <f>IF(VLOOKUP($E239,$D$5:$AI$471,3,)=0,0,(VLOOKUP($E239,$D$5:$AI$471,21,)/VLOOKUP($E239,$D$5:$AI$471,3,))*$F239)</f>
        <v>0</v>
      </c>
      <c r="Y239" s="18">
        <f>IF(VLOOKUP($E239,$D$5:$AI$471,3,)=0,0,(VLOOKUP($E239,$D$5:$AI$471,22,)/VLOOKUP($E239,$D$5:$AI$471,3,))*$F239)</f>
        <v>0</v>
      </c>
      <c r="Z239" s="18">
        <f>IF(VLOOKUP($E239,$D$5:$AI$471,3,)=0,0,(VLOOKUP($E239,$D$5:$AI$471,23,)/VLOOKUP($E239,$D$5:$AI$471,3,))*$F239)</f>
        <v>0</v>
      </c>
      <c r="AA239" s="18">
        <f>IF(VLOOKUP($E239,$D$5:$AI$471,3,)=0,0,(VLOOKUP($E239,$D$5:$AI$471,24,)/VLOOKUP($E239,$D$5:$AI$471,3,))*$F239)</f>
        <v>0</v>
      </c>
      <c r="AB239" s="18">
        <f>IF(VLOOKUP($E239,$D$5:$AI$471,3,)=0,0,(VLOOKUP($E239,$D$5:$AI$471,25,)/VLOOKUP($E239,$D$5:$AI$471,3,))*$F239)</f>
        <v>0</v>
      </c>
      <c r="AC239" s="18">
        <f>IF(VLOOKUP($E239,$D$5:$AI$471,3,)=0,0,(VLOOKUP($E239,$D$5:$AI$471,26,)/VLOOKUP($E239,$D$5:$AI$471,3,))*$F239)</f>
        <v>0</v>
      </c>
      <c r="AD239" s="18">
        <f>IF(VLOOKUP($E239,$D$5:$AI$471,3,)=0,0,(VLOOKUP($E239,$D$5:$AI$471,27,)/VLOOKUP($E239,$D$5:$AI$471,3,))*$F239)</f>
        <v>0</v>
      </c>
      <c r="AE239" s="18">
        <f>IF(VLOOKUP($E239,$D$5:$AI$471,3,)=0,0,(VLOOKUP($E239,$D$5:$AI$471,28,)/VLOOKUP($E239,$D$5:$AI$471,3,))*$F239)</f>
        <v>0</v>
      </c>
      <c r="AF239" s="18">
        <f>IF(VLOOKUP($E239,$D$5:$AI$471,3,)=0,0,(VLOOKUP($E239,$D$5:$AI$471,29,)/VLOOKUP($E239,$D$5:$AI$471,3,))*$F239)</f>
        <v>0</v>
      </c>
      <c r="AG239" s="18">
        <f>IF(VLOOKUP($E239,$D$5:$AI$471,3,)=0,0,(VLOOKUP($E239,$D$5:$AI$471,30,)/VLOOKUP($E239,$D$5:$AI$471,3,))*$F239)</f>
        <v>0</v>
      </c>
      <c r="AH239" s="20">
        <f t="shared" si="40"/>
        <v>45436</v>
      </c>
      <c r="AI239" s="15" t="str">
        <f t="shared" si="41"/>
        <v>ok</v>
      </c>
    </row>
    <row r="240" spans="1:35" x14ac:dyDescent="0.3">
      <c r="A240" s="21" t="s">
        <v>657</v>
      </c>
      <c r="E240" s="2" t="s">
        <v>658</v>
      </c>
      <c r="F240" s="44">
        <v>-15706696</v>
      </c>
      <c r="G240" s="18">
        <f>IF(VLOOKUP($E240,$D$5:$AI$471,3,)=0,0,(VLOOKUP($E240,$D$5:$AI$471,4,)/VLOOKUP($E240,$D$5:$AI$471,3,))*$F240)</f>
        <v>-11983190.88030532</v>
      </c>
      <c r="H240" s="18">
        <f>IF(VLOOKUP($E240,$D$5:$AI$471,3,)=0,0,(VLOOKUP($E240,$D$5:$AI$471,5,)/VLOOKUP($E240,$D$5:$AI$471,3,))*$F240)</f>
        <v>-1209864.3225237292</v>
      </c>
      <c r="I240" s="18">
        <f>IF(VLOOKUP($E240,$D$5:$AI$471,3,)=0,0,(VLOOKUP($E240,$D$5:$AI$471,6,)/VLOOKUP($E240,$D$5:$AI$471,3,))*$F240)</f>
        <v>-465886.7443410093</v>
      </c>
      <c r="J240" s="18">
        <f>IF(VLOOKUP($E240,$D$5:$AI$471,3,)=0,0,(VLOOKUP($E240,$D$5:$AI$471,7,)/VLOOKUP($E240,$D$5:$AI$471,3,))*$F240)</f>
        <v>-492471.48483590275</v>
      </c>
      <c r="K240" s="18">
        <f>IF(VLOOKUP($E240,$D$5:$AI$471,3,)=0,0,(VLOOKUP($E240,$D$5:$AI$471,8,)/VLOOKUP($E240,$D$5:$AI$471,3,))*$F240)</f>
        <v>-1555282.5679940381</v>
      </c>
      <c r="L240" s="18">
        <f>IF(VLOOKUP($E240,$D$5:$AI$471,3,)=0,0,(VLOOKUP($E240,$D$5:$AI$471,9,)/VLOOKUP($E240,$D$5:$AI$471,3,))*$F240)</f>
        <v>0</v>
      </c>
      <c r="M240" s="18">
        <f>IF(VLOOKUP($E240,$D$5:$AI$471,3,)=0,0,(VLOOKUP($E240,$D$5:$AI$471,10,)/VLOOKUP($E240,$D$5:$AI$471,3,))*$F240)</f>
        <v>0</v>
      </c>
      <c r="N240" s="18">
        <f>IF(VLOOKUP($E240,$D$5:$AI$471,3,)=0,0,(VLOOKUP($E240,$D$5:$AI$471,11,)/VLOOKUP($E240,$D$5:$AI$471,3,))*$F240)</f>
        <v>0</v>
      </c>
      <c r="O240" s="18">
        <f>IF(VLOOKUP($E240,$D$5:$AI$471,3,)=0,0,(VLOOKUP($E240,$D$5:$AI$471,12,)/VLOOKUP($E240,$D$5:$AI$471,3,))*$F240)</f>
        <v>0</v>
      </c>
      <c r="P240" s="18">
        <f>IF(VLOOKUP($E240,$D$5:$AI$471,3,)=0,0,(VLOOKUP($E240,$D$5:$AI$471,13,)/VLOOKUP($E240,$D$5:$AI$471,3,))*$F240)</f>
        <v>0</v>
      </c>
      <c r="Q240" s="18">
        <f>IF(VLOOKUP($E240,$D$5:$AI$471,3,)=0,0,(VLOOKUP($E240,$D$5:$AI$471,14,)/VLOOKUP($E240,$D$5:$AI$471,3,))*$F240)</f>
        <v>0</v>
      </c>
      <c r="R240" s="18">
        <f>IF(VLOOKUP($E240,$D$5:$AI$471,3,)=0,0,(VLOOKUP($E240,$D$5:$AI$471,15,)/VLOOKUP($E240,$D$5:$AI$471,3,))*$F240)</f>
        <v>0</v>
      </c>
      <c r="S240" s="18">
        <f>IF(VLOOKUP($E240,$D$5:$AI$471,3,)=0,0,(VLOOKUP($E240,$D$5:$AI$471,16,)/VLOOKUP($E240,$D$5:$AI$471,3,))*$F240)</f>
        <v>0</v>
      </c>
      <c r="T240" s="18">
        <f>IF(VLOOKUP($E240,$D$5:$AI$471,3,)=0,0,(VLOOKUP($E240,$D$5:$AI$471,17,)/VLOOKUP($E240,$D$5:$AI$471,3,))*$F240)</f>
        <v>0</v>
      </c>
      <c r="U240" s="18">
        <f>IF(VLOOKUP($E240,$D$5:$AI$471,3,)=0,0,(VLOOKUP($E240,$D$5:$AI$471,18,)/VLOOKUP($E240,$D$5:$AI$471,3,))*$F240)</f>
        <v>0</v>
      </c>
      <c r="V240" s="18">
        <f>IF(VLOOKUP($E240,$D$5:$AI$471,3,)=0,0,(VLOOKUP($E240,$D$5:$AI$471,19,)/VLOOKUP($E240,$D$5:$AI$471,3,))*$F240)</f>
        <v>0</v>
      </c>
      <c r="W240" s="18">
        <f>IF(VLOOKUP($E240,$D$5:$AI$471,3,)=0,0,(VLOOKUP($E240,$D$5:$AI$471,20,)/VLOOKUP($E240,$D$5:$AI$471,3,))*$F240)</f>
        <v>0</v>
      </c>
      <c r="X240" s="18">
        <f>IF(VLOOKUP($E240,$D$5:$AI$471,3,)=0,0,(VLOOKUP($E240,$D$5:$AI$471,21,)/VLOOKUP($E240,$D$5:$AI$471,3,))*$F240)</f>
        <v>0</v>
      </c>
      <c r="Y240" s="18">
        <f>IF(VLOOKUP($E240,$D$5:$AI$471,3,)=0,0,(VLOOKUP($E240,$D$5:$AI$471,22,)/VLOOKUP($E240,$D$5:$AI$471,3,))*$F240)</f>
        <v>0</v>
      </c>
      <c r="Z240" s="18">
        <f>IF(VLOOKUP($E240,$D$5:$AI$471,3,)=0,0,(VLOOKUP($E240,$D$5:$AI$471,23,)/VLOOKUP($E240,$D$5:$AI$471,3,))*$F240)</f>
        <v>0</v>
      </c>
      <c r="AA240" s="18">
        <f>IF(VLOOKUP($E240,$D$5:$AI$471,3,)=0,0,(VLOOKUP($E240,$D$5:$AI$471,24,)/VLOOKUP($E240,$D$5:$AI$471,3,))*$F240)</f>
        <v>0</v>
      </c>
      <c r="AB240" s="18">
        <f>IF(VLOOKUP($E240,$D$5:$AI$471,3,)=0,0,(VLOOKUP($E240,$D$5:$AI$471,25,)/VLOOKUP($E240,$D$5:$AI$471,3,))*$F240)</f>
        <v>0</v>
      </c>
      <c r="AC240" s="18">
        <f>IF(VLOOKUP($E240,$D$5:$AI$471,3,)=0,0,(VLOOKUP($E240,$D$5:$AI$471,26,)/VLOOKUP($E240,$D$5:$AI$471,3,))*$F240)</f>
        <v>0</v>
      </c>
      <c r="AD240" s="18">
        <f>IF(VLOOKUP($E240,$D$5:$AI$471,3,)=0,0,(VLOOKUP($E240,$D$5:$AI$471,27,)/VLOOKUP($E240,$D$5:$AI$471,3,))*$F240)</f>
        <v>0</v>
      </c>
      <c r="AE240" s="18">
        <f>IF(VLOOKUP($E240,$D$5:$AI$471,3,)=0,0,(VLOOKUP($E240,$D$5:$AI$471,28,)/VLOOKUP($E240,$D$5:$AI$471,3,))*$F240)</f>
        <v>0</v>
      </c>
      <c r="AF240" s="18">
        <f>IF(VLOOKUP($E240,$D$5:$AI$471,3,)=0,0,(VLOOKUP($E240,$D$5:$AI$471,29,)/VLOOKUP($E240,$D$5:$AI$471,3,))*$F240)</f>
        <v>0</v>
      </c>
      <c r="AG240" s="18">
        <f>IF(VLOOKUP($E240,$D$5:$AI$471,3,)=0,0,(VLOOKUP($E240,$D$5:$AI$471,30,)/VLOOKUP($E240,$D$5:$AI$471,3,))*$F240)</f>
        <v>0</v>
      </c>
      <c r="AH240" s="20">
        <f t="shared" ref="AH240" si="42">SUM(G240:AG240)</f>
        <v>-15706696</v>
      </c>
      <c r="AI240" s="15" t="str">
        <f t="shared" ref="AI240" si="43">IF(ABS(F240-AH240)&lt;0.01,"ok","err")</f>
        <v>ok</v>
      </c>
    </row>
    <row r="241" spans="1:35" x14ac:dyDescent="0.3">
      <c r="A241" s="21" t="s">
        <v>659</v>
      </c>
      <c r="F241" s="44">
        <v>-182800</v>
      </c>
      <c r="G241" s="18"/>
      <c r="H241" s="18"/>
      <c r="I241" s="18"/>
      <c r="J241" s="18"/>
      <c r="K241" s="18"/>
      <c r="L241" s="18"/>
      <c r="M241" s="18">
        <f>F241</f>
        <v>-182800</v>
      </c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20">
        <f t="shared" ref="AH241" si="44">SUM(G241:AG241)</f>
        <v>-182800</v>
      </c>
      <c r="AI241" s="15" t="str">
        <f t="shared" ref="AI241:AI242" si="45">IF(ABS(F241-AH241)&lt;0.01,"ok","err")</f>
        <v>ok</v>
      </c>
    </row>
    <row r="242" spans="1:35" x14ac:dyDescent="0.3">
      <c r="A242" s="21" t="s">
        <v>660</v>
      </c>
      <c r="E242" s="2" t="s">
        <v>661</v>
      </c>
      <c r="F242" s="44">
        <v>4467824</v>
      </c>
      <c r="G242" s="18">
        <f>IF(VLOOKUP($E242,$D$5:$AI$471,3,)=0,0,(VLOOKUP($E242,$D$5:$AI$471,4,)/VLOOKUP($E242,$D$5:$AI$471,3,))*$F242)</f>
        <v>3418263.0415584296</v>
      </c>
      <c r="H242" s="18">
        <f>IF(VLOOKUP($E242,$D$5:$AI$471,3,)=0,0,(VLOOKUP($E242,$D$5:$AI$471,5,)/VLOOKUP($E242,$D$5:$AI$471,3,))*$F242)</f>
        <v>327913.87387597316</v>
      </c>
      <c r="I242" s="18">
        <f>IF(VLOOKUP($E242,$D$5:$AI$471,3,)=0,0,(VLOOKUP($E242,$D$5:$AI$471,6,)/VLOOKUP($E242,$D$5:$AI$471,3,))*$F242)</f>
        <v>132991.69203498552</v>
      </c>
      <c r="J242" s="18">
        <f>IF(VLOOKUP($E242,$D$5:$AI$471,3,)=0,0,(VLOOKUP($E242,$D$5:$AI$471,7,)/VLOOKUP($E242,$D$5:$AI$471,3,))*$F242)</f>
        <v>196582.90330209219</v>
      </c>
      <c r="K242" s="18">
        <f>IF(VLOOKUP($E242,$D$5:$AI$471,3,)=0,0,(VLOOKUP($E242,$D$5:$AI$471,8,)/VLOOKUP($E242,$D$5:$AI$471,3,))*$F242)</f>
        <v>353195.57518425799</v>
      </c>
      <c r="L242" s="18">
        <f>IF(VLOOKUP($E242,$D$5:$AI$471,3,)=0,0,(VLOOKUP($E242,$D$5:$AI$471,9,)/VLOOKUP($E242,$D$5:$AI$471,3,))*$F242)</f>
        <v>38876.914044262041</v>
      </c>
      <c r="M242" s="18">
        <f>IF(VLOOKUP($E242,$D$5:$AI$471,3,)=0,0,(VLOOKUP($E242,$D$5:$AI$471,10,)/VLOOKUP($E242,$D$5:$AI$471,3,))*$F242)</f>
        <v>0</v>
      </c>
      <c r="N242" s="18">
        <f>IF(VLOOKUP($E242,$D$5:$AI$471,3,)=0,0,(VLOOKUP($E242,$D$5:$AI$471,11,)/VLOOKUP($E242,$D$5:$AI$471,3,))*$F242)</f>
        <v>0</v>
      </c>
      <c r="O242" s="18">
        <f>IF(VLOOKUP($E242,$D$5:$AI$471,3,)=0,0,(VLOOKUP($E242,$D$5:$AI$471,12,)/VLOOKUP($E242,$D$5:$AI$471,3,))*$F242)</f>
        <v>0</v>
      </c>
      <c r="P242" s="18">
        <f>IF(VLOOKUP($E242,$D$5:$AI$471,3,)=0,0,(VLOOKUP($E242,$D$5:$AI$471,13,)/VLOOKUP($E242,$D$5:$AI$471,3,))*$F242)</f>
        <v>0</v>
      </c>
      <c r="Q242" s="18">
        <f>IF(VLOOKUP($E242,$D$5:$AI$471,3,)=0,0,(VLOOKUP($E242,$D$5:$AI$471,14,)/VLOOKUP($E242,$D$5:$AI$471,3,))*$F242)</f>
        <v>0</v>
      </c>
      <c r="R242" s="18">
        <f>IF(VLOOKUP($E242,$D$5:$AI$471,3,)=0,0,(VLOOKUP($E242,$D$5:$AI$471,15,)/VLOOKUP($E242,$D$5:$AI$471,3,))*$F242)</f>
        <v>0</v>
      </c>
      <c r="S242" s="18">
        <f>IF(VLOOKUP($E242,$D$5:$AI$471,3,)=0,0,(VLOOKUP($E242,$D$5:$AI$471,16,)/VLOOKUP($E242,$D$5:$AI$471,3,))*$F242)</f>
        <v>0</v>
      </c>
      <c r="T242" s="18">
        <f>IF(VLOOKUP($E242,$D$5:$AI$471,3,)=0,0,(VLOOKUP($E242,$D$5:$AI$471,17,)/VLOOKUP($E242,$D$5:$AI$471,3,))*$F242)</f>
        <v>0</v>
      </c>
      <c r="U242" s="18">
        <f>IF(VLOOKUP($E242,$D$5:$AI$471,3,)=0,0,(VLOOKUP($E242,$D$5:$AI$471,18,)/VLOOKUP($E242,$D$5:$AI$471,3,))*$F242)</f>
        <v>0</v>
      </c>
      <c r="V242" s="18">
        <f>IF(VLOOKUP($E242,$D$5:$AI$471,3,)=0,0,(VLOOKUP($E242,$D$5:$AI$471,19,)/VLOOKUP($E242,$D$5:$AI$471,3,))*$F242)</f>
        <v>0</v>
      </c>
      <c r="W242" s="18">
        <f>IF(VLOOKUP($E242,$D$5:$AI$471,3,)=0,0,(VLOOKUP($E242,$D$5:$AI$471,20,)/VLOOKUP($E242,$D$5:$AI$471,3,))*$F242)</f>
        <v>0</v>
      </c>
      <c r="X242" s="18">
        <f>IF(VLOOKUP($E242,$D$5:$AI$471,3,)=0,0,(VLOOKUP($E242,$D$5:$AI$471,21,)/VLOOKUP($E242,$D$5:$AI$471,3,))*$F242)</f>
        <v>0</v>
      </c>
      <c r="Y242" s="18">
        <f>IF(VLOOKUP($E242,$D$5:$AI$471,3,)=0,0,(VLOOKUP($E242,$D$5:$AI$471,22,)/VLOOKUP($E242,$D$5:$AI$471,3,))*$F242)</f>
        <v>0</v>
      </c>
      <c r="Z242" s="18">
        <f>IF(VLOOKUP($E242,$D$5:$AI$471,3,)=0,0,(VLOOKUP($E242,$D$5:$AI$471,23,)/VLOOKUP($E242,$D$5:$AI$471,3,))*$F242)</f>
        <v>0</v>
      </c>
      <c r="AA242" s="18">
        <f>IF(VLOOKUP($E242,$D$5:$AI$471,3,)=0,0,(VLOOKUP($E242,$D$5:$AI$471,24,)/VLOOKUP($E242,$D$5:$AI$471,3,))*$F242)</f>
        <v>0</v>
      </c>
      <c r="AB242" s="18">
        <f>IF(VLOOKUP($E242,$D$5:$AI$471,3,)=0,0,(VLOOKUP($E242,$D$5:$AI$471,25,)/VLOOKUP($E242,$D$5:$AI$471,3,))*$F242)</f>
        <v>0</v>
      </c>
      <c r="AC242" s="18">
        <f>IF(VLOOKUP($E242,$D$5:$AI$471,3,)=0,0,(VLOOKUP($E242,$D$5:$AI$471,26,)/VLOOKUP($E242,$D$5:$AI$471,3,))*$F242)</f>
        <v>0</v>
      </c>
      <c r="AD242" s="18">
        <f>IF(VLOOKUP($E242,$D$5:$AI$471,3,)=0,0,(VLOOKUP($E242,$D$5:$AI$471,27,)/VLOOKUP($E242,$D$5:$AI$471,3,))*$F242)</f>
        <v>0</v>
      </c>
      <c r="AE242" s="18">
        <f>IF(VLOOKUP($E242,$D$5:$AI$471,3,)=0,0,(VLOOKUP($E242,$D$5:$AI$471,28,)/VLOOKUP($E242,$D$5:$AI$471,3,))*$F242)</f>
        <v>0</v>
      </c>
      <c r="AF242" s="18">
        <f>IF(VLOOKUP($E242,$D$5:$AI$471,3,)=0,0,(VLOOKUP($E242,$D$5:$AI$471,29,)/VLOOKUP($E242,$D$5:$AI$471,3,))*$F242)</f>
        <v>0</v>
      </c>
      <c r="AG242" s="18">
        <f>IF(VLOOKUP($E242,$D$5:$AI$471,3,)=0,0,(VLOOKUP($E242,$D$5:$AI$471,30,)/VLOOKUP($E242,$D$5:$AI$471,3,))*$F242)</f>
        <v>0</v>
      </c>
      <c r="AH242" s="20">
        <f t="shared" ref="AH242" si="46">SUM(G242:AG242)</f>
        <v>4467824</v>
      </c>
      <c r="AI242" s="15" t="str">
        <f t="shared" si="45"/>
        <v>ok</v>
      </c>
    </row>
    <row r="243" spans="1:35" x14ac:dyDescent="0.3">
      <c r="A243" s="21" t="s">
        <v>662</v>
      </c>
      <c r="F243" s="44">
        <v>89646</v>
      </c>
      <c r="G243" s="18"/>
      <c r="H243" s="18"/>
      <c r="I243" s="18"/>
      <c r="J243" s="18"/>
      <c r="K243" s="18"/>
      <c r="L243" s="18"/>
      <c r="M243" s="18">
        <f>F243</f>
        <v>89646</v>
      </c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20">
        <f t="shared" ref="AH243" si="47">SUM(G243:AG243)</f>
        <v>89646</v>
      </c>
      <c r="AI243" s="15" t="str">
        <f t="shared" ref="AI243" si="48">IF(ABS(F243-AH243)&lt;0.01,"ok","err")</f>
        <v>ok</v>
      </c>
    </row>
    <row r="244" spans="1:35" x14ac:dyDescent="0.3">
      <c r="A244" s="21" t="s">
        <v>663</v>
      </c>
      <c r="E244" s="2" t="s">
        <v>122</v>
      </c>
      <c r="F244" s="44">
        <f>19026704.53+30023017.83</f>
        <v>49049722.359999999</v>
      </c>
      <c r="G244" s="18">
        <f>IF(VLOOKUP($E244,$D$5:$AI$471,3,)=0,0,(VLOOKUP($E244,$D$5:$AI$471,4,)/VLOOKUP($E244,$D$5:$AI$471,3,))*$F244)</f>
        <v>34235483.997551091</v>
      </c>
      <c r="H244" s="18">
        <f>IF(VLOOKUP($E244,$D$5:$AI$471,3,)=0,0,(VLOOKUP($E244,$D$5:$AI$471,5,)/VLOOKUP($E244,$D$5:$AI$471,3,))*$F244)</f>
        <v>3950358.6552456194</v>
      </c>
      <c r="I244" s="18">
        <f>IF(VLOOKUP($E244,$D$5:$AI$471,3,)=0,0,(VLOOKUP($E244,$D$5:$AI$471,6,)/VLOOKUP($E244,$D$5:$AI$471,3,))*$F244)</f>
        <v>1605470.0980421659</v>
      </c>
      <c r="J244" s="18">
        <f>IF(VLOOKUP($E244,$D$5:$AI$471,3,)=0,0,(VLOOKUP($E244,$D$5:$AI$471,7,)/VLOOKUP($E244,$D$5:$AI$471,3,))*$F244)</f>
        <v>2383004.4977795267</v>
      </c>
      <c r="K244" s="18">
        <f>IF(VLOOKUP($E244,$D$5:$AI$471,3,)=0,0,(VLOOKUP($E244,$D$5:$AI$471,8,)/VLOOKUP($E244,$D$5:$AI$471,3,))*$F244)</f>
        <v>5129423.9436402339</v>
      </c>
      <c r="L244" s="18">
        <f>IF(VLOOKUP($E244,$D$5:$AI$471,3,)=0,0,(VLOOKUP($E244,$D$5:$AI$471,9,)/VLOOKUP($E244,$D$5:$AI$471,3,))*$F244)</f>
        <v>1023701.8595327528</v>
      </c>
      <c r="M244" s="18">
        <f>IF(VLOOKUP($E244,$D$5:$AI$471,3,)=0,0,(VLOOKUP($E244,$D$5:$AI$471,10,)/VLOOKUP($E244,$D$5:$AI$471,3,))*$F244)</f>
        <v>722279.30820861552</v>
      </c>
      <c r="N244" s="18">
        <f>IF(VLOOKUP($E244,$D$5:$AI$471,3,)=0,0,(VLOOKUP($E244,$D$5:$AI$471,11,)/VLOOKUP($E244,$D$5:$AI$471,3,))*$F244)</f>
        <v>0</v>
      </c>
      <c r="O244" s="18">
        <f>IF(VLOOKUP($E244,$D$5:$AI$471,3,)=0,0,(VLOOKUP($E244,$D$5:$AI$471,12,)/VLOOKUP($E244,$D$5:$AI$471,3,))*$F244)</f>
        <v>0</v>
      </c>
      <c r="P244" s="18">
        <f>IF(VLOOKUP($E244,$D$5:$AI$471,3,)=0,0,(VLOOKUP($E244,$D$5:$AI$471,13,)/VLOOKUP($E244,$D$5:$AI$471,3,))*$F244)</f>
        <v>0</v>
      </c>
      <c r="Q244" s="18">
        <f>IF(VLOOKUP($E244,$D$5:$AI$471,3,)=0,0,(VLOOKUP($E244,$D$5:$AI$471,14,)/VLOOKUP($E244,$D$5:$AI$471,3,))*$F244)</f>
        <v>0</v>
      </c>
      <c r="R244" s="18">
        <f>IF(VLOOKUP($E244,$D$5:$AI$471,3,)=0,0,(VLOOKUP($E244,$D$5:$AI$471,15,)/VLOOKUP($E244,$D$5:$AI$471,3,))*$F244)</f>
        <v>0</v>
      </c>
      <c r="S244" s="18">
        <f>IF(VLOOKUP($E244,$D$5:$AI$471,3,)=0,0,(VLOOKUP($E244,$D$5:$AI$471,16,)/VLOOKUP($E244,$D$5:$AI$471,3,))*$F244)</f>
        <v>0</v>
      </c>
      <c r="T244" s="18">
        <f>IF(VLOOKUP($E244,$D$5:$AI$471,3,)=0,0,(VLOOKUP($E244,$D$5:$AI$471,17,)/VLOOKUP($E244,$D$5:$AI$471,3,))*$F244)</f>
        <v>0</v>
      </c>
      <c r="U244" s="18">
        <f>IF(VLOOKUP($E244,$D$5:$AI$471,3,)=0,0,(VLOOKUP($E244,$D$5:$AI$471,18,)/VLOOKUP($E244,$D$5:$AI$471,3,))*$F244)</f>
        <v>0</v>
      </c>
      <c r="V244" s="18">
        <f>IF(VLOOKUP($E244,$D$5:$AI$471,3,)=0,0,(VLOOKUP($E244,$D$5:$AI$471,19,)/VLOOKUP($E244,$D$5:$AI$471,3,))*$F244)</f>
        <v>0</v>
      </c>
      <c r="W244" s="18">
        <f>IF(VLOOKUP($E244,$D$5:$AI$471,3,)=0,0,(VLOOKUP($E244,$D$5:$AI$471,20,)/VLOOKUP($E244,$D$5:$AI$471,3,))*$F244)</f>
        <v>0</v>
      </c>
      <c r="X244" s="18">
        <f>IF(VLOOKUP($E244,$D$5:$AI$471,3,)=0,0,(VLOOKUP($E244,$D$5:$AI$471,21,)/VLOOKUP($E244,$D$5:$AI$471,3,))*$F244)</f>
        <v>0</v>
      </c>
      <c r="Y244" s="18">
        <f>IF(VLOOKUP($E244,$D$5:$AI$471,3,)=0,0,(VLOOKUP($E244,$D$5:$AI$471,22,)/VLOOKUP($E244,$D$5:$AI$471,3,))*$F244)</f>
        <v>0</v>
      </c>
      <c r="Z244" s="18">
        <f>IF(VLOOKUP($E244,$D$5:$AI$471,3,)=0,0,(VLOOKUP($E244,$D$5:$AI$471,23,)/VLOOKUP($E244,$D$5:$AI$471,3,))*$F244)</f>
        <v>0</v>
      </c>
      <c r="AA244" s="18">
        <f>IF(VLOOKUP($E244,$D$5:$AI$471,3,)=0,0,(VLOOKUP($E244,$D$5:$AI$471,24,)/VLOOKUP($E244,$D$5:$AI$471,3,))*$F244)</f>
        <v>0</v>
      </c>
      <c r="AB244" s="18">
        <f>IF(VLOOKUP($E244,$D$5:$AI$471,3,)=0,0,(VLOOKUP($E244,$D$5:$AI$471,25,)/VLOOKUP($E244,$D$5:$AI$471,3,))*$F244)</f>
        <v>0</v>
      </c>
      <c r="AC244" s="18">
        <f>IF(VLOOKUP($E244,$D$5:$AI$471,3,)=0,0,(VLOOKUP($E244,$D$5:$AI$471,26,)/VLOOKUP($E244,$D$5:$AI$471,3,))*$F244)</f>
        <v>0</v>
      </c>
      <c r="AD244" s="18">
        <f>IF(VLOOKUP($E244,$D$5:$AI$471,3,)=0,0,(VLOOKUP($E244,$D$5:$AI$471,27,)/VLOOKUP($E244,$D$5:$AI$471,3,))*$F244)</f>
        <v>0</v>
      </c>
      <c r="AE244" s="18">
        <f>IF(VLOOKUP($E244,$D$5:$AI$471,3,)=0,0,(VLOOKUP($E244,$D$5:$AI$471,28,)/VLOOKUP($E244,$D$5:$AI$471,3,))*$F244)</f>
        <v>0</v>
      </c>
      <c r="AF244" s="18">
        <f>IF(VLOOKUP($E244,$D$5:$AI$471,3,)=0,0,(VLOOKUP($E244,$D$5:$AI$471,29,)/VLOOKUP($E244,$D$5:$AI$471,3,))*$F244)</f>
        <v>0</v>
      </c>
      <c r="AG244" s="18">
        <f>IF(VLOOKUP($E244,$D$5:$AI$471,3,)=0,0,(VLOOKUP($E244,$D$5:$AI$471,30,)/VLOOKUP($E244,$D$5:$AI$471,3,))*$F244)</f>
        <v>0</v>
      </c>
      <c r="AH244" s="20">
        <f t="shared" si="40"/>
        <v>49049722.359999999</v>
      </c>
      <c r="AI244" s="15" t="str">
        <f t="shared" si="41"/>
        <v>ok</v>
      </c>
    </row>
    <row r="245" spans="1:35" x14ac:dyDescent="0.3">
      <c r="A245" s="21" t="s">
        <v>664</v>
      </c>
      <c r="D245" s="2" t="s">
        <v>665</v>
      </c>
      <c r="E245" s="2" t="s">
        <v>574</v>
      </c>
      <c r="F245" s="44">
        <f>97905+4089866.05+164603.62+77293.25</f>
        <v>4429667.92</v>
      </c>
      <c r="G245" s="18">
        <f>IF(VLOOKUP($E245,$D$5:$AI$471,3,)=0,0,(VLOOKUP($E245,$D$5:$AI$471,4,)/VLOOKUP($E245,$D$5:$AI$471,3,))*$F245)</f>
        <v>3495726.5883172522</v>
      </c>
      <c r="H245" s="18">
        <f>IF(VLOOKUP($E245,$D$5:$AI$471,3,)=0,0,(VLOOKUP($E245,$D$5:$AI$471,5,)/VLOOKUP($E245,$D$5:$AI$471,3,))*$F245)</f>
        <v>261674.26210066845</v>
      </c>
      <c r="I245" s="18">
        <f>IF(VLOOKUP($E245,$D$5:$AI$471,3,)=0,0,(VLOOKUP($E245,$D$5:$AI$471,6,)/VLOOKUP($E245,$D$5:$AI$471,3,))*$F245)</f>
        <v>88724.773510424231</v>
      </c>
      <c r="J245" s="18">
        <f>IF(VLOOKUP($E245,$D$5:$AI$471,3,)=0,0,(VLOOKUP($E245,$D$5:$AI$471,7,)/VLOOKUP($E245,$D$5:$AI$471,3,))*$F245)</f>
        <v>142923.2178902998</v>
      </c>
      <c r="K245" s="18">
        <f>IF(VLOOKUP($E245,$D$5:$AI$471,3,)=0,0,(VLOOKUP($E245,$D$5:$AI$471,8,)/VLOOKUP($E245,$D$5:$AI$471,3,))*$F245)</f>
        <v>384158.85848939786</v>
      </c>
      <c r="L245" s="18">
        <f>IF(VLOOKUP($E245,$D$5:$AI$471,3,)=0,0,(VLOOKUP($E245,$D$5:$AI$471,9,)/VLOOKUP($E245,$D$5:$AI$471,3,))*$F245)</f>
        <v>56460.219691957682</v>
      </c>
      <c r="M245" s="18">
        <f>IF(VLOOKUP($E245,$D$5:$AI$471,3,)=0,0,(VLOOKUP($E245,$D$5:$AI$471,10,)/VLOOKUP($E245,$D$5:$AI$471,3,))*$F245)</f>
        <v>0</v>
      </c>
      <c r="N245" s="18">
        <f>IF(VLOOKUP($E245,$D$5:$AI$471,3,)=0,0,(VLOOKUP($E245,$D$5:$AI$471,11,)/VLOOKUP($E245,$D$5:$AI$471,3,))*$F245)</f>
        <v>0</v>
      </c>
      <c r="O245" s="18">
        <f>IF(VLOOKUP($E245,$D$5:$AI$471,3,)=0,0,(VLOOKUP($E245,$D$5:$AI$471,12,)/VLOOKUP($E245,$D$5:$AI$471,3,))*$F245)</f>
        <v>0</v>
      </c>
      <c r="P245" s="18">
        <f>IF(VLOOKUP($E245,$D$5:$AI$471,3,)=0,0,(VLOOKUP($E245,$D$5:$AI$471,13,)/VLOOKUP($E245,$D$5:$AI$471,3,))*$F245)</f>
        <v>0</v>
      </c>
      <c r="Q245" s="18">
        <f>IF(VLOOKUP($E245,$D$5:$AI$471,3,)=0,0,(VLOOKUP($E245,$D$5:$AI$471,14,)/VLOOKUP($E245,$D$5:$AI$471,3,))*$F245)</f>
        <v>0</v>
      </c>
      <c r="R245" s="18">
        <f>IF(VLOOKUP($E245,$D$5:$AI$471,3,)=0,0,(VLOOKUP($E245,$D$5:$AI$471,15,)/VLOOKUP($E245,$D$5:$AI$471,3,))*$F245)</f>
        <v>0</v>
      </c>
      <c r="S245" s="18">
        <f>IF(VLOOKUP($E245,$D$5:$AI$471,3,)=0,0,(VLOOKUP($E245,$D$5:$AI$471,16,)/VLOOKUP($E245,$D$5:$AI$471,3,))*$F245)</f>
        <v>0</v>
      </c>
      <c r="T245" s="18">
        <f>IF(VLOOKUP($E245,$D$5:$AI$471,3,)=0,0,(VLOOKUP($E245,$D$5:$AI$471,17,)/VLOOKUP($E245,$D$5:$AI$471,3,))*$F245)</f>
        <v>0</v>
      </c>
      <c r="U245" s="18">
        <f>IF(VLOOKUP($E245,$D$5:$AI$471,3,)=0,0,(VLOOKUP($E245,$D$5:$AI$471,18,)/VLOOKUP($E245,$D$5:$AI$471,3,))*$F245)</f>
        <v>0</v>
      </c>
      <c r="V245" s="18">
        <f>IF(VLOOKUP($E245,$D$5:$AI$471,3,)=0,0,(VLOOKUP($E245,$D$5:$AI$471,19,)/VLOOKUP($E245,$D$5:$AI$471,3,))*$F245)</f>
        <v>0</v>
      </c>
      <c r="W245" s="18">
        <f>IF(VLOOKUP($E245,$D$5:$AI$471,3,)=0,0,(VLOOKUP($E245,$D$5:$AI$471,20,)/VLOOKUP($E245,$D$5:$AI$471,3,))*$F245)</f>
        <v>0</v>
      </c>
      <c r="X245" s="18">
        <f>IF(VLOOKUP($E245,$D$5:$AI$471,3,)=0,0,(VLOOKUP($E245,$D$5:$AI$471,21,)/VLOOKUP($E245,$D$5:$AI$471,3,))*$F245)</f>
        <v>0</v>
      </c>
      <c r="Y245" s="18">
        <f>IF(VLOOKUP($E245,$D$5:$AI$471,3,)=0,0,(VLOOKUP($E245,$D$5:$AI$471,22,)/VLOOKUP($E245,$D$5:$AI$471,3,))*$F245)</f>
        <v>0</v>
      </c>
      <c r="Z245" s="18">
        <f>IF(VLOOKUP($E245,$D$5:$AI$471,3,)=0,0,(VLOOKUP($E245,$D$5:$AI$471,23,)/VLOOKUP($E245,$D$5:$AI$471,3,))*$F245)</f>
        <v>0</v>
      </c>
      <c r="AA245" s="18">
        <f>IF(VLOOKUP($E245,$D$5:$AI$471,3,)=0,0,(VLOOKUP($E245,$D$5:$AI$471,24,)/VLOOKUP($E245,$D$5:$AI$471,3,))*$F245)</f>
        <v>0</v>
      </c>
      <c r="AB245" s="18">
        <f>IF(VLOOKUP($E245,$D$5:$AI$471,3,)=0,0,(VLOOKUP($E245,$D$5:$AI$471,25,)/VLOOKUP($E245,$D$5:$AI$471,3,))*$F245)</f>
        <v>0</v>
      </c>
      <c r="AC245" s="18">
        <f>IF(VLOOKUP($E245,$D$5:$AI$471,3,)=0,0,(VLOOKUP($E245,$D$5:$AI$471,26,)/VLOOKUP($E245,$D$5:$AI$471,3,))*$F245)</f>
        <v>0</v>
      </c>
      <c r="AD245" s="18">
        <f>IF(VLOOKUP($E245,$D$5:$AI$471,3,)=0,0,(VLOOKUP($E245,$D$5:$AI$471,27,)/VLOOKUP($E245,$D$5:$AI$471,3,))*$F245)</f>
        <v>0</v>
      </c>
      <c r="AE245" s="18">
        <f>IF(VLOOKUP($E245,$D$5:$AI$471,3,)=0,0,(VLOOKUP($E245,$D$5:$AI$471,28,)/VLOOKUP($E245,$D$5:$AI$471,3,))*$F245)</f>
        <v>0</v>
      </c>
      <c r="AF245" s="18">
        <f>IF(VLOOKUP($E245,$D$5:$AI$471,3,)=0,0,(VLOOKUP($E245,$D$5:$AI$471,29,)/VLOOKUP($E245,$D$5:$AI$471,3,))*$F245)</f>
        <v>0</v>
      </c>
      <c r="AG245" s="18">
        <f>IF(VLOOKUP($E245,$D$5:$AI$471,3,)=0,0,(VLOOKUP($E245,$D$5:$AI$471,30,)/VLOOKUP($E245,$D$5:$AI$471,3,))*$F245)</f>
        <v>0</v>
      </c>
      <c r="AH245" s="20">
        <f t="shared" si="40"/>
        <v>4429667.92</v>
      </c>
      <c r="AI245" s="15" t="str">
        <f t="shared" si="41"/>
        <v>ok</v>
      </c>
    </row>
    <row r="246" spans="1:35" x14ac:dyDescent="0.3">
      <c r="A246" s="21" t="s">
        <v>666</v>
      </c>
      <c r="D246" s="2" t="s">
        <v>667</v>
      </c>
      <c r="E246" s="2" t="s">
        <v>577</v>
      </c>
      <c r="F246" s="44">
        <f>3761.33+188740.3+600+43200+55518.96+36580.09+4244453.75</f>
        <v>4572854.43</v>
      </c>
      <c r="G246" s="18">
        <f>IF(VLOOKUP($E246,$D$5:$AI$471,3,)=0,0,(VLOOKUP($E246,$D$5:$AI$471,4,)/VLOOKUP($E246,$D$5:$AI$471,3,))*$F246)</f>
        <v>3585852.2603508858</v>
      </c>
      <c r="H246" s="18">
        <f>IF(VLOOKUP($E246,$D$5:$AI$471,3,)=0,0,(VLOOKUP($E246,$D$5:$AI$471,5,)/VLOOKUP($E246,$D$5:$AI$471,3,))*$F246)</f>
        <v>268868.91658934811</v>
      </c>
      <c r="I246" s="18">
        <f>IF(VLOOKUP($E246,$D$5:$AI$471,3,)=0,0,(VLOOKUP($E246,$D$5:$AI$471,6,)/VLOOKUP($E246,$D$5:$AI$471,3,))*$F246)</f>
        <v>96490.513565963702</v>
      </c>
      <c r="J246" s="18">
        <f>IF(VLOOKUP($E246,$D$5:$AI$471,3,)=0,0,(VLOOKUP($E246,$D$5:$AI$471,7,)/VLOOKUP($E246,$D$5:$AI$471,3,))*$F246)</f>
        <v>156414.37788270018</v>
      </c>
      <c r="K246" s="18">
        <f>IF(VLOOKUP($E246,$D$5:$AI$471,3,)=0,0,(VLOOKUP($E246,$D$5:$AI$471,8,)/VLOOKUP($E246,$D$5:$AI$471,3,))*$F246)</f>
        <v>427054.46955178131</v>
      </c>
      <c r="L246" s="18">
        <f>IF(VLOOKUP($E246,$D$5:$AI$471,3,)=0,0,(VLOOKUP($E246,$D$5:$AI$471,9,)/VLOOKUP($E246,$D$5:$AI$471,3,))*$F246)</f>
        <v>14873.626750719144</v>
      </c>
      <c r="M246" s="18">
        <f>IF(VLOOKUP($E246,$D$5:$AI$471,3,)=0,0,(VLOOKUP($E246,$D$5:$AI$471,10,)/VLOOKUP($E246,$D$5:$AI$471,3,))*$F246)</f>
        <v>23300.265308600872</v>
      </c>
      <c r="N246" s="18">
        <f>IF(VLOOKUP($E246,$D$5:$AI$471,3,)=0,0,(VLOOKUP($E246,$D$5:$AI$471,11,)/VLOOKUP($E246,$D$5:$AI$471,3,))*$F246)</f>
        <v>0</v>
      </c>
      <c r="O246" s="18">
        <f>IF(VLOOKUP($E246,$D$5:$AI$471,3,)=0,0,(VLOOKUP($E246,$D$5:$AI$471,12,)/VLOOKUP($E246,$D$5:$AI$471,3,))*$F246)</f>
        <v>0</v>
      </c>
      <c r="P246" s="18">
        <f>IF(VLOOKUP($E246,$D$5:$AI$471,3,)=0,0,(VLOOKUP($E246,$D$5:$AI$471,13,)/VLOOKUP($E246,$D$5:$AI$471,3,))*$F246)</f>
        <v>0</v>
      </c>
      <c r="Q246" s="18">
        <f>IF(VLOOKUP($E246,$D$5:$AI$471,3,)=0,0,(VLOOKUP($E246,$D$5:$AI$471,14,)/VLOOKUP($E246,$D$5:$AI$471,3,))*$F246)</f>
        <v>0</v>
      </c>
      <c r="R246" s="18">
        <f>IF(VLOOKUP($E246,$D$5:$AI$471,3,)=0,0,(VLOOKUP($E246,$D$5:$AI$471,15,)/VLOOKUP($E246,$D$5:$AI$471,3,))*$F246)</f>
        <v>0</v>
      </c>
      <c r="S246" s="18">
        <f>IF(VLOOKUP($E246,$D$5:$AI$471,3,)=0,0,(VLOOKUP($E246,$D$5:$AI$471,16,)/VLOOKUP($E246,$D$5:$AI$471,3,))*$F246)</f>
        <v>0</v>
      </c>
      <c r="T246" s="18">
        <f>IF(VLOOKUP($E246,$D$5:$AI$471,3,)=0,0,(VLOOKUP($E246,$D$5:$AI$471,17,)/VLOOKUP($E246,$D$5:$AI$471,3,))*$F246)</f>
        <v>0</v>
      </c>
      <c r="U246" s="18">
        <f>IF(VLOOKUP($E246,$D$5:$AI$471,3,)=0,0,(VLOOKUP($E246,$D$5:$AI$471,18,)/VLOOKUP($E246,$D$5:$AI$471,3,))*$F246)</f>
        <v>0</v>
      </c>
      <c r="V246" s="18">
        <f>IF(VLOOKUP($E246,$D$5:$AI$471,3,)=0,0,(VLOOKUP($E246,$D$5:$AI$471,19,)/VLOOKUP($E246,$D$5:$AI$471,3,))*$F246)</f>
        <v>0</v>
      </c>
      <c r="W246" s="18">
        <f>IF(VLOOKUP($E246,$D$5:$AI$471,3,)=0,0,(VLOOKUP($E246,$D$5:$AI$471,20,)/VLOOKUP($E246,$D$5:$AI$471,3,))*$F246)</f>
        <v>0</v>
      </c>
      <c r="X246" s="18">
        <f>IF(VLOOKUP($E246,$D$5:$AI$471,3,)=0,0,(VLOOKUP($E246,$D$5:$AI$471,21,)/VLOOKUP($E246,$D$5:$AI$471,3,))*$F246)</f>
        <v>0</v>
      </c>
      <c r="Y246" s="18">
        <f>IF(VLOOKUP($E246,$D$5:$AI$471,3,)=0,0,(VLOOKUP($E246,$D$5:$AI$471,22,)/VLOOKUP($E246,$D$5:$AI$471,3,))*$F246)</f>
        <v>0</v>
      </c>
      <c r="Z246" s="18">
        <f>IF(VLOOKUP($E246,$D$5:$AI$471,3,)=0,0,(VLOOKUP($E246,$D$5:$AI$471,23,)/VLOOKUP($E246,$D$5:$AI$471,3,))*$F246)</f>
        <v>0</v>
      </c>
      <c r="AA246" s="18">
        <f>IF(VLOOKUP($E246,$D$5:$AI$471,3,)=0,0,(VLOOKUP($E246,$D$5:$AI$471,24,)/VLOOKUP($E246,$D$5:$AI$471,3,))*$F246)</f>
        <v>0</v>
      </c>
      <c r="AB246" s="18">
        <f>IF(VLOOKUP($E246,$D$5:$AI$471,3,)=0,0,(VLOOKUP($E246,$D$5:$AI$471,25,)/VLOOKUP($E246,$D$5:$AI$471,3,))*$F246)</f>
        <v>0</v>
      </c>
      <c r="AC246" s="18">
        <f>IF(VLOOKUP($E246,$D$5:$AI$471,3,)=0,0,(VLOOKUP($E246,$D$5:$AI$471,26,)/VLOOKUP($E246,$D$5:$AI$471,3,))*$F246)</f>
        <v>0</v>
      </c>
      <c r="AD246" s="18">
        <f>IF(VLOOKUP($E246,$D$5:$AI$471,3,)=0,0,(VLOOKUP($E246,$D$5:$AI$471,27,)/VLOOKUP($E246,$D$5:$AI$471,3,))*$F246)</f>
        <v>0</v>
      </c>
      <c r="AE246" s="18">
        <f>IF(VLOOKUP($E246,$D$5:$AI$471,3,)=0,0,(VLOOKUP($E246,$D$5:$AI$471,28,)/VLOOKUP($E246,$D$5:$AI$471,3,))*$F246)</f>
        <v>0</v>
      </c>
      <c r="AF246" s="18">
        <f>IF(VLOOKUP($E246,$D$5:$AI$471,3,)=0,0,(VLOOKUP($E246,$D$5:$AI$471,29,)/VLOOKUP($E246,$D$5:$AI$471,3,))*$F246)</f>
        <v>0</v>
      </c>
      <c r="AG246" s="18">
        <f>IF(VLOOKUP($E246,$D$5:$AI$471,3,)=0,0,(VLOOKUP($E246,$D$5:$AI$471,30,)/VLOOKUP($E246,$D$5:$AI$471,3,))*$F246)</f>
        <v>0</v>
      </c>
      <c r="AH246" s="20">
        <f t="shared" si="40"/>
        <v>4572854.4299999988</v>
      </c>
      <c r="AI246" s="15" t="str">
        <f t="shared" si="41"/>
        <v>ok</v>
      </c>
    </row>
    <row r="247" spans="1:35" x14ac:dyDescent="0.3">
      <c r="A247" s="21" t="s">
        <v>668</v>
      </c>
      <c r="F247" s="44">
        <v>-486854</v>
      </c>
      <c r="G247" s="18">
        <f>F247</f>
        <v>-486854</v>
      </c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20">
        <f t="shared" si="40"/>
        <v>-486854</v>
      </c>
      <c r="AI247" s="15" t="str">
        <f t="shared" si="41"/>
        <v>ok</v>
      </c>
    </row>
    <row r="248" spans="1:35" x14ac:dyDescent="0.3">
      <c r="A248" s="21" t="s">
        <v>669</v>
      </c>
      <c r="F248" s="44">
        <v>-582113</v>
      </c>
      <c r="G248" s="18">
        <f>F248</f>
        <v>-582113</v>
      </c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20">
        <f t="shared" ref="AH248" si="49">SUM(G248:AG248)</f>
        <v>-582113</v>
      </c>
      <c r="AI248" s="15" t="str">
        <f t="shared" ref="AI248" si="50">IF(ABS(F248-AH248)&lt;0.01,"ok","err")</f>
        <v>ok</v>
      </c>
    </row>
    <row r="249" spans="1:35" x14ac:dyDescent="0.3">
      <c r="AH249" s="20"/>
    </row>
    <row r="250" spans="1:35" x14ac:dyDescent="0.3">
      <c r="A250" s="2" t="s">
        <v>670</v>
      </c>
      <c r="D250" s="2" t="s">
        <v>671</v>
      </c>
      <c r="F250" s="20">
        <f t="shared" ref="F250:AG250" si="51">SUM(F238:F249)</f>
        <v>1110012184.71</v>
      </c>
      <c r="G250" s="20">
        <f t="shared" si="51"/>
        <v>833901714.49913192</v>
      </c>
      <c r="H250" s="20">
        <f t="shared" si="51"/>
        <v>80254328.97301434</v>
      </c>
      <c r="I250" s="20">
        <f t="shared" si="51"/>
        <v>31720941.021993775</v>
      </c>
      <c r="J250" s="20">
        <f t="shared" si="51"/>
        <v>48089306.706898376</v>
      </c>
      <c r="K250" s="20">
        <f t="shared" si="51"/>
        <v>87142280.159892216</v>
      </c>
      <c r="L250" s="20">
        <f t="shared" si="51"/>
        <v>14304014.119249061</v>
      </c>
      <c r="M250" s="20">
        <f t="shared" si="51"/>
        <v>14599599.229820346</v>
      </c>
      <c r="N250" s="20">
        <f t="shared" si="51"/>
        <v>0</v>
      </c>
      <c r="O250" s="20">
        <f t="shared" si="51"/>
        <v>0</v>
      </c>
      <c r="P250" s="20">
        <f t="shared" si="51"/>
        <v>0</v>
      </c>
      <c r="Q250" s="20">
        <f t="shared" si="51"/>
        <v>0</v>
      </c>
      <c r="R250" s="20">
        <f t="shared" si="51"/>
        <v>0</v>
      </c>
      <c r="S250" s="20">
        <f t="shared" si="51"/>
        <v>0</v>
      </c>
      <c r="T250" s="20">
        <f t="shared" si="51"/>
        <v>0</v>
      </c>
      <c r="U250" s="20">
        <f t="shared" si="51"/>
        <v>0</v>
      </c>
      <c r="V250" s="20">
        <f t="shared" si="51"/>
        <v>0</v>
      </c>
      <c r="W250" s="20">
        <f t="shared" si="51"/>
        <v>0</v>
      </c>
      <c r="X250" s="20">
        <f t="shared" si="51"/>
        <v>0</v>
      </c>
      <c r="Y250" s="20">
        <f t="shared" si="51"/>
        <v>0</v>
      </c>
      <c r="Z250" s="20">
        <f t="shared" si="51"/>
        <v>0</v>
      </c>
      <c r="AA250" s="20">
        <f t="shared" si="51"/>
        <v>0</v>
      </c>
      <c r="AB250" s="20">
        <f t="shared" si="51"/>
        <v>0</v>
      </c>
      <c r="AC250" s="20">
        <f t="shared" si="51"/>
        <v>0</v>
      </c>
      <c r="AD250" s="20">
        <f t="shared" si="51"/>
        <v>0</v>
      </c>
      <c r="AE250" s="20">
        <f t="shared" si="51"/>
        <v>0</v>
      </c>
      <c r="AF250" s="20">
        <f t="shared" si="51"/>
        <v>0</v>
      </c>
      <c r="AG250" s="20">
        <f t="shared" si="51"/>
        <v>0</v>
      </c>
      <c r="AH250" s="20">
        <f>SUM(G250:AG250)</f>
        <v>1110012184.71</v>
      </c>
      <c r="AI250" s="15" t="str">
        <f>IF(ABS(F250-AH250)&lt;0.01,"ok","err")</f>
        <v>ok</v>
      </c>
    </row>
    <row r="251" spans="1:35" x14ac:dyDescent="0.3">
      <c r="E251" s="20"/>
    </row>
    <row r="252" spans="1:35" x14ac:dyDescent="0.3">
      <c r="A252" s="3" t="s">
        <v>672</v>
      </c>
    </row>
    <row r="253" spans="1:35" x14ac:dyDescent="0.3">
      <c r="A253" s="21" t="s">
        <v>673</v>
      </c>
      <c r="F253" s="20">
        <f>F95</f>
        <v>856245902.50300014</v>
      </c>
      <c r="G253" s="20">
        <f t="shared" ref="G253:AG253" si="52">G95</f>
        <v>620817510.27087665</v>
      </c>
      <c r="H253" s="20">
        <f t="shared" si="52"/>
        <v>64365420.420614883</v>
      </c>
      <c r="I253" s="20">
        <f t="shared" si="52"/>
        <v>25357453.217412323</v>
      </c>
      <c r="J253" s="20">
        <f t="shared" si="52"/>
        <v>38353135.234412201</v>
      </c>
      <c r="K253" s="20">
        <f t="shared" si="52"/>
        <v>87830298.969058156</v>
      </c>
      <c r="L253" s="20">
        <f t="shared" si="52"/>
        <v>12138791.823794365</v>
      </c>
      <c r="M253" s="20">
        <f t="shared" si="52"/>
        <v>7383292.5668313876</v>
      </c>
      <c r="N253" s="20">
        <f t="shared" si="52"/>
        <v>0</v>
      </c>
      <c r="O253" s="20">
        <f t="shared" si="52"/>
        <v>0</v>
      </c>
      <c r="P253" s="20">
        <f t="shared" si="52"/>
        <v>0</v>
      </c>
      <c r="Q253" s="20">
        <f t="shared" si="52"/>
        <v>0</v>
      </c>
      <c r="R253" s="20">
        <f t="shared" si="52"/>
        <v>0</v>
      </c>
      <c r="S253" s="20">
        <f t="shared" si="52"/>
        <v>0</v>
      </c>
      <c r="T253" s="20">
        <f t="shared" si="52"/>
        <v>0</v>
      </c>
      <c r="U253" s="20">
        <f t="shared" si="52"/>
        <v>0</v>
      </c>
      <c r="V253" s="20">
        <f t="shared" si="52"/>
        <v>0</v>
      </c>
      <c r="W253" s="20">
        <f t="shared" si="52"/>
        <v>0</v>
      </c>
      <c r="X253" s="20">
        <f t="shared" si="52"/>
        <v>0</v>
      </c>
      <c r="Y253" s="20">
        <f t="shared" si="52"/>
        <v>0</v>
      </c>
      <c r="Z253" s="20">
        <f t="shared" si="52"/>
        <v>0</v>
      </c>
      <c r="AA253" s="20">
        <f t="shared" si="52"/>
        <v>0</v>
      </c>
      <c r="AB253" s="20">
        <f t="shared" si="52"/>
        <v>0</v>
      </c>
      <c r="AC253" s="20">
        <f t="shared" si="52"/>
        <v>0</v>
      </c>
      <c r="AD253" s="20">
        <f t="shared" si="52"/>
        <v>0</v>
      </c>
      <c r="AE253" s="20">
        <f t="shared" si="52"/>
        <v>0</v>
      </c>
      <c r="AF253" s="20">
        <f t="shared" si="52"/>
        <v>0</v>
      </c>
      <c r="AG253" s="20">
        <f t="shared" si="52"/>
        <v>0</v>
      </c>
      <c r="AH253" s="20">
        <f>SUM(G253:AG253)</f>
        <v>856245902.5029999</v>
      </c>
      <c r="AI253" s="15" t="str">
        <f>IF(ABS(F253-AH253)&lt;0.01,"ok","err")</f>
        <v>ok</v>
      </c>
    </row>
    <row r="254" spans="1:35" x14ac:dyDescent="0.3">
      <c r="A254" s="21" t="s">
        <v>674</v>
      </c>
      <c r="F254" s="19">
        <f>F141</f>
        <v>142167052.92000002</v>
      </c>
      <c r="G254" s="19">
        <f t="shared" ref="G254:AG254" si="53">G141</f>
        <v>111148437.82004187</v>
      </c>
      <c r="H254" s="19">
        <f t="shared" si="53"/>
        <v>8449940.150188135</v>
      </c>
      <c r="I254" s="19">
        <f t="shared" si="53"/>
        <v>3018715.9190300973</v>
      </c>
      <c r="J254" s="19">
        <f t="shared" si="53"/>
        <v>4910603.5054754652</v>
      </c>
      <c r="K254" s="19">
        <f t="shared" si="53"/>
        <v>13672200.104155403</v>
      </c>
      <c r="L254" s="19">
        <f t="shared" si="53"/>
        <v>258236.0981486096</v>
      </c>
      <c r="M254" s="19">
        <f t="shared" si="53"/>
        <v>708919.32296040934</v>
      </c>
      <c r="N254" s="19">
        <f t="shared" si="53"/>
        <v>0</v>
      </c>
      <c r="O254" s="19">
        <f t="shared" si="53"/>
        <v>0</v>
      </c>
      <c r="P254" s="19">
        <f t="shared" si="53"/>
        <v>0</v>
      </c>
      <c r="Q254" s="19">
        <f t="shared" si="53"/>
        <v>0</v>
      </c>
      <c r="R254" s="19">
        <f t="shared" si="53"/>
        <v>0</v>
      </c>
      <c r="S254" s="19">
        <f t="shared" si="53"/>
        <v>0</v>
      </c>
      <c r="T254" s="19">
        <f t="shared" si="53"/>
        <v>0</v>
      </c>
      <c r="U254" s="19">
        <f t="shared" si="53"/>
        <v>0</v>
      </c>
      <c r="V254" s="19">
        <f t="shared" si="53"/>
        <v>0</v>
      </c>
      <c r="W254" s="19">
        <f t="shared" si="53"/>
        <v>0</v>
      </c>
      <c r="X254" s="19">
        <f t="shared" si="53"/>
        <v>0</v>
      </c>
      <c r="Y254" s="19">
        <f t="shared" si="53"/>
        <v>0</v>
      </c>
      <c r="Z254" s="19">
        <f t="shared" si="53"/>
        <v>0</v>
      </c>
      <c r="AA254" s="19">
        <f t="shared" si="53"/>
        <v>0</v>
      </c>
      <c r="AB254" s="19">
        <f t="shared" si="53"/>
        <v>0</v>
      </c>
      <c r="AC254" s="19">
        <f t="shared" si="53"/>
        <v>0</v>
      </c>
      <c r="AD254" s="19">
        <f t="shared" si="53"/>
        <v>0</v>
      </c>
      <c r="AE254" s="19">
        <f t="shared" si="53"/>
        <v>0</v>
      </c>
      <c r="AF254" s="19">
        <f t="shared" si="53"/>
        <v>0</v>
      </c>
      <c r="AG254" s="19">
        <f t="shared" si="53"/>
        <v>0</v>
      </c>
      <c r="AH254" s="20">
        <f>SUM(G254:AG254)</f>
        <v>142167052.91999999</v>
      </c>
      <c r="AI254" s="15" t="str">
        <f>IF(ABS(F254-AH254)&lt;0.01,"ok","err")</f>
        <v>ok</v>
      </c>
    </row>
    <row r="255" spans="1:35" x14ac:dyDescent="0.3">
      <c r="A255" s="21" t="s">
        <v>675</v>
      </c>
      <c r="F255" s="19">
        <f>F164</f>
        <v>1576871</v>
      </c>
      <c r="G255" s="19">
        <f t="shared" ref="G255:M255" si="54">G164</f>
        <v>1299620.177485052</v>
      </c>
      <c r="H255" s="19">
        <f t="shared" si="54"/>
        <v>64791.361307120977</v>
      </c>
      <c r="I255" s="19">
        <f t="shared" si="54"/>
        <v>15840.872851451628</v>
      </c>
      <c r="J255" s="19">
        <f t="shared" si="54"/>
        <v>34245.853752155075</v>
      </c>
      <c r="K255" s="19">
        <f t="shared" si="54"/>
        <v>162372.73460421964</v>
      </c>
      <c r="L255" s="19">
        <f t="shared" si="54"/>
        <v>0</v>
      </c>
      <c r="M255" s="19">
        <f t="shared" si="54"/>
        <v>0</v>
      </c>
      <c r="N255" s="19">
        <f t="shared" ref="N255:AG255" si="55">N185</f>
        <v>0</v>
      </c>
      <c r="O255" s="19">
        <f t="shared" si="55"/>
        <v>0</v>
      </c>
      <c r="P255" s="19">
        <f t="shared" si="55"/>
        <v>0</v>
      </c>
      <c r="Q255" s="19">
        <f t="shared" si="55"/>
        <v>0</v>
      </c>
      <c r="R255" s="19">
        <f t="shared" si="55"/>
        <v>0</v>
      </c>
      <c r="S255" s="19">
        <f t="shared" si="55"/>
        <v>0</v>
      </c>
      <c r="T255" s="19">
        <f t="shared" si="55"/>
        <v>0</v>
      </c>
      <c r="U255" s="19">
        <f t="shared" si="55"/>
        <v>0</v>
      </c>
      <c r="V255" s="19">
        <f t="shared" si="55"/>
        <v>0</v>
      </c>
      <c r="W255" s="19">
        <f t="shared" si="55"/>
        <v>0</v>
      </c>
      <c r="X255" s="19">
        <f t="shared" si="55"/>
        <v>0</v>
      </c>
      <c r="Y255" s="19">
        <f t="shared" si="55"/>
        <v>0</v>
      </c>
      <c r="Z255" s="19">
        <f t="shared" si="55"/>
        <v>0</v>
      </c>
      <c r="AA255" s="19">
        <f t="shared" si="55"/>
        <v>0</v>
      </c>
      <c r="AB255" s="19">
        <f t="shared" si="55"/>
        <v>0</v>
      </c>
      <c r="AC255" s="19">
        <f t="shared" si="55"/>
        <v>0</v>
      </c>
      <c r="AD255" s="19">
        <f t="shared" si="55"/>
        <v>0</v>
      </c>
      <c r="AE255" s="19">
        <f t="shared" si="55"/>
        <v>0</v>
      </c>
      <c r="AF255" s="19">
        <f t="shared" si="55"/>
        <v>0</v>
      </c>
      <c r="AG255" s="19">
        <f t="shared" si="55"/>
        <v>0</v>
      </c>
      <c r="AH255" s="20">
        <f>SUM(G255:AG255)</f>
        <v>1576870.9999999993</v>
      </c>
      <c r="AI255" s="15" t="str">
        <f>IF(ABS(F255-AH255)&lt;0.01,"ok","err")</f>
        <v>ok</v>
      </c>
    </row>
    <row r="256" spans="1:35" x14ac:dyDescent="0.3">
      <c r="A256" s="21" t="s">
        <v>676</v>
      </c>
      <c r="F256" s="19">
        <f t="shared" ref="F256:M256" si="56">F186</f>
        <v>248465.79000000004</v>
      </c>
      <c r="G256" s="19">
        <f t="shared" si="56"/>
        <v>195033.35586274849</v>
      </c>
      <c r="H256" s="19">
        <f t="shared" si="56"/>
        <v>14560.140053400366</v>
      </c>
      <c r="I256" s="19">
        <f t="shared" si="56"/>
        <v>5192.6550546788694</v>
      </c>
      <c r="J256" s="19">
        <f t="shared" si="56"/>
        <v>8458.4035428998795</v>
      </c>
      <c r="K256" s="19">
        <f t="shared" si="56"/>
        <v>23485.15146875551</v>
      </c>
      <c r="L256" s="19">
        <f t="shared" si="56"/>
        <v>535.74608893286791</v>
      </c>
      <c r="M256" s="19">
        <f t="shared" si="56"/>
        <v>1200.3379285839878</v>
      </c>
      <c r="N256" s="19">
        <f t="shared" ref="N256:AG256" si="57">N186</f>
        <v>0</v>
      </c>
      <c r="O256" s="19">
        <f t="shared" si="57"/>
        <v>0</v>
      </c>
      <c r="P256" s="19">
        <f t="shared" si="57"/>
        <v>0</v>
      </c>
      <c r="Q256" s="19">
        <f t="shared" si="57"/>
        <v>0</v>
      </c>
      <c r="R256" s="19">
        <f t="shared" si="57"/>
        <v>0</v>
      </c>
      <c r="S256" s="19">
        <f t="shared" si="57"/>
        <v>0</v>
      </c>
      <c r="T256" s="19">
        <f t="shared" si="57"/>
        <v>0</v>
      </c>
      <c r="U256" s="19">
        <f t="shared" si="57"/>
        <v>0</v>
      </c>
      <c r="V256" s="19">
        <f t="shared" si="57"/>
        <v>0</v>
      </c>
      <c r="W256" s="19">
        <f t="shared" si="57"/>
        <v>0</v>
      </c>
      <c r="X256" s="19">
        <f t="shared" si="57"/>
        <v>0</v>
      </c>
      <c r="Y256" s="19">
        <f t="shared" si="57"/>
        <v>0</v>
      </c>
      <c r="Z256" s="19">
        <f t="shared" si="57"/>
        <v>0</v>
      </c>
      <c r="AA256" s="19">
        <f t="shared" si="57"/>
        <v>0</v>
      </c>
      <c r="AB256" s="19">
        <f t="shared" si="57"/>
        <v>0</v>
      </c>
      <c r="AC256" s="19">
        <f t="shared" si="57"/>
        <v>0</v>
      </c>
      <c r="AD256" s="19">
        <f t="shared" si="57"/>
        <v>0</v>
      </c>
      <c r="AE256" s="19">
        <f t="shared" si="57"/>
        <v>0</v>
      </c>
      <c r="AF256" s="19">
        <f t="shared" si="57"/>
        <v>0</v>
      </c>
      <c r="AG256" s="19">
        <f t="shared" si="57"/>
        <v>0</v>
      </c>
      <c r="AH256" s="20">
        <f>SUM(G256:AG256)</f>
        <v>248465.78999999998</v>
      </c>
      <c r="AI256" s="15" t="str">
        <f>IF(ABS(F256-AH256)&lt;0.01,"ok","err")</f>
        <v>ok</v>
      </c>
    </row>
    <row r="257" spans="1:35" x14ac:dyDescent="0.3">
      <c r="A257" s="21" t="s">
        <v>677</v>
      </c>
      <c r="F257" s="19">
        <f>F209</f>
        <v>1195294.26</v>
      </c>
      <c r="G257" s="19">
        <f t="shared" ref="G257:M257" si="58">G209</f>
        <v>938246.87403155433</v>
      </c>
      <c r="H257" s="19">
        <f t="shared" si="58"/>
        <v>70044.458960026459</v>
      </c>
      <c r="I257" s="19">
        <f t="shared" si="58"/>
        <v>24980.30324825659</v>
      </c>
      <c r="J257" s="19">
        <f t="shared" si="58"/>
        <v>40690.837976495241</v>
      </c>
      <c r="K257" s="19">
        <f t="shared" si="58"/>
        <v>112980.00721078757</v>
      </c>
      <c r="L257" s="19">
        <f t="shared" si="58"/>
        <v>2577.3134600095509</v>
      </c>
      <c r="M257" s="19">
        <f t="shared" si="58"/>
        <v>5774.465112870188</v>
      </c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20">
        <f>SUM(G257:AG257)</f>
        <v>1195294.26</v>
      </c>
      <c r="AI257" s="15" t="str">
        <f>IF(ABS(F257-AH257)&lt;0.01,"ok","err")</f>
        <v>ok</v>
      </c>
    </row>
    <row r="258" spans="1:35" x14ac:dyDescent="0.3">
      <c r="A258" s="21"/>
      <c r="AH258" s="20"/>
      <c r="AI258" s="15"/>
    </row>
    <row r="259" spans="1:35" x14ac:dyDescent="0.3">
      <c r="A259" s="2" t="s">
        <v>678</v>
      </c>
      <c r="D259" s="2" t="s">
        <v>498</v>
      </c>
      <c r="F259" s="20">
        <f t="shared" ref="F259:AG259" si="59">SUM(F253:F258)</f>
        <v>1001433586.473</v>
      </c>
      <c r="G259" s="20">
        <f t="shared" si="59"/>
        <v>734398848.49829793</v>
      </c>
      <c r="H259" s="20">
        <f t="shared" si="59"/>
        <v>72964756.531123564</v>
      </c>
      <c r="I259" s="20">
        <f t="shared" si="59"/>
        <v>28422182.967596803</v>
      </c>
      <c r="J259" s="20">
        <f t="shared" si="59"/>
        <v>43347133.83515922</v>
      </c>
      <c r="K259" s="20">
        <f t="shared" si="59"/>
        <v>101801336.96649733</v>
      </c>
      <c r="L259" s="20">
        <f t="shared" si="59"/>
        <v>12400140.981491918</v>
      </c>
      <c r="M259" s="20">
        <f t="shared" si="59"/>
        <v>8099186.6928332513</v>
      </c>
      <c r="N259" s="20">
        <f t="shared" si="59"/>
        <v>0</v>
      </c>
      <c r="O259" s="20">
        <f t="shared" si="59"/>
        <v>0</v>
      </c>
      <c r="P259" s="20">
        <f t="shared" si="59"/>
        <v>0</v>
      </c>
      <c r="Q259" s="20">
        <f t="shared" si="59"/>
        <v>0</v>
      </c>
      <c r="R259" s="20">
        <f t="shared" si="59"/>
        <v>0</v>
      </c>
      <c r="S259" s="20">
        <f t="shared" si="59"/>
        <v>0</v>
      </c>
      <c r="T259" s="20">
        <f t="shared" si="59"/>
        <v>0</v>
      </c>
      <c r="U259" s="20">
        <f t="shared" si="59"/>
        <v>0</v>
      </c>
      <c r="V259" s="20">
        <f t="shared" si="59"/>
        <v>0</v>
      </c>
      <c r="W259" s="20">
        <f t="shared" si="59"/>
        <v>0</v>
      </c>
      <c r="X259" s="20">
        <f t="shared" si="59"/>
        <v>0</v>
      </c>
      <c r="Y259" s="20">
        <f t="shared" si="59"/>
        <v>0</v>
      </c>
      <c r="Z259" s="20">
        <f t="shared" si="59"/>
        <v>0</v>
      </c>
      <c r="AA259" s="20">
        <f t="shared" si="59"/>
        <v>0</v>
      </c>
      <c r="AB259" s="20">
        <f t="shared" si="59"/>
        <v>0</v>
      </c>
      <c r="AC259" s="20">
        <f t="shared" si="59"/>
        <v>0</v>
      </c>
      <c r="AD259" s="20">
        <f t="shared" si="59"/>
        <v>0</v>
      </c>
      <c r="AE259" s="20">
        <f t="shared" si="59"/>
        <v>0</v>
      </c>
      <c r="AF259" s="20">
        <f t="shared" si="59"/>
        <v>0</v>
      </c>
      <c r="AG259" s="20">
        <f t="shared" si="59"/>
        <v>0</v>
      </c>
      <c r="AH259" s="20">
        <f>SUM(G259:AG259)</f>
        <v>1001433586.4729999</v>
      </c>
      <c r="AI259" s="15" t="str">
        <f>IF(ABS(F259-AH259)&lt;0.01,"ok","err")</f>
        <v>ok</v>
      </c>
    </row>
    <row r="260" spans="1:35" x14ac:dyDescent="0.3"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15"/>
    </row>
    <row r="261" spans="1:35" x14ac:dyDescent="0.3">
      <c r="A261" s="2" t="s">
        <v>679</v>
      </c>
      <c r="F261" s="20">
        <f t="shared" ref="F261:AG261" si="60">F250-F259</f>
        <v>108578598.23699999</v>
      </c>
      <c r="G261" s="20">
        <f t="shared" si="60"/>
        <v>99502866.000833988</v>
      </c>
      <c r="H261" s="20">
        <f t="shared" si="60"/>
        <v>7289572.4418907762</v>
      </c>
      <c r="I261" s="20">
        <f t="shared" si="60"/>
        <v>3298758.0543969721</v>
      </c>
      <c r="J261" s="20">
        <f t="shared" si="60"/>
        <v>4742172.8717391565</v>
      </c>
      <c r="K261" s="20">
        <f t="shared" si="60"/>
        <v>-14659056.806605116</v>
      </c>
      <c r="L261" s="20">
        <f t="shared" si="60"/>
        <v>1903873.137757143</v>
      </c>
      <c r="M261" s="20">
        <f t="shared" si="60"/>
        <v>6500412.5369870951</v>
      </c>
      <c r="N261" s="20">
        <f t="shared" si="60"/>
        <v>0</v>
      </c>
      <c r="O261" s="20">
        <f t="shared" si="60"/>
        <v>0</v>
      </c>
      <c r="P261" s="20">
        <f t="shared" si="60"/>
        <v>0</v>
      </c>
      <c r="Q261" s="20">
        <f t="shared" si="60"/>
        <v>0</v>
      </c>
      <c r="R261" s="20">
        <f t="shared" si="60"/>
        <v>0</v>
      </c>
      <c r="S261" s="20">
        <f t="shared" si="60"/>
        <v>0</v>
      </c>
      <c r="T261" s="20">
        <f t="shared" si="60"/>
        <v>0</v>
      </c>
      <c r="U261" s="20">
        <f t="shared" si="60"/>
        <v>0</v>
      </c>
      <c r="V261" s="20">
        <f t="shared" si="60"/>
        <v>0</v>
      </c>
      <c r="W261" s="20">
        <f t="shared" si="60"/>
        <v>0</v>
      </c>
      <c r="X261" s="20">
        <f t="shared" si="60"/>
        <v>0</v>
      </c>
      <c r="Y261" s="20">
        <f t="shared" si="60"/>
        <v>0</v>
      </c>
      <c r="Z261" s="20">
        <f t="shared" si="60"/>
        <v>0</v>
      </c>
      <c r="AA261" s="20">
        <f t="shared" si="60"/>
        <v>0</v>
      </c>
      <c r="AB261" s="20">
        <f t="shared" si="60"/>
        <v>0</v>
      </c>
      <c r="AC261" s="20">
        <f t="shared" si="60"/>
        <v>0</v>
      </c>
      <c r="AD261" s="20">
        <f t="shared" si="60"/>
        <v>0</v>
      </c>
      <c r="AE261" s="20">
        <f t="shared" si="60"/>
        <v>0</v>
      </c>
      <c r="AF261" s="20">
        <f t="shared" si="60"/>
        <v>0</v>
      </c>
      <c r="AG261" s="20">
        <f t="shared" si="60"/>
        <v>0</v>
      </c>
      <c r="AH261" s="20">
        <f>SUM(G261:AG261)</f>
        <v>108578598.23700002</v>
      </c>
      <c r="AI261" s="15" t="str">
        <f>IF(ABS(F261-AH261)&lt;0.01,"ok","err")</f>
        <v>ok</v>
      </c>
    </row>
    <row r="262" spans="1:35" x14ac:dyDescent="0.3"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15"/>
    </row>
    <row r="263" spans="1:35" x14ac:dyDescent="0.3">
      <c r="A263" s="3" t="s">
        <v>680</v>
      </c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15"/>
    </row>
    <row r="264" spans="1:35" x14ac:dyDescent="0.3">
      <c r="A264" s="21" t="s">
        <v>681</v>
      </c>
      <c r="E264" s="2" t="s">
        <v>577</v>
      </c>
      <c r="F264" s="20">
        <v>9034623</v>
      </c>
      <c r="G264" s="18">
        <f>IF(VLOOKUP($E264,$D$5:$AI$471,3,)=0,0,(VLOOKUP($E264,$D$5:$AI$471,4,)/VLOOKUP($E264,$D$5:$AI$471,3,))*$F264)</f>
        <v>7084595.3663930874</v>
      </c>
      <c r="H264" s="18">
        <f>IF(VLOOKUP($E264,$D$5:$AI$471,3,)=0,0,(VLOOKUP($E264,$D$5:$AI$471,5,)/VLOOKUP($E264,$D$5:$AI$471,3,))*$F264)</f>
        <v>531206.34714873391</v>
      </c>
      <c r="I264" s="18">
        <f>IF(VLOOKUP($E264,$D$5:$AI$471,3,)=0,0,(VLOOKUP($E264,$D$5:$AI$471,6,)/VLOOKUP($E264,$D$5:$AI$471,3,))*$F264)</f>
        <v>190637.03568295474</v>
      </c>
      <c r="J264" s="18">
        <f>IF(VLOOKUP($E264,$D$5:$AI$471,3,)=0,0,(VLOOKUP($E264,$D$5:$AI$471,7,)/VLOOKUP($E264,$D$5:$AI$471,3,))*$F264)</f>
        <v>309029.0665451457</v>
      </c>
      <c r="K264" s="18">
        <f>IF(VLOOKUP($E264,$D$5:$AI$471,3,)=0,0,(VLOOKUP($E264,$D$5:$AI$471,8,)/VLOOKUP($E264,$D$5:$AI$471,3,))*$F264)</f>
        <v>843734.73766260338</v>
      </c>
      <c r="L264" s="18">
        <f>IF(VLOOKUP($E264,$D$5:$AI$471,3,)=0,0,(VLOOKUP($E264,$D$5:$AI$471,9,)/VLOOKUP($E264,$D$5:$AI$471,3,))*$F264)</f>
        <v>29385.936594413404</v>
      </c>
      <c r="M264" s="18">
        <f>IF(VLOOKUP($E264,$D$5:$AI$471,3,)=0,0,(VLOOKUP($E264,$D$5:$AI$471,10,)/VLOOKUP($E264,$D$5:$AI$471,3,))*$F264)</f>
        <v>46034.509973060209</v>
      </c>
      <c r="N264" s="18">
        <f>IF(VLOOKUP($E264,$D$5:$AI$471,3,)=0,0,(VLOOKUP($E264,$D$5:$AI$471,11,)/VLOOKUP($E264,$D$5:$AI$471,3,))*$F264)</f>
        <v>0</v>
      </c>
      <c r="O264" s="18">
        <f>IF(VLOOKUP($E264,$D$5:$AI$471,3,)=0,0,(VLOOKUP($E264,$D$5:$AI$471,12,)/VLOOKUP($E264,$D$5:$AI$471,3,))*$F264)</f>
        <v>0</v>
      </c>
      <c r="P264" s="18">
        <f>IF(VLOOKUP($E264,$D$5:$AI$471,3,)=0,0,(VLOOKUP($E264,$D$5:$AI$471,13,)/VLOOKUP($E264,$D$5:$AI$471,3,))*$F264)</f>
        <v>0</v>
      </c>
      <c r="Q264" s="18">
        <f>IF(VLOOKUP($E264,$D$5:$AI$471,3,)=0,0,(VLOOKUP($E264,$D$5:$AI$471,14,)/VLOOKUP($E264,$D$5:$AI$471,3,))*$F264)</f>
        <v>0</v>
      </c>
      <c r="R264" s="18">
        <f>IF(VLOOKUP($E264,$D$5:$AI$471,3,)=0,0,(VLOOKUP($E264,$D$5:$AI$471,15,)/VLOOKUP($E264,$D$5:$AI$471,3,))*$F264)</f>
        <v>0</v>
      </c>
      <c r="S264" s="18">
        <f>IF(VLOOKUP($E264,$D$5:$AI$471,3,)=0,0,(VLOOKUP($E264,$D$5:$AI$471,16,)/VLOOKUP($E264,$D$5:$AI$471,3,))*$F264)</f>
        <v>0</v>
      </c>
      <c r="T264" s="18">
        <f>IF(VLOOKUP($E264,$D$5:$AI$471,3,)=0,0,(VLOOKUP($E264,$D$5:$AI$471,17,)/VLOOKUP($E264,$D$5:$AI$471,3,))*$F264)</f>
        <v>0</v>
      </c>
      <c r="U264" s="18">
        <f>IF(VLOOKUP($E264,$D$5:$AI$471,3,)=0,0,(VLOOKUP($E264,$D$5:$AI$471,18,)/VLOOKUP($E264,$D$5:$AI$471,3,))*$F264)</f>
        <v>0</v>
      </c>
      <c r="V264" s="18">
        <f>IF(VLOOKUP($E264,$D$5:$AI$471,3,)=0,0,(VLOOKUP($E264,$D$5:$AI$471,19,)/VLOOKUP($E264,$D$5:$AI$471,3,))*$F264)</f>
        <v>0</v>
      </c>
      <c r="W264" s="18">
        <f>IF(VLOOKUP($E264,$D$5:$AI$471,3,)=0,0,(VLOOKUP($E264,$D$5:$AI$471,20,)/VLOOKUP($E264,$D$5:$AI$471,3,))*$F264)</f>
        <v>0</v>
      </c>
      <c r="X264" s="18">
        <f>IF(VLOOKUP($E264,$D$5:$AI$471,3,)=0,0,(VLOOKUP($E264,$D$5:$AI$471,21,)/VLOOKUP($E264,$D$5:$AI$471,3,))*$F264)</f>
        <v>0</v>
      </c>
      <c r="Y264" s="18">
        <f>IF(VLOOKUP($E264,$D$5:$AI$471,3,)=0,0,(VLOOKUP($E264,$D$5:$AI$471,22,)/VLOOKUP($E264,$D$5:$AI$471,3,))*$F264)</f>
        <v>0</v>
      </c>
      <c r="Z264" s="18">
        <f>IF(VLOOKUP($E264,$D$5:$AI$471,3,)=0,0,(VLOOKUP($E264,$D$5:$AI$471,23,)/VLOOKUP($E264,$D$5:$AI$471,3,))*$F264)</f>
        <v>0</v>
      </c>
      <c r="AA264" s="18">
        <f>IF(VLOOKUP($E264,$D$5:$AI$471,3,)=0,0,(VLOOKUP($E264,$D$5:$AI$471,24,)/VLOOKUP($E264,$D$5:$AI$471,3,))*$F264)</f>
        <v>0</v>
      </c>
      <c r="AB264" s="18">
        <f>IF(VLOOKUP($E264,$D$5:$AI$471,3,)=0,0,(VLOOKUP($E264,$D$5:$AI$471,25,)/VLOOKUP($E264,$D$5:$AI$471,3,))*$F264)</f>
        <v>0</v>
      </c>
      <c r="AC264" s="18">
        <f>IF(VLOOKUP($E264,$D$5:$AI$471,3,)=0,0,(VLOOKUP($E264,$D$5:$AI$471,26,)/VLOOKUP($E264,$D$5:$AI$471,3,))*$F264)</f>
        <v>0</v>
      </c>
      <c r="AD264" s="18">
        <f>IF(VLOOKUP($E264,$D$5:$AI$471,3,)=0,0,(VLOOKUP($E264,$D$5:$AI$471,27,)/VLOOKUP($E264,$D$5:$AI$471,3,))*$F264)</f>
        <v>0</v>
      </c>
      <c r="AE264" s="18">
        <f>IF(VLOOKUP($E264,$D$5:$AI$471,3,)=0,0,(VLOOKUP($E264,$D$5:$AI$471,28,)/VLOOKUP($E264,$D$5:$AI$471,3,))*$F264)</f>
        <v>0</v>
      </c>
      <c r="AF264" s="18">
        <f>IF(VLOOKUP($E264,$D$5:$AI$471,3,)=0,0,(VLOOKUP($E264,$D$5:$AI$471,29,)/VLOOKUP($E264,$D$5:$AI$471,3,))*$F264)</f>
        <v>0</v>
      </c>
      <c r="AG264" s="18">
        <f>IF(VLOOKUP($E264,$D$5:$AI$471,3,)=0,0,(VLOOKUP($E264,$D$5:$AI$471,30,)/VLOOKUP($E264,$D$5:$AI$471,3,))*$F264)</f>
        <v>0</v>
      </c>
      <c r="AH264" s="20">
        <f t="shared" ref="AH264:AH269" si="61">SUM(G264:AG264)</f>
        <v>9034623</v>
      </c>
      <c r="AI264" s="15" t="str">
        <f t="shared" ref="AI264:AI269" si="62">IF(ABS(F264-AH264)&lt;0.01,"ok","err")</f>
        <v>ok</v>
      </c>
    </row>
    <row r="265" spans="1:35" x14ac:dyDescent="0.3">
      <c r="A265" s="21" t="s">
        <v>682</v>
      </c>
      <c r="E265" s="2" t="s">
        <v>577</v>
      </c>
      <c r="F265" s="20">
        <v>6509157</v>
      </c>
      <c r="G265" s="18">
        <f>IF(VLOOKUP($E265,$D$5:$AI$471,3,)=0,0,(VLOOKUP($E265,$D$5:$AI$471,4,)/VLOOKUP($E265,$D$5:$AI$471,3,))*$F265)</f>
        <v>5104224.4398382893</v>
      </c>
      <c r="H265" s="18">
        <f>IF(VLOOKUP($E265,$D$5:$AI$471,3,)=0,0,(VLOOKUP($E265,$D$5:$AI$471,5,)/VLOOKUP($E265,$D$5:$AI$471,3,))*$F265)</f>
        <v>382717.18841921922</v>
      </c>
      <c r="I265" s="18">
        <f>IF(VLOOKUP($E265,$D$5:$AI$471,3,)=0,0,(VLOOKUP($E265,$D$5:$AI$471,6,)/VLOOKUP($E265,$D$5:$AI$471,3,))*$F265)</f>
        <v>137347.88881339651</v>
      </c>
      <c r="J265" s="18">
        <f>IF(VLOOKUP($E265,$D$5:$AI$471,3,)=0,0,(VLOOKUP($E265,$D$5:$AI$471,7,)/VLOOKUP($E265,$D$5:$AI$471,3,))*$F265)</f>
        <v>222645.56160293584</v>
      </c>
      <c r="K265" s="18">
        <f>IF(VLOOKUP($E265,$D$5:$AI$471,3,)=0,0,(VLOOKUP($E265,$D$5:$AI$471,8,)/VLOOKUP($E265,$D$5:$AI$471,3,))*$F265)</f>
        <v>607883.90105483076</v>
      </c>
      <c r="L265" s="18">
        <f>IF(VLOOKUP($E265,$D$5:$AI$471,3,)=0,0,(VLOOKUP($E265,$D$5:$AI$471,9,)/VLOOKUP($E265,$D$5:$AI$471,3,))*$F265)</f>
        <v>21171.627735333524</v>
      </c>
      <c r="M265" s="18">
        <f>IF(VLOOKUP($E265,$D$5:$AI$471,3,)=0,0,(VLOOKUP($E265,$D$5:$AI$471,10,)/VLOOKUP($E265,$D$5:$AI$471,3,))*$F265)</f>
        <v>33166.392535993436</v>
      </c>
      <c r="N265" s="18">
        <f>IF(VLOOKUP($E265,$D$5:$AI$471,3,)=0,0,(VLOOKUP($E265,$D$5:$AI$471,11,)/VLOOKUP($E265,$D$5:$AI$471,3,))*$F265)</f>
        <v>0</v>
      </c>
      <c r="O265" s="18">
        <f>IF(VLOOKUP($E265,$D$5:$AI$471,3,)=0,0,(VLOOKUP($E265,$D$5:$AI$471,12,)/VLOOKUP($E265,$D$5:$AI$471,3,))*$F265)</f>
        <v>0</v>
      </c>
      <c r="P265" s="18">
        <f>IF(VLOOKUP($E265,$D$5:$AI$471,3,)=0,0,(VLOOKUP($E265,$D$5:$AI$471,13,)/VLOOKUP($E265,$D$5:$AI$471,3,))*$F265)</f>
        <v>0</v>
      </c>
      <c r="Q265" s="18">
        <f>IF(VLOOKUP($E265,$D$5:$AI$471,3,)=0,0,(VLOOKUP($E265,$D$5:$AI$471,14,)/VLOOKUP($E265,$D$5:$AI$471,3,))*$F265)</f>
        <v>0</v>
      </c>
      <c r="R265" s="18">
        <f>IF(VLOOKUP($E265,$D$5:$AI$471,3,)=0,0,(VLOOKUP($E265,$D$5:$AI$471,15,)/VLOOKUP($E265,$D$5:$AI$471,3,))*$F265)</f>
        <v>0</v>
      </c>
      <c r="S265" s="18">
        <f>IF(VLOOKUP($E265,$D$5:$AI$471,3,)=0,0,(VLOOKUP($E265,$D$5:$AI$471,16,)/VLOOKUP($E265,$D$5:$AI$471,3,))*$F265)</f>
        <v>0</v>
      </c>
      <c r="T265" s="18">
        <f>IF(VLOOKUP($E265,$D$5:$AI$471,3,)=0,0,(VLOOKUP($E265,$D$5:$AI$471,17,)/VLOOKUP($E265,$D$5:$AI$471,3,))*$F265)</f>
        <v>0</v>
      </c>
      <c r="U265" s="18">
        <f>IF(VLOOKUP($E265,$D$5:$AI$471,3,)=0,0,(VLOOKUP($E265,$D$5:$AI$471,18,)/VLOOKUP($E265,$D$5:$AI$471,3,))*$F265)</f>
        <v>0</v>
      </c>
      <c r="V265" s="18">
        <f>IF(VLOOKUP($E265,$D$5:$AI$471,3,)=0,0,(VLOOKUP($E265,$D$5:$AI$471,19,)/VLOOKUP($E265,$D$5:$AI$471,3,))*$F265)</f>
        <v>0</v>
      </c>
      <c r="W265" s="18">
        <f>IF(VLOOKUP($E265,$D$5:$AI$471,3,)=0,0,(VLOOKUP($E265,$D$5:$AI$471,20,)/VLOOKUP($E265,$D$5:$AI$471,3,))*$F265)</f>
        <v>0</v>
      </c>
      <c r="X265" s="18">
        <f>IF(VLOOKUP($E265,$D$5:$AI$471,3,)=0,0,(VLOOKUP($E265,$D$5:$AI$471,21,)/VLOOKUP($E265,$D$5:$AI$471,3,))*$F265)</f>
        <v>0</v>
      </c>
      <c r="Y265" s="18">
        <f>IF(VLOOKUP($E265,$D$5:$AI$471,3,)=0,0,(VLOOKUP($E265,$D$5:$AI$471,22,)/VLOOKUP($E265,$D$5:$AI$471,3,))*$F265)</f>
        <v>0</v>
      </c>
      <c r="Z265" s="18">
        <f>IF(VLOOKUP($E265,$D$5:$AI$471,3,)=0,0,(VLOOKUP($E265,$D$5:$AI$471,23,)/VLOOKUP($E265,$D$5:$AI$471,3,))*$F265)</f>
        <v>0</v>
      </c>
      <c r="AA265" s="18">
        <f>IF(VLOOKUP($E265,$D$5:$AI$471,3,)=0,0,(VLOOKUP($E265,$D$5:$AI$471,24,)/VLOOKUP($E265,$D$5:$AI$471,3,))*$F265)</f>
        <v>0</v>
      </c>
      <c r="AB265" s="18">
        <f>IF(VLOOKUP($E265,$D$5:$AI$471,3,)=0,0,(VLOOKUP($E265,$D$5:$AI$471,25,)/VLOOKUP($E265,$D$5:$AI$471,3,))*$F265)</f>
        <v>0</v>
      </c>
      <c r="AC265" s="18">
        <f>IF(VLOOKUP($E265,$D$5:$AI$471,3,)=0,0,(VLOOKUP($E265,$D$5:$AI$471,26,)/VLOOKUP($E265,$D$5:$AI$471,3,))*$F265)</f>
        <v>0</v>
      </c>
      <c r="AD265" s="18">
        <f>IF(VLOOKUP($E265,$D$5:$AI$471,3,)=0,0,(VLOOKUP($E265,$D$5:$AI$471,27,)/VLOOKUP($E265,$D$5:$AI$471,3,))*$F265)</f>
        <v>0</v>
      </c>
      <c r="AE265" s="18">
        <f>IF(VLOOKUP($E265,$D$5:$AI$471,3,)=0,0,(VLOOKUP($E265,$D$5:$AI$471,28,)/VLOOKUP($E265,$D$5:$AI$471,3,))*$F265)</f>
        <v>0</v>
      </c>
      <c r="AF265" s="18">
        <f>IF(VLOOKUP($E265,$D$5:$AI$471,3,)=0,0,(VLOOKUP($E265,$D$5:$AI$471,29,)/VLOOKUP($E265,$D$5:$AI$471,3,))*$F265)</f>
        <v>0</v>
      </c>
      <c r="AG265" s="18">
        <f>IF(VLOOKUP($E265,$D$5:$AI$471,3,)=0,0,(VLOOKUP($E265,$D$5:$AI$471,30,)/VLOOKUP($E265,$D$5:$AI$471,3,))*$F265)</f>
        <v>0</v>
      </c>
      <c r="AH265" s="20">
        <f t="shared" si="61"/>
        <v>6509157</v>
      </c>
      <c r="AI265" s="15" t="str">
        <f t="shared" si="62"/>
        <v>ok</v>
      </c>
    </row>
    <row r="266" spans="1:35" x14ac:dyDescent="0.3">
      <c r="A266" s="21" t="s">
        <v>683</v>
      </c>
      <c r="E266" s="2" t="s">
        <v>577</v>
      </c>
      <c r="F266" s="20">
        <v>912500</v>
      </c>
      <c r="G266" s="18">
        <f>IF(VLOOKUP($E266,$D$5:$AI$471,3,)=0,0,(VLOOKUP($E266,$D$5:$AI$471,4,)/VLOOKUP($E266,$D$5:$AI$471,3,))*$F266)</f>
        <v>715546.54486785911</v>
      </c>
      <c r="H266" s="18">
        <f>IF(VLOOKUP($E266,$D$5:$AI$471,3,)=0,0,(VLOOKUP($E266,$D$5:$AI$471,5,)/VLOOKUP($E266,$D$5:$AI$471,3,))*$F266)</f>
        <v>53652.02197958008</v>
      </c>
      <c r="I266" s="18">
        <f>IF(VLOOKUP($E266,$D$5:$AI$471,3,)=0,0,(VLOOKUP($E266,$D$5:$AI$471,6,)/VLOOKUP($E266,$D$5:$AI$471,3,))*$F266)</f>
        <v>19254.405530888915</v>
      </c>
      <c r="J266" s="18">
        <f>IF(VLOOKUP($E266,$D$5:$AI$471,3,)=0,0,(VLOOKUP($E266,$D$5:$AI$471,7,)/VLOOKUP($E266,$D$5:$AI$471,3,))*$F266)</f>
        <v>31212.040969772115</v>
      </c>
      <c r="K266" s="18">
        <f>IF(VLOOKUP($E266,$D$5:$AI$471,3,)=0,0,(VLOOKUP($E266,$D$5:$AI$471,8,)/VLOOKUP($E266,$D$5:$AI$471,3,))*$F266)</f>
        <v>85217.495861988442</v>
      </c>
      <c r="L266" s="18">
        <f>IF(VLOOKUP($E266,$D$5:$AI$471,3,)=0,0,(VLOOKUP($E266,$D$5:$AI$471,9,)/VLOOKUP($E266,$D$5:$AI$471,3,))*$F266)</f>
        <v>2967.9896042593291</v>
      </c>
      <c r="M266" s="18">
        <f>IF(VLOOKUP($E266,$D$5:$AI$471,3,)=0,0,(VLOOKUP($E266,$D$5:$AI$471,10,)/VLOOKUP($E266,$D$5:$AI$471,3,))*$F266)</f>
        <v>4649.5011856518458</v>
      </c>
      <c r="N266" s="18">
        <f>IF(VLOOKUP($E266,$D$5:$AI$471,3,)=0,0,(VLOOKUP($E266,$D$5:$AI$471,11,)/VLOOKUP($E266,$D$5:$AI$471,3,))*$F266)</f>
        <v>0</v>
      </c>
      <c r="O266" s="18">
        <f>IF(VLOOKUP($E266,$D$5:$AI$471,3,)=0,0,(VLOOKUP($E266,$D$5:$AI$471,12,)/VLOOKUP($E266,$D$5:$AI$471,3,))*$F266)</f>
        <v>0</v>
      </c>
      <c r="P266" s="18">
        <f>IF(VLOOKUP($E266,$D$5:$AI$471,3,)=0,0,(VLOOKUP($E266,$D$5:$AI$471,13,)/VLOOKUP($E266,$D$5:$AI$471,3,))*$F266)</f>
        <v>0</v>
      </c>
      <c r="Q266" s="18">
        <f>IF(VLOOKUP($E266,$D$5:$AI$471,3,)=0,0,(VLOOKUP($E266,$D$5:$AI$471,14,)/VLOOKUP($E266,$D$5:$AI$471,3,))*$F266)</f>
        <v>0</v>
      </c>
      <c r="R266" s="18">
        <f>IF(VLOOKUP($E266,$D$5:$AI$471,3,)=0,0,(VLOOKUP($E266,$D$5:$AI$471,15,)/VLOOKUP($E266,$D$5:$AI$471,3,))*$F266)</f>
        <v>0</v>
      </c>
      <c r="S266" s="18">
        <f>IF(VLOOKUP($E266,$D$5:$AI$471,3,)=0,0,(VLOOKUP($E266,$D$5:$AI$471,16,)/VLOOKUP($E266,$D$5:$AI$471,3,))*$F266)</f>
        <v>0</v>
      </c>
      <c r="T266" s="18">
        <f>IF(VLOOKUP($E266,$D$5:$AI$471,3,)=0,0,(VLOOKUP($E266,$D$5:$AI$471,17,)/VLOOKUP($E266,$D$5:$AI$471,3,))*$F266)</f>
        <v>0</v>
      </c>
      <c r="U266" s="18">
        <f>IF(VLOOKUP($E266,$D$5:$AI$471,3,)=0,0,(VLOOKUP($E266,$D$5:$AI$471,18,)/VLOOKUP($E266,$D$5:$AI$471,3,))*$F266)</f>
        <v>0</v>
      </c>
      <c r="V266" s="18">
        <f>IF(VLOOKUP($E266,$D$5:$AI$471,3,)=0,0,(VLOOKUP($E266,$D$5:$AI$471,19,)/VLOOKUP($E266,$D$5:$AI$471,3,))*$F266)</f>
        <v>0</v>
      </c>
      <c r="W266" s="18">
        <f>IF(VLOOKUP($E266,$D$5:$AI$471,3,)=0,0,(VLOOKUP($E266,$D$5:$AI$471,20,)/VLOOKUP($E266,$D$5:$AI$471,3,))*$F266)</f>
        <v>0</v>
      </c>
      <c r="X266" s="18">
        <f>IF(VLOOKUP($E266,$D$5:$AI$471,3,)=0,0,(VLOOKUP($E266,$D$5:$AI$471,21,)/VLOOKUP($E266,$D$5:$AI$471,3,))*$F266)</f>
        <v>0</v>
      </c>
      <c r="Y266" s="18">
        <f>IF(VLOOKUP($E266,$D$5:$AI$471,3,)=0,0,(VLOOKUP($E266,$D$5:$AI$471,22,)/VLOOKUP($E266,$D$5:$AI$471,3,))*$F266)</f>
        <v>0</v>
      </c>
      <c r="Z266" s="18">
        <f>IF(VLOOKUP($E266,$D$5:$AI$471,3,)=0,0,(VLOOKUP($E266,$D$5:$AI$471,23,)/VLOOKUP($E266,$D$5:$AI$471,3,))*$F266)</f>
        <v>0</v>
      </c>
      <c r="AA266" s="18">
        <f>IF(VLOOKUP($E266,$D$5:$AI$471,3,)=0,0,(VLOOKUP($E266,$D$5:$AI$471,24,)/VLOOKUP($E266,$D$5:$AI$471,3,))*$F266)</f>
        <v>0</v>
      </c>
      <c r="AB266" s="18">
        <f>IF(VLOOKUP($E266,$D$5:$AI$471,3,)=0,0,(VLOOKUP($E266,$D$5:$AI$471,25,)/VLOOKUP($E266,$D$5:$AI$471,3,))*$F266)</f>
        <v>0</v>
      </c>
      <c r="AC266" s="18">
        <f>IF(VLOOKUP($E266,$D$5:$AI$471,3,)=0,0,(VLOOKUP($E266,$D$5:$AI$471,26,)/VLOOKUP($E266,$D$5:$AI$471,3,))*$F266)</f>
        <v>0</v>
      </c>
      <c r="AD266" s="18">
        <f>IF(VLOOKUP($E266,$D$5:$AI$471,3,)=0,0,(VLOOKUP($E266,$D$5:$AI$471,27,)/VLOOKUP($E266,$D$5:$AI$471,3,))*$F266)</f>
        <v>0</v>
      </c>
      <c r="AE266" s="18">
        <f>IF(VLOOKUP($E266,$D$5:$AI$471,3,)=0,0,(VLOOKUP($E266,$D$5:$AI$471,28,)/VLOOKUP($E266,$D$5:$AI$471,3,))*$F266)</f>
        <v>0</v>
      </c>
      <c r="AF266" s="18">
        <f>IF(VLOOKUP($E266,$D$5:$AI$471,3,)=0,0,(VLOOKUP($E266,$D$5:$AI$471,29,)/VLOOKUP($E266,$D$5:$AI$471,3,))*$F266)</f>
        <v>0</v>
      </c>
      <c r="AG266" s="18">
        <f>IF(VLOOKUP($E266,$D$5:$AI$471,3,)=0,0,(VLOOKUP($E266,$D$5:$AI$471,30,)/VLOOKUP($E266,$D$5:$AI$471,3,))*$F266)</f>
        <v>0</v>
      </c>
      <c r="AH266" s="20">
        <f t="shared" si="61"/>
        <v>912499.99999999988</v>
      </c>
      <c r="AI266" s="15" t="str">
        <f t="shared" si="62"/>
        <v>ok</v>
      </c>
    </row>
    <row r="267" spans="1:35" x14ac:dyDescent="0.3">
      <c r="A267" s="21" t="s">
        <v>684</v>
      </c>
      <c r="F267" s="20">
        <f>-'Functional Assignment'!F439</f>
        <v>-107360754</v>
      </c>
      <c r="G267" s="20">
        <f t="shared" ref="G267:AG267" si="63">-G232</f>
        <v>-84272881.753962964</v>
      </c>
      <c r="H267" s="20">
        <f t="shared" si="63"/>
        <v>-6291359.5247002151</v>
      </c>
      <c r="I267" s="20">
        <f t="shared" si="63"/>
        <v>-2243718.7909540166</v>
      </c>
      <c r="J267" s="20">
        <f t="shared" si="63"/>
        <v>-3654831.4438056136</v>
      </c>
      <c r="K267" s="20">
        <f t="shared" si="63"/>
        <v>-10147809.762824083</v>
      </c>
      <c r="L267" s="20">
        <f t="shared" si="63"/>
        <v>-231493.05206315825</v>
      </c>
      <c r="M267" s="20">
        <f t="shared" si="63"/>
        <v>-518659.67168991378</v>
      </c>
      <c r="N267" s="20">
        <f t="shared" si="63"/>
        <v>0</v>
      </c>
      <c r="O267" s="20">
        <f t="shared" si="63"/>
        <v>0</v>
      </c>
      <c r="P267" s="20">
        <f t="shared" si="63"/>
        <v>0</v>
      </c>
      <c r="Q267" s="20">
        <f t="shared" si="63"/>
        <v>0</v>
      </c>
      <c r="R267" s="20">
        <f t="shared" si="63"/>
        <v>0</v>
      </c>
      <c r="S267" s="20">
        <f t="shared" si="63"/>
        <v>0</v>
      </c>
      <c r="T267" s="20">
        <f t="shared" si="63"/>
        <v>0</v>
      </c>
      <c r="U267" s="20">
        <f t="shared" si="63"/>
        <v>0</v>
      </c>
      <c r="V267" s="20">
        <f t="shared" si="63"/>
        <v>0</v>
      </c>
      <c r="W267" s="20">
        <f t="shared" si="63"/>
        <v>0</v>
      </c>
      <c r="X267" s="20">
        <f t="shared" si="63"/>
        <v>0</v>
      </c>
      <c r="Y267" s="20">
        <f t="shared" si="63"/>
        <v>0</v>
      </c>
      <c r="Z267" s="20">
        <f t="shared" si="63"/>
        <v>0</v>
      </c>
      <c r="AA267" s="20">
        <f t="shared" si="63"/>
        <v>0</v>
      </c>
      <c r="AB267" s="20">
        <f t="shared" si="63"/>
        <v>0</v>
      </c>
      <c r="AC267" s="20">
        <f t="shared" si="63"/>
        <v>0</v>
      </c>
      <c r="AD267" s="20">
        <f t="shared" si="63"/>
        <v>0</v>
      </c>
      <c r="AE267" s="20">
        <f t="shared" si="63"/>
        <v>0</v>
      </c>
      <c r="AF267" s="20">
        <f t="shared" si="63"/>
        <v>0</v>
      </c>
      <c r="AG267" s="20">
        <f t="shared" si="63"/>
        <v>0</v>
      </c>
      <c r="AH267" s="20">
        <f t="shared" si="61"/>
        <v>-107360753.99999997</v>
      </c>
      <c r="AI267" s="15" t="str">
        <f t="shared" si="62"/>
        <v>ok</v>
      </c>
    </row>
    <row r="268" spans="1:35" x14ac:dyDescent="0.3">
      <c r="A268" s="21" t="s">
        <v>685</v>
      </c>
      <c r="E268" s="2" t="s">
        <v>577</v>
      </c>
      <c r="F268" s="20">
        <v>0</v>
      </c>
      <c r="G268" s="18">
        <f>IF(VLOOKUP($E268,$D$5:$AI$471,3,)=0,0,(VLOOKUP($E268,$D$5:$AI$471,4,)/VLOOKUP($E268,$D$5:$AI$471,3,))*$F268)</f>
        <v>0</v>
      </c>
      <c r="H268" s="18">
        <f>IF(VLOOKUP($E268,$D$5:$AI$471,3,)=0,0,(VLOOKUP($E268,$D$5:$AI$471,5,)/VLOOKUP($E268,$D$5:$AI$471,3,))*$F268)</f>
        <v>0</v>
      </c>
      <c r="I268" s="18">
        <f>IF(VLOOKUP($E268,$D$5:$AI$471,3,)=0,0,(VLOOKUP($E268,$D$5:$AI$471,6,)/VLOOKUP($E268,$D$5:$AI$471,3,))*$F268)</f>
        <v>0</v>
      </c>
      <c r="J268" s="18">
        <f>IF(VLOOKUP($E268,$D$5:$AI$471,3,)=0,0,(VLOOKUP($E268,$D$5:$AI$471,7,)/VLOOKUP($E268,$D$5:$AI$471,3,))*$F268)</f>
        <v>0</v>
      </c>
      <c r="K268" s="18">
        <f>IF(VLOOKUP($E268,$D$5:$AI$471,3,)=0,0,(VLOOKUP($E268,$D$5:$AI$471,8,)/VLOOKUP($E268,$D$5:$AI$471,3,))*$F268)</f>
        <v>0</v>
      </c>
      <c r="L268" s="18">
        <f>IF(VLOOKUP($E268,$D$5:$AI$471,3,)=0,0,(VLOOKUP($E268,$D$5:$AI$471,9,)/VLOOKUP($E268,$D$5:$AI$471,3,))*$F268)</f>
        <v>0</v>
      </c>
      <c r="M268" s="18">
        <f>IF(VLOOKUP($E268,$D$5:$AI$471,3,)=0,0,(VLOOKUP($E268,$D$5:$AI$471,10,)/VLOOKUP($E268,$D$5:$AI$471,3,))*$F268)</f>
        <v>0</v>
      </c>
      <c r="N268" s="18">
        <f>IF(VLOOKUP($E268,$D$5:$AI$471,3,)=0,0,(VLOOKUP($E268,$D$5:$AI$471,11,)/VLOOKUP($E268,$D$5:$AI$471,3,))*$F268)</f>
        <v>0</v>
      </c>
      <c r="O268" s="18">
        <f>IF(VLOOKUP($E268,$D$5:$AI$471,3,)=0,0,(VLOOKUP($E268,$D$5:$AI$471,12,)/VLOOKUP($E268,$D$5:$AI$471,3,))*$F268)</f>
        <v>0</v>
      </c>
      <c r="P268" s="18">
        <f>IF(VLOOKUP($E268,$D$5:$AI$471,3,)=0,0,(VLOOKUP($E268,$D$5:$AI$471,13,)/VLOOKUP($E268,$D$5:$AI$471,3,))*$F268)</f>
        <v>0</v>
      </c>
      <c r="Q268" s="18">
        <f>IF(VLOOKUP($E268,$D$5:$AI$471,3,)=0,0,(VLOOKUP($E268,$D$5:$AI$471,14,)/VLOOKUP($E268,$D$5:$AI$471,3,))*$F268)</f>
        <v>0</v>
      </c>
      <c r="R268" s="18">
        <f>IF(VLOOKUP($E268,$D$5:$AI$471,3,)=0,0,(VLOOKUP($E268,$D$5:$AI$471,15,)/VLOOKUP($E268,$D$5:$AI$471,3,))*$F268)</f>
        <v>0</v>
      </c>
      <c r="S268" s="18">
        <f>IF(VLOOKUP($E268,$D$5:$AI$471,3,)=0,0,(VLOOKUP($E268,$D$5:$AI$471,16,)/VLOOKUP($E268,$D$5:$AI$471,3,))*$F268)</f>
        <v>0</v>
      </c>
      <c r="T268" s="18">
        <f>IF(VLOOKUP($E268,$D$5:$AI$471,3,)=0,0,(VLOOKUP($E268,$D$5:$AI$471,17,)/VLOOKUP($E268,$D$5:$AI$471,3,))*$F268)</f>
        <v>0</v>
      </c>
      <c r="U268" s="18">
        <f>IF(VLOOKUP($E268,$D$5:$AI$471,3,)=0,0,(VLOOKUP($E268,$D$5:$AI$471,18,)/VLOOKUP($E268,$D$5:$AI$471,3,))*$F268)</f>
        <v>0</v>
      </c>
      <c r="V268" s="18">
        <f>IF(VLOOKUP($E268,$D$5:$AI$471,3,)=0,0,(VLOOKUP($E268,$D$5:$AI$471,19,)/VLOOKUP($E268,$D$5:$AI$471,3,))*$F268)</f>
        <v>0</v>
      </c>
      <c r="W268" s="18">
        <f>IF(VLOOKUP($E268,$D$5:$AI$471,3,)=0,0,(VLOOKUP($E268,$D$5:$AI$471,20,)/VLOOKUP($E268,$D$5:$AI$471,3,))*$F268)</f>
        <v>0</v>
      </c>
      <c r="X268" s="18">
        <f>IF(VLOOKUP($E268,$D$5:$AI$471,3,)=0,0,(VLOOKUP($E268,$D$5:$AI$471,21,)/VLOOKUP($E268,$D$5:$AI$471,3,))*$F268)</f>
        <v>0</v>
      </c>
      <c r="Y268" s="18">
        <f>IF(VLOOKUP($E268,$D$5:$AI$471,3,)=0,0,(VLOOKUP($E268,$D$5:$AI$471,22,)/VLOOKUP($E268,$D$5:$AI$471,3,))*$F268)</f>
        <v>0</v>
      </c>
      <c r="Z268" s="18">
        <f>IF(VLOOKUP($E268,$D$5:$AI$471,3,)=0,0,(VLOOKUP($E268,$D$5:$AI$471,23,)/VLOOKUP($E268,$D$5:$AI$471,3,))*$F268)</f>
        <v>0</v>
      </c>
      <c r="AA268" s="18">
        <f>IF(VLOOKUP($E268,$D$5:$AI$471,3,)=0,0,(VLOOKUP($E268,$D$5:$AI$471,24,)/VLOOKUP($E268,$D$5:$AI$471,3,))*$F268)</f>
        <v>0</v>
      </c>
      <c r="AB268" s="18">
        <f>IF(VLOOKUP($E268,$D$5:$AI$471,3,)=0,0,(VLOOKUP($E268,$D$5:$AI$471,25,)/VLOOKUP($E268,$D$5:$AI$471,3,))*$F268)</f>
        <v>0</v>
      </c>
      <c r="AC268" s="18">
        <f>IF(VLOOKUP($E268,$D$5:$AI$471,3,)=0,0,(VLOOKUP($E268,$D$5:$AI$471,26,)/VLOOKUP($E268,$D$5:$AI$471,3,))*$F268)</f>
        <v>0</v>
      </c>
      <c r="AD268" s="18">
        <f>IF(VLOOKUP($E268,$D$5:$AI$471,3,)=0,0,(VLOOKUP($E268,$D$5:$AI$471,27,)/VLOOKUP($E268,$D$5:$AI$471,3,))*$F268)</f>
        <v>0</v>
      </c>
      <c r="AE268" s="18">
        <f>IF(VLOOKUP($E268,$D$5:$AI$471,3,)=0,0,(VLOOKUP($E268,$D$5:$AI$471,28,)/VLOOKUP($E268,$D$5:$AI$471,3,))*$F268)</f>
        <v>0</v>
      </c>
      <c r="AF268" s="18">
        <f>IF(VLOOKUP($E268,$D$5:$AI$471,3,)=0,0,(VLOOKUP($E268,$D$5:$AI$471,29,)/VLOOKUP($E268,$D$5:$AI$471,3,))*$F268)</f>
        <v>0</v>
      </c>
      <c r="AG268" s="18">
        <f>IF(VLOOKUP($E268,$D$5:$AI$471,3,)=0,0,(VLOOKUP($E268,$D$5:$AI$471,30,)/VLOOKUP($E268,$D$5:$AI$471,3,))*$F268)</f>
        <v>0</v>
      </c>
      <c r="AH268" s="20">
        <f t="shared" si="61"/>
        <v>0</v>
      </c>
      <c r="AI268" s="15" t="str">
        <f t="shared" si="62"/>
        <v>ok</v>
      </c>
    </row>
    <row r="269" spans="1:35" x14ac:dyDescent="0.3">
      <c r="A269" s="2" t="s">
        <v>686</v>
      </c>
      <c r="F269" s="20">
        <f>SUM(F264:F268)</f>
        <v>-90904474</v>
      </c>
      <c r="G269" s="20">
        <f t="shared" ref="G269:M269" si="64">SUM(G264:G268)</f>
        <v>-71368515.402863726</v>
      </c>
      <c r="H269" s="20">
        <f t="shared" si="64"/>
        <v>-5323783.9671526821</v>
      </c>
      <c r="I269" s="20">
        <f t="shared" si="64"/>
        <v>-1896479.4609267763</v>
      </c>
      <c r="J269" s="20">
        <f t="shared" si="64"/>
        <v>-3091944.77468776</v>
      </c>
      <c r="K269" s="20">
        <f t="shared" si="64"/>
        <v>-8610973.6282446608</v>
      </c>
      <c r="L269" s="20">
        <f t="shared" si="64"/>
        <v>-177967.49812915199</v>
      </c>
      <c r="M269" s="20">
        <f t="shared" si="64"/>
        <v>-434809.26799520827</v>
      </c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20">
        <f t="shared" si="61"/>
        <v>-90904473.99999997</v>
      </c>
      <c r="AI269" s="15" t="str">
        <f t="shared" si="62"/>
        <v>ok</v>
      </c>
    </row>
    <row r="270" spans="1:35" x14ac:dyDescent="0.3">
      <c r="A270" s="21"/>
    </row>
    <row r="271" spans="1:35" x14ac:dyDescent="0.3">
      <c r="A271" s="2" t="s">
        <v>687</v>
      </c>
      <c r="D271" s="2" t="s">
        <v>336</v>
      </c>
      <c r="F271" s="20">
        <f t="shared" ref="F271:AG271" si="65">F261+F269</f>
        <v>17674124.236999989</v>
      </c>
      <c r="G271" s="20">
        <f t="shared" si="65"/>
        <v>28134350.597970262</v>
      </c>
      <c r="H271" s="20">
        <f t="shared" si="65"/>
        <v>1965788.474738094</v>
      </c>
      <c r="I271" s="20">
        <f t="shared" si="65"/>
        <v>1402278.5934701958</v>
      </c>
      <c r="J271" s="20">
        <f t="shared" si="65"/>
        <v>1650228.0970513965</v>
      </c>
      <c r="K271" s="20">
        <f t="shared" si="65"/>
        <v>-23270030.434849776</v>
      </c>
      <c r="L271" s="20">
        <f t="shared" si="65"/>
        <v>1725905.639627991</v>
      </c>
      <c r="M271" s="20">
        <f t="shared" si="65"/>
        <v>6065603.2689918866</v>
      </c>
      <c r="N271" s="20">
        <f t="shared" si="65"/>
        <v>0</v>
      </c>
      <c r="O271" s="20">
        <f t="shared" si="65"/>
        <v>0</v>
      </c>
      <c r="P271" s="20">
        <f t="shared" si="65"/>
        <v>0</v>
      </c>
      <c r="Q271" s="20">
        <f t="shared" si="65"/>
        <v>0</v>
      </c>
      <c r="R271" s="20">
        <f t="shared" si="65"/>
        <v>0</v>
      </c>
      <c r="S271" s="20">
        <f t="shared" si="65"/>
        <v>0</v>
      </c>
      <c r="T271" s="20">
        <f t="shared" si="65"/>
        <v>0</v>
      </c>
      <c r="U271" s="20">
        <f t="shared" si="65"/>
        <v>0</v>
      </c>
      <c r="V271" s="20">
        <f t="shared" si="65"/>
        <v>0</v>
      </c>
      <c r="W271" s="20">
        <f t="shared" si="65"/>
        <v>0</v>
      </c>
      <c r="X271" s="20">
        <f t="shared" si="65"/>
        <v>0</v>
      </c>
      <c r="Y271" s="20">
        <f t="shared" si="65"/>
        <v>0</v>
      </c>
      <c r="Z271" s="20">
        <f t="shared" si="65"/>
        <v>0</v>
      </c>
      <c r="AA271" s="20">
        <f t="shared" si="65"/>
        <v>0</v>
      </c>
      <c r="AB271" s="20">
        <f t="shared" si="65"/>
        <v>0</v>
      </c>
      <c r="AC271" s="20">
        <f t="shared" si="65"/>
        <v>0</v>
      </c>
      <c r="AD271" s="20">
        <f t="shared" si="65"/>
        <v>0</v>
      </c>
      <c r="AE271" s="20">
        <f t="shared" si="65"/>
        <v>0</v>
      </c>
      <c r="AF271" s="20">
        <f t="shared" si="65"/>
        <v>0</v>
      </c>
      <c r="AG271" s="20">
        <f t="shared" si="65"/>
        <v>0</v>
      </c>
      <c r="AH271" s="20">
        <f>SUM(G271:AG271)</f>
        <v>17674124.237000052</v>
      </c>
      <c r="AI271" s="15" t="str">
        <f>IF(ABS(F271-AH271)&lt;0.01,"ok","err")</f>
        <v>ok</v>
      </c>
    </row>
    <row r="273" spans="1:35" x14ac:dyDescent="0.3">
      <c r="A273" s="2" t="s">
        <v>567</v>
      </c>
      <c r="F273" s="20">
        <f t="shared" ref="F273:AG273" si="66">F72</f>
        <v>3265972555.1229715</v>
      </c>
      <c r="G273" s="20">
        <f t="shared" si="66"/>
        <v>2561046988.9879408</v>
      </c>
      <c r="H273" s="20">
        <f t="shared" si="66"/>
        <v>192028527.4653841</v>
      </c>
      <c r="I273" s="20">
        <f t="shared" si="66"/>
        <v>68914367.155168384</v>
      </c>
      <c r="J273" s="20">
        <f t="shared" si="66"/>
        <v>111712514.18810904</v>
      </c>
      <c r="K273" s="20">
        <f t="shared" si="66"/>
        <v>305006030.35787356</v>
      </c>
      <c r="L273" s="20">
        <f t="shared" si="66"/>
        <v>10622874.072768502</v>
      </c>
      <c r="M273" s="20">
        <f t="shared" si="66"/>
        <v>16641252.895726735</v>
      </c>
      <c r="N273" s="20">
        <f t="shared" si="66"/>
        <v>0</v>
      </c>
      <c r="O273" s="20">
        <f t="shared" si="66"/>
        <v>0</v>
      </c>
      <c r="P273" s="20">
        <f t="shared" si="66"/>
        <v>0</v>
      </c>
      <c r="Q273" s="20">
        <f t="shared" si="66"/>
        <v>0</v>
      </c>
      <c r="R273" s="20">
        <f t="shared" si="66"/>
        <v>0</v>
      </c>
      <c r="S273" s="20">
        <f t="shared" si="66"/>
        <v>0</v>
      </c>
      <c r="T273" s="20">
        <f t="shared" si="66"/>
        <v>0</v>
      </c>
      <c r="U273" s="20">
        <f t="shared" si="66"/>
        <v>0</v>
      </c>
      <c r="V273" s="20">
        <f t="shared" si="66"/>
        <v>0</v>
      </c>
      <c r="W273" s="20">
        <f t="shared" si="66"/>
        <v>0</v>
      </c>
      <c r="X273" s="20">
        <f t="shared" si="66"/>
        <v>0</v>
      </c>
      <c r="Y273" s="20">
        <f t="shared" si="66"/>
        <v>0</v>
      </c>
      <c r="Z273" s="20">
        <f t="shared" si="66"/>
        <v>0</v>
      </c>
      <c r="AA273" s="20">
        <f t="shared" si="66"/>
        <v>0</v>
      </c>
      <c r="AB273" s="20">
        <f t="shared" si="66"/>
        <v>0</v>
      </c>
      <c r="AC273" s="20">
        <f t="shared" si="66"/>
        <v>0</v>
      </c>
      <c r="AD273" s="20">
        <f t="shared" si="66"/>
        <v>0</v>
      </c>
      <c r="AE273" s="20">
        <f t="shared" si="66"/>
        <v>0</v>
      </c>
      <c r="AF273" s="20">
        <f t="shared" si="66"/>
        <v>0</v>
      </c>
      <c r="AG273" s="20">
        <f t="shared" si="66"/>
        <v>0</v>
      </c>
      <c r="AH273" s="20">
        <f>SUM(G273:AG273)</f>
        <v>3265972555.1229711</v>
      </c>
      <c r="AI273" s="15" t="str">
        <f>IF(ABS(F273-AH273)&lt;0.01,"ok","err")</f>
        <v>ok</v>
      </c>
    </row>
    <row r="274" spans="1:35" ht="14.5" thickBot="1" x14ac:dyDescent="0.35"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56"/>
      <c r="Y274" s="30"/>
      <c r="Z274" s="30"/>
      <c r="AA274" s="30"/>
      <c r="AB274" s="30"/>
      <c r="AC274" s="30"/>
      <c r="AD274" s="30"/>
      <c r="AE274" s="30"/>
      <c r="AF274" s="30"/>
      <c r="AG274" s="30"/>
      <c r="AH274" s="31"/>
    </row>
    <row r="275" spans="1:35" ht="14.5" thickBot="1" x14ac:dyDescent="0.35">
      <c r="A275" s="33" t="s">
        <v>688</v>
      </c>
      <c r="B275" s="46"/>
      <c r="C275" s="46"/>
      <c r="D275" s="46"/>
      <c r="E275" s="46"/>
      <c r="F275" s="35">
        <f t="shared" ref="F275:M275" si="67">F261/F273</f>
        <v>3.3245410487814632E-2</v>
      </c>
      <c r="G275" s="35">
        <f t="shared" si="67"/>
        <v>3.8852417167150433E-2</v>
      </c>
      <c r="H275" s="35">
        <f t="shared" si="67"/>
        <v>3.796088288603279E-2</v>
      </c>
      <c r="I275" s="35">
        <f t="shared" si="67"/>
        <v>4.786749397218508E-2</v>
      </c>
      <c r="J275" s="35">
        <f t="shared" si="67"/>
        <v>4.2449790931694251E-2</v>
      </c>
      <c r="K275" s="35">
        <f t="shared" si="67"/>
        <v>-4.8061531076632039E-2</v>
      </c>
      <c r="L275" s="35">
        <f t="shared" si="67"/>
        <v>0.17922392044895635</v>
      </c>
      <c r="M275" s="35">
        <f t="shared" si="67"/>
        <v>0.39062038043159114</v>
      </c>
      <c r="N275" s="35" t="e">
        <f>N265/#REF!</f>
        <v>#REF!</v>
      </c>
      <c r="O275" s="35" t="e">
        <f>O265/#REF!</f>
        <v>#REF!</v>
      </c>
      <c r="P275" s="35" t="e">
        <f>P265/#REF!</f>
        <v>#REF!</v>
      </c>
      <c r="Q275" s="35" t="e">
        <f>Q265/#REF!</f>
        <v>#REF!</v>
      </c>
      <c r="R275" s="35" t="e">
        <f>R265/#REF!</f>
        <v>#REF!</v>
      </c>
      <c r="S275" s="35" t="e">
        <f>S265/#REF!</f>
        <v>#REF!</v>
      </c>
      <c r="T275" s="35" t="e">
        <f>T265/#REF!</f>
        <v>#REF!</v>
      </c>
      <c r="U275" s="35" t="e">
        <f>U265/#REF!</f>
        <v>#REF!</v>
      </c>
      <c r="V275" s="35" t="e">
        <f>V265/#REF!</f>
        <v>#REF!</v>
      </c>
      <c r="W275" s="35" t="e">
        <f>W265/#REF!</f>
        <v>#REF!</v>
      </c>
      <c r="X275" s="35" t="e">
        <f>X265/#REF!</f>
        <v>#REF!</v>
      </c>
      <c r="Y275" s="35" t="e">
        <f>Y265/#REF!</f>
        <v>#REF!</v>
      </c>
      <c r="Z275" s="35" t="e">
        <f>Z265/#REF!</f>
        <v>#REF!</v>
      </c>
      <c r="AA275" s="35" t="e">
        <f>AA265/#REF!</f>
        <v>#REF!</v>
      </c>
      <c r="AB275" s="35" t="e">
        <f>AB265/#REF!</f>
        <v>#REF!</v>
      </c>
      <c r="AC275" s="35" t="e">
        <f>AC265/#REF!</f>
        <v>#REF!</v>
      </c>
      <c r="AD275" s="35" t="e">
        <f>AD265/#REF!</f>
        <v>#REF!</v>
      </c>
      <c r="AE275" s="35" t="e">
        <f>AE265/#REF!</f>
        <v>#REF!</v>
      </c>
      <c r="AF275" s="35" t="e">
        <f>AF265/#REF!</f>
        <v>#REF!</v>
      </c>
      <c r="AG275" s="35" t="e">
        <f>AG265/#REF!</f>
        <v>#REF!</v>
      </c>
    </row>
    <row r="276" spans="1:35" x14ac:dyDescent="0.3"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</row>
    <row r="277" spans="1:35" x14ac:dyDescent="0.3">
      <c r="X277" s="56"/>
    </row>
    <row r="278" spans="1:35" x14ac:dyDescent="0.3">
      <c r="X278" s="56"/>
    </row>
    <row r="279" spans="1:35" x14ac:dyDescent="0.3">
      <c r="A279" s="3" t="s">
        <v>689</v>
      </c>
    </row>
    <row r="281" spans="1:35" x14ac:dyDescent="0.3">
      <c r="A281" s="3" t="s">
        <v>652</v>
      </c>
    </row>
    <row r="283" spans="1:35" x14ac:dyDescent="0.3">
      <c r="A283" s="2" t="s">
        <v>690</v>
      </c>
      <c r="F283" s="20">
        <f t="shared" ref="F283:AG283" si="68">F250</f>
        <v>1110012184.71</v>
      </c>
      <c r="G283" s="20">
        <f t="shared" si="68"/>
        <v>833901714.49913192</v>
      </c>
      <c r="H283" s="20">
        <f t="shared" si="68"/>
        <v>80254328.97301434</v>
      </c>
      <c r="I283" s="20">
        <f t="shared" si="68"/>
        <v>31720941.021993775</v>
      </c>
      <c r="J283" s="20">
        <f t="shared" si="68"/>
        <v>48089306.706898376</v>
      </c>
      <c r="K283" s="20">
        <f t="shared" si="68"/>
        <v>87142280.159892216</v>
      </c>
      <c r="L283" s="20">
        <f t="shared" si="68"/>
        <v>14304014.119249061</v>
      </c>
      <c r="M283" s="20">
        <f t="shared" si="68"/>
        <v>14599599.229820346</v>
      </c>
      <c r="N283" s="20">
        <f t="shared" si="68"/>
        <v>0</v>
      </c>
      <c r="O283" s="20">
        <f t="shared" si="68"/>
        <v>0</v>
      </c>
      <c r="P283" s="20">
        <f t="shared" si="68"/>
        <v>0</v>
      </c>
      <c r="Q283" s="20">
        <f t="shared" si="68"/>
        <v>0</v>
      </c>
      <c r="R283" s="20">
        <f t="shared" si="68"/>
        <v>0</v>
      </c>
      <c r="S283" s="20">
        <f t="shared" si="68"/>
        <v>0</v>
      </c>
      <c r="T283" s="20">
        <f t="shared" si="68"/>
        <v>0</v>
      </c>
      <c r="U283" s="20">
        <f t="shared" si="68"/>
        <v>0</v>
      </c>
      <c r="V283" s="20">
        <f t="shared" si="68"/>
        <v>0</v>
      </c>
      <c r="W283" s="20">
        <f t="shared" si="68"/>
        <v>0</v>
      </c>
      <c r="X283" s="20">
        <f t="shared" si="68"/>
        <v>0</v>
      </c>
      <c r="Y283" s="20">
        <f t="shared" si="68"/>
        <v>0</v>
      </c>
      <c r="Z283" s="20">
        <f t="shared" si="68"/>
        <v>0</v>
      </c>
      <c r="AA283" s="20">
        <f t="shared" si="68"/>
        <v>0</v>
      </c>
      <c r="AB283" s="20">
        <f t="shared" si="68"/>
        <v>0</v>
      </c>
      <c r="AC283" s="20">
        <f t="shared" si="68"/>
        <v>0</v>
      </c>
      <c r="AD283" s="20">
        <f t="shared" si="68"/>
        <v>0</v>
      </c>
      <c r="AE283" s="20">
        <f t="shared" si="68"/>
        <v>0</v>
      </c>
      <c r="AF283" s="20">
        <f t="shared" si="68"/>
        <v>0</v>
      </c>
      <c r="AG283" s="20">
        <f t="shared" si="68"/>
        <v>0</v>
      </c>
      <c r="AH283" s="20">
        <f>SUM(G283:AG283)</f>
        <v>1110012184.71</v>
      </c>
      <c r="AI283" s="15" t="str">
        <f>IF(ABS(F283-AH283)&lt;0.01,"ok","err")</f>
        <v>ok</v>
      </c>
    </row>
    <row r="284" spans="1:35" x14ac:dyDescent="0.3"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15"/>
    </row>
    <row r="285" spans="1:35" x14ac:dyDescent="0.3">
      <c r="A285" s="2" t="s">
        <v>691</v>
      </c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15"/>
    </row>
    <row r="286" spans="1:35" x14ac:dyDescent="0.3">
      <c r="B286" s="2" t="s">
        <v>692</v>
      </c>
      <c r="E286" s="2" t="s">
        <v>693</v>
      </c>
      <c r="F286" s="94">
        <f>341554580*IF(FAC,0,1)</f>
        <v>341554580</v>
      </c>
      <c r="G286" s="19">
        <f>IF(VLOOKUP($E286,$D$5:$AI$471,3,)=0,0,(VLOOKUP($E286,$D$5:$AI$471,4,)/VLOOKUP($E286,$D$5:$AI$471,3,))*$F286)</f>
        <v>243478144.47308868</v>
      </c>
      <c r="H286" s="19">
        <f>IF(VLOOKUP($E286,$D$5:$AI$471,3,)=0,0,(VLOOKUP($E286,$D$5:$AI$471,5,)/VLOOKUP($E286,$D$5:$AI$471,3,))*$F286)</f>
        <v>28094417.927645188</v>
      </c>
      <c r="I286" s="19">
        <f>IF(VLOOKUP($E286,$D$5:$AI$471,3,)=0,0,(VLOOKUP($E286,$D$5:$AI$471,6,)/VLOOKUP($E286,$D$5:$AI$471,3,))*$F286)</f>
        <v>11417886.789808366</v>
      </c>
      <c r="J286" s="19">
        <f>IF(VLOOKUP($E286,$D$5:$AI$471,3,)=0,0,(VLOOKUP($E286,$D$5:$AI$471,7,)/VLOOKUP($E286,$D$5:$AI$471,3,))*$F286)</f>
        <v>16947606.566096362</v>
      </c>
      <c r="K286" s="19">
        <f>IF(VLOOKUP($E286,$D$5:$AI$471,3,)=0,0,(VLOOKUP($E286,$D$5:$AI$471,8,)/VLOOKUP($E286,$D$5:$AI$471,3,))*$F286)</f>
        <v>36479771.225161962</v>
      </c>
      <c r="L286" s="19">
        <f>IF(VLOOKUP($E286,$D$5:$AI$471,3,)=0,0,(VLOOKUP($E286,$D$5:$AI$471,9,)/VLOOKUP($E286,$D$5:$AI$471,3,))*$F286)</f>
        <v>0</v>
      </c>
      <c r="M286" s="19">
        <f>IF(VLOOKUP($E286,$D$5:$AI$471,3,)=0,0,(VLOOKUP($E286,$D$5:$AI$471,10,)/VLOOKUP($E286,$D$5:$AI$471,3,))*$F286)</f>
        <v>5136753.0181994596</v>
      </c>
      <c r="N286" s="18">
        <f>IF(VLOOKUP($E286,$D$5:$AI$471,3,)=0,0,(VLOOKUP($E286,$D$5:$AI$471,11,)/VLOOKUP($E286,$D$5:$AI$471,3,))*$F286)</f>
        <v>0</v>
      </c>
      <c r="O286" s="18">
        <f>IF(VLOOKUP($E286,$D$5:$AI$471,3,)=0,0,(VLOOKUP($E286,$D$5:$AI$471,12,)/VLOOKUP($E286,$D$5:$AI$471,3,))*$F286)</f>
        <v>0</v>
      </c>
      <c r="P286" s="18">
        <f>IF(VLOOKUP($E286,$D$5:$AI$471,3,)=0,0,(VLOOKUP($E286,$D$5:$AI$471,13,)/VLOOKUP($E286,$D$5:$AI$471,3,))*$F286)</f>
        <v>0</v>
      </c>
      <c r="Q286" s="18">
        <f>IF(VLOOKUP($E286,$D$5:$AI$471,3,)=0,0,(VLOOKUP($E286,$D$5:$AI$471,14,)/VLOOKUP($E286,$D$5:$AI$471,3,))*$F286)</f>
        <v>0</v>
      </c>
      <c r="R286" s="18">
        <f>IF(VLOOKUP($E286,$D$5:$AI$471,3,)=0,0,(VLOOKUP($E286,$D$5:$AI$471,15,)/VLOOKUP($E286,$D$5:$AI$471,3,))*$F286)</f>
        <v>0</v>
      </c>
      <c r="S286" s="18">
        <f>IF(VLOOKUP($E286,$D$5:$AI$471,3,)=0,0,(VLOOKUP($E286,$D$5:$AI$471,16,)/VLOOKUP($E286,$D$5:$AI$471,3,))*$F286)</f>
        <v>0</v>
      </c>
      <c r="T286" s="18">
        <f>IF(VLOOKUP($E286,$D$5:$AI$471,3,)=0,0,(VLOOKUP($E286,$D$5:$AI$471,17,)/VLOOKUP($E286,$D$5:$AI$471,3,))*$F286)</f>
        <v>0</v>
      </c>
      <c r="U286" s="18">
        <f>IF(VLOOKUP($E286,$D$5:$AI$471,3,)=0,0,(VLOOKUP($E286,$D$5:$AI$471,18,)/VLOOKUP($E286,$D$5:$AI$471,3,))*$F286)</f>
        <v>0</v>
      </c>
      <c r="V286" s="18">
        <f>IF(VLOOKUP($E286,$D$5:$AI$471,3,)=0,0,(VLOOKUP($E286,$D$5:$AI$471,19,)/VLOOKUP($E286,$D$5:$AI$471,3,))*$F286)</f>
        <v>0</v>
      </c>
      <c r="W286" s="18">
        <f>IF(VLOOKUP($E286,$D$5:$AI$471,3,)=0,0,(VLOOKUP($E286,$D$5:$AI$471,20,)/VLOOKUP($E286,$D$5:$AI$471,3,))*$F286)</f>
        <v>0</v>
      </c>
      <c r="X286" s="18">
        <f>IF(VLOOKUP($E286,$D$5:$AI$471,3,)=0,0,(VLOOKUP($E286,$D$5:$AI$471,21,)/VLOOKUP($E286,$D$5:$AI$471,3,))*$F286)</f>
        <v>0</v>
      </c>
      <c r="Y286" s="18">
        <f>IF(VLOOKUP($E286,$D$5:$AI$471,3,)=0,0,(VLOOKUP($E286,$D$5:$AI$471,22,)/VLOOKUP($E286,$D$5:$AI$471,3,))*$F286)</f>
        <v>0</v>
      </c>
      <c r="Z286" s="18">
        <f>IF(VLOOKUP($E286,$D$5:$AI$471,3,)=0,0,(VLOOKUP($E286,$D$5:$AI$471,23,)/VLOOKUP($E286,$D$5:$AI$471,3,))*$F286)</f>
        <v>0</v>
      </c>
      <c r="AA286" s="18">
        <f>IF(VLOOKUP($E286,$D$5:$AI$471,3,)=0,0,(VLOOKUP($E286,$D$5:$AI$471,24,)/VLOOKUP($E286,$D$5:$AI$471,3,))*$F286)</f>
        <v>0</v>
      </c>
      <c r="AB286" s="18">
        <f>IF(VLOOKUP($E286,$D$5:$AI$471,3,)=0,0,(VLOOKUP($E286,$D$5:$AI$471,25,)/VLOOKUP($E286,$D$5:$AI$471,3,))*$F286)</f>
        <v>0</v>
      </c>
      <c r="AC286" s="18">
        <f>IF(VLOOKUP($E286,$D$5:$AI$471,3,)=0,0,(VLOOKUP($E286,$D$5:$AI$471,26,)/VLOOKUP($E286,$D$5:$AI$471,3,))*$F286)</f>
        <v>0</v>
      </c>
      <c r="AD286" s="18">
        <f>IF(VLOOKUP($E286,$D$5:$AI$471,3,)=0,0,(VLOOKUP($E286,$D$5:$AI$471,27,)/VLOOKUP($E286,$D$5:$AI$471,3,))*$F286)</f>
        <v>0</v>
      </c>
      <c r="AE286" s="18">
        <f>IF(VLOOKUP($E286,$D$5:$AI$471,3,)=0,0,(VLOOKUP($E286,$D$5:$AI$471,28,)/VLOOKUP($E286,$D$5:$AI$471,3,))*$F286)</f>
        <v>0</v>
      </c>
      <c r="AF286" s="18">
        <f>IF(VLOOKUP($E286,$D$5:$AI$471,3,)=0,0,(VLOOKUP($E286,$D$5:$AI$471,29,)/VLOOKUP($E286,$D$5:$AI$471,3,))*$F286)</f>
        <v>0</v>
      </c>
      <c r="AG286" s="18">
        <f>IF(VLOOKUP($E286,$D$5:$AI$471,3,)=0,0,(VLOOKUP($E286,$D$5:$AI$471,30,)/VLOOKUP($E286,$D$5:$AI$471,3,))*$F286)</f>
        <v>0</v>
      </c>
      <c r="AH286" s="20">
        <f t="shared" ref="AH286:AH291" si="69">SUM(G286:AG286)</f>
        <v>341554580.00000006</v>
      </c>
      <c r="AI286" s="15" t="str">
        <f t="shared" ref="AI286:AI291" si="70">IF(ABS(F286-AH286)&lt;0.01,"ok","err")</f>
        <v>ok</v>
      </c>
    </row>
    <row r="287" spans="1:35" x14ac:dyDescent="0.3">
      <c r="B287" s="2" t="s">
        <v>694</v>
      </c>
      <c r="E287" s="2" t="s">
        <v>695</v>
      </c>
      <c r="F287" s="95">
        <f>(133649531-15889496)*IF(FAC,0,1)</f>
        <v>117760035</v>
      </c>
      <c r="G287" s="19">
        <f>IF(VLOOKUP($E287,$D$5:$AI$471,3,)=0,0,(VLOOKUP($E287,$D$5:$AI$471,4,)/VLOOKUP($E287,$D$5:$AI$471,3,))*$F287)</f>
        <v>88531604.822699174</v>
      </c>
      <c r="H287" s="19">
        <f>IF(VLOOKUP($E287,$D$5:$AI$471,3,)=0,0,(VLOOKUP($E287,$D$5:$AI$471,5,)/VLOOKUP($E287,$D$5:$AI$471,3,))*$F287)</f>
        <v>8938456.4729577582</v>
      </c>
      <c r="I287" s="19">
        <f>IF(VLOOKUP($E287,$D$5:$AI$471,3,)=0,0,(VLOOKUP($E287,$D$5:$AI$471,6,)/VLOOKUP($E287,$D$5:$AI$471,3,))*$F287)</f>
        <v>3441963.1260251789</v>
      </c>
      <c r="J287" s="19">
        <f>IF(VLOOKUP($E287,$D$5:$AI$471,3,)=0,0,(VLOOKUP($E287,$D$5:$AI$471,7,)/VLOOKUP($E287,$D$5:$AI$471,3,))*$F287)</f>
        <v>3638370.7242447897</v>
      </c>
      <c r="K287" s="19">
        <f>IF(VLOOKUP($E287,$D$5:$AI$471,3,)=0,0,(VLOOKUP($E287,$D$5:$AI$471,8,)/VLOOKUP($E287,$D$5:$AI$471,3,))*$F287)</f>
        <v>11490400.434460299</v>
      </c>
      <c r="L287" s="19">
        <f>IF(VLOOKUP($E287,$D$5:$AI$471,3,)=0,0,(VLOOKUP($E287,$D$5:$AI$471,9,)/VLOOKUP($E287,$D$5:$AI$471,3,))*$F287)</f>
        <v>0</v>
      </c>
      <c r="M287" s="19">
        <f>IF(VLOOKUP($E287,$D$5:$AI$471,3,)=0,0,(VLOOKUP($E287,$D$5:$AI$471,10,)/VLOOKUP($E287,$D$5:$AI$471,3,))*$F287)</f>
        <v>1719239.4196127974</v>
      </c>
      <c r="N287" s="18">
        <f>IF(VLOOKUP($E287,$D$5:$AI$471,3,)=0,0,(VLOOKUP($E287,$D$5:$AI$471,11,)/VLOOKUP($E287,$D$5:$AI$471,3,))*$F287)</f>
        <v>0</v>
      </c>
      <c r="O287" s="18">
        <f>IF(VLOOKUP($E287,$D$5:$AI$471,3,)=0,0,(VLOOKUP($E287,$D$5:$AI$471,12,)/VLOOKUP($E287,$D$5:$AI$471,3,))*$F287)</f>
        <v>0</v>
      </c>
      <c r="P287" s="18">
        <f>IF(VLOOKUP($E287,$D$5:$AI$471,3,)=0,0,(VLOOKUP($E287,$D$5:$AI$471,13,)/VLOOKUP($E287,$D$5:$AI$471,3,))*$F287)</f>
        <v>0</v>
      </c>
      <c r="Q287" s="18">
        <f>IF(VLOOKUP($E287,$D$5:$AI$471,3,)=0,0,(VLOOKUP($E287,$D$5:$AI$471,14,)/VLOOKUP($E287,$D$5:$AI$471,3,))*$F287)</f>
        <v>0</v>
      </c>
      <c r="R287" s="18">
        <f>IF(VLOOKUP($E287,$D$5:$AI$471,3,)=0,0,(VLOOKUP($E287,$D$5:$AI$471,15,)/VLOOKUP($E287,$D$5:$AI$471,3,))*$F287)</f>
        <v>0</v>
      </c>
      <c r="S287" s="18">
        <f>IF(VLOOKUP($E287,$D$5:$AI$471,3,)=0,0,(VLOOKUP($E287,$D$5:$AI$471,16,)/VLOOKUP($E287,$D$5:$AI$471,3,))*$F287)</f>
        <v>0</v>
      </c>
      <c r="T287" s="18">
        <f>IF(VLOOKUP($E287,$D$5:$AI$471,3,)=0,0,(VLOOKUP($E287,$D$5:$AI$471,17,)/VLOOKUP($E287,$D$5:$AI$471,3,))*$F287)</f>
        <v>0</v>
      </c>
      <c r="U287" s="18">
        <f>IF(VLOOKUP($E287,$D$5:$AI$471,3,)=0,0,(VLOOKUP($E287,$D$5:$AI$471,18,)/VLOOKUP($E287,$D$5:$AI$471,3,))*$F287)</f>
        <v>0</v>
      </c>
      <c r="V287" s="18">
        <f>IF(VLOOKUP($E287,$D$5:$AI$471,3,)=0,0,(VLOOKUP($E287,$D$5:$AI$471,19,)/VLOOKUP($E287,$D$5:$AI$471,3,))*$F287)</f>
        <v>0</v>
      </c>
      <c r="W287" s="18">
        <f>IF(VLOOKUP($E287,$D$5:$AI$471,3,)=0,0,(VLOOKUP($E287,$D$5:$AI$471,20,)/VLOOKUP($E287,$D$5:$AI$471,3,))*$F287)</f>
        <v>0</v>
      </c>
      <c r="X287" s="18">
        <f>IF(VLOOKUP($E287,$D$5:$AI$471,3,)=0,0,(VLOOKUP($E287,$D$5:$AI$471,21,)/VLOOKUP($E287,$D$5:$AI$471,3,))*$F287)</f>
        <v>0</v>
      </c>
      <c r="Y287" s="18">
        <f>IF(VLOOKUP($E287,$D$5:$AI$471,3,)=0,0,(VLOOKUP($E287,$D$5:$AI$471,22,)/VLOOKUP($E287,$D$5:$AI$471,3,))*$F287)</f>
        <v>0</v>
      </c>
      <c r="Z287" s="18">
        <f>IF(VLOOKUP($E287,$D$5:$AI$471,3,)=0,0,(VLOOKUP($E287,$D$5:$AI$471,23,)/VLOOKUP($E287,$D$5:$AI$471,3,))*$F287)</f>
        <v>0</v>
      </c>
      <c r="AA287" s="18">
        <f>IF(VLOOKUP($E287,$D$5:$AI$471,3,)=0,0,(VLOOKUP($E287,$D$5:$AI$471,24,)/VLOOKUP($E287,$D$5:$AI$471,3,))*$F287)</f>
        <v>0</v>
      </c>
      <c r="AB287" s="18">
        <f>IF(VLOOKUP($E287,$D$5:$AI$471,3,)=0,0,(VLOOKUP($E287,$D$5:$AI$471,25,)/VLOOKUP($E287,$D$5:$AI$471,3,))*$F287)</f>
        <v>0</v>
      </c>
      <c r="AC287" s="18">
        <f>IF(VLOOKUP($E287,$D$5:$AI$471,3,)=0,0,(VLOOKUP($E287,$D$5:$AI$471,26,)/VLOOKUP($E287,$D$5:$AI$471,3,))*$F287)</f>
        <v>0</v>
      </c>
      <c r="AD287" s="18">
        <f>IF(VLOOKUP($E287,$D$5:$AI$471,3,)=0,0,(VLOOKUP($E287,$D$5:$AI$471,27,)/VLOOKUP($E287,$D$5:$AI$471,3,))*$F287)</f>
        <v>0</v>
      </c>
      <c r="AE287" s="18">
        <f>IF(VLOOKUP($E287,$D$5:$AI$471,3,)=0,0,(VLOOKUP($E287,$D$5:$AI$471,28,)/VLOOKUP($E287,$D$5:$AI$471,3,))*$F287)</f>
        <v>0</v>
      </c>
      <c r="AF287" s="18">
        <f>IF(VLOOKUP($E287,$D$5:$AI$471,3,)=0,0,(VLOOKUP($E287,$D$5:$AI$471,29,)/VLOOKUP($E287,$D$5:$AI$471,3,))*$F287)</f>
        <v>0</v>
      </c>
      <c r="AG287" s="18">
        <f>IF(VLOOKUP($E287,$D$5:$AI$471,3,)=0,0,(VLOOKUP($E287,$D$5:$AI$471,30,)/VLOOKUP($E287,$D$5:$AI$471,3,))*$F287)</f>
        <v>0</v>
      </c>
      <c r="AH287" s="20">
        <f t="shared" si="69"/>
        <v>117760035</v>
      </c>
      <c r="AI287" s="15" t="str">
        <f t="shared" si="70"/>
        <v>ok</v>
      </c>
    </row>
    <row r="288" spans="1:35" x14ac:dyDescent="0.3">
      <c r="B288" s="2" t="s">
        <v>696</v>
      </c>
      <c r="E288" s="2" t="s">
        <v>697</v>
      </c>
      <c r="F288" s="19">
        <v>149126006</v>
      </c>
      <c r="G288" s="19">
        <f>IF(VLOOKUP($E288,$D$5:$AI$471,3,)=0,0,(VLOOKUP($E288,$D$5:$AI$471,4,)/VLOOKUP($E288,$D$5:$AI$471,3,))*$F288)</f>
        <v>112597893.63838381</v>
      </c>
      <c r="H288" s="19">
        <f>IF(VLOOKUP($E288,$D$5:$AI$471,3,)=0,0,(VLOOKUP($E288,$D$5:$AI$471,5,)/VLOOKUP($E288,$D$5:$AI$471,3,))*$F288)</f>
        <v>10801512.6525792</v>
      </c>
      <c r="I288" s="19">
        <f>IF(VLOOKUP($E288,$D$5:$AI$471,3,)=0,0,(VLOOKUP($E288,$D$5:$AI$471,6,)/VLOOKUP($E288,$D$5:$AI$471,3,))*$F288)</f>
        <v>4380758.3595781121</v>
      </c>
      <c r="J288" s="19">
        <f>IF(VLOOKUP($E288,$D$5:$AI$471,3,)=0,0,(VLOOKUP($E288,$D$5:$AI$471,7,)/VLOOKUP($E288,$D$5:$AI$471,3,))*$F288)</f>
        <v>6475458.6080777794</v>
      </c>
      <c r="K288" s="19">
        <f>IF(VLOOKUP($E288,$D$5:$AI$471,3,)=0,0,(VLOOKUP($E288,$D$5:$AI$471,8,)/VLOOKUP($E288,$D$5:$AI$471,3,))*$F288)</f>
        <v>11634294.179424427</v>
      </c>
      <c r="L288" s="19">
        <f>IF(VLOOKUP($E288,$D$5:$AI$471,3,)=0,0,(VLOOKUP($E288,$D$5:$AI$471,9,)/VLOOKUP($E288,$D$5:$AI$471,3,))*$F288)</f>
        <v>1280609.063528554</v>
      </c>
      <c r="M288" s="19">
        <f>IF(VLOOKUP($E288,$D$5:$AI$471,3,)=0,0,(VLOOKUP($E288,$D$5:$AI$471,10,)/VLOOKUP($E288,$D$5:$AI$471,3,))*$F288)</f>
        <v>1955479.4984281375</v>
      </c>
      <c r="N288" s="18">
        <f>IF(VLOOKUP($E288,$D$5:$AI$471,3,)=0,0,(VLOOKUP($E288,$D$5:$AI$471,11,)/VLOOKUP($E288,$D$5:$AI$471,3,))*$F288)</f>
        <v>0</v>
      </c>
      <c r="O288" s="18">
        <f>IF(VLOOKUP($E288,$D$5:$AI$471,3,)=0,0,(VLOOKUP($E288,$D$5:$AI$471,12,)/VLOOKUP($E288,$D$5:$AI$471,3,))*$F288)</f>
        <v>0</v>
      </c>
      <c r="P288" s="18">
        <f>IF(VLOOKUP($E288,$D$5:$AI$471,3,)=0,0,(VLOOKUP($E288,$D$5:$AI$471,13,)/VLOOKUP($E288,$D$5:$AI$471,3,))*$F288)</f>
        <v>0</v>
      </c>
      <c r="Q288" s="18">
        <f>IF(VLOOKUP($E288,$D$5:$AI$471,3,)=0,0,(VLOOKUP($E288,$D$5:$AI$471,14,)/VLOOKUP($E288,$D$5:$AI$471,3,))*$F288)</f>
        <v>0</v>
      </c>
      <c r="R288" s="18">
        <f>IF(VLOOKUP($E288,$D$5:$AI$471,3,)=0,0,(VLOOKUP($E288,$D$5:$AI$471,15,)/VLOOKUP($E288,$D$5:$AI$471,3,))*$F288)</f>
        <v>0</v>
      </c>
      <c r="S288" s="18">
        <f>IF(VLOOKUP($E288,$D$5:$AI$471,3,)=0,0,(VLOOKUP($E288,$D$5:$AI$471,16,)/VLOOKUP($E288,$D$5:$AI$471,3,))*$F288)</f>
        <v>0</v>
      </c>
      <c r="T288" s="18">
        <f>IF(VLOOKUP($E288,$D$5:$AI$471,3,)=0,0,(VLOOKUP($E288,$D$5:$AI$471,17,)/VLOOKUP($E288,$D$5:$AI$471,3,))*$F288)</f>
        <v>0</v>
      </c>
      <c r="U288" s="18">
        <f>IF(VLOOKUP($E288,$D$5:$AI$471,3,)=0,0,(VLOOKUP($E288,$D$5:$AI$471,18,)/VLOOKUP($E288,$D$5:$AI$471,3,))*$F288)</f>
        <v>0</v>
      </c>
      <c r="V288" s="18">
        <f>IF(VLOOKUP($E288,$D$5:$AI$471,3,)=0,0,(VLOOKUP($E288,$D$5:$AI$471,19,)/VLOOKUP($E288,$D$5:$AI$471,3,))*$F288)</f>
        <v>0</v>
      </c>
      <c r="W288" s="18">
        <f>IF(VLOOKUP($E288,$D$5:$AI$471,3,)=0,0,(VLOOKUP($E288,$D$5:$AI$471,20,)/VLOOKUP($E288,$D$5:$AI$471,3,))*$F288)</f>
        <v>0</v>
      </c>
      <c r="X288" s="18">
        <f>IF(VLOOKUP($E288,$D$5:$AI$471,3,)=0,0,(VLOOKUP($E288,$D$5:$AI$471,21,)/VLOOKUP($E288,$D$5:$AI$471,3,))*$F288)</f>
        <v>0</v>
      </c>
      <c r="Y288" s="18">
        <f>IF(VLOOKUP($E288,$D$5:$AI$471,3,)=0,0,(VLOOKUP($E288,$D$5:$AI$471,22,)/VLOOKUP($E288,$D$5:$AI$471,3,))*$F288)</f>
        <v>0</v>
      </c>
      <c r="Z288" s="18">
        <f>IF(VLOOKUP($E288,$D$5:$AI$471,3,)=0,0,(VLOOKUP($E288,$D$5:$AI$471,23,)/VLOOKUP($E288,$D$5:$AI$471,3,))*$F288)</f>
        <v>0</v>
      </c>
      <c r="AA288" s="18">
        <f>IF(VLOOKUP($E288,$D$5:$AI$471,3,)=0,0,(VLOOKUP($E288,$D$5:$AI$471,24,)/VLOOKUP($E288,$D$5:$AI$471,3,))*$F288)</f>
        <v>0</v>
      </c>
      <c r="AB288" s="18">
        <f>IF(VLOOKUP($E288,$D$5:$AI$471,3,)=0,0,(VLOOKUP($E288,$D$5:$AI$471,25,)/VLOOKUP($E288,$D$5:$AI$471,3,))*$F288)</f>
        <v>0</v>
      </c>
      <c r="AC288" s="18">
        <f>IF(VLOOKUP($E288,$D$5:$AI$471,3,)=0,0,(VLOOKUP($E288,$D$5:$AI$471,26,)/VLOOKUP($E288,$D$5:$AI$471,3,))*$F288)</f>
        <v>0</v>
      </c>
      <c r="AD288" s="18">
        <f>IF(VLOOKUP($E288,$D$5:$AI$471,3,)=0,0,(VLOOKUP($E288,$D$5:$AI$471,27,)/VLOOKUP($E288,$D$5:$AI$471,3,))*$F288)</f>
        <v>0</v>
      </c>
      <c r="AE288" s="18">
        <f>IF(VLOOKUP($E288,$D$5:$AI$471,3,)=0,0,(VLOOKUP($E288,$D$5:$AI$471,28,)/VLOOKUP($E288,$D$5:$AI$471,3,))*$F288)</f>
        <v>0</v>
      </c>
      <c r="AF288" s="18">
        <f>IF(VLOOKUP($E288,$D$5:$AI$471,3,)=0,0,(VLOOKUP($E288,$D$5:$AI$471,29,)/VLOOKUP($E288,$D$5:$AI$471,3,))*$F288)</f>
        <v>0</v>
      </c>
      <c r="AG288" s="18">
        <f>IF(VLOOKUP($E288,$D$5:$AI$471,3,)=0,0,(VLOOKUP($E288,$D$5:$AI$471,30,)/VLOOKUP($E288,$D$5:$AI$471,3,))*$F288)</f>
        <v>0</v>
      </c>
      <c r="AH288" s="20">
        <f t="shared" si="69"/>
        <v>149126006.00000003</v>
      </c>
      <c r="AI288" s="15" t="str">
        <f t="shared" si="70"/>
        <v>ok</v>
      </c>
    </row>
    <row r="289" spans="1:35" x14ac:dyDescent="0.3">
      <c r="B289" s="2" t="s">
        <v>698</v>
      </c>
      <c r="E289" s="2" t="s">
        <v>573</v>
      </c>
      <c r="F289" s="19">
        <v>657368</v>
      </c>
      <c r="G289" s="19">
        <f>IF(VLOOKUP($E289,$D$5:$AI$471,3,)=0,0,(VLOOKUP($E289,$D$5:$AI$471,4,)/VLOOKUP($E289,$D$5:$AI$471,3,))*$F289)</f>
        <v>499521.46076267574</v>
      </c>
      <c r="H289" s="19">
        <f>IF(VLOOKUP($E289,$D$5:$AI$471,3,)=0,0,(VLOOKUP($E289,$D$5:$AI$471,5,)/VLOOKUP($E289,$D$5:$AI$471,3,))*$F289)</f>
        <v>42791.506964155982</v>
      </c>
      <c r="I289" s="19">
        <f>IF(VLOOKUP($E289,$D$5:$AI$471,3,)=0,0,(VLOOKUP($E289,$D$5:$AI$471,6,)/VLOOKUP($E289,$D$5:$AI$471,3,))*$F289)</f>
        <v>15561.747906751783</v>
      </c>
      <c r="J289" s="19">
        <f>IF(VLOOKUP($E289,$D$5:$AI$471,3,)=0,0,(VLOOKUP($E289,$D$5:$AI$471,7,)/VLOOKUP($E289,$D$5:$AI$471,3,))*$F289)</f>
        <v>24969.725214954968</v>
      </c>
      <c r="K289" s="19">
        <f>IF(VLOOKUP($E289,$D$5:$AI$471,3,)=0,0,(VLOOKUP($E289,$D$5:$AI$471,8,)/VLOOKUP($E289,$D$5:$AI$471,3,))*$F289)</f>
        <v>69211.289820107981</v>
      </c>
      <c r="L289" s="19">
        <f>IF(VLOOKUP($E289,$D$5:$AI$471,3,)=0,0,(VLOOKUP($E289,$D$5:$AI$471,9,)/VLOOKUP($E289,$D$5:$AI$471,3,))*$F289)</f>
        <v>707.51675260176785</v>
      </c>
      <c r="M289" s="19">
        <f>IF(VLOOKUP($E289,$D$5:$AI$471,3,)=0,0,(VLOOKUP($E289,$D$5:$AI$471,10,)/VLOOKUP($E289,$D$5:$AI$471,3,))*$F289)</f>
        <v>4604.7525787514824</v>
      </c>
      <c r="N289" s="18">
        <f>IF(VLOOKUP($E289,$D$5:$AI$471,3,)=0,0,(VLOOKUP($E289,$D$5:$AI$471,11,)/VLOOKUP($E289,$D$5:$AI$471,3,))*$F289)</f>
        <v>0</v>
      </c>
      <c r="O289" s="18">
        <f>IF(VLOOKUP($E289,$D$5:$AI$471,3,)=0,0,(VLOOKUP($E289,$D$5:$AI$471,12,)/VLOOKUP($E289,$D$5:$AI$471,3,))*$F289)</f>
        <v>0</v>
      </c>
      <c r="P289" s="18">
        <f>IF(VLOOKUP($E289,$D$5:$AI$471,3,)=0,0,(VLOOKUP($E289,$D$5:$AI$471,13,)/VLOOKUP($E289,$D$5:$AI$471,3,))*$F289)</f>
        <v>0</v>
      </c>
      <c r="Q289" s="18">
        <f>IF(VLOOKUP($E289,$D$5:$AI$471,3,)=0,0,(VLOOKUP($E289,$D$5:$AI$471,14,)/VLOOKUP($E289,$D$5:$AI$471,3,))*$F289)</f>
        <v>0</v>
      </c>
      <c r="R289" s="18">
        <f>IF(VLOOKUP($E289,$D$5:$AI$471,3,)=0,0,(VLOOKUP($E289,$D$5:$AI$471,15,)/VLOOKUP($E289,$D$5:$AI$471,3,))*$F289)</f>
        <v>0</v>
      </c>
      <c r="S289" s="18">
        <f>IF(VLOOKUP($E289,$D$5:$AI$471,3,)=0,0,(VLOOKUP($E289,$D$5:$AI$471,16,)/VLOOKUP($E289,$D$5:$AI$471,3,))*$F289)</f>
        <v>0</v>
      </c>
      <c r="T289" s="18">
        <f>IF(VLOOKUP($E289,$D$5:$AI$471,3,)=0,0,(VLOOKUP($E289,$D$5:$AI$471,17,)/VLOOKUP($E289,$D$5:$AI$471,3,))*$F289)</f>
        <v>0</v>
      </c>
      <c r="U289" s="18">
        <f>IF(VLOOKUP($E289,$D$5:$AI$471,3,)=0,0,(VLOOKUP($E289,$D$5:$AI$471,18,)/VLOOKUP($E289,$D$5:$AI$471,3,))*$F289)</f>
        <v>0</v>
      </c>
      <c r="V289" s="18">
        <f>IF(VLOOKUP($E289,$D$5:$AI$471,3,)=0,0,(VLOOKUP($E289,$D$5:$AI$471,19,)/VLOOKUP($E289,$D$5:$AI$471,3,))*$F289)</f>
        <v>0</v>
      </c>
      <c r="W289" s="18">
        <f>IF(VLOOKUP($E289,$D$5:$AI$471,3,)=0,0,(VLOOKUP($E289,$D$5:$AI$471,20,)/VLOOKUP($E289,$D$5:$AI$471,3,))*$F289)</f>
        <v>0</v>
      </c>
      <c r="X289" s="18">
        <f>IF(VLOOKUP($E289,$D$5:$AI$471,3,)=0,0,(VLOOKUP($E289,$D$5:$AI$471,21,)/VLOOKUP($E289,$D$5:$AI$471,3,))*$F289)</f>
        <v>0</v>
      </c>
      <c r="Y289" s="18">
        <f>IF(VLOOKUP($E289,$D$5:$AI$471,3,)=0,0,(VLOOKUP($E289,$D$5:$AI$471,22,)/VLOOKUP($E289,$D$5:$AI$471,3,))*$F289)</f>
        <v>0</v>
      </c>
      <c r="Z289" s="18">
        <f>IF(VLOOKUP($E289,$D$5:$AI$471,3,)=0,0,(VLOOKUP($E289,$D$5:$AI$471,23,)/VLOOKUP($E289,$D$5:$AI$471,3,))*$F289)</f>
        <v>0</v>
      </c>
      <c r="AA289" s="18">
        <f>IF(VLOOKUP($E289,$D$5:$AI$471,3,)=0,0,(VLOOKUP($E289,$D$5:$AI$471,24,)/VLOOKUP($E289,$D$5:$AI$471,3,))*$F289)</f>
        <v>0</v>
      </c>
      <c r="AB289" s="18">
        <f>IF(VLOOKUP($E289,$D$5:$AI$471,3,)=0,0,(VLOOKUP($E289,$D$5:$AI$471,25,)/VLOOKUP($E289,$D$5:$AI$471,3,))*$F289)</f>
        <v>0</v>
      </c>
      <c r="AC289" s="18">
        <f>IF(VLOOKUP($E289,$D$5:$AI$471,3,)=0,0,(VLOOKUP($E289,$D$5:$AI$471,26,)/VLOOKUP($E289,$D$5:$AI$471,3,))*$F289)</f>
        <v>0</v>
      </c>
      <c r="AD289" s="18">
        <f>IF(VLOOKUP($E289,$D$5:$AI$471,3,)=0,0,(VLOOKUP($E289,$D$5:$AI$471,27,)/VLOOKUP($E289,$D$5:$AI$471,3,))*$F289)</f>
        <v>0</v>
      </c>
      <c r="AE289" s="18">
        <f>IF(VLOOKUP($E289,$D$5:$AI$471,3,)=0,0,(VLOOKUP($E289,$D$5:$AI$471,28,)/VLOOKUP($E289,$D$5:$AI$471,3,))*$F289)</f>
        <v>0</v>
      </c>
      <c r="AF289" s="18">
        <f>IF(VLOOKUP($E289,$D$5:$AI$471,3,)=0,0,(VLOOKUP($E289,$D$5:$AI$471,29,)/VLOOKUP($E289,$D$5:$AI$471,3,))*$F289)</f>
        <v>0</v>
      </c>
      <c r="AG289" s="18">
        <f>IF(VLOOKUP($E289,$D$5:$AI$471,3,)=0,0,(VLOOKUP($E289,$D$5:$AI$471,30,)/VLOOKUP($E289,$D$5:$AI$471,3,))*$F289)</f>
        <v>0</v>
      </c>
      <c r="AH289" s="20">
        <f t="shared" si="69"/>
        <v>657367.99999999965</v>
      </c>
      <c r="AI289" s="15" t="str">
        <f t="shared" si="70"/>
        <v>ok</v>
      </c>
    </row>
    <row r="290" spans="1:35" x14ac:dyDescent="0.3">
      <c r="B290" s="2" t="s">
        <v>699</v>
      </c>
      <c r="E290" s="2" t="s">
        <v>122</v>
      </c>
      <c r="F290" s="19">
        <v>24279543</v>
      </c>
      <c r="G290" s="19">
        <f>IF(VLOOKUP($E290,$D$5:$AI$471,3,)=0,0,(VLOOKUP($E290,$D$5:$AI$471,4,)/VLOOKUP($E290,$D$5:$AI$471,3,))*$F290)</f>
        <v>16946516.021917675</v>
      </c>
      <c r="H290" s="19">
        <f>IF(VLOOKUP($E290,$D$5:$AI$471,3,)=0,0,(VLOOKUP($E290,$D$5:$AI$471,5,)/VLOOKUP($E290,$D$5:$AI$471,3,))*$F290)</f>
        <v>1955421.9314740724</v>
      </c>
      <c r="I290" s="19">
        <f>IF(VLOOKUP($E290,$D$5:$AI$471,3,)=0,0,(VLOOKUP($E290,$D$5:$AI$471,6,)/VLOOKUP($E290,$D$5:$AI$471,3,))*$F290)</f>
        <v>794705.42146059521</v>
      </c>
      <c r="J290" s="19">
        <f>IF(VLOOKUP($E290,$D$5:$AI$471,3,)=0,0,(VLOOKUP($E290,$D$5:$AI$471,7,)/VLOOKUP($E290,$D$5:$AI$471,3,))*$F290)</f>
        <v>1179583.8465380343</v>
      </c>
      <c r="K290" s="19">
        <f>IF(VLOOKUP($E290,$D$5:$AI$471,3,)=0,0,(VLOOKUP($E290,$D$5:$AI$471,8,)/VLOOKUP($E290,$D$5:$AI$471,3,))*$F290)</f>
        <v>2539057.57693758</v>
      </c>
      <c r="L290" s="19">
        <f>IF(VLOOKUP($E290,$D$5:$AI$471,3,)=0,0,(VLOOKUP($E290,$D$5:$AI$471,9,)/VLOOKUP($E290,$D$5:$AI$471,3,))*$F290)</f>
        <v>506730.96853193751</v>
      </c>
      <c r="M290" s="19">
        <f>IF(VLOOKUP($E290,$D$5:$AI$471,3,)=0,0,(VLOOKUP($E290,$D$5:$AI$471,10,)/VLOOKUP($E290,$D$5:$AI$471,3,))*$F290)</f>
        <v>357527.23314010893</v>
      </c>
      <c r="N290" s="18">
        <f>IF(VLOOKUP($E290,$D$5:$AI$471,3,)=0,0,(VLOOKUP($E290,$D$5:$AI$471,11,)/VLOOKUP($E290,$D$5:$AI$471,3,))*$F290)</f>
        <v>0</v>
      </c>
      <c r="O290" s="18">
        <f>IF(VLOOKUP($E290,$D$5:$AI$471,3,)=0,0,(VLOOKUP($E290,$D$5:$AI$471,12,)/VLOOKUP($E290,$D$5:$AI$471,3,))*$F290)</f>
        <v>0</v>
      </c>
      <c r="P290" s="18">
        <f>IF(VLOOKUP($E290,$D$5:$AI$471,3,)=0,0,(VLOOKUP($E290,$D$5:$AI$471,13,)/VLOOKUP($E290,$D$5:$AI$471,3,))*$F290)</f>
        <v>0</v>
      </c>
      <c r="Q290" s="18">
        <f>IF(VLOOKUP($E290,$D$5:$AI$471,3,)=0,0,(VLOOKUP($E290,$D$5:$AI$471,14,)/VLOOKUP($E290,$D$5:$AI$471,3,))*$F290)</f>
        <v>0</v>
      </c>
      <c r="R290" s="18">
        <f>IF(VLOOKUP($E290,$D$5:$AI$471,3,)=0,0,(VLOOKUP($E290,$D$5:$AI$471,15,)/VLOOKUP($E290,$D$5:$AI$471,3,))*$F290)</f>
        <v>0</v>
      </c>
      <c r="S290" s="18">
        <f>IF(VLOOKUP($E290,$D$5:$AI$471,3,)=0,0,(VLOOKUP($E290,$D$5:$AI$471,16,)/VLOOKUP($E290,$D$5:$AI$471,3,))*$F290)</f>
        <v>0</v>
      </c>
      <c r="T290" s="18">
        <f>IF(VLOOKUP($E290,$D$5:$AI$471,3,)=0,0,(VLOOKUP($E290,$D$5:$AI$471,17,)/VLOOKUP($E290,$D$5:$AI$471,3,))*$F290)</f>
        <v>0</v>
      </c>
      <c r="U290" s="18">
        <f>IF(VLOOKUP($E290,$D$5:$AI$471,3,)=0,0,(VLOOKUP($E290,$D$5:$AI$471,18,)/VLOOKUP($E290,$D$5:$AI$471,3,))*$F290)</f>
        <v>0</v>
      </c>
      <c r="V290" s="18">
        <f>IF(VLOOKUP($E290,$D$5:$AI$471,3,)=0,0,(VLOOKUP($E290,$D$5:$AI$471,19,)/VLOOKUP($E290,$D$5:$AI$471,3,))*$F290)</f>
        <v>0</v>
      </c>
      <c r="W290" s="18">
        <f>IF(VLOOKUP($E290,$D$5:$AI$471,3,)=0,0,(VLOOKUP($E290,$D$5:$AI$471,20,)/VLOOKUP($E290,$D$5:$AI$471,3,))*$F290)</f>
        <v>0</v>
      </c>
      <c r="X290" s="18">
        <f>IF(VLOOKUP($E290,$D$5:$AI$471,3,)=0,0,(VLOOKUP($E290,$D$5:$AI$471,21,)/VLOOKUP($E290,$D$5:$AI$471,3,))*$F290)</f>
        <v>0</v>
      </c>
      <c r="Y290" s="18">
        <f>IF(VLOOKUP($E290,$D$5:$AI$471,3,)=0,0,(VLOOKUP($E290,$D$5:$AI$471,22,)/VLOOKUP($E290,$D$5:$AI$471,3,))*$F290)</f>
        <v>0</v>
      </c>
      <c r="Z290" s="18">
        <f>IF(VLOOKUP($E290,$D$5:$AI$471,3,)=0,0,(VLOOKUP($E290,$D$5:$AI$471,23,)/VLOOKUP($E290,$D$5:$AI$471,3,))*$F290)</f>
        <v>0</v>
      </c>
      <c r="AA290" s="18">
        <f>IF(VLOOKUP($E290,$D$5:$AI$471,3,)=0,0,(VLOOKUP($E290,$D$5:$AI$471,24,)/VLOOKUP($E290,$D$5:$AI$471,3,))*$F290)</f>
        <v>0</v>
      </c>
      <c r="AB290" s="18">
        <f>IF(VLOOKUP($E290,$D$5:$AI$471,3,)=0,0,(VLOOKUP($E290,$D$5:$AI$471,25,)/VLOOKUP($E290,$D$5:$AI$471,3,))*$F290)</f>
        <v>0</v>
      </c>
      <c r="AC290" s="18">
        <f>IF(VLOOKUP($E290,$D$5:$AI$471,3,)=0,0,(VLOOKUP($E290,$D$5:$AI$471,26,)/VLOOKUP($E290,$D$5:$AI$471,3,))*$F290)</f>
        <v>0</v>
      </c>
      <c r="AD290" s="18">
        <f>IF(VLOOKUP($E290,$D$5:$AI$471,3,)=0,0,(VLOOKUP($E290,$D$5:$AI$471,27,)/VLOOKUP($E290,$D$5:$AI$471,3,))*$F290)</f>
        <v>0</v>
      </c>
      <c r="AE290" s="18">
        <f>IF(VLOOKUP($E290,$D$5:$AI$471,3,)=0,0,(VLOOKUP($E290,$D$5:$AI$471,28,)/VLOOKUP($E290,$D$5:$AI$471,3,))*$F290)</f>
        <v>0</v>
      </c>
      <c r="AF290" s="18">
        <f>IF(VLOOKUP($E290,$D$5:$AI$471,3,)=0,0,(VLOOKUP($E290,$D$5:$AI$471,29,)/VLOOKUP($E290,$D$5:$AI$471,3,))*$F290)</f>
        <v>0</v>
      </c>
      <c r="AG290" s="18">
        <f>IF(VLOOKUP($E290,$D$5:$AI$471,3,)=0,0,(VLOOKUP($E290,$D$5:$AI$471,30,)/VLOOKUP($E290,$D$5:$AI$471,3,))*$F290)</f>
        <v>0</v>
      </c>
      <c r="AH290" s="20">
        <f t="shared" si="69"/>
        <v>24279542.999999996</v>
      </c>
      <c r="AI290" s="15" t="str">
        <f t="shared" si="70"/>
        <v>ok</v>
      </c>
    </row>
    <row r="291" spans="1:35" x14ac:dyDescent="0.3">
      <c r="B291" s="2" t="s">
        <v>991</v>
      </c>
      <c r="F291" s="102">
        <f>'T-8,9 Weather Normalization'!J120</f>
        <v>0</v>
      </c>
      <c r="G291" s="102">
        <f>'T-8,9 Weather Normalization'!$J116</f>
        <v>0</v>
      </c>
      <c r="H291" s="102">
        <f>'T-8,9 Weather Normalization'!$J117</f>
        <v>0</v>
      </c>
      <c r="I291" s="102">
        <f>'T-8,9 Weather Normalization'!$J118</f>
        <v>0</v>
      </c>
      <c r="J291" s="102">
        <f>'T-8,9 Weather Normalization'!$J119</f>
        <v>0</v>
      </c>
      <c r="K291" s="19"/>
      <c r="L291" s="19"/>
      <c r="M291" s="19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66">
        <f t="shared" si="69"/>
        <v>0</v>
      </c>
      <c r="AI291" s="15" t="str">
        <f t="shared" si="70"/>
        <v>ok</v>
      </c>
    </row>
    <row r="292" spans="1:35" x14ac:dyDescent="0.3">
      <c r="E292" s="22"/>
      <c r="G292" s="20"/>
    </row>
    <row r="293" spans="1:35" x14ac:dyDescent="0.3">
      <c r="A293" s="2" t="s">
        <v>700</v>
      </c>
      <c r="E293" s="22"/>
      <c r="F293" s="166">
        <f>F283-F286-F288-F287-F290-F289+F291</f>
        <v>476634652.71000004</v>
      </c>
      <c r="G293" s="166">
        <f t="shared" ref="G293:M293" si="71">G283-G286-G288-G287-G290-G289+G291</f>
        <v>371848034.0822798</v>
      </c>
      <c r="H293" s="166">
        <f t="shared" si="71"/>
        <v>30421728.481393959</v>
      </c>
      <c r="I293" s="166">
        <f t="shared" si="71"/>
        <v>11670065.57721477</v>
      </c>
      <c r="J293" s="166">
        <f t="shared" si="71"/>
        <v>19823317.236726459</v>
      </c>
      <c r="K293" s="166">
        <f t="shared" si="71"/>
        <v>24929545.454087842</v>
      </c>
      <c r="L293" s="166">
        <f t="shared" si="71"/>
        <v>12515966.570435965</v>
      </c>
      <c r="M293" s="166">
        <f t="shared" si="71"/>
        <v>5425995.3078610906</v>
      </c>
      <c r="N293" s="20">
        <f t="shared" ref="N293:AG293" si="72">N283-N286-N288-N287-N290</f>
        <v>0</v>
      </c>
      <c r="O293" s="20">
        <f t="shared" si="72"/>
        <v>0</v>
      </c>
      <c r="P293" s="20">
        <f t="shared" si="72"/>
        <v>0</v>
      </c>
      <c r="Q293" s="20">
        <f t="shared" si="72"/>
        <v>0</v>
      </c>
      <c r="R293" s="20">
        <f t="shared" si="72"/>
        <v>0</v>
      </c>
      <c r="S293" s="20">
        <f t="shared" si="72"/>
        <v>0</v>
      </c>
      <c r="T293" s="20">
        <f t="shared" si="72"/>
        <v>0</v>
      </c>
      <c r="U293" s="20">
        <f t="shared" si="72"/>
        <v>0</v>
      </c>
      <c r="V293" s="20">
        <f t="shared" si="72"/>
        <v>0</v>
      </c>
      <c r="W293" s="20">
        <f t="shared" si="72"/>
        <v>0</v>
      </c>
      <c r="X293" s="20">
        <f t="shared" si="72"/>
        <v>0</v>
      </c>
      <c r="Y293" s="20">
        <f t="shared" si="72"/>
        <v>0</v>
      </c>
      <c r="Z293" s="20">
        <f t="shared" si="72"/>
        <v>0</v>
      </c>
      <c r="AA293" s="20">
        <f t="shared" si="72"/>
        <v>0</v>
      </c>
      <c r="AB293" s="20">
        <f t="shared" si="72"/>
        <v>0</v>
      </c>
      <c r="AC293" s="20">
        <f t="shared" si="72"/>
        <v>0</v>
      </c>
      <c r="AD293" s="20">
        <f t="shared" si="72"/>
        <v>0</v>
      </c>
      <c r="AE293" s="20">
        <f t="shared" si="72"/>
        <v>0</v>
      </c>
      <c r="AF293" s="20">
        <f t="shared" si="72"/>
        <v>0</v>
      </c>
      <c r="AG293" s="20">
        <f t="shared" si="72"/>
        <v>0</v>
      </c>
      <c r="AH293" s="20">
        <f>SUM(G293:AG293)</f>
        <v>476634652.70999986</v>
      </c>
      <c r="AI293" s="15" t="str">
        <f>IF(ABS(F293-AH293)&lt;0.01,"ok","err")</f>
        <v>ok</v>
      </c>
    </row>
    <row r="294" spans="1:35" ht="16.5" customHeight="1" x14ac:dyDescent="0.3">
      <c r="E294" s="20"/>
    </row>
    <row r="295" spans="1:35" x14ac:dyDescent="0.3">
      <c r="E295" s="22"/>
      <c r="F295" s="38"/>
    </row>
    <row r="296" spans="1:35" x14ac:dyDescent="0.3">
      <c r="A296" s="3" t="s">
        <v>689</v>
      </c>
      <c r="E296" s="22"/>
      <c r="F296" s="22"/>
    </row>
    <row r="297" spans="1:35" x14ac:dyDescent="0.3">
      <c r="E297" s="22"/>
      <c r="F297" s="22"/>
    </row>
    <row r="298" spans="1:35" x14ac:dyDescent="0.3">
      <c r="A298" s="3" t="s">
        <v>672</v>
      </c>
      <c r="F298" s="20"/>
    </row>
    <row r="300" spans="1:35" x14ac:dyDescent="0.3">
      <c r="A300" s="21" t="s">
        <v>673</v>
      </c>
      <c r="F300" s="20">
        <f t="shared" ref="F300:AG300" si="73">F253</f>
        <v>856245902.50300014</v>
      </c>
      <c r="G300" s="20">
        <f t="shared" si="73"/>
        <v>620817510.27087665</v>
      </c>
      <c r="H300" s="20">
        <f t="shared" si="73"/>
        <v>64365420.420614883</v>
      </c>
      <c r="I300" s="20">
        <f t="shared" si="73"/>
        <v>25357453.217412323</v>
      </c>
      <c r="J300" s="20">
        <f t="shared" si="73"/>
        <v>38353135.234412201</v>
      </c>
      <c r="K300" s="20">
        <f t="shared" si="73"/>
        <v>87830298.969058156</v>
      </c>
      <c r="L300" s="20">
        <f t="shared" si="73"/>
        <v>12138791.823794365</v>
      </c>
      <c r="M300" s="20">
        <f t="shared" si="73"/>
        <v>7383292.5668313876</v>
      </c>
      <c r="N300" s="20">
        <f t="shared" si="73"/>
        <v>0</v>
      </c>
      <c r="O300" s="20">
        <f t="shared" si="73"/>
        <v>0</v>
      </c>
      <c r="P300" s="20">
        <f t="shared" si="73"/>
        <v>0</v>
      </c>
      <c r="Q300" s="20">
        <f t="shared" si="73"/>
        <v>0</v>
      </c>
      <c r="R300" s="20">
        <f t="shared" si="73"/>
        <v>0</v>
      </c>
      <c r="S300" s="20">
        <f t="shared" si="73"/>
        <v>0</v>
      </c>
      <c r="T300" s="20">
        <f t="shared" si="73"/>
        <v>0</v>
      </c>
      <c r="U300" s="20">
        <f t="shared" si="73"/>
        <v>0</v>
      </c>
      <c r="V300" s="20">
        <f t="shared" si="73"/>
        <v>0</v>
      </c>
      <c r="W300" s="20">
        <f t="shared" si="73"/>
        <v>0</v>
      </c>
      <c r="X300" s="20">
        <f t="shared" si="73"/>
        <v>0</v>
      </c>
      <c r="Y300" s="20">
        <f t="shared" si="73"/>
        <v>0</v>
      </c>
      <c r="Z300" s="20">
        <f t="shared" si="73"/>
        <v>0</v>
      </c>
      <c r="AA300" s="20">
        <f t="shared" si="73"/>
        <v>0</v>
      </c>
      <c r="AB300" s="20">
        <f t="shared" si="73"/>
        <v>0</v>
      </c>
      <c r="AC300" s="20">
        <f t="shared" si="73"/>
        <v>0</v>
      </c>
      <c r="AD300" s="20">
        <f t="shared" si="73"/>
        <v>0</v>
      </c>
      <c r="AE300" s="20">
        <f t="shared" si="73"/>
        <v>0</v>
      </c>
      <c r="AF300" s="20">
        <f t="shared" si="73"/>
        <v>0</v>
      </c>
      <c r="AG300" s="20">
        <f t="shared" si="73"/>
        <v>0</v>
      </c>
      <c r="AH300" s="20">
        <f>SUM(G300:AG300)</f>
        <v>856245902.5029999</v>
      </c>
      <c r="AI300" s="15" t="str">
        <f>IF(ABS(F300-AH300)&lt;0.01,"ok","err")</f>
        <v>ok</v>
      </c>
    </row>
    <row r="301" spans="1:35" x14ac:dyDescent="0.3">
      <c r="A301" s="21" t="s">
        <v>674</v>
      </c>
      <c r="F301" s="19">
        <f t="shared" ref="F301:AG301" si="74">F254</f>
        <v>142167052.92000002</v>
      </c>
      <c r="G301" s="19">
        <f t="shared" si="74"/>
        <v>111148437.82004187</v>
      </c>
      <c r="H301" s="19">
        <f t="shared" si="74"/>
        <v>8449940.150188135</v>
      </c>
      <c r="I301" s="19">
        <f t="shared" si="74"/>
        <v>3018715.9190300973</v>
      </c>
      <c r="J301" s="19">
        <f t="shared" si="74"/>
        <v>4910603.5054754652</v>
      </c>
      <c r="K301" s="19">
        <f t="shared" si="74"/>
        <v>13672200.104155403</v>
      </c>
      <c r="L301" s="19">
        <f t="shared" si="74"/>
        <v>258236.0981486096</v>
      </c>
      <c r="M301" s="19">
        <f t="shared" si="74"/>
        <v>708919.32296040934</v>
      </c>
      <c r="N301" s="19">
        <f t="shared" si="74"/>
        <v>0</v>
      </c>
      <c r="O301" s="19">
        <f t="shared" si="74"/>
        <v>0</v>
      </c>
      <c r="P301" s="19">
        <f t="shared" si="74"/>
        <v>0</v>
      </c>
      <c r="Q301" s="19">
        <f t="shared" si="74"/>
        <v>0</v>
      </c>
      <c r="R301" s="19">
        <f t="shared" si="74"/>
        <v>0</v>
      </c>
      <c r="S301" s="19">
        <f t="shared" si="74"/>
        <v>0</v>
      </c>
      <c r="T301" s="19">
        <f t="shared" si="74"/>
        <v>0</v>
      </c>
      <c r="U301" s="19">
        <f t="shared" si="74"/>
        <v>0</v>
      </c>
      <c r="V301" s="19">
        <f t="shared" si="74"/>
        <v>0</v>
      </c>
      <c r="W301" s="19">
        <f t="shared" si="74"/>
        <v>0</v>
      </c>
      <c r="X301" s="19">
        <f t="shared" si="74"/>
        <v>0</v>
      </c>
      <c r="Y301" s="19">
        <f t="shared" si="74"/>
        <v>0</v>
      </c>
      <c r="Z301" s="19">
        <f t="shared" si="74"/>
        <v>0</v>
      </c>
      <c r="AA301" s="19">
        <f t="shared" si="74"/>
        <v>0</v>
      </c>
      <c r="AB301" s="19">
        <f t="shared" si="74"/>
        <v>0</v>
      </c>
      <c r="AC301" s="19">
        <f t="shared" si="74"/>
        <v>0</v>
      </c>
      <c r="AD301" s="19">
        <f t="shared" si="74"/>
        <v>0</v>
      </c>
      <c r="AE301" s="19">
        <f t="shared" si="74"/>
        <v>0</v>
      </c>
      <c r="AF301" s="19">
        <f t="shared" si="74"/>
        <v>0</v>
      </c>
      <c r="AG301" s="19">
        <f t="shared" si="74"/>
        <v>0</v>
      </c>
      <c r="AH301" s="20">
        <f>SUM(G301:AG301)</f>
        <v>142167052.91999999</v>
      </c>
      <c r="AI301" s="15" t="str">
        <f>IF(ABS(F301-AH301)&lt;0.01,"ok","err")</f>
        <v>ok</v>
      </c>
    </row>
    <row r="302" spans="1:35" x14ac:dyDescent="0.3">
      <c r="A302" s="21" t="s">
        <v>675</v>
      </c>
      <c r="F302" s="19">
        <f t="shared" ref="F302:M304" si="75">F255</f>
        <v>1576871</v>
      </c>
      <c r="G302" s="19">
        <f t="shared" si="75"/>
        <v>1299620.177485052</v>
      </c>
      <c r="H302" s="19">
        <f t="shared" si="75"/>
        <v>64791.361307120977</v>
      </c>
      <c r="I302" s="19">
        <f t="shared" si="75"/>
        <v>15840.872851451628</v>
      </c>
      <c r="J302" s="19">
        <f t="shared" si="75"/>
        <v>34245.853752155075</v>
      </c>
      <c r="K302" s="19">
        <f t="shared" si="75"/>
        <v>162372.73460421964</v>
      </c>
      <c r="L302" s="19">
        <f t="shared" si="75"/>
        <v>0</v>
      </c>
      <c r="M302" s="19">
        <f t="shared" si="75"/>
        <v>0</v>
      </c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20">
        <f t="shared" ref="AH302:AH304" si="76">SUM(G302:AG302)</f>
        <v>1576870.9999999993</v>
      </c>
      <c r="AI302" s="15" t="str">
        <f t="shared" ref="AI302:AI304" si="77">IF(ABS(F302-AH302)&lt;0.01,"ok","err")</f>
        <v>ok</v>
      </c>
    </row>
    <row r="303" spans="1:35" x14ac:dyDescent="0.3">
      <c r="A303" s="21" t="s">
        <v>676</v>
      </c>
      <c r="F303" s="19">
        <f t="shared" si="75"/>
        <v>248465.79000000004</v>
      </c>
      <c r="G303" s="19">
        <f t="shared" si="75"/>
        <v>195033.35586274849</v>
      </c>
      <c r="H303" s="19">
        <f t="shared" si="75"/>
        <v>14560.140053400366</v>
      </c>
      <c r="I303" s="19">
        <f t="shared" si="75"/>
        <v>5192.6550546788694</v>
      </c>
      <c r="J303" s="19">
        <f t="shared" si="75"/>
        <v>8458.4035428998795</v>
      </c>
      <c r="K303" s="19">
        <f t="shared" si="75"/>
        <v>23485.15146875551</v>
      </c>
      <c r="L303" s="19">
        <f t="shared" si="75"/>
        <v>535.74608893286791</v>
      </c>
      <c r="M303" s="19">
        <f t="shared" si="75"/>
        <v>1200.3379285839878</v>
      </c>
      <c r="N303" s="19">
        <f t="shared" ref="N303:AG303" si="78">N256</f>
        <v>0</v>
      </c>
      <c r="O303" s="19">
        <f t="shared" si="78"/>
        <v>0</v>
      </c>
      <c r="P303" s="19">
        <f t="shared" si="78"/>
        <v>0</v>
      </c>
      <c r="Q303" s="19">
        <f t="shared" si="78"/>
        <v>0</v>
      </c>
      <c r="R303" s="19">
        <f t="shared" si="78"/>
        <v>0</v>
      </c>
      <c r="S303" s="19">
        <f t="shared" si="78"/>
        <v>0</v>
      </c>
      <c r="T303" s="19">
        <f t="shared" si="78"/>
        <v>0</v>
      </c>
      <c r="U303" s="19">
        <f t="shared" si="78"/>
        <v>0</v>
      </c>
      <c r="V303" s="19">
        <f t="shared" si="78"/>
        <v>0</v>
      </c>
      <c r="W303" s="19">
        <f t="shared" si="78"/>
        <v>0</v>
      </c>
      <c r="X303" s="19">
        <f t="shared" si="78"/>
        <v>0</v>
      </c>
      <c r="Y303" s="19">
        <f t="shared" si="78"/>
        <v>0</v>
      </c>
      <c r="Z303" s="19">
        <f t="shared" si="78"/>
        <v>0</v>
      </c>
      <c r="AA303" s="19">
        <f t="shared" si="78"/>
        <v>0</v>
      </c>
      <c r="AB303" s="19">
        <f t="shared" si="78"/>
        <v>0</v>
      </c>
      <c r="AC303" s="19">
        <f t="shared" si="78"/>
        <v>0</v>
      </c>
      <c r="AD303" s="19">
        <f t="shared" si="78"/>
        <v>0</v>
      </c>
      <c r="AE303" s="19">
        <f t="shared" si="78"/>
        <v>0</v>
      </c>
      <c r="AF303" s="19">
        <f t="shared" si="78"/>
        <v>0</v>
      </c>
      <c r="AG303" s="19">
        <f t="shared" si="78"/>
        <v>0</v>
      </c>
      <c r="AH303" s="20">
        <f t="shared" si="76"/>
        <v>248465.78999999998</v>
      </c>
      <c r="AI303" s="15" t="str">
        <f t="shared" si="77"/>
        <v>ok</v>
      </c>
    </row>
    <row r="304" spans="1:35" x14ac:dyDescent="0.3">
      <c r="A304" s="21" t="s">
        <v>677</v>
      </c>
      <c r="F304" s="19">
        <f t="shared" si="75"/>
        <v>1195294.26</v>
      </c>
      <c r="G304" s="19">
        <f t="shared" si="75"/>
        <v>938246.87403155433</v>
      </c>
      <c r="H304" s="19">
        <f t="shared" si="75"/>
        <v>70044.458960026459</v>
      </c>
      <c r="I304" s="19">
        <f t="shared" si="75"/>
        <v>24980.30324825659</v>
      </c>
      <c r="J304" s="19">
        <f t="shared" si="75"/>
        <v>40690.837976495241</v>
      </c>
      <c r="K304" s="19">
        <f t="shared" si="75"/>
        <v>112980.00721078757</v>
      </c>
      <c r="L304" s="19">
        <f t="shared" si="75"/>
        <v>2577.3134600095509</v>
      </c>
      <c r="M304" s="19">
        <f t="shared" si="75"/>
        <v>5774.465112870188</v>
      </c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20">
        <f t="shared" si="76"/>
        <v>1195294.26</v>
      </c>
      <c r="AI304" s="15" t="str">
        <f t="shared" si="77"/>
        <v>ok</v>
      </c>
    </row>
    <row r="305" spans="1:35" x14ac:dyDescent="0.3">
      <c r="A305" s="21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5"/>
    </row>
    <row r="306" spans="1:35" x14ac:dyDescent="0.3">
      <c r="A306" s="2" t="s">
        <v>701</v>
      </c>
      <c r="F306" s="22"/>
      <c r="AH306" s="20"/>
      <c r="AI306" s="15"/>
    </row>
    <row r="307" spans="1:35" x14ac:dyDescent="0.3">
      <c r="B307" s="2" t="s">
        <v>702</v>
      </c>
      <c r="E307" s="2" t="s">
        <v>695</v>
      </c>
      <c r="F307" s="94">
        <f>-327966613*IF(FAC,0,1)</f>
        <v>-327966613</v>
      </c>
      <c r="G307" s="18">
        <f t="shared" ref="G307:G333" si="79">IF(VLOOKUP($E307,$D$5:$AI$471,3,)=0,0,(VLOOKUP($E307,$D$5:$AI$471,4,)/VLOOKUP($E307,$D$5:$AI$471,3,))*$F307)</f>
        <v>-246564214.90665415</v>
      </c>
      <c r="H307" s="18">
        <f t="shared" ref="H307:H333" si="80">IF(VLOOKUP($E307,$D$5:$AI$471,3,)=0,0,(VLOOKUP($E307,$D$5:$AI$471,5,)/VLOOKUP($E307,$D$5:$AI$471,3,))*$F307)</f>
        <v>-24893974.38514588</v>
      </c>
      <c r="I307" s="18">
        <f t="shared" ref="I307:I333" si="81">IF(VLOOKUP($E307,$D$5:$AI$471,3,)=0,0,(VLOOKUP($E307,$D$5:$AI$471,6,)/VLOOKUP($E307,$D$5:$AI$471,3,))*$F307)</f>
        <v>-9586010.9799845945</v>
      </c>
      <c r="J307" s="18">
        <f t="shared" ref="J307:J333" si="82">IF(VLOOKUP($E307,$D$5:$AI$471,3,)=0,0,(VLOOKUP($E307,$D$5:$AI$471,7,)/VLOOKUP($E307,$D$5:$AI$471,3,))*$F307)</f>
        <v>-10133014.339448189</v>
      </c>
      <c r="K307" s="18">
        <f t="shared" ref="K307:K333" si="83">IF(VLOOKUP($E307,$D$5:$AI$471,3,)=0,0,(VLOOKUP($E307,$D$5:$AI$471,8,)/VLOOKUP($E307,$D$5:$AI$471,3,))*$F307)</f>
        <v>-32001244.840863649</v>
      </c>
      <c r="L307" s="18">
        <f t="shared" ref="L307:L333" si="84">IF(VLOOKUP($E307,$D$5:$AI$471,3,)=0,0,(VLOOKUP($E307,$D$5:$AI$471,9,)/VLOOKUP($E307,$D$5:$AI$471,3,))*$F307)</f>
        <v>0</v>
      </c>
      <c r="M307" s="18">
        <f t="shared" ref="M307:M333" si="85">IF(VLOOKUP($E307,$D$5:$AI$471,3,)=0,0,(VLOOKUP($E307,$D$5:$AI$471,10,)/VLOOKUP($E307,$D$5:$AI$471,3,))*$F307)</f>
        <v>-4788153.5479035387</v>
      </c>
      <c r="N307" s="18">
        <f t="shared" ref="N307:N333" si="86">IF(VLOOKUP($E307,$D$5:$AI$471,3,)=0,0,(VLOOKUP($E307,$D$5:$AI$471,11,)/VLOOKUP($E307,$D$5:$AI$471,3,))*$F307)</f>
        <v>0</v>
      </c>
      <c r="O307" s="18">
        <f t="shared" ref="O307:O333" si="87">IF(VLOOKUP($E307,$D$5:$AI$471,3,)=0,0,(VLOOKUP($E307,$D$5:$AI$471,12,)/VLOOKUP($E307,$D$5:$AI$471,3,))*$F307)</f>
        <v>0</v>
      </c>
      <c r="P307" s="18">
        <f t="shared" ref="P307:P333" si="88">IF(VLOOKUP($E307,$D$5:$AI$471,3,)=0,0,(VLOOKUP($E307,$D$5:$AI$471,13,)/VLOOKUP($E307,$D$5:$AI$471,3,))*$F307)</f>
        <v>0</v>
      </c>
      <c r="Q307" s="18">
        <f t="shared" ref="Q307:Q333" si="89">IF(VLOOKUP($E307,$D$5:$AI$471,3,)=0,0,(VLOOKUP($E307,$D$5:$AI$471,14,)/VLOOKUP($E307,$D$5:$AI$471,3,))*$F307)</f>
        <v>0</v>
      </c>
      <c r="R307" s="18">
        <f t="shared" ref="R307:R333" si="90">IF(VLOOKUP($E307,$D$5:$AI$471,3,)=0,0,(VLOOKUP($E307,$D$5:$AI$471,15,)/VLOOKUP($E307,$D$5:$AI$471,3,))*$F307)</f>
        <v>0</v>
      </c>
      <c r="S307" s="18">
        <f t="shared" ref="S307:S333" si="91">IF(VLOOKUP($E307,$D$5:$AI$471,3,)=0,0,(VLOOKUP($E307,$D$5:$AI$471,16,)/VLOOKUP($E307,$D$5:$AI$471,3,))*$F307)</f>
        <v>0</v>
      </c>
      <c r="T307" s="18">
        <f t="shared" ref="T307:T333" si="92">IF(VLOOKUP($E307,$D$5:$AI$471,3,)=0,0,(VLOOKUP($E307,$D$5:$AI$471,17,)/VLOOKUP($E307,$D$5:$AI$471,3,))*$F307)</f>
        <v>0</v>
      </c>
      <c r="U307" s="18">
        <f t="shared" ref="U307:U333" si="93">IF(VLOOKUP($E307,$D$5:$AI$471,3,)=0,0,(VLOOKUP($E307,$D$5:$AI$471,18,)/VLOOKUP($E307,$D$5:$AI$471,3,))*$F307)</f>
        <v>0</v>
      </c>
      <c r="V307" s="18">
        <f t="shared" ref="V307:V333" si="94">IF(VLOOKUP($E307,$D$5:$AI$471,3,)=0,0,(VLOOKUP($E307,$D$5:$AI$471,19,)/VLOOKUP($E307,$D$5:$AI$471,3,))*$F307)</f>
        <v>0</v>
      </c>
      <c r="W307" s="18">
        <f t="shared" ref="W307:W333" si="95">IF(VLOOKUP($E307,$D$5:$AI$471,3,)=0,0,(VLOOKUP($E307,$D$5:$AI$471,20,)/VLOOKUP($E307,$D$5:$AI$471,3,))*$F307)</f>
        <v>0</v>
      </c>
      <c r="X307" s="18">
        <f t="shared" ref="X307:X333" si="96">IF(VLOOKUP($E307,$D$5:$AI$471,3,)=0,0,(VLOOKUP($E307,$D$5:$AI$471,21,)/VLOOKUP($E307,$D$5:$AI$471,3,))*$F307)</f>
        <v>0</v>
      </c>
      <c r="Y307" s="18">
        <f t="shared" ref="Y307:Y333" si="97">IF(VLOOKUP($E307,$D$5:$AI$471,3,)=0,0,(VLOOKUP($E307,$D$5:$AI$471,22,)/VLOOKUP($E307,$D$5:$AI$471,3,))*$F307)</f>
        <v>0</v>
      </c>
      <c r="Z307" s="18">
        <f t="shared" ref="Z307:Z333" si="98">IF(VLOOKUP($E307,$D$5:$AI$471,3,)=0,0,(VLOOKUP($E307,$D$5:$AI$471,23,)/VLOOKUP($E307,$D$5:$AI$471,3,))*$F307)</f>
        <v>0</v>
      </c>
      <c r="AA307" s="18">
        <f t="shared" ref="AA307:AA333" si="99">IF(VLOOKUP($E307,$D$5:$AI$471,3,)=0,0,(VLOOKUP($E307,$D$5:$AI$471,24,)/VLOOKUP($E307,$D$5:$AI$471,3,))*$F307)</f>
        <v>0</v>
      </c>
      <c r="AB307" s="18">
        <f t="shared" ref="AB307:AB333" si="100">IF(VLOOKUP($E307,$D$5:$AI$471,3,)=0,0,(VLOOKUP($E307,$D$5:$AI$471,25,)/VLOOKUP($E307,$D$5:$AI$471,3,))*$F307)</f>
        <v>0</v>
      </c>
      <c r="AC307" s="18">
        <f t="shared" ref="AC307:AC333" si="101">IF(VLOOKUP($E307,$D$5:$AI$471,3,)=0,0,(VLOOKUP($E307,$D$5:$AI$471,26,)/VLOOKUP($E307,$D$5:$AI$471,3,))*$F307)</f>
        <v>0</v>
      </c>
      <c r="AD307" s="18">
        <f t="shared" ref="AD307:AD333" si="102">IF(VLOOKUP($E307,$D$5:$AI$471,3,)=0,0,(VLOOKUP($E307,$D$5:$AI$471,27,)/VLOOKUP($E307,$D$5:$AI$471,3,))*$F307)</f>
        <v>0</v>
      </c>
      <c r="AE307" s="18">
        <f t="shared" ref="AE307:AE333" si="103">IF(VLOOKUP($E307,$D$5:$AI$471,3,)=0,0,(VLOOKUP($E307,$D$5:$AI$471,28,)/VLOOKUP($E307,$D$5:$AI$471,3,))*$F307)</f>
        <v>0</v>
      </c>
      <c r="AF307" s="18">
        <f t="shared" ref="AF307:AF333" si="104">IF(VLOOKUP($E307,$D$5:$AI$471,3,)=0,0,(VLOOKUP($E307,$D$5:$AI$471,29,)/VLOOKUP($E307,$D$5:$AI$471,3,))*$F307)</f>
        <v>0</v>
      </c>
      <c r="AG307" s="18">
        <f t="shared" ref="AG307:AG333" si="105">IF(VLOOKUP($E307,$D$5:$AI$471,3,)=0,0,(VLOOKUP($E307,$D$5:$AI$471,30,)/VLOOKUP($E307,$D$5:$AI$471,3,))*$F307)</f>
        <v>0</v>
      </c>
      <c r="AH307" s="20">
        <f t="shared" ref="AH307:AH318" si="106">SUM(G307:AG307)</f>
        <v>-327966613</v>
      </c>
      <c r="AI307" s="15" t="str">
        <f t="shared" ref="AI307:AI318" si="107">IF(ABS(F307-AH307)&lt;0.01,"ok","err")</f>
        <v>ok</v>
      </c>
    </row>
    <row r="308" spans="1:35" x14ac:dyDescent="0.3">
      <c r="B308" s="2" t="s">
        <v>703</v>
      </c>
      <c r="E308" s="2" t="s">
        <v>704</v>
      </c>
      <c r="F308" s="95">
        <f>(-127934541-3422780)*IF(FAC,0,1)</f>
        <v>-131357321</v>
      </c>
      <c r="G308" s="18">
        <f t="shared" si="79"/>
        <v>-94949975.004336268</v>
      </c>
      <c r="H308" s="18">
        <f t="shared" si="80"/>
        <v>-10590865.1963811</v>
      </c>
      <c r="I308" s="18">
        <f t="shared" si="81"/>
        <v>-4249701.6460187528</v>
      </c>
      <c r="J308" s="18">
        <f t="shared" si="82"/>
        <v>-5887291.0608909158</v>
      </c>
      <c r="K308" s="18">
        <f t="shared" si="83"/>
        <v>-13718773.649556315</v>
      </c>
      <c r="L308" s="18">
        <f t="shared" si="84"/>
        <v>0</v>
      </c>
      <c r="M308" s="18">
        <f t="shared" si="85"/>
        <v>-1960714.4428166677</v>
      </c>
      <c r="N308" s="18">
        <f t="shared" si="86"/>
        <v>0</v>
      </c>
      <c r="O308" s="18">
        <f t="shared" si="87"/>
        <v>0</v>
      </c>
      <c r="P308" s="18">
        <f t="shared" si="88"/>
        <v>0</v>
      </c>
      <c r="Q308" s="18">
        <f t="shared" si="89"/>
        <v>0</v>
      </c>
      <c r="R308" s="18">
        <f t="shared" si="90"/>
        <v>0</v>
      </c>
      <c r="S308" s="18">
        <f t="shared" si="91"/>
        <v>0</v>
      </c>
      <c r="T308" s="18">
        <f t="shared" si="92"/>
        <v>0</v>
      </c>
      <c r="U308" s="18">
        <f t="shared" si="93"/>
        <v>0</v>
      </c>
      <c r="V308" s="18">
        <f t="shared" si="94"/>
        <v>0</v>
      </c>
      <c r="W308" s="18">
        <f t="shared" si="95"/>
        <v>0</v>
      </c>
      <c r="X308" s="18">
        <f t="shared" si="96"/>
        <v>0</v>
      </c>
      <c r="Y308" s="18">
        <f t="shared" si="97"/>
        <v>0</v>
      </c>
      <c r="Z308" s="18">
        <f t="shared" si="98"/>
        <v>0</v>
      </c>
      <c r="AA308" s="18">
        <f t="shared" si="99"/>
        <v>0</v>
      </c>
      <c r="AB308" s="18">
        <f t="shared" si="100"/>
        <v>0</v>
      </c>
      <c r="AC308" s="18">
        <f t="shared" si="101"/>
        <v>0</v>
      </c>
      <c r="AD308" s="18">
        <f t="shared" si="102"/>
        <v>0</v>
      </c>
      <c r="AE308" s="18">
        <f t="shared" si="103"/>
        <v>0</v>
      </c>
      <c r="AF308" s="18">
        <f t="shared" si="104"/>
        <v>0</v>
      </c>
      <c r="AG308" s="18">
        <f t="shared" si="105"/>
        <v>0</v>
      </c>
      <c r="AH308" s="20">
        <f t="shared" si="106"/>
        <v>-131357321.00000001</v>
      </c>
      <c r="AI308" s="15" t="str">
        <f t="shared" si="107"/>
        <v>ok</v>
      </c>
    </row>
    <row r="309" spans="1:35" x14ac:dyDescent="0.3">
      <c r="B309" s="2" t="s">
        <v>705</v>
      </c>
      <c r="E309" s="2" t="s">
        <v>706</v>
      </c>
      <c r="F309" s="19">
        <v>-56225551</v>
      </c>
      <c r="G309" s="18">
        <f t="shared" si="79"/>
        <v>-42899036.44712843</v>
      </c>
      <c r="H309" s="18">
        <f t="shared" si="80"/>
        <v>-3600618.416351872</v>
      </c>
      <c r="I309" s="18">
        <f t="shared" si="81"/>
        <v>-1297112.4222309031</v>
      </c>
      <c r="J309" s="18">
        <f t="shared" si="82"/>
        <v>-2095363.8091322428</v>
      </c>
      <c r="K309" s="18">
        <f t="shared" si="83"/>
        <v>-5914971.5702017182</v>
      </c>
      <c r="L309" s="18">
        <f t="shared" si="84"/>
        <v>0</v>
      </c>
      <c r="M309" s="18">
        <f t="shared" si="85"/>
        <v>-418448.33495482249</v>
      </c>
      <c r="N309" s="18">
        <f t="shared" si="86"/>
        <v>0</v>
      </c>
      <c r="O309" s="18">
        <f t="shared" si="87"/>
        <v>0</v>
      </c>
      <c r="P309" s="18">
        <f t="shared" si="88"/>
        <v>0</v>
      </c>
      <c r="Q309" s="18">
        <f t="shared" si="89"/>
        <v>0</v>
      </c>
      <c r="R309" s="18">
        <f t="shared" si="90"/>
        <v>0</v>
      </c>
      <c r="S309" s="18">
        <f t="shared" si="91"/>
        <v>0</v>
      </c>
      <c r="T309" s="18">
        <f t="shared" si="92"/>
        <v>0</v>
      </c>
      <c r="U309" s="18">
        <f t="shared" si="93"/>
        <v>0</v>
      </c>
      <c r="V309" s="18">
        <f t="shared" si="94"/>
        <v>0</v>
      </c>
      <c r="W309" s="18">
        <f t="shared" si="95"/>
        <v>0</v>
      </c>
      <c r="X309" s="18">
        <f t="shared" si="96"/>
        <v>0</v>
      </c>
      <c r="Y309" s="18">
        <f t="shared" si="97"/>
        <v>0</v>
      </c>
      <c r="Z309" s="18">
        <f t="shared" si="98"/>
        <v>0</v>
      </c>
      <c r="AA309" s="18">
        <f t="shared" si="99"/>
        <v>0</v>
      </c>
      <c r="AB309" s="18">
        <f t="shared" si="100"/>
        <v>0</v>
      </c>
      <c r="AC309" s="18">
        <f t="shared" si="101"/>
        <v>0</v>
      </c>
      <c r="AD309" s="18">
        <f t="shared" si="102"/>
        <v>0</v>
      </c>
      <c r="AE309" s="18">
        <f t="shared" si="103"/>
        <v>0</v>
      </c>
      <c r="AF309" s="18">
        <f t="shared" si="104"/>
        <v>0</v>
      </c>
      <c r="AG309" s="18">
        <f t="shared" si="105"/>
        <v>0</v>
      </c>
      <c r="AH309" s="20">
        <f t="shared" si="106"/>
        <v>-56225550.999999978</v>
      </c>
      <c r="AI309" s="15" t="str">
        <f t="shared" si="107"/>
        <v>ok</v>
      </c>
    </row>
    <row r="310" spans="1:35" x14ac:dyDescent="0.3">
      <c r="B310" s="2" t="s">
        <v>707</v>
      </c>
      <c r="E310" s="2" t="s">
        <v>122</v>
      </c>
      <c r="F310" s="19">
        <v>-21828</v>
      </c>
      <c r="G310" s="18">
        <f t="shared" si="79"/>
        <v>-15235.40009490372</v>
      </c>
      <c r="H310" s="18">
        <f t="shared" si="80"/>
        <v>-1757.9799553976798</v>
      </c>
      <c r="I310" s="18">
        <f t="shared" si="81"/>
        <v>-714.46278620820306</v>
      </c>
      <c r="J310" s="18">
        <f t="shared" si="82"/>
        <v>-1060.479441570717</v>
      </c>
      <c r="K310" s="18">
        <f t="shared" si="83"/>
        <v>-2282.6850072669613</v>
      </c>
      <c r="L310" s="18">
        <f t="shared" si="84"/>
        <v>-455.56555908466368</v>
      </c>
      <c r="M310" s="18">
        <f t="shared" si="85"/>
        <v>-321.4271555680557</v>
      </c>
      <c r="N310" s="18">
        <f t="shared" si="86"/>
        <v>0</v>
      </c>
      <c r="O310" s="18">
        <f t="shared" si="87"/>
        <v>0</v>
      </c>
      <c r="P310" s="18">
        <f t="shared" si="88"/>
        <v>0</v>
      </c>
      <c r="Q310" s="18">
        <f t="shared" si="89"/>
        <v>0</v>
      </c>
      <c r="R310" s="18">
        <f t="shared" si="90"/>
        <v>0</v>
      </c>
      <c r="S310" s="18">
        <f t="shared" si="91"/>
        <v>0</v>
      </c>
      <c r="T310" s="18">
        <f t="shared" si="92"/>
        <v>0</v>
      </c>
      <c r="U310" s="18">
        <f t="shared" si="93"/>
        <v>0</v>
      </c>
      <c r="V310" s="18">
        <f t="shared" si="94"/>
        <v>0</v>
      </c>
      <c r="W310" s="18">
        <f t="shared" si="95"/>
        <v>0</v>
      </c>
      <c r="X310" s="18">
        <f t="shared" si="96"/>
        <v>0</v>
      </c>
      <c r="Y310" s="18">
        <f t="shared" si="97"/>
        <v>0</v>
      </c>
      <c r="Z310" s="18">
        <f t="shared" si="98"/>
        <v>0</v>
      </c>
      <c r="AA310" s="18">
        <f t="shared" si="99"/>
        <v>0</v>
      </c>
      <c r="AB310" s="18">
        <f t="shared" si="100"/>
        <v>0</v>
      </c>
      <c r="AC310" s="18">
        <f t="shared" si="101"/>
        <v>0</v>
      </c>
      <c r="AD310" s="18">
        <f t="shared" si="102"/>
        <v>0</v>
      </c>
      <c r="AE310" s="18">
        <f t="shared" si="103"/>
        <v>0</v>
      </c>
      <c r="AF310" s="18">
        <f t="shared" si="104"/>
        <v>0</v>
      </c>
      <c r="AG310" s="18">
        <f t="shared" si="105"/>
        <v>0</v>
      </c>
      <c r="AH310" s="20">
        <f t="shared" si="106"/>
        <v>-21828.000000000004</v>
      </c>
      <c r="AI310" s="15" t="str">
        <f t="shared" si="107"/>
        <v>ok</v>
      </c>
    </row>
    <row r="311" spans="1:35" x14ac:dyDescent="0.3">
      <c r="B311" s="2" t="s">
        <v>708</v>
      </c>
      <c r="E311" s="2" t="s">
        <v>706</v>
      </c>
      <c r="F311" s="19">
        <v>-3350437</v>
      </c>
      <c r="G311" s="18">
        <f t="shared" si="79"/>
        <v>-2556320.3280445863</v>
      </c>
      <c r="H311" s="18">
        <f t="shared" si="80"/>
        <v>-214558.06035634436</v>
      </c>
      <c r="I311" s="18">
        <f t="shared" si="81"/>
        <v>-77293.923764340521</v>
      </c>
      <c r="J311" s="18">
        <f t="shared" si="82"/>
        <v>-124861.10513310228</v>
      </c>
      <c r="K311" s="18">
        <f t="shared" si="83"/>
        <v>-352468.57078825129</v>
      </c>
      <c r="L311" s="18">
        <f t="shared" si="84"/>
        <v>0</v>
      </c>
      <c r="M311" s="18">
        <f t="shared" si="85"/>
        <v>-24935.011913374234</v>
      </c>
      <c r="N311" s="18">
        <f t="shared" si="86"/>
        <v>0</v>
      </c>
      <c r="O311" s="18">
        <f t="shared" si="87"/>
        <v>0</v>
      </c>
      <c r="P311" s="18">
        <f t="shared" si="88"/>
        <v>0</v>
      </c>
      <c r="Q311" s="18">
        <f t="shared" si="89"/>
        <v>0</v>
      </c>
      <c r="R311" s="18">
        <f t="shared" si="90"/>
        <v>0</v>
      </c>
      <c r="S311" s="18">
        <f t="shared" si="91"/>
        <v>0</v>
      </c>
      <c r="T311" s="18">
        <f t="shared" si="92"/>
        <v>0</v>
      </c>
      <c r="U311" s="18">
        <f t="shared" si="93"/>
        <v>0</v>
      </c>
      <c r="V311" s="18">
        <f t="shared" si="94"/>
        <v>0</v>
      </c>
      <c r="W311" s="18">
        <f t="shared" si="95"/>
        <v>0</v>
      </c>
      <c r="X311" s="18">
        <f t="shared" si="96"/>
        <v>0</v>
      </c>
      <c r="Y311" s="18">
        <f t="shared" si="97"/>
        <v>0</v>
      </c>
      <c r="Z311" s="18">
        <f t="shared" si="98"/>
        <v>0</v>
      </c>
      <c r="AA311" s="18">
        <f t="shared" si="99"/>
        <v>0</v>
      </c>
      <c r="AB311" s="18">
        <f t="shared" si="100"/>
        <v>0</v>
      </c>
      <c r="AC311" s="18">
        <f t="shared" si="101"/>
        <v>0</v>
      </c>
      <c r="AD311" s="18">
        <f t="shared" si="102"/>
        <v>0</v>
      </c>
      <c r="AE311" s="18">
        <f t="shared" si="103"/>
        <v>0</v>
      </c>
      <c r="AF311" s="18">
        <f t="shared" si="104"/>
        <v>0</v>
      </c>
      <c r="AG311" s="18">
        <f t="shared" si="105"/>
        <v>0</v>
      </c>
      <c r="AH311" s="20">
        <f t="shared" si="106"/>
        <v>-3350436.9999999991</v>
      </c>
      <c r="AI311" s="15" t="str">
        <f t="shared" si="107"/>
        <v>ok</v>
      </c>
    </row>
    <row r="312" spans="1:35" x14ac:dyDescent="0.3">
      <c r="B312" s="2" t="s">
        <v>709</v>
      </c>
      <c r="E312" s="2" t="s">
        <v>706</v>
      </c>
      <c r="F312" s="19">
        <v>-53993832</v>
      </c>
      <c r="G312" s="18">
        <f t="shared" si="79"/>
        <v>-41196276.882873572</v>
      </c>
      <c r="H312" s="18">
        <f t="shared" si="80"/>
        <v>-3457701.7461084379</v>
      </c>
      <c r="I312" s="18">
        <f t="shared" si="81"/>
        <v>-1245627.1030771835</v>
      </c>
      <c r="J312" s="18">
        <f t="shared" si="82"/>
        <v>-2012194.0910666466</v>
      </c>
      <c r="K312" s="18">
        <f t="shared" si="83"/>
        <v>-5680193.0006207991</v>
      </c>
      <c r="L312" s="18">
        <f t="shared" si="84"/>
        <v>0</v>
      </c>
      <c r="M312" s="18">
        <f t="shared" si="85"/>
        <v>-401839.17625334457</v>
      </c>
      <c r="N312" s="18">
        <f t="shared" si="86"/>
        <v>0</v>
      </c>
      <c r="O312" s="18">
        <f t="shared" si="87"/>
        <v>0</v>
      </c>
      <c r="P312" s="18">
        <f t="shared" si="88"/>
        <v>0</v>
      </c>
      <c r="Q312" s="18">
        <f t="shared" si="89"/>
        <v>0</v>
      </c>
      <c r="R312" s="18">
        <f t="shared" si="90"/>
        <v>0</v>
      </c>
      <c r="S312" s="18">
        <f t="shared" si="91"/>
        <v>0</v>
      </c>
      <c r="T312" s="18">
        <f t="shared" si="92"/>
        <v>0</v>
      </c>
      <c r="U312" s="18">
        <f t="shared" si="93"/>
        <v>0</v>
      </c>
      <c r="V312" s="18">
        <f t="shared" si="94"/>
        <v>0</v>
      </c>
      <c r="W312" s="18">
        <f t="shared" si="95"/>
        <v>0</v>
      </c>
      <c r="X312" s="18">
        <f t="shared" si="96"/>
        <v>0</v>
      </c>
      <c r="Y312" s="18">
        <f t="shared" si="97"/>
        <v>0</v>
      </c>
      <c r="Z312" s="18">
        <f t="shared" si="98"/>
        <v>0</v>
      </c>
      <c r="AA312" s="18">
        <f t="shared" si="99"/>
        <v>0</v>
      </c>
      <c r="AB312" s="18">
        <f t="shared" si="100"/>
        <v>0</v>
      </c>
      <c r="AC312" s="18">
        <f t="shared" si="101"/>
        <v>0</v>
      </c>
      <c r="AD312" s="18">
        <f t="shared" si="102"/>
        <v>0</v>
      </c>
      <c r="AE312" s="18">
        <f t="shared" si="103"/>
        <v>0</v>
      </c>
      <c r="AF312" s="18">
        <f t="shared" si="104"/>
        <v>0</v>
      </c>
      <c r="AG312" s="18">
        <f t="shared" si="105"/>
        <v>0</v>
      </c>
      <c r="AH312" s="20">
        <f t="shared" si="106"/>
        <v>-53993831.99999997</v>
      </c>
      <c r="AI312" s="15" t="str">
        <f t="shared" si="107"/>
        <v>ok</v>
      </c>
    </row>
    <row r="313" spans="1:35" x14ac:dyDescent="0.3">
      <c r="B313" s="2" t="s">
        <v>710</v>
      </c>
      <c r="E313" s="2" t="s">
        <v>706</v>
      </c>
      <c r="F313" s="19">
        <v>-1449731</v>
      </c>
      <c r="G313" s="18">
        <f t="shared" si="79"/>
        <v>-1106117.4484093885</v>
      </c>
      <c r="H313" s="18">
        <f t="shared" si="80"/>
        <v>-92839.074842614093</v>
      </c>
      <c r="I313" s="18">
        <f t="shared" si="81"/>
        <v>-33445.009529443814</v>
      </c>
      <c r="J313" s="18">
        <f t="shared" si="82"/>
        <v>-54027.285039449329</v>
      </c>
      <c r="K313" s="18">
        <f t="shared" si="83"/>
        <v>-152512.82552020001</v>
      </c>
      <c r="L313" s="18">
        <f t="shared" si="84"/>
        <v>0</v>
      </c>
      <c r="M313" s="18">
        <f t="shared" si="85"/>
        <v>-10789.356658903882</v>
      </c>
      <c r="N313" s="18">
        <f t="shared" si="86"/>
        <v>0</v>
      </c>
      <c r="O313" s="18">
        <f t="shared" si="87"/>
        <v>0</v>
      </c>
      <c r="P313" s="18">
        <f t="shared" si="88"/>
        <v>0</v>
      </c>
      <c r="Q313" s="18">
        <f t="shared" si="89"/>
        <v>0</v>
      </c>
      <c r="R313" s="18">
        <f t="shared" si="90"/>
        <v>0</v>
      </c>
      <c r="S313" s="18">
        <f t="shared" si="91"/>
        <v>0</v>
      </c>
      <c r="T313" s="18">
        <f t="shared" si="92"/>
        <v>0</v>
      </c>
      <c r="U313" s="18">
        <f t="shared" si="93"/>
        <v>0</v>
      </c>
      <c r="V313" s="18">
        <f t="shared" si="94"/>
        <v>0</v>
      </c>
      <c r="W313" s="18">
        <f t="shared" si="95"/>
        <v>0</v>
      </c>
      <c r="X313" s="18">
        <f t="shared" si="96"/>
        <v>0</v>
      </c>
      <c r="Y313" s="18">
        <f t="shared" si="97"/>
        <v>0</v>
      </c>
      <c r="Z313" s="18">
        <f t="shared" si="98"/>
        <v>0</v>
      </c>
      <c r="AA313" s="18">
        <f t="shared" si="99"/>
        <v>0</v>
      </c>
      <c r="AB313" s="18">
        <f t="shared" si="100"/>
        <v>0</v>
      </c>
      <c r="AC313" s="18">
        <f t="shared" si="101"/>
        <v>0</v>
      </c>
      <c r="AD313" s="18">
        <f t="shared" si="102"/>
        <v>0</v>
      </c>
      <c r="AE313" s="18">
        <f t="shared" si="103"/>
        <v>0</v>
      </c>
      <c r="AF313" s="18">
        <f t="shared" si="104"/>
        <v>0</v>
      </c>
      <c r="AG313" s="18">
        <f t="shared" si="105"/>
        <v>0</v>
      </c>
      <c r="AH313" s="20">
        <f t="shared" ref="AH313:AH314" si="108">SUM(G313:AG313)</f>
        <v>-1449730.9999999998</v>
      </c>
      <c r="AI313" s="15" t="str">
        <f t="shared" ref="AI313:AI314" si="109">IF(ABS(F313-AH313)&lt;0.01,"ok","err")</f>
        <v>ok</v>
      </c>
    </row>
    <row r="314" spans="1:35" x14ac:dyDescent="0.3">
      <c r="B314" s="2" t="s">
        <v>711</v>
      </c>
      <c r="E314" s="2" t="s">
        <v>597</v>
      </c>
      <c r="F314" s="19">
        <v>-826139</v>
      </c>
      <c r="G314" s="18">
        <f t="shared" si="79"/>
        <v>-628338.74347192654</v>
      </c>
      <c r="H314" s="18">
        <f t="shared" si="80"/>
        <v>-53830.250404065344</v>
      </c>
      <c r="I314" s="18">
        <f t="shared" si="81"/>
        <v>-19826.571770125967</v>
      </c>
      <c r="J314" s="18">
        <f t="shared" si="82"/>
        <v>-31317.137101507771</v>
      </c>
      <c r="K314" s="18">
        <f t="shared" si="83"/>
        <v>-81588.012467969471</v>
      </c>
      <c r="L314" s="18">
        <f t="shared" si="84"/>
        <v>-5572.3324828666055</v>
      </c>
      <c r="M314" s="18">
        <f t="shared" si="85"/>
        <v>-5665.952301538262</v>
      </c>
      <c r="N314" s="18">
        <f t="shared" si="86"/>
        <v>0</v>
      </c>
      <c r="O314" s="18">
        <f t="shared" si="87"/>
        <v>0</v>
      </c>
      <c r="P314" s="18">
        <f t="shared" si="88"/>
        <v>0</v>
      </c>
      <c r="Q314" s="18">
        <f t="shared" si="89"/>
        <v>0</v>
      </c>
      <c r="R314" s="18">
        <f t="shared" si="90"/>
        <v>0</v>
      </c>
      <c r="S314" s="18">
        <f t="shared" si="91"/>
        <v>0</v>
      </c>
      <c r="T314" s="18">
        <f t="shared" si="92"/>
        <v>0</v>
      </c>
      <c r="U314" s="18">
        <f t="shared" si="93"/>
        <v>0</v>
      </c>
      <c r="V314" s="18">
        <f t="shared" si="94"/>
        <v>0</v>
      </c>
      <c r="W314" s="18">
        <f t="shared" si="95"/>
        <v>0</v>
      </c>
      <c r="X314" s="18">
        <f t="shared" si="96"/>
        <v>0</v>
      </c>
      <c r="Y314" s="18">
        <f t="shared" si="97"/>
        <v>0</v>
      </c>
      <c r="Z314" s="18">
        <f t="shared" si="98"/>
        <v>0</v>
      </c>
      <c r="AA314" s="18">
        <f t="shared" si="99"/>
        <v>0</v>
      </c>
      <c r="AB314" s="18">
        <f t="shared" si="100"/>
        <v>0</v>
      </c>
      <c r="AC314" s="18">
        <f t="shared" si="101"/>
        <v>0</v>
      </c>
      <c r="AD314" s="18">
        <f t="shared" si="102"/>
        <v>0</v>
      </c>
      <c r="AE314" s="18">
        <f t="shared" si="103"/>
        <v>0</v>
      </c>
      <c r="AF314" s="18">
        <f t="shared" si="104"/>
        <v>0</v>
      </c>
      <c r="AG314" s="18">
        <f t="shared" si="105"/>
        <v>0</v>
      </c>
      <c r="AH314" s="20">
        <f t="shared" si="108"/>
        <v>-826139</v>
      </c>
      <c r="AI314" s="15" t="str">
        <f t="shared" si="109"/>
        <v>ok</v>
      </c>
    </row>
    <row r="315" spans="1:35" x14ac:dyDescent="0.3">
      <c r="B315" s="2" t="s">
        <v>712</v>
      </c>
      <c r="E315" s="2" t="s">
        <v>597</v>
      </c>
      <c r="F315" s="19">
        <v>-427310</v>
      </c>
      <c r="G315" s="18">
        <f t="shared" si="79"/>
        <v>-325000.30681639398</v>
      </c>
      <c r="H315" s="18">
        <f t="shared" si="80"/>
        <v>-27843.019516281354</v>
      </c>
      <c r="I315" s="18">
        <f t="shared" si="81"/>
        <v>-10255.04471171622</v>
      </c>
      <c r="J315" s="18">
        <f t="shared" si="82"/>
        <v>-16198.395009611319</v>
      </c>
      <c r="K315" s="18">
        <f t="shared" si="83"/>
        <v>-42200.372585833662</v>
      </c>
      <c r="L315" s="18">
        <f t="shared" si="84"/>
        <v>-2882.2188436252604</v>
      </c>
      <c r="M315" s="18">
        <f t="shared" si="85"/>
        <v>-2930.6425165381547</v>
      </c>
      <c r="N315" s="18">
        <f t="shared" si="86"/>
        <v>0</v>
      </c>
      <c r="O315" s="18">
        <f t="shared" si="87"/>
        <v>0</v>
      </c>
      <c r="P315" s="18">
        <f t="shared" si="88"/>
        <v>0</v>
      </c>
      <c r="Q315" s="18">
        <f t="shared" si="89"/>
        <v>0</v>
      </c>
      <c r="R315" s="18">
        <f t="shared" si="90"/>
        <v>0</v>
      </c>
      <c r="S315" s="18">
        <f t="shared" si="91"/>
        <v>0</v>
      </c>
      <c r="T315" s="18">
        <f t="shared" si="92"/>
        <v>0</v>
      </c>
      <c r="U315" s="18">
        <f t="shared" si="93"/>
        <v>0</v>
      </c>
      <c r="V315" s="18">
        <f t="shared" si="94"/>
        <v>0</v>
      </c>
      <c r="W315" s="18">
        <f t="shared" si="95"/>
        <v>0</v>
      </c>
      <c r="X315" s="18">
        <f t="shared" si="96"/>
        <v>0</v>
      </c>
      <c r="Y315" s="18">
        <f t="shared" si="97"/>
        <v>0</v>
      </c>
      <c r="Z315" s="18">
        <f t="shared" si="98"/>
        <v>0</v>
      </c>
      <c r="AA315" s="18">
        <f t="shared" si="99"/>
        <v>0</v>
      </c>
      <c r="AB315" s="18">
        <f t="shared" si="100"/>
        <v>0</v>
      </c>
      <c r="AC315" s="18">
        <f t="shared" si="101"/>
        <v>0</v>
      </c>
      <c r="AD315" s="18">
        <f t="shared" si="102"/>
        <v>0</v>
      </c>
      <c r="AE315" s="18">
        <f t="shared" si="103"/>
        <v>0</v>
      </c>
      <c r="AF315" s="18">
        <f t="shared" si="104"/>
        <v>0</v>
      </c>
      <c r="AG315" s="18">
        <f t="shared" si="105"/>
        <v>0</v>
      </c>
      <c r="AH315" s="20">
        <f t="shared" ref="AH315" si="110">SUM(G315:AG315)</f>
        <v>-427310</v>
      </c>
      <c r="AI315" s="15" t="str">
        <f t="shared" ref="AI315" si="111">IF(ABS(F315-AH315)&lt;0.01,"ok","err")</f>
        <v>ok</v>
      </c>
    </row>
    <row r="316" spans="1:35" x14ac:dyDescent="0.3">
      <c r="B316" s="2" t="s">
        <v>713</v>
      </c>
      <c r="E316" s="2" t="s">
        <v>597</v>
      </c>
      <c r="F316" s="19">
        <f>-150642-23477</f>
        <v>-174119</v>
      </c>
      <c r="G316" s="18">
        <f t="shared" si="79"/>
        <v>-132430.15240121621</v>
      </c>
      <c r="H316" s="18">
        <f t="shared" si="80"/>
        <v>-11345.390267382914</v>
      </c>
      <c r="I316" s="18">
        <f t="shared" si="81"/>
        <v>-4178.694929113095</v>
      </c>
      <c r="J316" s="18">
        <f t="shared" si="82"/>
        <v>-6600.4735219829008</v>
      </c>
      <c r="K316" s="18">
        <f t="shared" si="83"/>
        <v>-17195.681529270954</v>
      </c>
      <c r="L316" s="18">
        <f t="shared" si="84"/>
        <v>-1174.4379088558346</v>
      </c>
      <c r="M316" s="18">
        <f t="shared" si="85"/>
        <v>-1194.1694421780603</v>
      </c>
      <c r="N316" s="18">
        <f t="shared" si="86"/>
        <v>0</v>
      </c>
      <c r="O316" s="18">
        <f t="shared" si="87"/>
        <v>0</v>
      </c>
      <c r="P316" s="18">
        <f t="shared" si="88"/>
        <v>0</v>
      </c>
      <c r="Q316" s="18">
        <f t="shared" si="89"/>
        <v>0</v>
      </c>
      <c r="R316" s="18">
        <f t="shared" si="90"/>
        <v>0</v>
      </c>
      <c r="S316" s="18">
        <f t="shared" si="91"/>
        <v>0</v>
      </c>
      <c r="T316" s="18">
        <f t="shared" si="92"/>
        <v>0</v>
      </c>
      <c r="U316" s="18">
        <f t="shared" si="93"/>
        <v>0</v>
      </c>
      <c r="V316" s="18">
        <f t="shared" si="94"/>
        <v>0</v>
      </c>
      <c r="W316" s="18">
        <f t="shared" si="95"/>
        <v>0</v>
      </c>
      <c r="X316" s="18">
        <f t="shared" si="96"/>
        <v>0</v>
      </c>
      <c r="Y316" s="18">
        <f t="shared" si="97"/>
        <v>0</v>
      </c>
      <c r="Z316" s="18">
        <f t="shared" si="98"/>
        <v>0</v>
      </c>
      <c r="AA316" s="18">
        <f t="shared" si="99"/>
        <v>0</v>
      </c>
      <c r="AB316" s="18">
        <f t="shared" si="100"/>
        <v>0</v>
      </c>
      <c r="AC316" s="18">
        <f t="shared" si="101"/>
        <v>0</v>
      </c>
      <c r="AD316" s="18">
        <f t="shared" si="102"/>
        <v>0</v>
      </c>
      <c r="AE316" s="18">
        <f t="shared" si="103"/>
        <v>0</v>
      </c>
      <c r="AF316" s="18">
        <f t="shared" si="104"/>
        <v>0</v>
      </c>
      <c r="AG316" s="18">
        <f t="shared" si="105"/>
        <v>0</v>
      </c>
      <c r="AH316" s="20">
        <f t="shared" si="106"/>
        <v>-174118.99999999997</v>
      </c>
      <c r="AI316" s="15" t="str">
        <f t="shared" si="107"/>
        <v>ok</v>
      </c>
    </row>
    <row r="317" spans="1:35" x14ac:dyDescent="0.3">
      <c r="B317" s="2" t="s">
        <v>714</v>
      </c>
      <c r="E317" s="2" t="s">
        <v>597</v>
      </c>
      <c r="F317" s="19">
        <v>-98967</v>
      </c>
      <c r="G317" s="18">
        <f t="shared" si="79"/>
        <v>-75271.595246303768</v>
      </c>
      <c r="H317" s="18">
        <f t="shared" si="80"/>
        <v>-6448.5738982654675</v>
      </c>
      <c r="I317" s="18">
        <f t="shared" si="81"/>
        <v>-2375.1164493796523</v>
      </c>
      <c r="J317" s="18">
        <f t="shared" si="82"/>
        <v>-3751.6242515181098</v>
      </c>
      <c r="K317" s="18">
        <f t="shared" si="83"/>
        <v>-9773.8042023406888</v>
      </c>
      <c r="L317" s="18">
        <f t="shared" si="84"/>
        <v>-667.5354012240789</v>
      </c>
      <c r="M317" s="18">
        <f t="shared" si="85"/>
        <v>-678.75055096822348</v>
      </c>
      <c r="N317" s="18">
        <f t="shared" si="86"/>
        <v>0</v>
      </c>
      <c r="O317" s="18">
        <f t="shared" si="87"/>
        <v>0</v>
      </c>
      <c r="P317" s="18">
        <f t="shared" si="88"/>
        <v>0</v>
      </c>
      <c r="Q317" s="18">
        <f t="shared" si="89"/>
        <v>0</v>
      </c>
      <c r="R317" s="18">
        <f t="shared" si="90"/>
        <v>0</v>
      </c>
      <c r="S317" s="18">
        <f t="shared" si="91"/>
        <v>0</v>
      </c>
      <c r="T317" s="18">
        <f t="shared" si="92"/>
        <v>0</v>
      </c>
      <c r="U317" s="18">
        <f t="shared" si="93"/>
        <v>0</v>
      </c>
      <c r="V317" s="18">
        <f t="shared" si="94"/>
        <v>0</v>
      </c>
      <c r="W317" s="18">
        <f t="shared" si="95"/>
        <v>0</v>
      </c>
      <c r="X317" s="18">
        <f t="shared" si="96"/>
        <v>0</v>
      </c>
      <c r="Y317" s="18">
        <f t="shared" si="97"/>
        <v>0</v>
      </c>
      <c r="Z317" s="18">
        <f t="shared" si="98"/>
        <v>0</v>
      </c>
      <c r="AA317" s="18">
        <f t="shared" si="99"/>
        <v>0</v>
      </c>
      <c r="AB317" s="18">
        <f t="shared" si="100"/>
        <v>0</v>
      </c>
      <c r="AC317" s="18">
        <f t="shared" si="101"/>
        <v>0</v>
      </c>
      <c r="AD317" s="18">
        <f t="shared" si="102"/>
        <v>0</v>
      </c>
      <c r="AE317" s="18">
        <f t="shared" si="103"/>
        <v>0</v>
      </c>
      <c r="AF317" s="18">
        <f t="shared" si="104"/>
        <v>0</v>
      </c>
      <c r="AG317" s="18">
        <f t="shared" si="105"/>
        <v>0</v>
      </c>
      <c r="AH317" s="20">
        <f t="shared" si="106"/>
        <v>-98967</v>
      </c>
      <c r="AI317" s="15" t="str">
        <f t="shared" si="107"/>
        <v>ok</v>
      </c>
    </row>
    <row r="318" spans="1:35" x14ac:dyDescent="0.3">
      <c r="B318" s="2" t="s">
        <v>715</v>
      </c>
      <c r="E318" s="2" t="s">
        <v>597</v>
      </c>
      <c r="F318" s="19">
        <v>-138430</v>
      </c>
      <c r="G318" s="18">
        <f t="shared" si="79"/>
        <v>-105286.07444851143</v>
      </c>
      <c r="H318" s="18">
        <f t="shared" si="80"/>
        <v>-9019.9367944556125</v>
      </c>
      <c r="I318" s="18">
        <f t="shared" si="81"/>
        <v>-3322.1919436542007</v>
      </c>
      <c r="J318" s="18">
        <f t="shared" si="82"/>
        <v>-5247.5809627214312</v>
      </c>
      <c r="K318" s="18">
        <f t="shared" si="83"/>
        <v>-13671.099616336976</v>
      </c>
      <c r="L318" s="18">
        <f t="shared" si="84"/>
        <v>-933.71452697817699</v>
      </c>
      <c r="M318" s="18">
        <f t="shared" si="85"/>
        <v>-949.40170734215621</v>
      </c>
      <c r="N318" s="18">
        <f t="shared" si="86"/>
        <v>0</v>
      </c>
      <c r="O318" s="18">
        <f t="shared" si="87"/>
        <v>0</v>
      </c>
      <c r="P318" s="18">
        <f t="shared" si="88"/>
        <v>0</v>
      </c>
      <c r="Q318" s="18">
        <f t="shared" si="89"/>
        <v>0</v>
      </c>
      <c r="R318" s="18">
        <f t="shared" si="90"/>
        <v>0</v>
      </c>
      <c r="S318" s="18">
        <f t="shared" si="91"/>
        <v>0</v>
      </c>
      <c r="T318" s="18">
        <f t="shared" si="92"/>
        <v>0</v>
      </c>
      <c r="U318" s="18">
        <f t="shared" si="93"/>
        <v>0</v>
      </c>
      <c r="V318" s="18">
        <f t="shared" si="94"/>
        <v>0</v>
      </c>
      <c r="W318" s="18">
        <f t="shared" si="95"/>
        <v>0</v>
      </c>
      <c r="X318" s="18">
        <f t="shared" si="96"/>
        <v>0</v>
      </c>
      <c r="Y318" s="18">
        <f t="shared" si="97"/>
        <v>0</v>
      </c>
      <c r="Z318" s="18">
        <f t="shared" si="98"/>
        <v>0</v>
      </c>
      <c r="AA318" s="18">
        <f t="shared" si="99"/>
        <v>0</v>
      </c>
      <c r="AB318" s="18">
        <f t="shared" si="100"/>
        <v>0</v>
      </c>
      <c r="AC318" s="18">
        <f t="shared" si="101"/>
        <v>0</v>
      </c>
      <c r="AD318" s="18">
        <f t="shared" si="102"/>
        <v>0</v>
      </c>
      <c r="AE318" s="18">
        <f t="shared" si="103"/>
        <v>0</v>
      </c>
      <c r="AF318" s="18">
        <f t="shared" si="104"/>
        <v>0</v>
      </c>
      <c r="AG318" s="18">
        <f t="shared" si="105"/>
        <v>0</v>
      </c>
      <c r="AH318" s="20">
        <f t="shared" si="106"/>
        <v>-138429.99999999997</v>
      </c>
      <c r="AI318" s="15" t="str">
        <f t="shared" si="107"/>
        <v>ok</v>
      </c>
    </row>
    <row r="319" spans="1:35" x14ac:dyDescent="0.3">
      <c r="B319" s="2" t="s">
        <v>716</v>
      </c>
      <c r="E319" s="2" t="s">
        <v>597</v>
      </c>
      <c r="F319" s="43">
        <v>-302719</v>
      </c>
      <c r="G319" s="18">
        <f t="shared" si="79"/>
        <v>-230239.79752206121</v>
      </c>
      <c r="H319" s="18">
        <f t="shared" si="80"/>
        <v>-19724.815765952528</v>
      </c>
      <c r="I319" s="18">
        <f t="shared" si="81"/>
        <v>-7264.9759661276885</v>
      </c>
      <c r="J319" s="18">
        <f t="shared" si="82"/>
        <v>-11475.420511840417</v>
      </c>
      <c r="K319" s="18">
        <f t="shared" si="83"/>
        <v>-29895.98789827287</v>
      </c>
      <c r="L319" s="18">
        <f t="shared" si="84"/>
        <v>-2041.8487892242053</v>
      </c>
      <c r="M319" s="18">
        <f t="shared" si="85"/>
        <v>-2076.1535465210591</v>
      </c>
      <c r="N319" s="18">
        <f t="shared" si="86"/>
        <v>0</v>
      </c>
      <c r="O319" s="18">
        <f t="shared" si="87"/>
        <v>0</v>
      </c>
      <c r="P319" s="18">
        <f t="shared" si="88"/>
        <v>0</v>
      </c>
      <c r="Q319" s="18">
        <f t="shared" si="89"/>
        <v>0</v>
      </c>
      <c r="R319" s="18">
        <f t="shared" si="90"/>
        <v>0</v>
      </c>
      <c r="S319" s="18">
        <f t="shared" si="91"/>
        <v>0</v>
      </c>
      <c r="T319" s="18">
        <f t="shared" si="92"/>
        <v>0</v>
      </c>
      <c r="U319" s="18">
        <f t="shared" si="93"/>
        <v>0</v>
      </c>
      <c r="V319" s="18">
        <f t="shared" si="94"/>
        <v>0</v>
      </c>
      <c r="W319" s="18">
        <f t="shared" si="95"/>
        <v>0</v>
      </c>
      <c r="X319" s="18">
        <f t="shared" si="96"/>
        <v>0</v>
      </c>
      <c r="Y319" s="18">
        <f t="shared" si="97"/>
        <v>0</v>
      </c>
      <c r="Z319" s="18">
        <f t="shared" si="98"/>
        <v>0</v>
      </c>
      <c r="AA319" s="18">
        <f t="shared" si="99"/>
        <v>0</v>
      </c>
      <c r="AB319" s="18">
        <f t="shared" si="100"/>
        <v>0</v>
      </c>
      <c r="AC319" s="18">
        <f t="shared" si="101"/>
        <v>0</v>
      </c>
      <c r="AD319" s="18">
        <f t="shared" si="102"/>
        <v>0</v>
      </c>
      <c r="AE319" s="18">
        <f t="shared" si="103"/>
        <v>0</v>
      </c>
      <c r="AF319" s="18">
        <f t="shared" si="104"/>
        <v>0</v>
      </c>
      <c r="AG319" s="18">
        <f t="shared" si="105"/>
        <v>0</v>
      </c>
      <c r="AH319" s="20">
        <f t="shared" ref="AH319:AH321" si="112">SUM(G319:AG319)</f>
        <v>-302718.99999999994</v>
      </c>
      <c r="AI319" s="15" t="str">
        <f t="shared" ref="AI319:AI330" si="113">IF(ABS(F319-AH319)&lt;0.01,"ok","err")</f>
        <v>ok</v>
      </c>
    </row>
    <row r="320" spans="1:35" x14ac:dyDescent="0.3">
      <c r="B320" s="2" t="s">
        <v>717</v>
      </c>
      <c r="E320" s="2" t="s">
        <v>597</v>
      </c>
      <c r="F320" s="43">
        <v>-443873</v>
      </c>
      <c r="G320" s="18">
        <f t="shared" si="79"/>
        <v>-337597.67191854451</v>
      </c>
      <c r="H320" s="18">
        <f t="shared" si="80"/>
        <v>-28922.24521249293</v>
      </c>
      <c r="I320" s="18">
        <f t="shared" si="81"/>
        <v>-10652.541389912743</v>
      </c>
      <c r="J320" s="18">
        <f t="shared" si="82"/>
        <v>-16826.262404580295</v>
      </c>
      <c r="K320" s="18">
        <f t="shared" si="83"/>
        <v>-43836.104890575334</v>
      </c>
      <c r="L320" s="18">
        <f t="shared" si="84"/>
        <v>-2993.9367783961884</v>
      </c>
      <c r="M320" s="18">
        <f t="shared" si="85"/>
        <v>-3044.2374054979764</v>
      </c>
      <c r="N320" s="18">
        <f t="shared" si="86"/>
        <v>0</v>
      </c>
      <c r="O320" s="18">
        <f t="shared" si="87"/>
        <v>0</v>
      </c>
      <c r="P320" s="18">
        <f t="shared" si="88"/>
        <v>0</v>
      </c>
      <c r="Q320" s="18">
        <f t="shared" si="89"/>
        <v>0</v>
      </c>
      <c r="R320" s="18">
        <f t="shared" si="90"/>
        <v>0</v>
      </c>
      <c r="S320" s="18">
        <f t="shared" si="91"/>
        <v>0</v>
      </c>
      <c r="T320" s="18">
        <f t="shared" si="92"/>
        <v>0</v>
      </c>
      <c r="U320" s="18">
        <f t="shared" si="93"/>
        <v>0</v>
      </c>
      <c r="V320" s="18">
        <f t="shared" si="94"/>
        <v>0</v>
      </c>
      <c r="W320" s="18">
        <f t="shared" si="95"/>
        <v>0</v>
      </c>
      <c r="X320" s="18">
        <f t="shared" si="96"/>
        <v>0</v>
      </c>
      <c r="Y320" s="18">
        <f t="shared" si="97"/>
        <v>0</v>
      </c>
      <c r="Z320" s="18">
        <f t="shared" si="98"/>
        <v>0</v>
      </c>
      <c r="AA320" s="18">
        <f t="shared" si="99"/>
        <v>0</v>
      </c>
      <c r="AB320" s="18">
        <f t="shared" si="100"/>
        <v>0</v>
      </c>
      <c r="AC320" s="18">
        <f t="shared" si="101"/>
        <v>0</v>
      </c>
      <c r="AD320" s="18">
        <f t="shared" si="102"/>
        <v>0</v>
      </c>
      <c r="AE320" s="18">
        <f t="shared" si="103"/>
        <v>0</v>
      </c>
      <c r="AF320" s="18">
        <f t="shared" si="104"/>
        <v>0</v>
      </c>
      <c r="AG320" s="18">
        <f t="shared" si="105"/>
        <v>0</v>
      </c>
      <c r="AH320" s="20">
        <f t="shared" si="112"/>
        <v>-443873</v>
      </c>
      <c r="AI320" s="15" t="str">
        <f t="shared" si="113"/>
        <v>ok</v>
      </c>
    </row>
    <row r="321" spans="1:35" x14ac:dyDescent="0.3">
      <c r="B321" s="2" t="s">
        <v>718</v>
      </c>
      <c r="E321" s="2" t="s">
        <v>597</v>
      </c>
      <c r="F321" s="43">
        <f>-1059398</f>
        <v>-1059398</v>
      </c>
      <c r="G321" s="18">
        <f t="shared" si="79"/>
        <v>-805749.16346604144</v>
      </c>
      <c r="H321" s="18">
        <f t="shared" si="80"/>
        <v>-69029.13385951519</v>
      </c>
      <c r="I321" s="18">
        <f t="shared" si="81"/>
        <v>-25424.571991066769</v>
      </c>
      <c r="J321" s="18">
        <f t="shared" si="82"/>
        <v>-40159.479713538676</v>
      </c>
      <c r="K321" s="18">
        <f t="shared" si="83"/>
        <v>-104624.25479555126</v>
      </c>
      <c r="L321" s="18">
        <f t="shared" si="84"/>
        <v>-7145.6714762091078</v>
      </c>
      <c r="M321" s="18">
        <f t="shared" si="85"/>
        <v>-7265.7246980774808</v>
      </c>
      <c r="N321" s="18">
        <f t="shared" si="86"/>
        <v>0</v>
      </c>
      <c r="O321" s="18">
        <f t="shared" si="87"/>
        <v>0</v>
      </c>
      <c r="P321" s="18">
        <f t="shared" si="88"/>
        <v>0</v>
      </c>
      <c r="Q321" s="18">
        <f t="shared" si="89"/>
        <v>0</v>
      </c>
      <c r="R321" s="18">
        <f t="shared" si="90"/>
        <v>0</v>
      </c>
      <c r="S321" s="18">
        <f t="shared" si="91"/>
        <v>0</v>
      </c>
      <c r="T321" s="18">
        <f t="shared" si="92"/>
        <v>0</v>
      </c>
      <c r="U321" s="18">
        <f t="shared" si="93"/>
        <v>0</v>
      </c>
      <c r="V321" s="18">
        <f t="shared" si="94"/>
        <v>0</v>
      </c>
      <c r="W321" s="18">
        <f t="shared" si="95"/>
        <v>0</v>
      </c>
      <c r="X321" s="18">
        <f t="shared" si="96"/>
        <v>0</v>
      </c>
      <c r="Y321" s="18">
        <f t="shared" si="97"/>
        <v>0</v>
      </c>
      <c r="Z321" s="18">
        <f t="shared" si="98"/>
        <v>0</v>
      </c>
      <c r="AA321" s="18">
        <f t="shared" si="99"/>
        <v>0</v>
      </c>
      <c r="AB321" s="18">
        <f t="shared" si="100"/>
        <v>0</v>
      </c>
      <c r="AC321" s="18">
        <f t="shared" si="101"/>
        <v>0</v>
      </c>
      <c r="AD321" s="18">
        <f t="shared" si="102"/>
        <v>0</v>
      </c>
      <c r="AE321" s="18">
        <f t="shared" si="103"/>
        <v>0</v>
      </c>
      <c r="AF321" s="18">
        <f t="shared" si="104"/>
        <v>0</v>
      </c>
      <c r="AG321" s="18">
        <f t="shared" si="105"/>
        <v>0</v>
      </c>
      <c r="AH321" s="20">
        <f t="shared" si="112"/>
        <v>-1059398</v>
      </c>
      <c r="AI321" s="15" t="str">
        <f t="shared" si="113"/>
        <v>ok</v>
      </c>
    </row>
    <row r="322" spans="1:35" x14ac:dyDescent="0.3">
      <c r="B322" s="2" t="s">
        <v>719</v>
      </c>
      <c r="E322" s="2" t="s">
        <v>607</v>
      </c>
      <c r="F322" s="43">
        <v>8309434</v>
      </c>
      <c r="G322" s="18">
        <f t="shared" si="79"/>
        <v>6496446.1828470007</v>
      </c>
      <c r="H322" s="18">
        <f t="shared" si="80"/>
        <v>493885.31688456127</v>
      </c>
      <c r="I322" s="18">
        <f t="shared" si="81"/>
        <v>176439.05657976225</v>
      </c>
      <c r="J322" s="18">
        <f t="shared" si="82"/>
        <v>287016.82204721763</v>
      </c>
      <c r="K322" s="18">
        <f t="shared" si="83"/>
        <v>799117.95361054479</v>
      </c>
      <c r="L322" s="18">
        <f t="shared" si="84"/>
        <v>15093.481716828384</v>
      </c>
      <c r="M322" s="18">
        <f t="shared" si="85"/>
        <v>41435.186314082348</v>
      </c>
      <c r="N322" s="18">
        <f t="shared" si="86"/>
        <v>0</v>
      </c>
      <c r="O322" s="18">
        <f t="shared" si="87"/>
        <v>0</v>
      </c>
      <c r="P322" s="18">
        <f t="shared" si="88"/>
        <v>0</v>
      </c>
      <c r="Q322" s="18">
        <f t="shared" si="89"/>
        <v>0</v>
      </c>
      <c r="R322" s="18">
        <f t="shared" si="90"/>
        <v>0</v>
      </c>
      <c r="S322" s="18">
        <f t="shared" si="91"/>
        <v>0</v>
      </c>
      <c r="T322" s="18">
        <f t="shared" si="92"/>
        <v>0</v>
      </c>
      <c r="U322" s="18">
        <f t="shared" si="93"/>
        <v>0</v>
      </c>
      <c r="V322" s="18">
        <f t="shared" si="94"/>
        <v>0</v>
      </c>
      <c r="W322" s="18">
        <f t="shared" si="95"/>
        <v>0</v>
      </c>
      <c r="X322" s="18">
        <f t="shared" si="96"/>
        <v>0</v>
      </c>
      <c r="Y322" s="18">
        <f t="shared" si="97"/>
        <v>0</v>
      </c>
      <c r="Z322" s="18">
        <f t="shared" si="98"/>
        <v>0</v>
      </c>
      <c r="AA322" s="18">
        <f t="shared" si="99"/>
        <v>0</v>
      </c>
      <c r="AB322" s="18">
        <f t="shared" si="100"/>
        <v>0</v>
      </c>
      <c r="AC322" s="18">
        <f t="shared" si="101"/>
        <v>0</v>
      </c>
      <c r="AD322" s="18">
        <f t="shared" si="102"/>
        <v>0</v>
      </c>
      <c r="AE322" s="18">
        <f t="shared" si="103"/>
        <v>0</v>
      </c>
      <c r="AF322" s="18">
        <f t="shared" si="104"/>
        <v>0</v>
      </c>
      <c r="AG322" s="18">
        <f t="shared" si="105"/>
        <v>0</v>
      </c>
      <c r="AH322" s="20">
        <f t="shared" ref="AH322:AH328" si="114">SUM(G322:AG322)</f>
        <v>8309433.9999999981</v>
      </c>
      <c r="AI322" s="15" t="str">
        <f t="shared" ref="AI322:AI328" si="115">IF(ABS(F322-AH322)&lt;0.01,"ok","err")</f>
        <v>ok</v>
      </c>
    </row>
    <row r="323" spans="1:35" x14ac:dyDescent="0.3">
      <c r="B323" s="2" t="s">
        <v>720</v>
      </c>
      <c r="E323" s="2" t="s">
        <v>574</v>
      </c>
      <c r="F323" s="43">
        <v>-737023</v>
      </c>
      <c r="G323" s="18">
        <f t="shared" si="79"/>
        <v>-581630.70998363825</v>
      </c>
      <c r="H323" s="18">
        <f t="shared" si="80"/>
        <v>-43538.241050859848</v>
      </c>
      <c r="I323" s="18">
        <f t="shared" si="81"/>
        <v>-14762.325286671467</v>
      </c>
      <c r="J323" s="18">
        <f t="shared" si="82"/>
        <v>-23780.044175221705</v>
      </c>
      <c r="K323" s="18">
        <f t="shared" si="83"/>
        <v>-63917.638855517529</v>
      </c>
      <c r="L323" s="18">
        <f t="shared" si="84"/>
        <v>-9394.0406480912279</v>
      </c>
      <c r="M323" s="18">
        <f t="shared" si="85"/>
        <v>0</v>
      </c>
      <c r="N323" s="18">
        <f t="shared" si="86"/>
        <v>0</v>
      </c>
      <c r="O323" s="18">
        <f t="shared" si="87"/>
        <v>0</v>
      </c>
      <c r="P323" s="18">
        <f t="shared" si="88"/>
        <v>0</v>
      </c>
      <c r="Q323" s="18">
        <f t="shared" si="89"/>
        <v>0</v>
      </c>
      <c r="R323" s="18">
        <f t="shared" si="90"/>
        <v>0</v>
      </c>
      <c r="S323" s="18">
        <f t="shared" si="91"/>
        <v>0</v>
      </c>
      <c r="T323" s="18">
        <f t="shared" si="92"/>
        <v>0</v>
      </c>
      <c r="U323" s="18">
        <f t="shared" si="93"/>
        <v>0</v>
      </c>
      <c r="V323" s="18">
        <f t="shared" si="94"/>
        <v>0</v>
      </c>
      <c r="W323" s="18">
        <f t="shared" si="95"/>
        <v>0</v>
      </c>
      <c r="X323" s="18">
        <f t="shared" si="96"/>
        <v>0</v>
      </c>
      <c r="Y323" s="18">
        <f t="shared" si="97"/>
        <v>0</v>
      </c>
      <c r="Z323" s="18">
        <f t="shared" si="98"/>
        <v>0</v>
      </c>
      <c r="AA323" s="18">
        <f t="shared" si="99"/>
        <v>0</v>
      </c>
      <c r="AB323" s="18">
        <f t="shared" si="100"/>
        <v>0</v>
      </c>
      <c r="AC323" s="18">
        <f t="shared" si="101"/>
        <v>0</v>
      </c>
      <c r="AD323" s="18">
        <f t="shared" si="102"/>
        <v>0</v>
      </c>
      <c r="AE323" s="18">
        <f t="shared" si="103"/>
        <v>0</v>
      </c>
      <c r="AF323" s="18">
        <f t="shared" si="104"/>
        <v>0</v>
      </c>
      <c r="AG323" s="18">
        <f t="shared" si="105"/>
        <v>0</v>
      </c>
      <c r="AH323" s="20">
        <f t="shared" si="114"/>
        <v>-737023</v>
      </c>
      <c r="AI323" s="15" t="str">
        <f t="shared" si="115"/>
        <v>ok</v>
      </c>
    </row>
    <row r="324" spans="1:35" x14ac:dyDescent="0.3">
      <c r="B324" s="2" t="s">
        <v>721</v>
      </c>
      <c r="E324" s="2" t="s">
        <v>577</v>
      </c>
      <c r="F324" s="43">
        <v>320000</v>
      </c>
      <c r="G324" s="18">
        <f t="shared" si="79"/>
        <v>250931.39107694785</v>
      </c>
      <c r="H324" s="18">
        <f t="shared" si="80"/>
        <v>18814.955653113015</v>
      </c>
      <c r="I324" s="18">
        <f t="shared" si="81"/>
        <v>6752.2298848048804</v>
      </c>
      <c r="J324" s="18">
        <f t="shared" si="82"/>
        <v>10945.59244967351</v>
      </c>
      <c r="K324" s="18">
        <f t="shared" si="83"/>
        <v>29884.49169954663</v>
      </c>
      <c r="L324" s="18">
        <f t="shared" si="84"/>
        <v>1040.8292310827235</v>
      </c>
      <c r="M324" s="18">
        <f t="shared" si="85"/>
        <v>1630.5100048313323</v>
      </c>
      <c r="N324" s="18">
        <f t="shared" si="86"/>
        <v>0</v>
      </c>
      <c r="O324" s="18">
        <f t="shared" si="87"/>
        <v>0</v>
      </c>
      <c r="P324" s="18">
        <f t="shared" si="88"/>
        <v>0</v>
      </c>
      <c r="Q324" s="18">
        <f t="shared" si="89"/>
        <v>0</v>
      </c>
      <c r="R324" s="18">
        <f t="shared" si="90"/>
        <v>0</v>
      </c>
      <c r="S324" s="18">
        <f t="shared" si="91"/>
        <v>0</v>
      </c>
      <c r="T324" s="18">
        <f t="shared" si="92"/>
        <v>0</v>
      </c>
      <c r="U324" s="18">
        <f t="shared" si="93"/>
        <v>0</v>
      </c>
      <c r="V324" s="18">
        <f t="shared" si="94"/>
        <v>0</v>
      </c>
      <c r="W324" s="18">
        <f t="shared" si="95"/>
        <v>0</v>
      </c>
      <c r="X324" s="18">
        <f t="shared" si="96"/>
        <v>0</v>
      </c>
      <c r="Y324" s="18">
        <f t="shared" si="97"/>
        <v>0</v>
      </c>
      <c r="Z324" s="18">
        <f t="shared" si="98"/>
        <v>0</v>
      </c>
      <c r="AA324" s="18">
        <f t="shared" si="99"/>
        <v>0</v>
      </c>
      <c r="AB324" s="18">
        <f t="shared" si="100"/>
        <v>0</v>
      </c>
      <c r="AC324" s="18">
        <f t="shared" si="101"/>
        <v>0</v>
      </c>
      <c r="AD324" s="18">
        <f t="shared" si="102"/>
        <v>0</v>
      </c>
      <c r="AE324" s="18">
        <f t="shared" si="103"/>
        <v>0</v>
      </c>
      <c r="AF324" s="18">
        <f t="shared" si="104"/>
        <v>0</v>
      </c>
      <c r="AG324" s="18">
        <f t="shared" si="105"/>
        <v>0</v>
      </c>
      <c r="AH324" s="20">
        <f t="shared" si="114"/>
        <v>319999.99999999988</v>
      </c>
      <c r="AI324" s="15" t="str">
        <f t="shared" si="115"/>
        <v>ok</v>
      </c>
    </row>
    <row r="325" spans="1:35" x14ac:dyDescent="0.3">
      <c r="B325" s="2" t="s">
        <v>722</v>
      </c>
      <c r="E325" s="2" t="s">
        <v>723</v>
      </c>
      <c r="F325" s="43">
        <v>-632124</v>
      </c>
      <c r="G325" s="18">
        <f t="shared" si="79"/>
        <v>-485915.0398447343</v>
      </c>
      <c r="H325" s="18">
        <f t="shared" si="80"/>
        <v>-40784.007897324664</v>
      </c>
      <c r="I325" s="18">
        <f t="shared" si="81"/>
        <v>-14692.321472260461</v>
      </c>
      <c r="J325" s="18">
        <f t="shared" si="82"/>
        <v>-23734.071278234085</v>
      </c>
      <c r="K325" s="18">
        <f t="shared" si="83"/>
        <v>-66998.559507446233</v>
      </c>
      <c r="L325" s="18">
        <f t="shared" si="84"/>
        <v>0</v>
      </c>
      <c r="M325" s="18">
        <f t="shared" si="85"/>
        <v>0</v>
      </c>
      <c r="N325" s="18">
        <f t="shared" si="86"/>
        <v>0</v>
      </c>
      <c r="O325" s="18">
        <f t="shared" si="87"/>
        <v>0</v>
      </c>
      <c r="P325" s="18">
        <f t="shared" si="88"/>
        <v>0</v>
      </c>
      <c r="Q325" s="18">
        <f t="shared" si="89"/>
        <v>0</v>
      </c>
      <c r="R325" s="18">
        <f t="shared" si="90"/>
        <v>0</v>
      </c>
      <c r="S325" s="18">
        <f t="shared" si="91"/>
        <v>0</v>
      </c>
      <c r="T325" s="18">
        <f t="shared" si="92"/>
        <v>0</v>
      </c>
      <c r="U325" s="18">
        <f t="shared" si="93"/>
        <v>0</v>
      </c>
      <c r="V325" s="18">
        <f t="shared" si="94"/>
        <v>0</v>
      </c>
      <c r="W325" s="18">
        <f t="shared" si="95"/>
        <v>0</v>
      </c>
      <c r="X325" s="18">
        <f t="shared" si="96"/>
        <v>0</v>
      </c>
      <c r="Y325" s="18">
        <f t="shared" si="97"/>
        <v>0</v>
      </c>
      <c r="Z325" s="18">
        <f t="shared" si="98"/>
        <v>0</v>
      </c>
      <c r="AA325" s="18">
        <f t="shared" si="99"/>
        <v>0</v>
      </c>
      <c r="AB325" s="18">
        <f t="shared" si="100"/>
        <v>0</v>
      </c>
      <c r="AC325" s="18">
        <f t="shared" si="101"/>
        <v>0</v>
      </c>
      <c r="AD325" s="18">
        <f t="shared" si="102"/>
        <v>0</v>
      </c>
      <c r="AE325" s="18">
        <f t="shared" si="103"/>
        <v>0</v>
      </c>
      <c r="AF325" s="18">
        <f t="shared" si="104"/>
        <v>0</v>
      </c>
      <c r="AG325" s="18">
        <f t="shared" si="105"/>
        <v>0</v>
      </c>
      <c r="AH325" s="20">
        <f t="shared" si="114"/>
        <v>-632123.99999999977</v>
      </c>
      <c r="AI325" s="15" t="str">
        <f t="shared" si="115"/>
        <v>ok</v>
      </c>
    </row>
    <row r="326" spans="1:35" x14ac:dyDescent="0.3">
      <c r="B326" s="2" t="s">
        <v>724</v>
      </c>
      <c r="E326" s="2" t="s">
        <v>597</v>
      </c>
      <c r="F326" s="43">
        <v>1060469</v>
      </c>
      <c r="G326" s="18">
        <f t="shared" si="79"/>
        <v>806563.73679360305</v>
      </c>
      <c r="H326" s="18">
        <f t="shared" si="80"/>
        <v>69098.918966116806</v>
      </c>
      <c r="I326" s="18">
        <f t="shared" si="81"/>
        <v>25450.275000325266</v>
      </c>
      <c r="J326" s="18">
        <f t="shared" si="82"/>
        <v>40200.078999900557</v>
      </c>
      <c r="K326" s="18">
        <f t="shared" si="83"/>
        <v>104730.02484315002</v>
      </c>
      <c r="L326" s="18">
        <f t="shared" si="84"/>
        <v>7152.8954035253946</v>
      </c>
      <c r="M326" s="18">
        <f t="shared" si="85"/>
        <v>7273.0699933788128</v>
      </c>
      <c r="N326" s="18">
        <f t="shared" si="86"/>
        <v>0</v>
      </c>
      <c r="O326" s="18">
        <f t="shared" si="87"/>
        <v>0</v>
      </c>
      <c r="P326" s="18">
        <f t="shared" si="88"/>
        <v>0</v>
      </c>
      <c r="Q326" s="18">
        <f t="shared" si="89"/>
        <v>0</v>
      </c>
      <c r="R326" s="18">
        <f t="shared" si="90"/>
        <v>0</v>
      </c>
      <c r="S326" s="18">
        <f t="shared" si="91"/>
        <v>0</v>
      </c>
      <c r="T326" s="18">
        <f t="shared" si="92"/>
        <v>0</v>
      </c>
      <c r="U326" s="18">
        <f t="shared" si="93"/>
        <v>0</v>
      </c>
      <c r="V326" s="18">
        <f t="shared" si="94"/>
        <v>0</v>
      </c>
      <c r="W326" s="18">
        <f t="shared" si="95"/>
        <v>0</v>
      </c>
      <c r="X326" s="18">
        <f t="shared" si="96"/>
        <v>0</v>
      </c>
      <c r="Y326" s="18">
        <f t="shared" si="97"/>
        <v>0</v>
      </c>
      <c r="Z326" s="18">
        <f t="shared" si="98"/>
        <v>0</v>
      </c>
      <c r="AA326" s="18">
        <f t="shared" si="99"/>
        <v>0</v>
      </c>
      <c r="AB326" s="18">
        <f t="shared" si="100"/>
        <v>0</v>
      </c>
      <c r="AC326" s="18">
        <f t="shared" si="101"/>
        <v>0</v>
      </c>
      <c r="AD326" s="18">
        <f t="shared" si="102"/>
        <v>0</v>
      </c>
      <c r="AE326" s="18">
        <f t="shared" si="103"/>
        <v>0</v>
      </c>
      <c r="AF326" s="18">
        <f t="shared" si="104"/>
        <v>0</v>
      </c>
      <c r="AG326" s="18">
        <f t="shared" si="105"/>
        <v>0</v>
      </c>
      <c r="AH326" s="20">
        <f t="shared" si="114"/>
        <v>1060469</v>
      </c>
      <c r="AI326" s="15" t="str">
        <f t="shared" si="115"/>
        <v>ok</v>
      </c>
    </row>
    <row r="327" spans="1:35" x14ac:dyDescent="0.3">
      <c r="B327" s="2" t="s">
        <v>725</v>
      </c>
      <c r="E327" s="2" t="s">
        <v>723</v>
      </c>
      <c r="F327" s="43">
        <f>-6088203</f>
        <v>-6088203</v>
      </c>
      <c r="G327" s="18">
        <f t="shared" si="79"/>
        <v>-4680014.369534824</v>
      </c>
      <c r="H327" s="18">
        <f t="shared" si="80"/>
        <v>-392804.76493934059</v>
      </c>
      <c r="I327" s="18">
        <f t="shared" si="81"/>
        <v>-141506.78611218772</v>
      </c>
      <c r="J327" s="18">
        <f t="shared" si="82"/>
        <v>-228590.97891926044</v>
      </c>
      <c r="K327" s="18">
        <f t="shared" si="83"/>
        <v>-645286.10049438511</v>
      </c>
      <c r="L327" s="18">
        <f t="shared" si="84"/>
        <v>0</v>
      </c>
      <c r="M327" s="18">
        <f t="shared" si="85"/>
        <v>0</v>
      </c>
      <c r="N327" s="18">
        <f t="shared" si="86"/>
        <v>0</v>
      </c>
      <c r="O327" s="18">
        <f t="shared" si="87"/>
        <v>0</v>
      </c>
      <c r="P327" s="18">
        <f t="shared" si="88"/>
        <v>0</v>
      </c>
      <c r="Q327" s="18">
        <f t="shared" si="89"/>
        <v>0</v>
      </c>
      <c r="R327" s="18">
        <f t="shared" si="90"/>
        <v>0</v>
      </c>
      <c r="S327" s="18">
        <f t="shared" si="91"/>
        <v>0</v>
      </c>
      <c r="T327" s="18">
        <f t="shared" si="92"/>
        <v>0</v>
      </c>
      <c r="U327" s="18">
        <f t="shared" si="93"/>
        <v>0</v>
      </c>
      <c r="V327" s="18">
        <f t="shared" si="94"/>
        <v>0</v>
      </c>
      <c r="W327" s="18">
        <f t="shared" si="95"/>
        <v>0</v>
      </c>
      <c r="X327" s="18">
        <f t="shared" si="96"/>
        <v>0</v>
      </c>
      <c r="Y327" s="18">
        <f t="shared" si="97"/>
        <v>0</v>
      </c>
      <c r="Z327" s="18">
        <f t="shared" si="98"/>
        <v>0</v>
      </c>
      <c r="AA327" s="18">
        <f t="shared" si="99"/>
        <v>0</v>
      </c>
      <c r="AB327" s="18">
        <f t="shared" si="100"/>
        <v>0</v>
      </c>
      <c r="AC327" s="18">
        <f t="shared" si="101"/>
        <v>0</v>
      </c>
      <c r="AD327" s="18">
        <f t="shared" si="102"/>
        <v>0</v>
      </c>
      <c r="AE327" s="18">
        <f t="shared" si="103"/>
        <v>0</v>
      </c>
      <c r="AF327" s="18">
        <f t="shared" si="104"/>
        <v>0</v>
      </c>
      <c r="AG327" s="18">
        <f t="shared" si="105"/>
        <v>0</v>
      </c>
      <c r="AH327" s="20">
        <f t="shared" ref="AH327" si="116">SUM(G327:AG327)</f>
        <v>-6088202.9999999972</v>
      </c>
      <c r="AI327" s="15" t="str">
        <f t="shared" ref="AI327" si="117">IF(ABS(F327-AH327)&lt;0.01,"ok","err")</f>
        <v>ok</v>
      </c>
    </row>
    <row r="328" spans="1:35" x14ac:dyDescent="0.3">
      <c r="B328" s="2" t="s">
        <v>726</v>
      </c>
      <c r="E328" s="2" t="s">
        <v>723</v>
      </c>
      <c r="F328" s="43">
        <v>9166083</v>
      </c>
      <c r="G328" s="18">
        <f t="shared" si="79"/>
        <v>7045987.1578442557</v>
      </c>
      <c r="H328" s="18">
        <f t="shared" si="80"/>
        <v>591386.50242600089</v>
      </c>
      <c r="I328" s="18">
        <f t="shared" si="81"/>
        <v>213045.28554116216</v>
      </c>
      <c r="J328" s="18">
        <f t="shared" si="82"/>
        <v>344154.73429929843</v>
      </c>
      <c r="K328" s="18">
        <f t="shared" si="83"/>
        <v>971509.31988928013</v>
      </c>
      <c r="L328" s="18">
        <f t="shared" si="84"/>
        <v>0</v>
      </c>
      <c r="M328" s="18">
        <f t="shared" si="85"/>
        <v>0</v>
      </c>
      <c r="N328" s="18">
        <f t="shared" si="86"/>
        <v>0</v>
      </c>
      <c r="O328" s="18">
        <f t="shared" si="87"/>
        <v>0</v>
      </c>
      <c r="P328" s="18">
        <f t="shared" si="88"/>
        <v>0</v>
      </c>
      <c r="Q328" s="18">
        <f t="shared" si="89"/>
        <v>0</v>
      </c>
      <c r="R328" s="18">
        <f t="shared" si="90"/>
        <v>0</v>
      </c>
      <c r="S328" s="18">
        <f t="shared" si="91"/>
        <v>0</v>
      </c>
      <c r="T328" s="18">
        <f t="shared" si="92"/>
        <v>0</v>
      </c>
      <c r="U328" s="18">
        <f t="shared" si="93"/>
        <v>0</v>
      </c>
      <c r="V328" s="18">
        <f t="shared" si="94"/>
        <v>0</v>
      </c>
      <c r="W328" s="18">
        <f t="shared" si="95"/>
        <v>0</v>
      </c>
      <c r="X328" s="18">
        <f t="shared" si="96"/>
        <v>0</v>
      </c>
      <c r="Y328" s="18">
        <f t="shared" si="97"/>
        <v>0</v>
      </c>
      <c r="Z328" s="18">
        <f t="shared" si="98"/>
        <v>0</v>
      </c>
      <c r="AA328" s="18">
        <f t="shared" si="99"/>
        <v>0</v>
      </c>
      <c r="AB328" s="18">
        <f t="shared" si="100"/>
        <v>0</v>
      </c>
      <c r="AC328" s="18">
        <f t="shared" si="101"/>
        <v>0</v>
      </c>
      <c r="AD328" s="18">
        <f t="shared" si="102"/>
        <v>0</v>
      </c>
      <c r="AE328" s="18">
        <f t="shared" si="103"/>
        <v>0</v>
      </c>
      <c r="AF328" s="18">
        <f t="shared" si="104"/>
        <v>0</v>
      </c>
      <c r="AG328" s="18">
        <f t="shared" si="105"/>
        <v>0</v>
      </c>
      <c r="AH328" s="20">
        <f t="shared" si="114"/>
        <v>9166082.9999999981</v>
      </c>
      <c r="AI328" s="15" t="str">
        <f t="shared" si="115"/>
        <v>ok</v>
      </c>
    </row>
    <row r="329" spans="1:35" x14ac:dyDescent="0.3">
      <c r="B329" s="2" t="s">
        <v>727</v>
      </c>
      <c r="E329" s="2" t="s">
        <v>723</v>
      </c>
      <c r="F329" s="43">
        <v>3290936</v>
      </c>
      <c r="G329" s="18">
        <f t="shared" si="79"/>
        <v>2529749.3807646451</v>
      </c>
      <c r="H329" s="18">
        <f t="shared" si="80"/>
        <v>212327.89739606477</v>
      </c>
      <c r="I329" s="18">
        <f t="shared" si="81"/>
        <v>76490.513976110626</v>
      </c>
      <c r="J329" s="18">
        <f t="shared" si="82"/>
        <v>123563.2717569758</v>
      </c>
      <c r="K329" s="18">
        <f t="shared" si="83"/>
        <v>348804.93610620237</v>
      </c>
      <c r="L329" s="18">
        <f t="shared" si="84"/>
        <v>0</v>
      </c>
      <c r="M329" s="18">
        <f t="shared" si="85"/>
        <v>0</v>
      </c>
      <c r="N329" s="18">
        <f t="shared" si="86"/>
        <v>0</v>
      </c>
      <c r="O329" s="18">
        <f t="shared" si="87"/>
        <v>0</v>
      </c>
      <c r="P329" s="18">
        <f t="shared" si="88"/>
        <v>0</v>
      </c>
      <c r="Q329" s="18">
        <f t="shared" si="89"/>
        <v>0</v>
      </c>
      <c r="R329" s="18">
        <f t="shared" si="90"/>
        <v>0</v>
      </c>
      <c r="S329" s="18">
        <f t="shared" si="91"/>
        <v>0</v>
      </c>
      <c r="T329" s="18">
        <f t="shared" si="92"/>
        <v>0</v>
      </c>
      <c r="U329" s="18">
        <f t="shared" si="93"/>
        <v>0</v>
      </c>
      <c r="V329" s="18">
        <f t="shared" si="94"/>
        <v>0</v>
      </c>
      <c r="W329" s="18">
        <f t="shared" si="95"/>
        <v>0</v>
      </c>
      <c r="X329" s="18">
        <f t="shared" si="96"/>
        <v>0</v>
      </c>
      <c r="Y329" s="18">
        <f t="shared" si="97"/>
        <v>0</v>
      </c>
      <c r="Z329" s="18">
        <f t="shared" si="98"/>
        <v>0</v>
      </c>
      <c r="AA329" s="18">
        <f t="shared" si="99"/>
        <v>0</v>
      </c>
      <c r="AB329" s="18">
        <f t="shared" si="100"/>
        <v>0</v>
      </c>
      <c r="AC329" s="18">
        <f t="shared" si="101"/>
        <v>0</v>
      </c>
      <c r="AD329" s="18">
        <f t="shared" si="102"/>
        <v>0</v>
      </c>
      <c r="AE329" s="18">
        <f t="shared" si="103"/>
        <v>0</v>
      </c>
      <c r="AF329" s="18">
        <f t="shared" si="104"/>
        <v>0</v>
      </c>
      <c r="AG329" s="18">
        <f t="shared" si="105"/>
        <v>0</v>
      </c>
      <c r="AH329" s="20">
        <f t="shared" ref="AH329" si="118">SUM(G329:AG329)</f>
        <v>3290935.9999999986</v>
      </c>
      <c r="AI329" s="15" t="str">
        <f t="shared" ref="AI329" si="119">IF(ABS(F329-AH329)&lt;0.01,"ok","err")</f>
        <v>ok</v>
      </c>
    </row>
    <row r="330" spans="1:35" x14ac:dyDescent="0.3">
      <c r="B330" s="2" t="s">
        <v>728</v>
      </c>
      <c r="E330" s="2" t="s">
        <v>597</v>
      </c>
      <c r="F330" s="19">
        <v>1538092</v>
      </c>
      <c r="G330" s="18">
        <f t="shared" si="79"/>
        <v>1169830.7362613585</v>
      </c>
      <c r="H330" s="18">
        <f t="shared" si="80"/>
        <v>100220.27468076156</v>
      </c>
      <c r="I330" s="18">
        <f t="shared" si="81"/>
        <v>36912.7851693923</v>
      </c>
      <c r="J330" s="18">
        <f t="shared" si="82"/>
        <v>58305.730680590423</v>
      </c>
      <c r="K330" s="18">
        <f t="shared" si="83"/>
        <v>151899.21946898053</v>
      </c>
      <c r="L330" s="18">
        <f t="shared" si="84"/>
        <v>10374.476950291975</v>
      </c>
      <c r="M330" s="18">
        <f t="shared" si="85"/>
        <v>10548.77678862466</v>
      </c>
      <c r="N330" s="18">
        <f t="shared" si="86"/>
        <v>0</v>
      </c>
      <c r="O330" s="18">
        <f t="shared" si="87"/>
        <v>0</v>
      </c>
      <c r="P330" s="18">
        <f t="shared" si="88"/>
        <v>0</v>
      </c>
      <c r="Q330" s="18">
        <f t="shared" si="89"/>
        <v>0</v>
      </c>
      <c r="R330" s="18">
        <f t="shared" si="90"/>
        <v>0</v>
      </c>
      <c r="S330" s="18">
        <f t="shared" si="91"/>
        <v>0</v>
      </c>
      <c r="T330" s="18">
        <f t="shared" si="92"/>
        <v>0</v>
      </c>
      <c r="U330" s="18">
        <f t="shared" si="93"/>
        <v>0</v>
      </c>
      <c r="V330" s="18">
        <f t="shared" si="94"/>
        <v>0</v>
      </c>
      <c r="W330" s="18">
        <f t="shared" si="95"/>
        <v>0</v>
      </c>
      <c r="X330" s="18">
        <f t="shared" si="96"/>
        <v>0</v>
      </c>
      <c r="Y330" s="18">
        <f t="shared" si="97"/>
        <v>0</v>
      </c>
      <c r="Z330" s="18">
        <f t="shared" si="98"/>
        <v>0</v>
      </c>
      <c r="AA330" s="18">
        <f t="shared" si="99"/>
        <v>0</v>
      </c>
      <c r="AB330" s="18">
        <f t="shared" si="100"/>
        <v>0</v>
      </c>
      <c r="AC330" s="18">
        <f t="shared" si="101"/>
        <v>0</v>
      </c>
      <c r="AD330" s="18">
        <f t="shared" si="102"/>
        <v>0</v>
      </c>
      <c r="AE330" s="18">
        <f t="shared" si="103"/>
        <v>0</v>
      </c>
      <c r="AF330" s="18">
        <f t="shared" si="104"/>
        <v>0</v>
      </c>
      <c r="AG330" s="18">
        <f t="shared" si="105"/>
        <v>0</v>
      </c>
      <c r="AH330" s="20">
        <f t="shared" ref="AH330" si="120">SUM(G330:AG330)</f>
        <v>1538092.0000000002</v>
      </c>
      <c r="AI330" s="15" t="str">
        <f t="shared" si="113"/>
        <v>ok</v>
      </c>
    </row>
    <row r="331" spans="1:35" x14ac:dyDescent="0.3">
      <c r="B331" s="2" t="s">
        <v>729</v>
      </c>
      <c r="E331" s="2" t="s">
        <v>597</v>
      </c>
      <c r="F331" s="19">
        <v>95329</v>
      </c>
      <c r="G331" s="18">
        <f t="shared" si="79"/>
        <v>72504.631879665874</v>
      </c>
      <c r="H331" s="18">
        <f t="shared" si="80"/>
        <v>6211.526075840924</v>
      </c>
      <c r="I331" s="18">
        <f t="shared" si="81"/>
        <v>2287.8078147555534</v>
      </c>
      <c r="J331" s="18">
        <f t="shared" si="82"/>
        <v>3613.7155645110984</v>
      </c>
      <c r="K331" s="18">
        <f t="shared" si="83"/>
        <v>9414.5218184337773</v>
      </c>
      <c r="L331" s="18">
        <f t="shared" si="84"/>
        <v>642.996981451294</v>
      </c>
      <c r="M331" s="18">
        <f t="shared" si="85"/>
        <v>653.7998653414752</v>
      </c>
      <c r="N331" s="18">
        <f t="shared" si="86"/>
        <v>0</v>
      </c>
      <c r="O331" s="18">
        <f t="shared" si="87"/>
        <v>0</v>
      </c>
      <c r="P331" s="18">
        <f t="shared" si="88"/>
        <v>0</v>
      </c>
      <c r="Q331" s="18">
        <f t="shared" si="89"/>
        <v>0</v>
      </c>
      <c r="R331" s="18">
        <f t="shared" si="90"/>
        <v>0</v>
      </c>
      <c r="S331" s="18">
        <f t="shared" si="91"/>
        <v>0</v>
      </c>
      <c r="T331" s="18">
        <f t="shared" si="92"/>
        <v>0</v>
      </c>
      <c r="U331" s="18">
        <f t="shared" si="93"/>
        <v>0</v>
      </c>
      <c r="V331" s="18">
        <f t="shared" si="94"/>
        <v>0</v>
      </c>
      <c r="W331" s="18">
        <f t="shared" si="95"/>
        <v>0</v>
      </c>
      <c r="X331" s="18">
        <f t="shared" si="96"/>
        <v>0</v>
      </c>
      <c r="Y331" s="18">
        <f t="shared" si="97"/>
        <v>0</v>
      </c>
      <c r="Z331" s="18">
        <f t="shared" si="98"/>
        <v>0</v>
      </c>
      <c r="AA331" s="18">
        <f t="shared" si="99"/>
        <v>0</v>
      </c>
      <c r="AB331" s="18">
        <f t="shared" si="100"/>
        <v>0</v>
      </c>
      <c r="AC331" s="18">
        <f t="shared" si="101"/>
        <v>0</v>
      </c>
      <c r="AD331" s="18">
        <f t="shared" si="102"/>
        <v>0</v>
      </c>
      <c r="AE331" s="18">
        <f t="shared" si="103"/>
        <v>0</v>
      </c>
      <c r="AF331" s="18">
        <f t="shared" si="104"/>
        <v>0</v>
      </c>
      <c r="AG331" s="18">
        <f t="shared" si="105"/>
        <v>0</v>
      </c>
      <c r="AH331" s="20">
        <f t="shared" ref="AH331" si="121">SUM(G331:AG331)</f>
        <v>95328.999999999985</v>
      </c>
      <c r="AI331" s="15" t="str">
        <f t="shared" ref="AI331" si="122">IF(ABS(F331-AH331)&lt;0.01,"ok","err")</f>
        <v>ok</v>
      </c>
    </row>
    <row r="332" spans="1:35" x14ac:dyDescent="0.3">
      <c r="B332" s="2" t="s">
        <v>730</v>
      </c>
      <c r="E332" s="2" t="s">
        <v>597</v>
      </c>
      <c r="F332" s="43">
        <v>178773</v>
      </c>
      <c r="G332" s="18">
        <f t="shared" si="79"/>
        <v>135969.8575986689</v>
      </c>
      <c r="H332" s="18">
        <f t="shared" si="80"/>
        <v>11648.639460775939</v>
      </c>
      <c r="I332" s="18">
        <f t="shared" si="81"/>
        <v>4290.3866238741057</v>
      </c>
      <c r="J332" s="18">
        <f t="shared" si="82"/>
        <v>6776.8965646796105</v>
      </c>
      <c r="K332" s="18">
        <f t="shared" si="83"/>
        <v>17655.302258985845</v>
      </c>
      <c r="L332" s="18">
        <f t="shared" si="84"/>
        <v>1205.8292792853401</v>
      </c>
      <c r="M332" s="18">
        <f t="shared" si="85"/>
        <v>1226.0882137302556</v>
      </c>
      <c r="N332" s="18">
        <f t="shared" si="86"/>
        <v>0</v>
      </c>
      <c r="O332" s="18">
        <f t="shared" si="87"/>
        <v>0</v>
      </c>
      <c r="P332" s="18">
        <f t="shared" si="88"/>
        <v>0</v>
      </c>
      <c r="Q332" s="18">
        <f t="shared" si="89"/>
        <v>0</v>
      </c>
      <c r="R332" s="18">
        <f t="shared" si="90"/>
        <v>0</v>
      </c>
      <c r="S332" s="18">
        <f t="shared" si="91"/>
        <v>0</v>
      </c>
      <c r="T332" s="18">
        <f t="shared" si="92"/>
        <v>0</v>
      </c>
      <c r="U332" s="18">
        <f t="shared" si="93"/>
        <v>0</v>
      </c>
      <c r="V332" s="18">
        <f t="shared" si="94"/>
        <v>0</v>
      </c>
      <c r="W332" s="18">
        <f t="shared" si="95"/>
        <v>0</v>
      </c>
      <c r="X332" s="18">
        <f t="shared" si="96"/>
        <v>0</v>
      </c>
      <c r="Y332" s="18">
        <f t="shared" si="97"/>
        <v>0</v>
      </c>
      <c r="Z332" s="18">
        <f t="shared" si="98"/>
        <v>0</v>
      </c>
      <c r="AA332" s="18">
        <f t="shared" si="99"/>
        <v>0</v>
      </c>
      <c r="AB332" s="18">
        <f t="shared" si="100"/>
        <v>0</v>
      </c>
      <c r="AC332" s="18">
        <f t="shared" si="101"/>
        <v>0</v>
      </c>
      <c r="AD332" s="18">
        <f t="shared" si="102"/>
        <v>0</v>
      </c>
      <c r="AE332" s="18">
        <f t="shared" si="103"/>
        <v>0</v>
      </c>
      <c r="AF332" s="18">
        <f t="shared" si="104"/>
        <v>0</v>
      </c>
      <c r="AG332" s="18">
        <f t="shared" si="105"/>
        <v>0</v>
      </c>
      <c r="AH332" s="20">
        <f t="shared" ref="AH332:AH335" si="123">SUM(G332:AG332)</f>
        <v>178772.99999999997</v>
      </c>
      <c r="AI332" s="15" t="str">
        <f t="shared" ref="AI332:AI335" si="124">IF(ABS(F332-AH332)&lt;0.01,"ok","err")</f>
        <v>ok</v>
      </c>
    </row>
    <row r="333" spans="1:35" x14ac:dyDescent="0.3">
      <c r="A333" s="2" t="s">
        <v>731</v>
      </c>
      <c r="B333" s="2" t="s">
        <v>732</v>
      </c>
      <c r="E333" s="2" t="s">
        <v>577</v>
      </c>
      <c r="F333" s="19">
        <v>132899</v>
      </c>
      <c r="G333" s="18">
        <f t="shared" si="79"/>
        <v>104214.1591960478</v>
      </c>
      <c r="H333" s="18">
        <f t="shared" si="80"/>
        <v>7814.027472947083</v>
      </c>
      <c r="I333" s="18">
        <f t="shared" si="81"/>
        <v>2804.2643733146369</v>
      </c>
      <c r="J333" s="18">
        <f t="shared" si="82"/>
        <v>4545.8071592786237</v>
      </c>
      <c r="K333" s="18">
        <f t="shared" si="83"/>
        <v>12411.309569931398</v>
      </c>
      <c r="L333" s="18">
        <f t="shared" si="84"/>
        <v>432.2661374426965</v>
      </c>
      <c r="M333" s="18">
        <f t="shared" si="85"/>
        <v>677.16609103774761</v>
      </c>
      <c r="N333" s="18">
        <f t="shared" si="86"/>
        <v>0</v>
      </c>
      <c r="O333" s="18">
        <f t="shared" si="87"/>
        <v>0</v>
      </c>
      <c r="P333" s="18">
        <f t="shared" si="88"/>
        <v>0</v>
      </c>
      <c r="Q333" s="18">
        <f t="shared" si="89"/>
        <v>0</v>
      </c>
      <c r="R333" s="18">
        <f t="shared" si="90"/>
        <v>0</v>
      </c>
      <c r="S333" s="18">
        <f t="shared" si="91"/>
        <v>0</v>
      </c>
      <c r="T333" s="18">
        <f t="shared" si="92"/>
        <v>0</v>
      </c>
      <c r="U333" s="18">
        <f t="shared" si="93"/>
        <v>0</v>
      </c>
      <c r="V333" s="18">
        <f t="shared" si="94"/>
        <v>0</v>
      </c>
      <c r="W333" s="18">
        <f t="shared" si="95"/>
        <v>0</v>
      </c>
      <c r="X333" s="18">
        <f t="shared" si="96"/>
        <v>0</v>
      </c>
      <c r="Y333" s="18">
        <f t="shared" si="97"/>
        <v>0</v>
      </c>
      <c r="Z333" s="18">
        <f t="shared" si="98"/>
        <v>0</v>
      </c>
      <c r="AA333" s="18">
        <f t="shared" si="99"/>
        <v>0</v>
      </c>
      <c r="AB333" s="18">
        <f t="shared" si="100"/>
        <v>0</v>
      </c>
      <c r="AC333" s="18">
        <f t="shared" si="101"/>
        <v>0</v>
      </c>
      <c r="AD333" s="18">
        <f t="shared" si="102"/>
        <v>0</v>
      </c>
      <c r="AE333" s="18">
        <f t="shared" si="103"/>
        <v>0</v>
      </c>
      <c r="AF333" s="18">
        <f t="shared" si="104"/>
        <v>0</v>
      </c>
      <c r="AG333" s="18">
        <f t="shared" si="105"/>
        <v>0</v>
      </c>
      <c r="AH333" s="20">
        <f t="shared" si="123"/>
        <v>132898.99999999997</v>
      </c>
      <c r="AI333" s="15" t="str">
        <f t="shared" si="124"/>
        <v>ok</v>
      </c>
    </row>
    <row r="334" spans="1:35" x14ac:dyDescent="0.3">
      <c r="B334" s="2" t="s">
        <v>886</v>
      </c>
      <c r="F334" s="95">
        <f>-2532298.24*EDR</f>
        <v>0</v>
      </c>
      <c r="G334" s="94">
        <f>0*EDR</f>
        <v>0</v>
      </c>
      <c r="H334" s="94">
        <f>-128426.24*EDR</f>
        <v>0</v>
      </c>
      <c r="I334" s="94">
        <f>-14904*EDR</f>
        <v>0</v>
      </c>
      <c r="J334" s="94">
        <f>-467200*EDR</f>
        <v>0</v>
      </c>
      <c r="K334" s="94">
        <f>(-1769792-151976)*EDR</f>
        <v>0</v>
      </c>
      <c r="L334" s="94">
        <f>0*EDR</f>
        <v>0</v>
      </c>
      <c r="M334" s="94">
        <f>0*EDR</f>
        <v>0</v>
      </c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20">
        <f t="shared" si="123"/>
        <v>0</v>
      </c>
      <c r="AI334" s="15" t="str">
        <f t="shared" si="124"/>
        <v>ok</v>
      </c>
    </row>
    <row r="335" spans="1:35" x14ac:dyDescent="0.3">
      <c r="B335" s="2" t="s">
        <v>885</v>
      </c>
      <c r="E335" s="2" t="s">
        <v>723</v>
      </c>
      <c r="F335" s="95">
        <f>-F334</f>
        <v>0</v>
      </c>
      <c r="G335" s="94">
        <f>IF(VLOOKUP($E335,$D$5:$AI$471,3,)=0,0,(VLOOKUP($E335,$D$5:$AI$471,4,)/VLOOKUP($E335,$D$5:$AI$471,3,))*$F335)</f>
        <v>0</v>
      </c>
      <c r="H335" s="94">
        <f>IF(VLOOKUP($E335,$D$5:$AI$471,3,)=0,0,(VLOOKUP($E335,$D$5:$AI$471,5,)/VLOOKUP($E335,$D$5:$AI$471,3,))*$F335)</f>
        <v>0</v>
      </c>
      <c r="I335" s="94">
        <f>IF(VLOOKUP($E335,$D$5:$AI$471,3,)=0,0,(VLOOKUP($E335,$D$5:$AI$471,6,)/VLOOKUP($E335,$D$5:$AI$471,3,))*$F335)</f>
        <v>0</v>
      </c>
      <c r="J335" s="94">
        <f>IF(VLOOKUP($E335,$D$5:$AI$471,3,)=0,0,(VLOOKUP($E335,$D$5:$AI$471,7,)/VLOOKUP($E335,$D$5:$AI$471,3,))*$F335)</f>
        <v>0</v>
      </c>
      <c r="K335" s="94">
        <f>IF(VLOOKUP($E335,$D$5:$AI$471,3,)=0,0,(VLOOKUP($E335,$D$5:$AI$471,8,)/VLOOKUP($E335,$D$5:$AI$471,3,))*$F335)</f>
        <v>0</v>
      </c>
      <c r="L335" s="94">
        <f>IF(VLOOKUP($E335,$D$5:$AI$471,3,)=0,0,(VLOOKUP($E335,$D$5:$AI$471,9,)/VLOOKUP($E335,$D$5:$AI$471,3,))*$F335)</f>
        <v>0</v>
      </c>
      <c r="M335" s="94">
        <f>IF(VLOOKUP($E335,$D$5:$AI$471,3,)=0,0,(VLOOKUP($E335,$D$5:$AI$471,10,)/VLOOKUP($E335,$D$5:$AI$471,3,))*$F335)</f>
        <v>0</v>
      </c>
      <c r="N335" s="18">
        <f>IF(VLOOKUP($E335,$D$5:$AI$471,3,)=0,0,(VLOOKUP($E335,$D$5:$AI$471,11,)/VLOOKUP($E335,$D$5:$AI$471,3,))*$F335)</f>
        <v>0</v>
      </c>
      <c r="O335" s="18">
        <f>IF(VLOOKUP($E335,$D$5:$AI$471,3,)=0,0,(VLOOKUP($E335,$D$5:$AI$471,12,)/VLOOKUP($E335,$D$5:$AI$471,3,))*$F335)</f>
        <v>0</v>
      </c>
      <c r="P335" s="18">
        <f>IF(VLOOKUP($E335,$D$5:$AI$471,3,)=0,0,(VLOOKUP($E335,$D$5:$AI$471,13,)/VLOOKUP($E335,$D$5:$AI$471,3,))*$F335)</f>
        <v>0</v>
      </c>
      <c r="Q335" s="18">
        <f>IF(VLOOKUP($E335,$D$5:$AI$471,3,)=0,0,(VLOOKUP($E335,$D$5:$AI$471,14,)/VLOOKUP($E335,$D$5:$AI$471,3,))*$F335)</f>
        <v>0</v>
      </c>
      <c r="R335" s="18">
        <f>IF(VLOOKUP($E335,$D$5:$AI$471,3,)=0,0,(VLOOKUP($E335,$D$5:$AI$471,15,)/VLOOKUP($E335,$D$5:$AI$471,3,))*$F335)</f>
        <v>0</v>
      </c>
      <c r="S335" s="18">
        <f>IF(VLOOKUP($E335,$D$5:$AI$471,3,)=0,0,(VLOOKUP($E335,$D$5:$AI$471,16,)/VLOOKUP($E335,$D$5:$AI$471,3,))*$F335)</f>
        <v>0</v>
      </c>
      <c r="T335" s="18">
        <f>IF(VLOOKUP($E335,$D$5:$AI$471,3,)=0,0,(VLOOKUP($E335,$D$5:$AI$471,17,)/VLOOKUP($E335,$D$5:$AI$471,3,))*$F335)</f>
        <v>0</v>
      </c>
      <c r="U335" s="18">
        <f>IF(VLOOKUP($E335,$D$5:$AI$471,3,)=0,0,(VLOOKUP($E335,$D$5:$AI$471,18,)/VLOOKUP($E335,$D$5:$AI$471,3,))*$F335)</f>
        <v>0</v>
      </c>
      <c r="V335" s="18">
        <f>IF(VLOOKUP($E335,$D$5:$AI$471,3,)=0,0,(VLOOKUP($E335,$D$5:$AI$471,19,)/VLOOKUP($E335,$D$5:$AI$471,3,))*$F335)</f>
        <v>0</v>
      </c>
      <c r="W335" s="18">
        <f>IF(VLOOKUP($E335,$D$5:$AI$471,3,)=0,0,(VLOOKUP($E335,$D$5:$AI$471,20,)/VLOOKUP($E335,$D$5:$AI$471,3,))*$F335)</f>
        <v>0</v>
      </c>
      <c r="X335" s="18">
        <f>IF(VLOOKUP($E335,$D$5:$AI$471,3,)=0,0,(VLOOKUP($E335,$D$5:$AI$471,21,)/VLOOKUP($E335,$D$5:$AI$471,3,))*$F335)</f>
        <v>0</v>
      </c>
      <c r="Y335" s="18">
        <f>IF(VLOOKUP($E335,$D$5:$AI$471,3,)=0,0,(VLOOKUP($E335,$D$5:$AI$471,22,)/VLOOKUP($E335,$D$5:$AI$471,3,))*$F335)</f>
        <v>0</v>
      </c>
      <c r="Z335" s="18">
        <f>IF(VLOOKUP($E335,$D$5:$AI$471,3,)=0,0,(VLOOKUP($E335,$D$5:$AI$471,23,)/VLOOKUP($E335,$D$5:$AI$471,3,))*$F335)</f>
        <v>0</v>
      </c>
      <c r="AA335" s="18">
        <f>IF(VLOOKUP($E335,$D$5:$AI$471,3,)=0,0,(VLOOKUP($E335,$D$5:$AI$471,24,)/VLOOKUP($E335,$D$5:$AI$471,3,))*$F335)</f>
        <v>0</v>
      </c>
      <c r="AB335" s="18">
        <f>IF(VLOOKUP($E335,$D$5:$AI$471,3,)=0,0,(VLOOKUP($E335,$D$5:$AI$471,25,)/VLOOKUP($E335,$D$5:$AI$471,3,))*$F335)</f>
        <v>0</v>
      </c>
      <c r="AC335" s="18">
        <f>IF(VLOOKUP($E335,$D$5:$AI$471,3,)=0,0,(VLOOKUP($E335,$D$5:$AI$471,26,)/VLOOKUP($E335,$D$5:$AI$471,3,))*$F335)</f>
        <v>0</v>
      </c>
      <c r="AD335" s="18">
        <f>IF(VLOOKUP($E335,$D$5:$AI$471,3,)=0,0,(VLOOKUP($E335,$D$5:$AI$471,27,)/VLOOKUP($E335,$D$5:$AI$471,3,))*$F335)</f>
        <v>0</v>
      </c>
      <c r="AE335" s="18">
        <f>IF(VLOOKUP($E335,$D$5:$AI$471,3,)=0,0,(VLOOKUP($E335,$D$5:$AI$471,28,)/VLOOKUP($E335,$D$5:$AI$471,3,))*$F335)</f>
        <v>0</v>
      </c>
      <c r="AF335" s="18">
        <f>IF(VLOOKUP($E335,$D$5:$AI$471,3,)=0,0,(VLOOKUP($E335,$D$5:$AI$471,29,)/VLOOKUP($E335,$D$5:$AI$471,3,))*$F335)</f>
        <v>0</v>
      </c>
      <c r="AG335" s="18">
        <f>IF(VLOOKUP($E335,$D$5:$AI$471,3,)=0,0,(VLOOKUP($E335,$D$5:$AI$471,30,)/VLOOKUP($E335,$D$5:$AI$471,3,))*$F335)</f>
        <v>0</v>
      </c>
      <c r="AH335" s="20">
        <f t="shared" si="123"/>
        <v>0</v>
      </c>
      <c r="AI335" s="15" t="str">
        <f t="shared" si="124"/>
        <v>ok</v>
      </c>
    </row>
    <row r="336" spans="1:35" x14ac:dyDescent="0.3">
      <c r="B336" s="2" t="s">
        <v>733</v>
      </c>
      <c r="F336" s="94">
        <f>SUM(G336:M336)</f>
        <v>-21903519.960000001</v>
      </c>
      <c r="G336" s="44">
        <f>-(8674*5.6)</f>
        <v>-48574.399999999994</v>
      </c>
      <c r="H336" s="94">
        <f>IF(B_Int,-354251.6,-260526)*5.6</f>
        <v>-1983808.9599999997</v>
      </c>
      <c r="I336" s="44">
        <f>-(256895*5.6)</f>
        <v>-1438612</v>
      </c>
      <c r="J336" s="44">
        <f>-(383796*5.6)</f>
        <v>-2149257.6</v>
      </c>
      <c r="K336" s="94">
        <f>-(2500786*IF(LSC_Int,7.15-0.93,5.6)+542587*4.2)</f>
        <v>-16283267</v>
      </c>
      <c r="L336" s="44">
        <v>0</v>
      </c>
      <c r="M336" s="44">
        <v>0</v>
      </c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20">
        <f>SUM(G336:AG336)</f>
        <v>-21903519.960000001</v>
      </c>
      <c r="AI336" s="15" t="str">
        <f>IF(ABS(F336-AH336)&lt;0.01,"ok","err")</f>
        <v>ok</v>
      </c>
    </row>
    <row r="337" spans="1:35" x14ac:dyDescent="0.3">
      <c r="B337" s="2" t="s">
        <v>734</v>
      </c>
      <c r="E337" s="2" t="s">
        <v>533</v>
      </c>
      <c r="F337" s="44">
        <f>-F336</f>
        <v>21903519.960000001</v>
      </c>
      <c r="G337" s="18">
        <f>IF(VLOOKUP($E337,$D$5:$AI$471,3,)=0,0,(VLOOKUP($E337,$D$5:$AI$471,4,)/VLOOKUP($E337,$D$5:$AI$471,3,))*$F337)</f>
        <v>18052368.581806995</v>
      </c>
      <c r="H337" s="18">
        <f>IF(VLOOKUP($E337,$D$5:$AI$471,3,)=0,0,(VLOOKUP($E337,$D$5:$AI$471,5,)/VLOOKUP($E337,$D$5:$AI$471,3,))*$F337)</f>
        <v>899984.13036075619</v>
      </c>
      <c r="I337" s="18">
        <f>IF(VLOOKUP($E337,$D$5:$AI$471,3,)=0,0,(VLOOKUP($E337,$D$5:$AI$471,6,)/VLOOKUP($E337,$D$5:$AI$471,3,))*$F337)</f>
        <v>220037.57738305343</v>
      </c>
      <c r="J337" s="18">
        <f>IF(VLOOKUP($E337,$D$5:$AI$471,3,)=0,0,(VLOOKUP($E337,$D$5:$AI$471,7,)/VLOOKUP($E337,$D$5:$AI$471,3,))*$F337)</f>
        <v>475691.88678564678</v>
      </c>
      <c r="K337" s="18">
        <f>IF(VLOOKUP($E337,$D$5:$AI$471,3,)=0,0,(VLOOKUP($E337,$D$5:$AI$471,8,)/VLOOKUP($E337,$D$5:$AI$471,3,))*$F337)</f>
        <v>2255437.7836635388</v>
      </c>
      <c r="L337" s="18">
        <f>IF(VLOOKUP($E337,$D$5:$AI$471,3,)=0,0,(VLOOKUP($E337,$D$5:$AI$471,9,)/VLOOKUP($E337,$D$5:$AI$471,3,))*$F337)</f>
        <v>0</v>
      </c>
      <c r="M337" s="18">
        <f>IF(VLOOKUP($E337,$D$5:$AI$471,3,)=0,0,(VLOOKUP($E337,$D$5:$AI$471,10,)/VLOOKUP($E337,$D$5:$AI$471,3,))*$F337)</f>
        <v>0</v>
      </c>
      <c r="N337" s="18">
        <f>IF(VLOOKUP($E337,$D$5:$AI$471,3,)=0,0,(VLOOKUP($E337,$D$5:$AI$471,11,)/VLOOKUP($E337,$D$5:$AI$471,3,))*$F337)</f>
        <v>0</v>
      </c>
      <c r="O337" s="18">
        <f>IF(VLOOKUP($E337,$D$5:$AI$471,3,)=0,0,(VLOOKUP($E337,$D$5:$AI$471,12,)/VLOOKUP($E337,$D$5:$AI$471,3,))*$F337)</f>
        <v>0</v>
      </c>
      <c r="P337" s="18">
        <f>IF(VLOOKUP($E337,$D$5:$AI$471,3,)=0,0,(VLOOKUP($E337,$D$5:$AI$471,13,)/VLOOKUP($E337,$D$5:$AI$471,3,))*$F337)</f>
        <v>0</v>
      </c>
      <c r="Q337" s="18">
        <f>IF(VLOOKUP($E337,$D$5:$AI$471,3,)=0,0,(VLOOKUP($E337,$D$5:$AI$471,14,)/VLOOKUP($E337,$D$5:$AI$471,3,))*$F337)</f>
        <v>0</v>
      </c>
      <c r="R337" s="18">
        <f>IF(VLOOKUP($E337,$D$5:$AI$471,3,)=0,0,(VLOOKUP($E337,$D$5:$AI$471,15,)/VLOOKUP($E337,$D$5:$AI$471,3,))*$F337)</f>
        <v>0</v>
      </c>
      <c r="S337" s="18">
        <f>IF(VLOOKUP($E337,$D$5:$AI$471,3,)=0,0,(VLOOKUP($E337,$D$5:$AI$471,16,)/VLOOKUP($E337,$D$5:$AI$471,3,))*$F337)</f>
        <v>0</v>
      </c>
      <c r="T337" s="18">
        <f>IF(VLOOKUP($E337,$D$5:$AI$471,3,)=0,0,(VLOOKUP($E337,$D$5:$AI$471,17,)/VLOOKUP($E337,$D$5:$AI$471,3,))*$F337)</f>
        <v>0</v>
      </c>
      <c r="U337" s="18">
        <f>IF(VLOOKUP($E337,$D$5:$AI$471,3,)=0,0,(VLOOKUP($E337,$D$5:$AI$471,18,)/VLOOKUP($E337,$D$5:$AI$471,3,))*$F337)</f>
        <v>0</v>
      </c>
      <c r="V337" s="18">
        <f>IF(VLOOKUP($E337,$D$5:$AI$471,3,)=0,0,(VLOOKUP($E337,$D$5:$AI$471,19,)/VLOOKUP($E337,$D$5:$AI$471,3,))*$F337)</f>
        <v>0</v>
      </c>
      <c r="W337" s="18">
        <f>IF(VLOOKUP($E337,$D$5:$AI$471,3,)=0,0,(VLOOKUP($E337,$D$5:$AI$471,20,)/VLOOKUP($E337,$D$5:$AI$471,3,))*$F337)</f>
        <v>0</v>
      </c>
      <c r="X337" s="18">
        <f>IF(VLOOKUP($E337,$D$5:$AI$471,3,)=0,0,(VLOOKUP($E337,$D$5:$AI$471,21,)/VLOOKUP($E337,$D$5:$AI$471,3,))*$F337)</f>
        <v>0</v>
      </c>
      <c r="Y337" s="18">
        <f>IF(VLOOKUP($E337,$D$5:$AI$471,3,)=0,0,(VLOOKUP($E337,$D$5:$AI$471,22,)/VLOOKUP($E337,$D$5:$AI$471,3,))*$F337)</f>
        <v>0</v>
      </c>
      <c r="Z337" s="18">
        <f>IF(VLOOKUP($E337,$D$5:$AI$471,3,)=0,0,(VLOOKUP($E337,$D$5:$AI$471,23,)/VLOOKUP($E337,$D$5:$AI$471,3,))*$F337)</f>
        <v>0</v>
      </c>
      <c r="AA337" s="18">
        <f>IF(VLOOKUP($E337,$D$5:$AI$471,3,)=0,0,(VLOOKUP($E337,$D$5:$AI$471,24,)/VLOOKUP($E337,$D$5:$AI$471,3,))*$F337)</f>
        <v>0</v>
      </c>
      <c r="AB337" s="18">
        <f>IF(VLOOKUP($E337,$D$5:$AI$471,3,)=0,0,(VLOOKUP($E337,$D$5:$AI$471,25,)/VLOOKUP($E337,$D$5:$AI$471,3,))*$F337)</f>
        <v>0</v>
      </c>
      <c r="AC337" s="18">
        <f>IF(VLOOKUP($E337,$D$5:$AI$471,3,)=0,0,(VLOOKUP($E337,$D$5:$AI$471,26,)/VLOOKUP($E337,$D$5:$AI$471,3,))*$F337)</f>
        <v>0</v>
      </c>
      <c r="AD337" s="18">
        <f>IF(VLOOKUP($E337,$D$5:$AI$471,3,)=0,0,(VLOOKUP($E337,$D$5:$AI$471,27,)/VLOOKUP($E337,$D$5:$AI$471,3,))*$F337)</f>
        <v>0</v>
      </c>
      <c r="AE337" s="18">
        <f>IF(VLOOKUP($E337,$D$5:$AI$471,3,)=0,0,(VLOOKUP($E337,$D$5:$AI$471,28,)/VLOOKUP($E337,$D$5:$AI$471,3,))*$F337)</f>
        <v>0</v>
      </c>
      <c r="AF337" s="18">
        <f>IF(VLOOKUP($E337,$D$5:$AI$471,3,)=0,0,(VLOOKUP($E337,$D$5:$AI$471,29,)/VLOOKUP($E337,$D$5:$AI$471,3,))*$F337)</f>
        <v>0</v>
      </c>
      <c r="AG337" s="18">
        <f>IF(VLOOKUP($E337,$D$5:$AI$471,3,)=0,0,(VLOOKUP($E337,$D$5:$AI$471,30,)/VLOOKUP($E337,$D$5:$AI$471,3,))*$F337)</f>
        <v>0</v>
      </c>
      <c r="AH337" s="20">
        <f>SUM(G337:AG337)</f>
        <v>21903519.959999986</v>
      </c>
      <c r="AI337" s="15" t="str">
        <f>IF(ABS(F337-AH337)&lt;0.01,"ok","err")</f>
        <v>ok</v>
      </c>
    </row>
    <row r="338" spans="1:35" x14ac:dyDescent="0.3">
      <c r="F338" s="193"/>
      <c r="G338" s="194"/>
      <c r="H338" s="194"/>
      <c r="I338" s="194"/>
      <c r="J338" s="194"/>
      <c r="K338" s="194"/>
      <c r="L338" s="194"/>
      <c r="M338" s="194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20"/>
      <c r="AI338" s="15"/>
    </row>
    <row r="339" spans="1:35" x14ac:dyDescent="0.3">
      <c r="A339" s="2" t="s">
        <v>735</v>
      </c>
      <c r="F339" s="19">
        <f t="shared" ref="F339:AG339" si="125">SUM(F307:F337)</f>
        <v>-561201603</v>
      </c>
      <c r="G339" s="19">
        <f t="shared" si="125"/>
        <v>-401058658.62612641</v>
      </c>
      <c r="H339" s="19">
        <f t="shared" si="125"/>
        <v>-43128022.009370632</v>
      </c>
      <c r="I339" s="19">
        <f t="shared" si="125"/>
        <v>-17418268.507067088</v>
      </c>
      <c r="J339" s="19">
        <f t="shared" si="125"/>
        <v>-21509936.701694369</v>
      </c>
      <c r="K339" s="19">
        <f t="shared" si="125"/>
        <v>-70523836.896473095</v>
      </c>
      <c r="L339" s="19">
        <f t="shared" si="125"/>
        <v>2681.4732853524597</v>
      </c>
      <c r="M339" s="19">
        <f t="shared" si="125"/>
        <v>-7565561.7325538546</v>
      </c>
      <c r="N339" s="19">
        <f t="shared" si="125"/>
        <v>0</v>
      </c>
      <c r="O339" s="19">
        <f t="shared" si="125"/>
        <v>0</v>
      </c>
      <c r="P339" s="19">
        <f t="shared" si="125"/>
        <v>0</v>
      </c>
      <c r="Q339" s="19">
        <f t="shared" si="125"/>
        <v>0</v>
      </c>
      <c r="R339" s="19">
        <f t="shared" si="125"/>
        <v>0</v>
      </c>
      <c r="S339" s="19">
        <f t="shared" si="125"/>
        <v>0</v>
      </c>
      <c r="T339" s="19">
        <f t="shared" si="125"/>
        <v>0</v>
      </c>
      <c r="U339" s="19">
        <f t="shared" si="125"/>
        <v>0</v>
      </c>
      <c r="V339" s="19">
        <f t="shared" si="125"/>
        <v>0</v>
      </c>
      <c r="W339" s="19">
        <f t="shared" si="125"/>
        <v>0</v>
      </c>
      <c r="X339" s="19">
        <f t="shared" si="125"/>
        <v>0</v>
      </c>
      <c r="Y339" s="19">
        <f t="shared" si="125"/>
        <v>0</v>
      </c>
      <c r="Z339" s="19">
        <f t="shared" si="125"/>
        <v>0</v>
      </c>
      <c r="AA339" s="19">
        <f t="shared" si="125"/>
        <v>0</v>
      </c>
      <c r="AB339" s="19">
        <f t="shared" si="125"/>
        <v>0</v>
      </c>
      <c r="AC339" s="19">
        <f t="shared" si="125"/>
        <v>0</v>
      </c>
      <c r="AD339" s="19">
        <f t="shared" si="125"/>
        <v>0</v>
      </c>
      <c r="AE339" s="19">
        <f t="shared" si="125"/>
        <v>0</v>
      </c>
      <c r="AF339" s="19">
        <f t="shared" si="125"/>
        <v>0</v>
      </c>
      <c r="AG339" s="19">
        <f t="shared" si="125"/>
        <v>0</v>
      </c>
      <c r="AH339" s="20">
        <f>SUM(G339:AG339)</f>
        <v>-561201603.00000012</v>
      </c>
      <c r="AI339" s="15" t="str">
        <f>IF(ABS(F339-AH339)&lt;0.01,"ok","err")</f>
        <v>ok</v>
      </c>
    </row>
    <row r="340" spans="1:35" x14ac:dyDescent="0.3">
      <c r="B340" s="101" t="s">
        <v>964</v>
      </c>
      <c r="AH340" s="20"/>
      <c r="AI340" s="15"/>
    </row>
    <row r="341" spans="1:35" x14ac:dyDescent="0.3">
      <c r="A341" s="2" t="s">
        <v>678</v>
      </c>
      <c r="D341" s="2" t="s">
        <v>498</v>
      </c>
      <c r="E341" s="20"/>
      <c r="F341" s="20">
        <f t="shared" ref="F341:M341" si="126">SUM(F300:F304)+F339</f>
        <v>440231983.47300005</v>
      </c>
      <c r="G341" s="20">
        <f t="shared" si="126"/>
        <v>333340189.87217152</v>
      </c>
      <c r="H341" s="20">
        <f t="shared" si="126"/>
        <v>29836734.521752931</v>
      </c>
      <c r="I341" s="20">
        <f t="shared" si="126"/>
        <v>11003914.460529715</v>
      </c>
      <c r="J341" s="20">
        <f t="shared" si="126"/>
        <v>21837197.13346485</v>
      </c>
      <c r="K341" s="20">
        <f t="shared" si="126"/>
        <v>31277500.070024237</v>
      </c>
      <c r="L341" s="20">
        <f t="shared" si="126"/>
        <v>12402822.454777271</v>
      </c>
      <c r="M341" s="20">
        <f t="shared" si="126"/>
        <v>533624.96027939674</v>
      </c>
      <c r="N341" s="20">
        <f t="shared" ref="N341:AG341" si="127">SUM(N300:N303)+N339</f>
        <v>0</v>
      </c>
      <c r="O341" s="20">
        <f t="shared" si="127"/>
        <v>0</v>
      </c>
      <c r="P341" s="20">
        <f t="shared" si="127"/>
        <v>0</v>
      </c>
      <c r="Q341" s="20">
        <f t="shared" si="127"/>
        <v>0</v>
      </c>
      <c r="R341" s="20">
        <f t="shared" si="127"/>
        <v>0</v>
      </c>
      <c r="S341" s="20">
        <f t="shared" si="127"/>
        <v>0</v>
      </c>
      <c r="T341" s="20">
        <f t="shared" si="127"/>
        <v>0</v>
      </c>
      <c r="U341" s="20">
        <f t="shared" si="127"/>
        <v>0</v>
      </c>
      <c r="V341" s="20">
        <f t="shared" si="127"/>
        <v>0</v>
      </c>
      <c r="W341" s="20">
        <f t="shared" si="127"/>
        <v>0</v>
      </c>
      <c r="X341" s="20">
        <f t="shared" si="127"/>
        <v>0</v>
      </c>
      <c r="Y341" s="20">
        <f t="shared" si="127"/>
        <v>0</v>
      </c>
      <c r="Z341" s="20">
        <f t="shared" si="127"/>
        <v>0</v>
      </c>
      <c r="AA341" s="20">
        <f t="shared" si="127"/>
        <v>0</v>
      </c>
      <c r="AB341" s="20">
        <f t="shared" si="127"/>
        <v>0</v>
      </c>
      <c r="AC341" s="20">
        <f t="shared" si="127"/>
        <v>0</v>
      </c>
      <c r="AD341" s="20">
        <f t="shared" si="127"/>
        <v>0</v>
      </c>
      <c r="AE341" s="20">
        <f t="shared" si="127"/>
        <v>0</v>
      </c>
      <c r="AF341" s="20">
        <f t="shared" si="127"/>
        <v>0</v>
      </c>
      <c r="AG341" s="20">
        <f t="shared" si="127"/>
        <v>0</v>
      </c>
      <c r="AH341" s="20">
        <f>SUM(G341:AG341)</f>
        <v>440231983.47299999</v>
      </c>
      <c r="AI341" s="15" t="str">
        <f>IF(ABS(F341-AH341)&lt;0.01,"ok","err")</f>
        <v>ok</v>
      </c>
    </row>
    <row r="343" spans="1:35" x14ac:dyDescent="0.3">
      <c r="A343" s="2" t="s">
        <v>736</v>
      </c>
      <c r="F343" s="20">
        <f t="shared" ref="F343:AH343" si="128">F293-F341</f>
        <v>36402669.236999989</v>
      </c>
      <c r="G343" s="20">
        <f t="shared" si="128"/>
        <v>38507844.21010828</v>
      </c>
      <c r="H343" s="20">
        <f t="shared" si="128"/>
        <v>584993.9596410282</v>
      </c>
      <c r="I343" s="20">
        <f t="shared" si="128"/>
        <v>666151.1166850552</v>
      </c>
      <c r="J343" s="20">
        <f t="shared" si="128"/>
        <v>-2013879.8967383914</v>
      </c>
      <c r="K343" s="20">
        <f t="shared" si="128"/>
        <v>-6347954.6159363948</v>
      </c>
      <c r="L343" s="20">
        <f t="shared" si="128"/>
        <v>113144.11565869488</v>
      </c>
      <c r="M343" s="20">
        <f t="shared" si="128"/>
        <v>4892370.3475816939</v>
      </c>
      <c r="N343" s="20">
        <f t="shared" si="128"/>
        <v>0</v>
      </c>
      <c r="O343" s="20">
        <f t="shared" si="128"/>
        <v>0</v>
      </c>
      <c r="P343" s="20">
        <f t="shared" si="128"/>
        <v>0</v>
      </c>
      <c r="Q343" s="20">
        <f t="shared" si="128"/>
        <v>0</v>
      </c>
      <c r="R343" s="20">
        <f t="shared" si="128"/>
        <v>0</v>
      </c>
      <c r="S343" s="20">
        <f t="shared" si="128"/>
        <v>0</v>
      </c>
      <c r="T343" s="20">
        <f t="shared" si="128"/>
        <v>0</v>
      </c>
      <c r="U343" s="20">
        <f t="shared" si="128"/>
        <v>0</v>
      </c>
      <c r="V343" s="20">
        <f t="shared" si="128"/>
        <v>0</v>
      </c>
      <c r="W343" s="20">
        <f t="shared" si="128"/>
        <v>0</v>
      </c>
      <c r="X343" s="20">
        <f t="shared" si="128"/>
        <v>0</v>
      </c>
      <c r="Y343" s="20">
        <f t="shared" si="128"/>
        <v>0</v>
      </c>
      <c r="Z343" s="20">
        <f t="shared" si="128"/>
        <v>0</v>
      </c>
      <c r="AA343" s="20">
        <f t="shared" si="128"/>
        <v>0</v>
      </c>
      <c r="AB343" s="20">
        <f t="shared" si="128"/>
        <v>0</v>
      </c>
      <c r="AC343" s="20">
        <f t="shared" si="128"/>
        <v>0</v>
      </c>
      <c r="AD343" s="20">
        <f t="shared" si="128"/>
        <v>0</v>
      </c>
      <c r="AE343" s="20">
        <f t="shared" si="128"/>
        <v>0</v>
      </c>
      <c r="AF343" s="20">
        <f t="shared" si="128"/>
        <v>0</v>
      </c>
      <c r="AG343" s="20">
        <f t="shared" si="128"/>
        <v>0</v>
      </c>
      <c r="AH343" s="20">
        <f t="shared" si="128"/>
        <v>36402669.236999869</v>
      </c>
      <c r="AI343" s="15" t="str">
        <f>IF(ABS(F343-AH343)&lt;0.01,"ok","err")</f>
        <v>ok</v>
      </c>
    </row>
    <row r="344" spans="1:35" x14ac:dyDescent="0.3">
      <c r="A344" s="3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15"/>
    </row>
    <row r="345" spans="1:35" x14ac:dyDescent="0.3">
      <c r="A345" s="3" t="s">
        <v>680</v>
      </c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15"/>
    </row>
    <row r="346" spans="1:35" x14ac:dyDescent="0.3">
      <c r="A346" s="21" t="s">
        <v>737</v>
      </c>
      <c r="F346" s="20">
        <f t="shared" ref="F346:AG346" si="129">F269</f>
        <v>-90904474</v>
      </c>
      <c r="G346" s="20">
        <f t="shared" si="129"/>
        <v>-71368515.402863726</v>
      </c>
      <c r="H346" s="20">
        <f t="shared" si="129"/>
        <v>-5323783.9671526821</v>
      </c>
      <c r="I346" s="20">
        <f t="shared" si="129"/>
        <v>-1896479.4609267763</v>
      </c>
      <c r="J346" s="20">
        <f t="shared" si="129"/>
        <v>-3091944.77468776</v>
      </c>
      <c r="K346" s="20">
        <f t="shared" si="129"/>
        <v>-8610973.6282446608</v>
      </c>
      <c r="L346" s="20">
        <f t="shared" si="129"/>
        <v>-177967.49812915199</v>
      </c>
      <c r="M346" s="20">
        <f t="shared" si="129"/>
        <v>-434809.26799520827</v>
      </c>
      <c r="N346" s="20">
        <f t="shared" si="129"/>
        <v>0</v>
      </c>
      <c r="O346" s="20">
        <f t="shared" si="129"/>
        <v>0</v>
      </c>
      <c r="P346" s="20">
        <f t="shared" si="129"/>
        <v>0</v>
      </c>
      <c r="Q346" s="20">
        <f t="shared" si="129"/>
        <v>0</v>
      </c>
      <c r="R346" s="20">
        <f t="shared" si="129"/>
        <v>0</v>
      </c>
      <c r="S346" s="20">
        <f t="shared" si="129"/>
        <v>0</v>
      </c>
      <c r="T346" s="20">
        <f t="shared" si="129"/>
        <v>0</v>
      </c>
      <c r="U346" s="20">
        <f t="shared" si="129"/>
        <v>0</v>
      </c>
      <c r="V346" s="20">
        <f t="shared" si="129"/>
        <v>0</v>
      </c>
      <c r="W346" s="20">
        <f t="shared" si="129"/>
        <v>0</v>
      </c>
      <c r="X346" s="20">
        <f t="shared" si="129"/>
        <v>0</v>
      </c>
      <c r="Y346" s="20">
        <f t="shared" si="129"/>
        <v>0</v>
      </c>
      <c r="Z346" s="20">
        <f t="shared" si="129"/>
        <v>0</v>
      </c>
      <c r="AA346" s="20">
        <f t="shared" si="129"/>
        <v>0</v>
      </c>
      <c r="AB346" s="20">
        <f t="shared" si="129"/>
        <v>0</v>
      </c>
      <c r="AC346" s="20">
        <f t="shared" si="129"/>
        <v>0</v>
      </c>
      <c r="AD346" s="20">
        <f t="shared" si="129"/>
        <v>0</v>
      </c>
      <c r="AE346" s="20">
        <f t="shared" si="129"/>
        <v>0</v>
      </c>
      <c r="AF346" s="20">
        <f t="shared" si="129"/>
        <v>0</v>
      </c>
      <c r="AG346" s="20">
        <f t="shared" si="129"/>
        <v>0</v>
      </c>
      <c r="AH346" s="20">
        <f t="shared" ref="AH346:AH351" si="130">SUM(G346:AG346)</f>
        <v>-90904473.99999997</v>
      </c>
      <c r="AI346" s="15" t="str">
        <f t="shared" ref="AI346:AI351" si="131">IF(ABS(F346-AH346)&lt;0.01,"ok","err")</f>
        <v>ok</v>
      </c>
    </row>
    <row r="347" spans="1:35" x14ac:dyDescent="0.3">
      <c r="A347" s="3"/>
      <c r="B347" s="2" t="s">
        <v>738</v>
      </c>
      <c r="E347" s="2" t="s">
        <v>706</v>
      </c>
      <c r="F347" s="20">
        <v>20196960</v>
      </c>
      <c r="G347" s="18">
        <f>IF(VLOOKUP($E347,$D$5:$AI$471,3,)=0,0,(VLOOKUP($E347,$D$5:$AI$471,4,)/VLOOKUP($E347,$D$5:$AI$471,3,))*$F347)</f>
        <v>15409900.085482398</v>
      </c>
      <c r="H347" s="18">
        <f>IF(VLOOKUP($E347,$D$5:$AI$471,3,)=0,0,(VLOOKUP($E347,$D$5:$AI$471,5,)/VLOOKUP($E347,$D$5:$AI$471,3,))*$F347)</f>
        <v>1293389.6571386575</v>
      </c>
      <c r="I347" s="18">
        <f>IF(VLOOKUP($E347,$D$5:$AI$471,3,)=0,0,(VLOOKUP($E347,$D$5:$AI$471,6,)/VLOOKUP($E347,$D$5:$AI$471,3,))*$F347)</f>
        <v>465939.90172369604</v>
      </c>
      <c r="J347" s="18">
        <f>IF(VLOOKUP($E347,$D$5:$AI$471,3,)=0,0,(VLOOKUP($E347,$D$5:$AI$471,7,)/VLOOKUP($E347,$D$5:$AI$471,3,))*$F347)</f>
        <v>752682.33544730477</v>
      </c>
      <c r="K347" s="18">
        <f>IF(VLOOKUP($E347,$D$5:$AI$471,3,)=0,0,(VLOOKUP($E347,$D$5:$AI$471,8,)/VLOOKUP($E347,$D$5:$AI$471,3,))*$F347)</f>
        <v>2124735.8554921285</v>
      </c>
      <c r="L347" s="18">
        <f>IF(VLOOKUP($E347,$D$5:$AI$471,3,)=0,0,(VLOOKUP($E347,$D$5:$AI$471,9,)/VLOOKUP($E347,$D$5:$AI$471,3,))*$F347)</f>
        <v>0</v>
      </c>
      <c r="M347" s="18">
        <f>IF(VLOOKUP($E347,$D$5:$AI$471,3,)=0,0,(VLOOKUP($E347,$D$5:$AI$471,10,)/VLOOKUP($E347,$D$5:$AI$471,3,))*$F347)</f>
        <v>150312.16471580957</v>
      </c>
      <c r="N347" s="18">
        <f>IF(VLOOKUP($E347,$D$5:$AI$471,3,)=0,0,(VLOOKUP($E347,$D$5:$AI$471,11,)/VLOOKUP($E347,$D$5:$AI$471,3,))*$F347)</f>
        <v>0</v>
      </c>
      <c r="O347" s="18">
        <f>IF(VLOOKUP($E347,$D$5:$AI$471,3,)=0,0,(VLOOKUP($E347,$D$5:$AI$471,12,)/VLOOKUP($E347,$D$5:$AI$471,3,))*$F347)</f>
        <v>0</v>
      </c>
      <c r="P347" s="18">
        <f>IF(VLOOKUP($E347,$D$5:$AI$471,3,)=0,0,(VLOOKUP($E347,$D$5:$AI$471,13,)/VLOOKUP($E347,$D$5:$AI$471,3,))*$F347)</f>
        <v>0</v>
      </c>
      <c r="Q347" s="18">
        <f>IF(VLOOKUP($E347,$D$5:$AI$471,3,)=0,0,(VLOOKUP($E347,$D$5:$AI$471,14,)/VLOOKUP($E347,$D$5:$AI$471,3,))*$F347)</f>
        <v>0</v>
      </c>
      <c r="R347" s="18">
        <f>IF(VLOOKUP($E347,$D$5:$AI$471,3,)=0,0,(VLOOKUP($E347,$D$5:$AI$471,15,)/VLOOKUP($E347,$D$5:$AI$471,3,))*$F347)</f>
        <v>0</v>
      </c>
      <c r="S347" s="18">
        <f>IF(VLOOKUP($E347,$D$5:$AI$471,3,)=0,0,(VLOOKUP($E347,$D$5:$AI$471,16,)/VLOOKUP($E347,$D$5:$AI$471,3,))*$F347)</f>
        <v>0</v>
      </c>
      <c r="T347" s="18">
        <f>IF(VLOOKUP($E347,$D$5:$AI$471,3,)=0,0,(VLOOKUP($E347,$D$5:$AI$471,17,)/VLOOKUP($E347,$D$5:$AI$471,3,))*$F347)</f>
        <v>0</v>
      </c>
      <c r="U347" s="18">
        <f>IF(VLOOKUP($E347,$D$5:$AI$471,3,)=0,0,(VLOOKUP($E347,$D$5:$AI$471,18,)/VLOOKUP($E347,$D$5:$AI$471,3,))*$F347)</f>
        <v>0</v>
      </c>
      <c r="V347" s="18">
        <f>IF(VLOOKUP($E347,$D$5:$AI$471,3,)=0,0,(VLOOKUP($E347,$D$5:$AI$471,19,)/VLOOKUP($E347,$D$5:$AI$471,3,))*$F347)</f>
        <v>0</v>
      </c>
      <c r="W347" s="18">
        <f>IF(VLOOKUP($E347,$D$5:$AI$471,3,)=0,0,(VLOOKUP($E347,$D$5:$AI$471,20,)/VLOOKUP($E347,$D$5:$AI$471,3,))*$F347)</f>
        <v>0</v>
      </c>
      <c r="X347" s="18">
        <f>IF(VLOOKUP($E347,$D$5:$AI$471,3,)=0,0,(VLOOKUP($E347,$D$5:$AI$471,21,)/VLOOKUP($E347,$D$5:$AI$471,3,))*$F347)</f>
        <v>0</v>
      </c>
      <c r="Y347" s="18">
        <f>IF(VLOOKUP($E347,$D$5:$AI$471,3,)=0,0,(VLOOKUP($E347,$D$5:$AI$471,22,)/VLOOKUP($E347,$D$5:$AI$471,3,))*$F347)</f>
        <v>0</v>
      </c>
      <c r="Z347" s="18">
        <f>IF(VLOOKUP($E347,$D$5:$AI$471,3,)=0,0,(VLOOKUP($E347,$D$5:$AI$471,23,)/VLOOKUP($E347,$D$5:$AI$471,3,))*$F347)</f>
        <v>0</v>
      </c>
      <c r="AA347" s="18">
        <f>IF(VLOOKUP($E347,$D$5:$AI$471,3,)=0,0,(VLOOKUP($E347,$D$5:$AI$471,24,)/VLOOKUP($E347,$D$5:$AI$471,3,))*$F347)</f>
        <v>0</v>
      </c>
      <c r="AB347" s="18">
        <f>IF(VLOOKUP($E347,$D$5:$AI$471,3,)=0,0,(VLOOKUP($E347,$D$5:$AI$471,25,)/VLOOKUP($E347,$D$5:$AI$471,3,))*$F347)</f>
        <v>0</v>
      </c>
      <c r="AC347" s="18">
        <f>IF(VLOOKUP($E347,$D$5:$AI$471,3,)=0,0,(VLOOKUP($E347,$D$5:$AI$471,26,)/VLOOKUP($E347,$D$5:$AI$471,3,))*$F347)</f>
        <v>0</v>
      </c>
      <c r="AD347" s="18">
        <f>IF(VLOOKUP($E347,$D$5:$AI$471,3,)=0,0,(VLOOKUP($E347,$D$5:$AI$471,27,)/VLOOKUP($E347,$D$5:$AI$471,3,))*$F347)</f>
        <v>0</v>
      </c>
      <c r="AE347" s="18">
        <f>IF(VLOOKUP($E347,$D$5:$AI$471,3,)=0,0,(VLOOKUP($E347,$D$5:$AI$471,28,)/VLOOKUP($E347,$D$5:$AI$471,3,))*$F347)</f>
        <v>0</v>
      </c>
      <c r="AF347" s="18">
        <f>IF(VLOOKUP($E347,$D$5:$AI$471,3,)=0,0,(VLOOKUP($E347,$D$5:$AI$471,29,)/VLOOKUP($E347,$D$5:$AI$471,3,))*$F347)</f>
        <v>0</v>
      </c>
      <c r="AG347" s="18">
        <f>IF(VLOOKUP($E347,$D$5:$AI$471,3,)=0,0,(VLOOKUP($E347,$D$5:$AI$471,30,)/VLOOKUP($E347,$D$5:$AI$471,3,))*$F347)</f>
        <v>0</v>
      </c>
      <c r="AH347" s="20">
        <f t="shared" si="130"/>
        <v>20196959.999999993</v>
      </c>
      <c r="AI347" s="15" t="str">
        <f t="shared" si="131"/>
        <v>ok</v>
      </c>
    </row>
    <row r="348" spans="1:35" x14ac:dyDescent="0.3">
      <c r="A348" s="3"/>
      <c r="B348" s="2" t="s">
        <v>739</v>
      </c>
      <c r="E348" s="2" t="s">
        <v>577</v>
      </c>
      <c r="F348" s="20">
        <f>-171226</f>
        <v>-171226</v>
      </c>
      <c r="G348" s="18">
        <f>IF(VLOOKUP($E348,$D$5:$AI$471,3,)=0,0,(VLOOKUP($E348,$D$5:$AI$471,4,)/VLOOKUP($E348,$D$5:$AI$471,3,))*$F348)</f>
        <v>-134268.68240169212</v>
      </c>
      <c r="H348" s="18">
        <f>IF(VLOOKUP($E348,$D$5:$AI$471,3,)=0,0,(VLOOKUP($E348,$D$5:$AI$471,5,)/VLOOKUP($E348,$D$5:$AI$471,3,))*$F348)</f>
        <v>-10067.529989562277</v>
      </c>
      <c r="I348" s="18">
        <f>IF(VLOOKUP($E348,$D$5:$AI$471,3,)=0,0,(VLOOKUP($E348,$D$5:$AI$471,6,)/VLOOKUP($E348,$D$5:$AI$471,3,))*$F348)</f>
        <v>-3612.9916070487511</v>
      </c>
      <c r="J348" s="18">
        <f>IF(VLOOKUP($E348,$D$5:$AI$471,3,)=0,0,(VLOOKUP($E348,$D$5:$AI$471,7,)/VLOOKUP($E348,$D$5:$AI$471,3,))*$F348)</f>
        <v>-5856.781289961863</v>
      </c>
      <c r="K348" s="18">
        <f>IF(VLOOKUP($E348,$D$5:$AI$471,3,)=0,0,(VLOOKUP($E348,$D$5:$AI$471,8,)/VLOOKUP($E348,$D$5:$AI$471,3,))*$F348)</f>
        <v>-15990.631174208034</v>
      </c>
      <c r="L348" s="18">
        <f>IF(VLOOKUP($E348,$D$5:$AI$471,3,)=0,0,(VLOOKUP($E348,$D$5:$AI$471,9,)/VLOOKUP($E348,$D$5:$AI$471,3,))*$F348)</f>
        <v>-556.92820600428263</v>
      </c>
      <c r="M348" s="18">
        <f>IF(VLOOKUP($E348,$D$5:$AI$471,3,)=0,0,(VLOOKUP($E348,$D$5:$AI$471,10,)/VLOOKUP($E348,$D$5:$AI$471,3,))*$F348)</f>
        <v>-872.45533152265534</v>
      </c>
      <c r="N348" s="18">
        <f>IF(VLOOKUP($E348,$D$5:$AI$471,3,)=0,0,(VLOOKUP($E348,$D$5:$AI$471,11,)/VLOOKUP($E348,$D$5:$AI$471,3,))*$F348)</f>
        <v>0</v>
      </c>
      <c r="O348" s="18">
        <f>IF(VLOOKUP($E348,$D$5:$AI$471,3,)=0,0,(VLOOKUP($E348,$D$5:$AI$471,12,)/VLOOKUP($E348,$D$5:$AI$471,3,))*$F348)</f>
        <v>0</v>
      </c>
      <c r="P348" s="18">
        <f>IF(VLOOKUP($E348,$D$5:$AI$471,3,)=0,0,(VLOOKUP($E348,$D$5:$AI$471,13,)/VLOOKUP($E348,$D$5:$AI$471,3,))*$F348)</f>
        <v>0</v>
      </c>
      <c r="Q348" s="18">
        <f>IF(VLOOKUP($E348,$D$5:$AI$471,3,)=0,0,(VLOOKUP($E348,$D$5:$AI$471,14,)/VLOOKUP($E348,$D$5:$AI$471,3,))*$F348)</f>
        <v>0</v>
      </c>
      <c r="R348" s="18">
        <f>IF(VLOOKUP($E348,$D$5:$AI$471,3,)=0,0,(VLOOKUP($E348,$D$5:$AI$471,15,)/VLOOKUP($E348,$D$5:$AI$471,3,))*$F348)</f>
        <v>0</v>
      </c>
      <c r="S348" s="18">
        <f>IF(VLOOKUP($E348,$D$5:$AI$471,3,)=0,0,(VLOOKUP($E348,$D$5:$AI$471,16,)/VLOOKUP($E348,$D$5:$AI$471,3,))*$F348)</f>
        <v>0</v>
      </c>
      <c r="T348" s="18">
        <f>IF(VLOOKUP($E348,$D$5:$AI$471,3,)=0,0,(VLOOKUP($E348,$D$5:$AI$471,17,)/VLOOKUP($E348,$D$5:$AI$471,3,))*$F348)</f>
        <v>0</v>
      </c>
      <c r="U348" s="18">
        <f>IF(VLOOKUP($E348,$D$5:$AI$471,3,)=0,0,(VLOOKUP($E348,$D$5:$AI$471,18,)/VLOOKUP($E348,$D$5:$AI$471,3,))*$F348)</f>
        <v>0</v>
      </c>
      <c r="V348" s="18">
        <f>IF(VLOOKUP($E348,$D$5:$AI$471,3,)=0,0,(VLOOKUP($E348,$D$5:$AI$471,19,)/VLOOKUP($E348,$D$5:$AI$471,3,))*$F348)</f>
        <v>0</v>
      </c>
      <c r="W348" s="18">
        <f>IF(VLOOKUP($E348,$D$5:$AI$471,3,)=0,0,(VLOOKUP($E348,$D$5:$AI$471,20,)/VLOOKUP($E348,$D$5:$AI$471,3,))*$F348)</f>
        <v>0</v>
      </c>
      <c r="X348" s="18">
        <f>IF(VLOOKUP($E348,$D$5:$AI$471,3,)=0,0,(VLOOKUP($E348,$D$5:$AI$471,21,)/VLOOKUP($E348,$D$5:$AI$471,3,))*$F348)</f>
        <v>0</v>
      </c>
      <c r="Y348" s="18">
        <f>IF(VLOOKUP($E348,$D$5:$AI$471,3,)=0,0,(VLOOKUP($E348,$D$5:$AI$471,22,)/VLOOKUP($E348,$D$5:$AI$471,3,))*$F348)</f>
        <v>0</v>
      </c>
      <c r="Z348" s="18">
        <f>IF(VLOOKUP($E348,$D$5:$AI$471,3,)=0,0,(VLOOKUP($E348,$D$5:$AI$471,23,)/VLOOKUP($E348,$D$5:$AI$471,3,))*$F348)</f>
        <v>0</v>
      </c>
      <c r="AA348" s="18">
        <f>IF(VLOOKUP($E348,$D$5:$AI$471,3,)=0,0,(VLOOKUP($E348,$D$5:$AI$471,24,)/VLOOKUP($E348,$D$5:$AI$471,3,))*$F348)</f>
        <v>0</v>
      </c>
      <c r="AB348" s="18">
        <f>IF(VLOOKUP($E348,$D$5:$AI$471,3,)=0,0,(VLOOKUP($E348,$D$5:$AI$471,25,)/VLOOKUP($E348,$D$5:$AI$471,3,))*$F348)</f>
        <v>0</v>
      </c>
      <c r="AC348" s="18">
        <f>IF(VLOOKUP($E348,$D$5:$AI$471,3,)=0,0,(VLOOKUP($E348,$D$5:$AI$471,26,)/VLOOKUP($E348,$D$5:$AI$471,3,))*$F348)</f>
        <v>0</v>
      </c>
      <c r="AD348" s="18">
        <f>IF(VLOOKUP($E348,$D$5:$AI$471,3,)=0,0,(VLOOKUP($E348,$D$5:$AI$471,27,)/VLOOKUP($E348,$D$5:$AI$471,3,))*$F348)</f>
        <v>0</v>
      </c>
      <c r="AE348" s="18">
        <f>IF(VLOOKUP($E348,$D$5:$AI$471,3,)=0,0,(VLOOKUP($E348,$D$5:$AI$471,28,)/VLOOKUP($E348,$D$5:$AI$471,3,))*$F348)</f>
        <v>0</v>
      </c>
      <c r="AF348" s="18">
        <f>IF(VLOOKUP($E348,$D$5:$AI$471,3,)=0,0,(VLOOKUP($E348,$D$5:$AI$471,29,)/VLOOKUP($E348,$D$5:$AI$471,3,))*$F348)</f>
        <v>0</v>
      </c>
      <c r="AG348" s="18">
        <f>IF(VLOOKUP($E348,$D$5:$AI$471,3,)=0,0,(VLOOKUP($E348,$D$5:$AI$471,30,)/VLOOKUP($E348,$D$5:$AI$471,3,))*$F348)</f>
        <v>0</v>
      </c>
      <c r="AH348" s="20">
        <f t="shared" si="130"/>
        <v>-171226</v>
      </c>
      <c r="AI348" s="15" t="str">
        <f t="shared" si="131"/>
        <v>ok</v>
      </c>
    </row>
    <row r="349" spans="1:35" x14ac:dyDescent="0.3">
      <c r="A349" s="3"/>
      <c r="B349" s="2" t="s">
        <v>740</v>
      </c>
      <c r="E349" s="2" t="s">
        <v>577</v>
      </c>
      <c r="F349" s="20">
        <f>2864733</f>
        <v>2864733</v>
      </c>
      <c r="G349" s="18">
        <f>IF(VLOOKUP($E349,$D$5:$AI$471,3,)=0,0,(VLOOKUP($E349,$D$5:$AI$471,4,)/VLOOKUP($E349,$D$5:$AI$471,3,))*$F349)</f>
        <v>2246410.7398563689</v>
      </c>
      <c r="H349" s="18">
        <f>IF(VLOOKUP($E349,$D$5:$AI$471,3,)=0,0,(VLOOKUP($E349,$D$5:$AI$471,5,)/VLOOKUP($E349,$D$5:$AI$471,3,))*$F349)</f>
        <v>168436.9511031544</v>
      </c>
      <c r="I349" s="18">
        <f>IF(VLOOKUP($E349,$D$5:$AI$471,3,)=0,0,(VLOOKUP($E349,$D$5:$AI$471,6,)/VLOOKUP($E349,$D$5:$AI$471,3,))*$F349)</f>
        <v>60447.924295583558</v>
      </c>
      <c r="J349" s="18">
        <f>IF(VLOOKUP($E349,$D$5:$AI$471,3,)=0,0,(VLOOKUP($E349,$D$5:$AI$471,7,)/VLOOKUP($E349,$D$5:$AI$471,3,))*$F349)</f>
        <v>97988.124672282938</v>
      </c>
      <c r="K349" s="18">
        <f>IF(VLOOKUP($E349,$D$5:$AI$471,3,)=0,0,(VLOOKUP($E349,$D$5:$AI$471,8,)/VLOOKUP($E349,$D$5:$AI$471,3,))*$F349)</f>
        <v>267534.65487474162</v>
      </c>
      <c r="L349" s="18">
        <f>IF(VLOOKUP($E349,$D$5:$AI$471,3,)=0,0,(VLOOKUP($E349,$D$5:$AI$471,9,)/VLOOKUP($E349,$D$5:$AI$471,3,))*$F349)</f>
        <v>9317.8057676478256</v>
      </c>
      <c r="M349" s="18">
        <f>IF(VLOOKUP($E349,$D$5:$AI$471,3,)=0,0,(VLOOKUP($E349,$D$5:$AI$471,10,)/VLOOKUP($E349,$D$5:$AI$471,3,))*$F349)</f>
        <v>14596.799430220241</v>
      </c>
      <c r="N349" s="18">
        <f>IF(VLOOKUP($E349,$D$5:$AI$471,3,)=0,0,(VLOOKUP($E349,$D$5:$AI$471,11,)/VLOOKUP($E349,$D$5:$AI$471,3,))*$F349)</f>
        <v>0</v>
      </c>
      <c r="O349" s="18">
        <f>IF(VLOOKUP($E349,$D$5:$AI$471,3,)=0,0,(VLOOKUP($E349,$D$5:$AI$471,12,)/VLOOKUP($E349,$D$5:$AI$471,3,))*$F349)</f>
        <v>0</v>
      </c>
      <c r="P349" s="18">
        <f>IF(VLOOKUP($E349,$D$5:$AI$471,3,)=0,0,(VLOOKUP($E349,$D$5:$AI$471,13,)/VLOOKUP($E349,$D$5:$AI$471,3,))*$F349)</f>
        <v>0</v>
      </c>
      <c r="Q349" s="18">
        <f>IF(VLOOKUP($E349,$D$5:$AI$471,3,)=0,0,(VLOOKUP($E349,$D$5:$AI$471,14,)/VLOOKUP($E349,$D$5:$AI$471,3,))*$F349)</f>
        <v>0</v>
      </c>
      <c r="R349" s="18">
        <f>IF(VLOOKUP($E349,$D$5:$AI$471,3,)=0,0,(VLOOKUP($E349,$D$5:$AI$471,15,)/VLOOKUP($E349,$D$5:$AI$471,3,))*$F349)</f>
        <v>0</v>
      </c>
      <c r="S349" s="18">
        <f>IF(VLOOKUP($E349,$D$5:$AI$471,3,)=0,0,(VLOOKUP($E349,$D$5:$AI$471,16,)/VLOOKUP($E349,$D$5:$AI$471,3,))*$F349)</f>
        <v>0</v>
      </c>
      <c r="T349" s="18">
        <f>IF(VLOOKUP($E349,$D$5:$AI$471,3,)=0,0,(VLOOKUP($E349,$D$5:$AI$471,17,)/VLOOKUP($E349,$D$5:$AI$471,3,))*$F349)</f>
        <v>0</v>
      </c>
      <c r="U349" s="18">
        <f>IF(VLOOKUP($E349,$D$5:$AI$471,3,)=0,0,(VLOOKUP($E349,$D$5:$AI$471,18,)/VLOOKUP($E349,$D$5:$AI$471,3,))*$F349)</f>
        <v>0</v>
      </c>
      <c r="V349" s="18">
        <f>IF(VLOOKUP($E349,$D$5:$AI$471,3,)=0,0,(VLOOKUP($E349,$D$5:$AI$471,19,)/VLOOKUP($E349,$D$5:$AI$471,3,))*$F349)</f>
        <v>0</v>
      </c>
      <c r="W349" s="18">
        <f>IF(VLOOKUP($E349,$D$5:$AI$471,3,)=0,0,(VLOOKUP($E349,$D$5:$AI$471,20,)/VLOOKUP($E349,$D$5:$AI$471,3,))*$F349)</f>
        <v>0</v>
      </c>
      <c r="X349" s="18">
        <f>IF(VLOOKUP($E349,$D$5:$AI$471,3,)=0,0,(VLOOKUP($E349,$D$5:$AI$471,21,)/VLOOKUP($E349,$D$5:$AI$471,3,))*$F349)</f>
        <v>0</v>
      </c>
      <c r="Y349" s="18">
        <f>IF(VLOOKUP($E349,$D$5:$AI$471,3,)=0,0,(VLOOKUP($E349,$D$5:$AI$471,22,)/VLOOKUP($E349,$D$5:$AI$471,3,))*$F349)</f>
        <v>0</v>
      </c>
      <c r="Z349" s="18">
        <f>IF(VLOOKUP($E349,$D$5:$AI$471,3,)=0,0,(VLOOKUP($E349,$D$5:$AI$471,23,)/VLOOKUP($E349,$D$5:$AI$471,3,))*$F349)</f>
        <v>0</v>
      </c>
      <c r="AA349" s="18">
        <f>IF(VLOOKUP($E349,$D$5:$AI$471,3,)=0,0,(VLOOKUP($E349,$D$5:$AI$471,24,)/VLOOKUP($E349,$D$5:$AI$471,3,))*$F349)</f>
        <v>0</v>
      </c>
      <c r="AB349" s="18">
        <f>IF(VLOOKUP($E349,$D$5:$AI$471,3,)=0,0,(VLOOKUP($E349,$D$5:$AI$471,25,)/VLOOKUP($E349,$D$5:$AI$471,3,))*$F349)</f>
        <v>0</v>
      </c>
      <c r="AC349" s="18">
        <f>IF(VLOOKUP($E349,$D$5:$AI$471,3,)=0,0,(VLOOKUP($E349,$D$5:$AI$471,26,)/VLOOKUP($E349,$D$5:$AI$471,3,))*$F349)</f>
        <v>0</v>
      </c>
      <c r="AD349" s="18">
        <f>IF(VLOOKUP($E349,$D$5:$AI$471,3,)=0,0,(VLOOKUP($E349,$D$5:$AI$471,27,)/VLOOKUP($E349,$D$5:$AI$471,3,))*$F349)</f>
        <v>0</v>
      </c>
      <c r="AE349" s="18">
        <f>IF(VLOOKUP($E349,$D$5:$AI$471,3,)=0,0,(VLOOKUP($E349,$D$5:$AI$471,28,)/VLOOKUP($E349,$D$5:$AI$471,3,))*$F349)</f>
        <v>0</v>
      </c>
      <c r="AF349" s="18">
        <f>IF(VLOOKUP($E349,$D$5:$AI$471,3,)=0,0,(VLOOKUP($E349,$D$5:$AI$471,29,)/VLOOKUP($E349,$D$5:$AI$471,3,))*$F349)</f>
        <v>0</v>
      </c>
      <c r="AG349" s="18">
        <f>IF(VLOOKUP($E349,$D$5:$AI$471,3,)=0,0,(VLOOKUP($E349,$D$5:$AI$471,30,)/VLOOKUP($E349,$D$5:$AI$471,3,))*$F349)</f>
        <v>0</v>
      </c>
      <c r="AH349" s="20">
        <f t="shared" si="130"/>
        <v>2864733</v>
      </c>
      <c r="AI349" s="15" t="str">
        <f t="shared" si="131"/>
        <v>ok</v>
      </c>
    </row>
    <row r="350" spans="1:35" x14ac:dyDescent="0.3">
      <c r="A350" s="3"/>
      <c r="B350" s="2" t="s">
        <v>741</v>
      </c>
      <c r="E350" s="2" t="s">
        <v>577</v>
      </c>
      <c r="F350" s="20">
        <v>-4691458</v>
      </c>
      <c r="G350" s="18">
        <f>IF(VLOOKUP($E350,$D$5:$AI$471,3,)=0,0,(VLOOKUP($E350,$D$5:$AI$471,4,)/VLOOKUP($E350,$D$5:$AI$471,3,))*$F350)</f>
        <v>-3678856.5066221114</v>
      </c>
      <c r="H350" s="18">
        <f>IF(VLOOKUP($E350,$D$5:$AI$471,3,)=0,0,(VLOOKUP($E350,$D$5:$AI$471,5,)/VLOOKUP($E350,$D$5:$AI$471,3,))*$F350)</f>
        <v>-275842.4194326321</v>
      </c>
      <c r="I350" s="18">
        <f>IF(VLOOKUP($E350,$D$5:$AI$471,3,)=0,0,(VLOOKUP($E350,$D$5:$AI$471,6,)/VLOOKUP($E350,$D$5:$AI$471,3,))*$F350)</f>
        <v>-98993.134096584166</v>
      </c>
      <c r="J350" s="18">
        <f>IF(VLOOKUP($E350,$D$5:$AI$471,3,)=0,0,(VLOOKUP($E350,$D$5:$AI$471,7,)/VLOOKUP($E350,$D$5:$AI$471,3,))*$F350)</f>
        <v>-160471.21019612619</v>
      </c>
      <c r="K350" s="18">
        <f>IF(VLOOKUP($E350,$D$5:$AI$471,3,)=0,0,(VLOOKUP($E350,$D$5:$AI$471,8,)/VLOOKUP($E350,$D$5:$AI$471,3,))*$F350)</f>
        <v>-438130.74268678634</v>
      </c>
      <c r="L350" s="18">
        <f>IF(VLOOKUP($E350,$D$5:$AI$471,3,)=0,0,(VLOOKUP($E350,$D$5:$AI$471,9,)/VLOOKUP($E350,$D$5:$AI$471,3,))*$F350)</f>
        <v>-15259.395696240288</v>
      </c>
      <c r="M350" s="18">
        <f>IF(VLOOKUP($E350,$D$5:$AI$471,3,)=0,0,(VLOOKUP($E350,$D$5:$AI$471,10,)/VLOOKUP($E350,$D$5:$AI$471,3,))*$F350)</f>
        <v>-23904.591269518725</v>
      </c>
      <c r="N350" s="18">
        <f>IF(VLOOKUP($E350,$D$5:$AI$471,3,)=0,0,(VLOOKUP($E350,$D$5:$AI$471,11,)/VLOOKUP($E350,$D$5:$AI$471,3,))*$F350)</f>
        <v>0</v>
      </c>
      <c r="O350" s="18">
        <f>IF(VLOOKUP($E350,$D$5:$AI$471,3,)=0,0,(VLOOKUP($E350,$D$5:$AI$471,12,)/VLOOKUP($E350,$D$5:$AI$471,3,))*$F350)</f>
        <v>0</v>
      </c>
      <c r="P350" s="18">
        <f>IF(VLOOKUP($E350,$D$5:$AI$471,3,)=0,0,(VLOOKUP($E350,$D$5:$AI$471,13,)/VLOOKUP($E350,$D$5:$AI$471,3,))*$F350)</f>
        <v>0</v>
      </c>
      <c r="Q350" s="18">
        <f>IF(VLOOKUP($E350,$D$5:$AI$471,3,)=0,0,(VLOOKUP($E350,$D$5:$AI$471,14,)/VLOOKUP($E350,$D$5:$AI$471,3,))*$F350)</f>
        <v>0</v>
      </c>
      <c r="R350" s="18">
        <f>IF(VLOOKUP($E350,$D$5:$AI$471,3,)=0,0,(VLOOKUP($E350,$D$5:$AI$471,15,)/VLOOKUP($E350,$D$5:$AI$471,3,))*$F350)</f>
        <v>0</v>
      </c>
      <c r="S350" s="18">
        <f>IF(VLOOKUP($E350,$D$5:$AI$471,3,)=0,0,(VLOOKUP($E350,$D$5:$AI$471,16,)/VLOOKUP($E350,$D$5:$AI$471,3,))*$F350)</f>
        <v>0</v>
      </c>
      <c r="T350" s="18">
        <f>IF(VLOOKUP($E350,$D$5:$AI$471,3,)=0,0,(VLOOKUP($E350,$D$5:$AI$471,17,)/VLOOKUP($E350,$D$5:$AI$471,3,))*$F350)</f>
        <v>0</v>
      </c>
      <c r="U350" s="18">
        <f>IF(VLOOKUP($E350,$D$5:$AI$471,3,)=0,0,(VLOOKUP($E350,$D$5:$AI$471,18,)/VLOOKUP($E350,$D$5:$AI$471,3,))*$F350)</f>
        <v>0</v>
      </c>
      <c r="V350" s="18">
        <f>IF(VLOOKUP($E350,$D$5:$AI$471,3,)=0,0,(VLOOKUP($E350,$D$5:$AI$471,19,)/VLOOKUP($E350,$D$5:$AI$471,3,))*$F350)</f>
        <v>0</v>
      </c>
      <c r="W350" s="18">
        <f>IF(VLOOKUP($E350,$D$5:$AI$471,3,)=0,0,(VLOOKUP($E350,$D$5:$AI$471,20,)/VLOOKUP($E350,$D$5:$AI$471,3,))*$F350)</f>
        <v>0</v>
      </c>
      <c r="X350" s="18">
        <f>IF(VLOOKUP($E350,$D$5:$AI$471,3,)=0,0,(VLOOKUP($E350,$D$5:$AI$471,21,)/VLOOKUP($E350,$D$5:$AI$471,3,))*$F350)</f>
        <v>0</v>
      </c>
      <c r="Y350" s="18">
        <f>IF(VLOOKUP($E350,$D$5:$AI$471,3,)=0,0,(VLOOKUP($E350,$D$5:$AI$471,22,)/VLOOKUP($E350,$D$5:$AI$471,3,))*$F350)</f>
        <v>0</v>
      </c>
      <c r="Z350" s="18">
        <f>IF(VLOOKUP($E350,$D$5:$AI$471,3,)=0,0,(VLOOKUP($E350,$D$5:$AI$471,23,)/VLOOKUP($E350,$D$5:$AI$471,3,))*$F350)</f>
        <v>0</v>
      </c>
      <c r="AA350" s="18">
        <f>IF(VLOOKUP($E350,$D$5:$AI$471,3,)=0,0,(VLOOKUP($E350,$D$5:$AI$471,24,)/VLOOKUP($E350,$D$5:$AI$471,3,))*$F350)</f>
        <v>0</v>
      </c>
      <c r="AB350" s="18">
        <f>IF(VLOOKUP($E350,$D$5:$AI$471,3,)=0,0,(VLOOKUP($E350,$D$5:$AI$471,25,)/VLOOKUP($E350,$D$5:$AI$471,3,))*$F350)</f>
        <v>0</v>
      </c>
      <c r="AC350" s="18">
        <f>IF(VLOOKUP($E350,$D$5:$AI$471,3,)=0,0,(VLOOKUP($E350,$D$5:$AI$471,26,)/VLOOKUP($E350,$D$5:$AI$471,3,))*$F350)</f>
        <v>0</v>
      </c>
      <c r="AD350" s="18">
        <f>IF(VLOOKUP($E350,$D$5:$AI$471,3,)=0,0,(VLOOKUP($E350,$D$5:$AI$471,27,)/VLOOKUP($E350,$D$5:$AI$471,3,))*$F350)</f>
        <v>0</v>
      </c>
      <c r="AE350" s="18">
        <f>IF(VLOOKUP($E350,$D$5:$AI$471,3,)=0,0,(VLOOKUP($E350,$D$5:$AI$471,28,)/VLOOKUP($E350,$D$5:$AI$471,3,))*$F350)</f>
        <v>0</v>
      </c>
      <c r="AF350" s="18">
        <f>IF(VLOOKUP($E350,$D$5:$AI$471,3,)=0,0,(VLOOKUP($E350,$D$5:$AI$471,29,)/VLOOKUP($E350,$D$5:$AI$471,3,))*$F350)</f>
        <v>0</v>
      </c>
      <c r="AG350" s="18">
        <f>IF(VLOOKUP($E350,$D$5:$AI$471,3,)=0,0,(VLOOKUP($E350,$D$5:$AI$471,30,)/VLOOKUP($E350,$D$5:$AI$471,3,))*$F350)</f>
        <v>0</v>
      </c>
      <c r="AH350" s="20">
        <f t="shared" si="130"/>
        <v>-4691458</v>
      </c>
      <c r="AI350" s="15" t="str">
        <f t="shared" si="131"/>
        <v>ok</v>
      </c>
    </row>
    <row r="351" spans="1:35" x14ac:dyDescent="0.3">
      <c r="A351" s="2" t="s">
        <v>686</v>
      </c>
      <c r="F351" s="20">
        <f>SUM(F346:F350)</f>
        <v>-72705465</v>
      </c>
      <c r="G351" s="20">
        <f t="shared" ref="G351:M351" si="132">SUM(G346:G350)</f>
        <v>-57525329.766548768</v>
      </c>
      <c r="H351" s="20">
        <f t="shared" si="132"/>
        <v>-4147867.3083330644</v>
      </c>
      <c r="I351" s="20">
        <f t="shared" si="132"/>
        <v>-1472697.7606111299</v>
      </c>
      <c r="J351" s="20">
        <f t="shared" si="132"/>
        <v>-2407602.3060542601</v>
      </c>
      <c r="K351" s="20">
        <f t="shared" si="132"/>
        <v>-6672824.4917387851</v>
      </c>
      <c r="L351" s="20">
        <f t="shared" si="132"/>
        <v>-184466.01626374875</v>
      </c>
      <c r="M351" s="20">
        <f t="shared" si="132"/>
        <v>-294677.35045021988</v>
      </c>
      <c r="N351" s="20">
        <f t="shared" ref="N351:AG351" si="133">SUM(N346:N347)</f>
        <v>0</v>
      </c>
      <c r="O351" s="20">
        <f t="shared" si="133"/>
        <v>0</v>
      </c>
      <c r="P351" s="20">
        <f t="shared" si="133"/>
        <v>0</v>
      </c>
      <c r="Q351" s="20">
        <f t="shared" si="133"/>
        <v>0</v>
      </c>
      <c r="R351" s="20">
        <f t="shared" si="133"/>
        <v>0</v>
      </c>
      <c r="S351" s="20">
        <f t="shared" si="133"/>
        <v>0</v>
      </c>
      <c r="T351" s="20">
        <f t="shared" si="133"/>
        <v>0</v>
      </c>
      <c r="U351" s="20">
        <f t="shared" si="133"/>
        <v>0</v>
      </c>
      <c r="V351" s="20">
        <f t="shared" si="133"/>
        <v>0</v>
      </c>
      <c r="W351" s="20">
        <f t="shared" si="133"/>
        <v>0</v>
      </c>
      <c r="X351" s="20">
        <f t="shared" si="133"/>
        <v>0</v>
      </c>
      <c r="Y351" s="20">
        <f t="shared" si="133"/>
        <v>0</v>
      </c>
      <c r="Z351" s="20">
        <f t="shared" si="133"/>
        <v>0</v>
      </c>
      <c r="AA351" s="20">
        <f t="shared" si="133"/>
        <v>0</v>
      </c>
      <c r="AB351" s="20">
        <f t="shared" si="133"/>
        <v>0</v>
      </c>
      <c r="AC351" s="20">
        <f t="shared" si="133"/>
        <v>0</v>
      </c>
      <c r="AD351" s="20">
        <f t="shared" si="133"/>
        <v>0</v>
      </c>
      <c r="AE351" s="20">
        <f t="shared" si="133"/>
        <v>0</v>
      </c>
      <c r="AF351" s="20">
        <f t="shared" si="133"/>
        <v>0</v>
      </c>
      <c r="AG351" s="20">
        <f t="shared" si="133"/>
        <v>0</v>
      </c>
      <c r="AH351" s="20">
        <f t="shared" si="130"/>
        <v>-72705464.99999997</v>
      </c>
      <c r="AI351" s="15" t="str">
        <f t="shared" si="131"/>
        <v>ok</v>
      </c>
    </row>
    <row r="352" spans="1:35" x14ac:dyDescent="0.3">
      <c r="A352" s="3"/>
      <c r="F352" s="20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20"/>
      <c r="AI352" s="15"/>
    </row>
    <row r="353" spans="1:35" x14ac:dyDescent="0.3">
      <c r="A353" s="2" t="s">
        <v>687</v>
      </c>
      <c r="F353" s="20">
        <f>F343+F351</f>
        <v>-36302795.763000011</v>
      </c>
      <c r="G353" s="20">
        <f t="shared" ref="G353:AG353" si="134">G343+G351</f>
        <v>-19017485.556440488</v>
      </c>
      <c r="H353" s="20">
        <f t="shared" si="134"/>
        <v>-3562873.3486920362</v>
      </c>
      <c r="I353" s="20">
        <f t="shared" si="134"/>
        <v>-806546.64392607473</v>
      </c>
      <c r="J353" s="20">
        <f t="shared" si="134"/>
        <v>-4421482.202792652</v>
      </c>
      <c r="K353" s="20">
        <f t="shared" si="134"/>
        <v>-13020779.10767518</v>
      </c>
      <c r="L353" s="20">
        <f t="shared" si="134"/>
        <v>-71321.900605053874</v>
      </c>
      <c r="M353" s="20">
        <f t="shared" si="134"/>
        <v>4597692.9971314743</v>
      </c>
      <c r="N353" s="20">
        <f t="shared" si="134"/>
        <v>0</v>
      </c>
      <c r="O353" s="20">
        <f t="shared" si="134"/>
        <v>0</v>
      </c>
      <c r="P353" s="20">
        <f t="shared" si="134"/>
        <v>0</v>
      </c>
      <c r="Q353" s="20">
        <f t="shared" si="134"/>
        <v>0</v>
      </c>
      <c r="R353" s="20">
        <f t="shared" si="134"/>
        <v>0</v>
      </c>
      <c r="S353" s="20">
        <f t="shared" si="134"/>
        <v>0</v>
      </c>
      <c r="T353" s="20">
        <f t="shared" si="134"/>
        <v>0</v>
      </c>
      <c r="U353" s="20">
        <f t="shared" si="134"/>
        <v>0</v>
      </c>
      <c r="V353" s="20">
        <f t="shared" si="134"/>
        <v>0</v>
      </c>
      <c r="W353" s="20">
        <f t="shared" si="134"/>
        <v>0</v>
      </c>
      <c r="X353" s="20">
        <f t="shared" si="134"/>
        <v>0</v>
      </c>
      <c r="Y353" s="20">
        <f t="shared" si="134"/>
        <v>0</v>
      </c>
      <c r="Z353" s="20">
        <f t="shared" si="134"/>
        <v>0</v>
      </c>
      <c r="AA353" s="20">
        <f t="shared" si="134"/>
        <v>0</v>
      </c>
      <c r="AB353" s="20">
        <f t="shared" si="134"/>
        <v>0</v>
      </c>
      <c r="AC353" s="20">
        <f t="shared" si="134"/>
        <v>0</v>
      </c>
      <c r="AD353" s="20">
        <f t="shared" si="134"/>
        <v>0</v>
      </c>
      <c r="AE353" s="20">
        <f t="shared" si="134"/>
        <v>0</v>
      </c>
      <c r="AF353" s="20">
        <f t="shared" si="134"/>
        <v>0</v>
      </c>
      <c r="AG353" s="20">
        <f t="shared" si="134"/>
        <v>0</v>
      </c>
      <c r="AH353" s="20">
        <f>SUM(G353:AG353)</f>
        <v>-36302795.763000011</v>
      </c>
      <c r="AI353" s="15" t="str">
        <f>IF(ABS(F353-AH353)&lt;0.01,"ok","err")</f>
        <v>ok</v>
      </c>
    </row>
    <row r="354" spans="1:35" x14ac:dyDescent="0.3">
      <c r="E354" s="31"/>
      <c r="F354" s="20"/>
    </row>
    <row r="355" spans="1:35" x14ac:dyDescent="0.3">
      <c r="A355" s="3" t="s">
        <v>567</v>
      </c>
      <c r="F355" s="20">
        <f t="shared" ref="F355:AG355" si="135">F273</f>
        <v>3265972555.1229715</v>
      </c>
      <c r="G355" s="20">
        <f t="shared" si="135"/>
        <v>2561046988.9879408</v>
      </c>
      <c r="H355" s="20">
        <f t="shared" si="135"/>
        <v>192028527.4653841</v>
      </c>
      <c r="I355" s="20">
        <f t="shared" si="135"/>
        <v>68914367.155168384</v>
      </c>
      <c r="J355" s="20">
        <f t="shared" si="135"/>
        <v>111712514.18810904</v>
      </c>
      <c r="K355" s="20">
        <f t="shared" si="135"/>
        <v>305006030.35787356</v>
      </c>
      <c r="L355" s="20">
        <f t="shared" si="135"/>
        <v>10622874.072768502</v>
      </c>
      <c r="M355" s="20">
        <f t="shared" si="135"/>
        <v>16641252.895726735</v>
      </c>
      <c r="N355" s="20">
        <f t="shared" si="135"/>
        <v>0</v>
      </c>
      <c r="O355" s="20">
        <f t="shared" si="135"/>
        <v>0</v>
      </c>
      <c r="P355" s="20">
        <f t="shared" si="135"/>
        <v>0</v>
      </c>
      <c r="Q355" s="20">
        <f t="shared" si="135"/>
        <v>0</v>
      </c>
      <c r="R355" s="20">
        <f t="shared" si="135"/>
        <v>0</v>
      </c>
      <c r="S355" s="20">
        <f t="shared" si="135"/>
        <v>0</v>
      </c>
      <c r="T355" s="20">
        <f t="shared" si="135"/>
        <v>0</v>
      </c>
      <c r="U355" s="20">
        <f t="shared" si="135"/>
        <v>0</v>
      </c>
      <c r="V355" s="20">
        <f t="shared" si="135"/>
        <v>0</v>
      </c>
      <c r="W355" s="20">
        <f t="shared" si="135"/>
        <v>0</v>
      </c>
      <c r="X355" s="20">
        <f t="shared" si="135"/>
        <v>0</v>
      </c>
      <c r="Y355" s="20">
        <f t="shared" si="135"/>
        <v>0</v>
      </c>
      <c r="Z355" s="20">
        <f t="shared" si="135"/>
        <v>0</v>
      </c>
      <c r="AA355" s="20">
        <f t="shared" si="135"/>
        <v>0</v>
      </c>
      <c r="AB355" s="20">
        <f t="shared" si="135"/>
        <v>0</v>
      </c>
      <c r="AC355" s="20">
        <f t="shared" si="135"/>
        <v>0</v>
      </c>
      <c r="AD355" s="20">
        <f t="shared" si="135"/>
        <v>0</v>
      </c>
      <c r="AE355" s="20">
        <f t="shared" si="135"/>
        <v>0</v>
      </c>
      <c r="AF355" s="20">
        <f t="shared" si="135"/>
        <v>0</v>
      </c>
      <c r="AG355" s="20">
        <f t="shared" si="135"/>
        <v>0</v>
      </c>
      <c r="AH355" s="20">
        <f>SUM(G355:AG355)</f>
        <v>3265972555.1229711</v>
      </c>
      <c r="AI355" s="15" t="str">
        <f>IF(ABS(F355-AH355)&lt;0.01,"ok","err")</f>
        <v>ok</v>
      </c>
    </row>
    <row r="356" spans="1:35" x14ac:dyDescent="0.3">
      <c r="A356" s="3"/>
      <c r="B356" s="2" t="s">
        <v>742</v>
      </c>
      <c r="E356" s="2" t="s">
        <v>723</v>
      </c>
      <c r="F356" s="20">
        <f>-(1229754617-486968968+423278)</f>
        <v>-743208927</v>
      </c>
      <c r="G356" s="18">
        <f>IF(VLOOKUP($E356,$D$5:$AI$471,3,)=0,0,(VLOOKUP($E356,$D$5:$AI$471,4,)/VLOOKUP($E356,$D$5:$AI$471,3,))*$F356)</f>
        <v>-571306255.38053811</v>
      </c>
      <c r="H356" s="18">
        <f>IF(VLOOKUP($E356,$D$5:$AI$471,3,)=0,0,(VLOOKUP($E356,$D$5:$AI$471,5,)/VLOOKUP($E356,$D$5:$AI$471,3,))*$F356)</f>
        <v>-47951096.221833356</v>
      </c>
      <c r="I356" s="18">
        <f>IF(VLOOKUP($E356,$D$5:$AI$471,3,)=0,0,(VLOOKUP($E356,$D$5:$AI$471,6,)/VLOOKUP($E356,$D$5:$AI$471,3,))*$F356)</f>
        <v>-17274244.414921373</v>
      </c>
      <c r="J356" s="18">
        <f>IF(VLOOKUP($E356,$D$5:$AI$471,3,)=0,0,(VLOOKUP($E356,$D$5:$AI$471,7,)/VLOOKUP($E356,$D$5:$AI$471,3,))*$F356)</f>
        <v>-27904926.324641801</v>
      </c>
      <c r="K356" s="18">
        <f>IF(VLOOKUP($E356,$D$5:$AI$471,3,)=0,0,(VLOOKUP($E356,$D$5:$AI$471,8,)/VLOOKUP($E356,$D$5:$AI$471,3,))*$F356)</f>
        <v>-78772404.658065125</v>
      </c>
      <c r="L356" s="18">
        <f>IF(VLOOKUP($E356,$D$5:$AI$471,3,)=0,0,(VLOOKUP($E356,$D$5:$AI$471,9,)/VLOOKUP($E356,$D$5:$AI$471,3,))*$F356)</f>
        <v>0</v>
      </c>
      <c r="M356" s="18">
        <f>IF(VLOOKUP($E356,$D$5:$AI$471,3,)=0,0,(VLOOKUP($E356,$D$5:$AI$471,10,)/VLOOKUP($E356,$D$5:$AI$471,3,))*$F356)</f>
        <v>0</v>
      </c>
      <c r="N356" s="18">
        <f>IF(VLOOKUP($E356,$D$5:$AI$471,3,)=0,0,(VLOOKUP($E356,$D$5:$AI$471,11,)/VLOOKUP($E356,$D$5:$AI$471,3,))*$F356)</f>
        <v>0</v>
      </c>
      <c r="O356" s="18">
        <f>IF(VLOOKUP($E356,$D$5:$AI$471,3,)=0,0,(VLOOKUP($E356,$D$5:$AI$471,12,)/VLOOKUP($E356,$D$5:$AI$471,3,))*$F356)</f>
        <v>0</v>
      </c>
      <c r="P356" s="18">
        <f>IF(VLOOKUP($E356,$D$5:$AI$471,3,)=0,0,(VLOOKUP($E356,$D$5:$AI$471,13,)/VLOOKUP($E356,$D$5:$AI$471,3,))*$F356)</f>
        <v>0</v>
      </c>
      <c r="Q356" s="18">
        <f>IF(VLOOKUP($E356,$D$5:$AI$471,3,)=0,0,(VLOOKUP($E356,$D$5:$AI$471,14,)/VLOOKUP($E356,$D$5:$AI$471,3,))*$F356)</f>
        <v>0</v>
      </c>
      <c r="R356" s="18">
        <f>IF(VLOOKUP($E356,$D$5:$AI$471,3,)=0,0,(VLOOKUP($E356,$D$5:$AI$471,15,)/VLOOKUP($E356,$D$5:$AI$471,3,))*$F356)</f>
        <v>0</v>
      </c>
      <c r="S356" s="18">
        <f>IF(VLOOKUP($E356,$D$5:$AI$471,3,)=0,0,(VLOOKUP($E356,$D$5:$AI$471,16,)/VLOOKUP($E356,$D$5:$AI$471,3,))*$F356)</f>
        <v>0</v>
      </c>
      <c r="T356" s="18">
        <f>IF(VLOOKUP($E356,$D$5:$AI$471,3,)=0,0,(VLOOKUP($E356,$D$5:$AI$471,17,)/VLOOKUP($E356,$D$5:$AI$471,3,))*$F356)</f>
        <v>0</v>
      </c>
      <c r="U356" s="18">
        <f>IF(VLOOKUP($E356,$D$5:$AI$471,3,)=0,0,(VLOOKUP($E356,$D$5:$AI$471,18,)/VLOOKUP($E356,$D$5:$AI$471,3,))*$F356)</f>
        <v>0</v>
      </c>
      <c r="V356" s="18">
        <f>IF(VLOOKUP($E356,$D$5:$AI$471,3,)=0,0,(VLOOKUP($E356,$D$5:$AI$471,19,)/VLOOKUP($E356,$D$5:$AI$471,3,))*$F356)</f>
        <v>0</v>
      </c>
      <c r="W356" s="18">
        <f>IF(VLOOKUP($E356,$D$5:$AI$471,3,)=0,0,(VLOOKUP($E356,$D$5:$AI$471,20,)/VLOOKUP($E356,$D$5:$AI$471,3,))*$F356)</f>
        <v>0</v>
      </c>
      <c r="X356" s="18">
        <f>IF(VLOOKUP($E356,$D$5:$AI$471,3,)=0,0,(VLOOKUP($E356,$D$5:$AI$471,21,)/VLOOKUP($E356,$D$5:$AI$471,3,))*$F356)</f>
        <v>0</v>
      </c>
      <c r="Y356" s="18">
        <f>IF(VLOOKUP($E356,$D$5:$AI$471,3,)=0,0,(VLOOKUP($E356,$D$5:$AI$471,22,)/VLOOKUP($E356,$D$5:$AI$471,3,))*$F356)</f>
        <v>0</v>
      </c>
      <c r="Z356" s="18">
        <f>IF(VLOOKUP($E356,$D$5:$AI$471,3,)=0,0,(VLOOKUP($E356,$D$5:$AI$471,23,)/VLOOKUP($E356,$D$5:$AI$471,3,))*$F356)</f>
        <v>0</v>
      </c>
      <c r="AA356" s="18">
        <f>IF(VLOOKUP($E356,$D$5:$AI$471,3,)=0,0,(VLOOKUP($E356,$D$5:$AI$471,24,)/VLOOKUP($E356,$D$5:$AI$471,3,))*$F356)</f>
        <v>0</v>
      </c>
      <c r="AB356" s="18">
        <f>IF(VLOOKUP($E356,$D$5:$AI$471,3,)=0,0,(VLOOKUP($E356,$D$5:$AI$471,25,)/VLOOKUP($E356,$D$5:$AI$471,3,))*$F356)</f>
        <v>0</v>
      </c>
      <c r="AC356" s="18">
        <f>IF(VLOOKUP($E356,$D$5:$AI$471,3,)=0,0,(VLOOKUP($E356,$D$5:$AI$471,26,)/VLOOKUP($E356,$D$5:$AI$471,3,))*$F356)</f>
        <v>0</v>
      </c>
      <c r="AD356" s="18">
        <f>IF(VLOOKUP($E356,$D$5:$AI$471,3,)=0,0,(VLOOKUP($E356,$D$5:$AI$471,27,)/VLOOKUP($E356,$D$5:$AI$471,3,))*$F356)</f>
        <v>0</v>
      </c>
      <c r="AE356" s="18">
        <f>IF(VLOOKUP($E356,$D$5:$AI$471,3,)=0,0,(VLOOKUP($E356,$D$5:$AI$471,28,)/VLOOKUP($E356,$D$5:$AI$471,3,))*$F356)</f>
        <v>0</v>
      </c>
      <c r="AF356" s="18">
        <f>IF(VLOOKUP($E356,$D$5:$AI$471,3,)=0,0,(VLOOKUP($E356,$D$5:$AI$471,29,)/VLOOKUP($E356,$D$5:$AI$471,3,))*$F356)</f>
        <v>0</v>
      </c>
      <c r="AG356" s="18">
        <f>IF(VLOOKUP($E356,$D$5:$AI$471,3,)=0,0,(VLOOKUP($E356,$D$5:$AI$471,30,)/VLOOKUP($E356,$D$5:$AI$471,3,))*$F356)</f>
        <v>0</v>
      </c>
      <c r="AH356" s="20">
        <f t="shared" ref="AH356:AH357" si="136">SUM(G356:AG356)</f>
        <v>-743208926.99999976</v>
      </c>
      <c r="AI356" s="15" t="str">
        <f t="shared" ref="AI356:AI357" si="137">IF(ABS(F356-AH356)&lt;0.01,"ok","err")</f>
        <v>ok</v>
      </c>
    </row>
    <row r="357" spans="1:35" x14ac:dyDescent="0.3">
      <c r="A357" s="3"/>
      <c r="B357" s="2" t="s">
        <v>743</v>
      </c>
      <c r="E357" s="2" t="s">
        <v>574</v>
      </c>
      <c r="F357" s="20">
        <f>-(18347740.69-4805537)</f>
        <v>-13542203.690000001</v>
      </c>
      <c r="G357" s="18">
        <f>IF(VLOOKUP($E357,$D$5:$AI$471,3,)=0,0,(VLOOKUP($E357,$D$5:$AI$471,4,)/VLOOKUP($E357,$D$5:$AI$471,3,))*$F357)</f>
        <v>-10686995.58488371</v>
      </c>
      <c r="H357" s="18">
        <f>IF(VLOOKUP($E357,$D$5:$AI$471,3,)=0,0,(VLOOKUP($E357,$D$5:$AI$471,5,)/VLOOKUP($E357,$D$5:$AI$471,3,))*$F357)</f>
        <v>-799980.09372172074</v>
      </c>
      <c r="I357" s="18">
        <f>IF(VLOOKUP($E357,$D$5:$AI$471,3,)=0,0,(VLOOKUP($E357,$D$5:$AI$471,6,)/VLOOKUP($E357,$D$5:$AI$471,3,))*$F357)</f>
        <v>-271245.83082229813</v>
      </c>
      <c r="J357" s="18">
        <f>IF(VLOOKUP($E357,$D$5:$AI$471,3,)=0,0,(VLOOKUP($E357,$D$5:$AI$471,7,)/VLOOKUP($E357,$D$5:$AI$471,3,))*$F357)</f>
        <v>-436939.14840927679</v>
      </c>
      <c r="K357" s="18">
        <f>IF(VLOOKUP($E357,$D$5:$AI$471,3,)=0,0,(VLOOKUP($E357,$D$5:$AI$471,8,)/VLOOKUP($E357,$D$5:$AI$471,3,))*$F357)</f>
        <v>-1174435.1055059026</v>
      </c>
      <c r="L357" s="18">
        <f>IF(VLOOKUP($E357,$D$5:$AI$471,3,)=0,0,(VLOOKUP($E357,$D$5:$AI$471,9,)/VLOOKUP($E357,$D$5:$AI$471,3,))*$F357)</f>
        <v>-172607.92665709351</v>
      </c>
      <c r="M357" s="18">
        <f>IF(VLOOKUP($E357,$D$5:$AI$471,3,)=0,0,(VLOOKUP($E357,$D$5:$AI$471,10,)/VLOOKUP($E357,$D$5:$AI$471,3,))*$F357)</f>
        <v>0</v>
      </c>
      <c r="N357" s="18">
        <f>IF(VLOOKUP($E357,$D$5:$AI$471,3,)=0,0,(VLOOKUP($E357,$D$5:$AI$471,11,)/VLOOKUP($E357,$D$5:$AI$471,3,))*$F357)</f>
        <v>0</v>
      </c>
      <c r="O357" s="18">
        <f>IF(VLOOKUP($E357,$D$5:$AI$471,3,)=0,0,(VLOOKUP($E357,$D$5:$AI$471,12,)/VLOOKUP($E357,$D$5:$AI$471,3,))*$F357)</f>
        <v>0</v>
      </c>
      <c r="P357" s="18">
        <f>IF(VLOOKUP($E357,$D$5:$AI$471,3,)=0,0,(VLOOKUP($E357,$D$5:$AI$471,13,)/VLOOKUP($E357,$D$5:$AI$471,3,))*$F357)</f>
        <v>0</v>
      </c>
      <c r="Q357" s="18">
        <f>IF(VLOOKUP($E357,$D$5:$AI$471,3,)=0,0,(VLOOKUP($E357,$D$5:$AI$471,14,)/VLOOKUP($E357,$D$5:$AI$471,3,))*$F357)</f>
        <v>0</v>
      </c>
      <c r="R357" s="18">
        <f>IF(VLOOKUP($E357,$D$5:$AI$471,3,)=0,0,(VLOOKUP($E357,$D$5:$AI$471,15,)/VLOOKUP($E357,$D$5:$AI$471,3,))*$F357)</f>
        <v>0</v>
      </c>
      <c r="S357" s="18">
        <f>IF(VLOOKUP($E357,$D$5:$AI$471,3,)=0,0,(VLOOKUP($E357,$D$5:$AI$471,16,)/VLOOKUP($E357,$D$5:$AI$471,3,))*$F357)</f>
        <v>0</v>
      </c>
      <c r="T357" s="18">
        <f>IF(VLOOKUP($E357,$D$5:$AI$471,3,)=0,0,(VLOOKUP($E357,$D$5:$AI$471,17,)/VLOOKUP($E357,$D$5:$AI$471,3,))*$F357)</f>
        <v>0</v>
      </c>
      <c r="U357" s="18">
        <f>IF(VLOOKUP($E357,$D$5:$AI$471,3,)=0,0,(VLOOKUP($E357,$D$5:$AI$471,18,)/VLOOKUP($E357,$D$5:$AI$471,3,))*$F357)</f>
        <v>0</v>
      </c>
      <c r="V357" s="18">
        <f>IF(VLOOKUP($E357,$D$5:$AI$471,3,)=0,0,(VLOOKUP($E357,$D$5:$AI$471,19,)/VLOOKUP($E357,$D$5:$AI$471,3,))*$F357)</f>
        <v>0</v>
      </c>
      <c r="W357" s="18">
        <f>IF(VLOOKUP($E357,$D$5:$AI$471,3,)=0,0,(VLOOKUP($E357,$D$5:$AI$471,20,)/VLOOKUP($E357,$D$5:$AI$471,3,))*$F357)</f>
        <v>0</v>
      </c>
      <c r="X357" s="18">
        <f>IF(VLOOKUP($E357,$D$5:$AI$471,3,)=0,0,(VLOOKUP($E357,$D$5:$AI$471,21,)/VLOOKUP($E357,$D$5:$AI$471,3,))*$F357)</f>
        <v>0</v>
      </c>
      <c r="Y357" s="18">
        <f>IF(VLOOKUP($E357,$D$5:$AI$471,3,)=0,0,(VLOOKUP($E357,$D$5:$AI$471,22,)/VLOOKUP($E357,$D$5:$AI$471,3,))*$F357)</f>
        <v>0</v>
      </c>
      <c r="Z357" s="18">
        <f>IF(VLOOKUP($E357,$D$5:$AI$471,3,)=0,0,(VLOOKUP($E357,$D$5:$AI$471,23,)/VLOOKUP($E357,$D$5:$AI$471,3,))*$F357)</f>
        <v>0</v>
      </c>
      <c r="AA357" s="18">
        <f>IF(VLOOKUP($E357,$D$5:$AI$471,3,)=0,0,(VLOOKUP($E357,$D$5:$AI$471,24,)/VLOOKUP($E357,$D$5:$AI$471,3,))*$F357)</f>
        <v>0</v>
      </c>
      <c r="AB357" s="18">
        <f>IF(VLOOKUP($E357,$D$5:$AI$471,3,)=0,0,(VLOOKUP($E357,$D$5:$AI$471,25,)/VLOOKUP($E357,$D$5:$AI$471,3,))*$F357)</f>
        <v>0</v>
      </c>
      <c r="AC357" s="18">
        <f>IF(VLOOKUP($E357,$D$5:$AI$471,3,)=0,0,(VLOOKUP($E357,$D$5:$AI$471,26,)/VLOOKUP($E357,$D$5:$AI$471,3,))*$F357)</f>
        <v>0</v>
      </c>
      <c r="AD357" s="18">
        <f>IF(VLOOKUP($E357,$D$5:$AI$471,3,)=0,0,(VLOOKUP($E357,$D$5:$AI$471,27,)/VLOOKUP($E357,$D$5:$AI$471,3,))*$F357)</f>
        <v>0</v>
      </c>
      <c r="AE357" s="18">
        <f>IF(VLOOKUP($E357,$D$5:$AI$471,3,)=0,0,(VLOOKUP($E357,$D$5:$AI$471,28,)/VLOOKUP($E357,$D$5:$AI$471,3,))*$F357)</f>
        <v>0</v>
      </c>
      <c r="AF357" s="18">
        <f>IF(VLOOKUP($E357,$D$5:$AI$471,3,)=0,0,(VLOOKUP($E357,$D$5:$AI$471,29,)/VLOOKUP($E357,$D$5:$AI$471,3,))*$F357)</f>
        <v>0</v>
      </c>
      <c r="AG357" s="18">
        <f>IF(VLOOKUP($E357,$D$5:$AI$471,3,)=0,0,(VLOOKUP($E357,$D$5:$AI$471,30,)/VLOOKUP($E357,$D$5:$AI$471,3,))*$F357)</f>
        <v>0</v>
      </c>
      <c r="AH357" s="20">
        <f t="shared" si="136"/>
        <v>-13542203.690000003</v>
      </c>
      <c r="AI357" s="15" t="str">
        <f t="shared" si="137"/>
        <v>ok</v>
      </c>
    </row>
    <row r="358" spans="1:35" x14ac:dyDescent="0.3">
      <c r="A358" s="3"/>
      <c r="B358" s="2" t="s">
        <v>744</v>
      </c>
      <c r="E358" s="2" t="s">
        <v>587</v>
      </c>
      <c r="F358" s="20">
        <f>((F309+F311+7168330)*0.125)</f>
        <v>-6550957.25</v>
      </c>
      <c r="G358" s="18">
        <f>IF(VLOOKUP($E358,$D$5:$AI$471,3,)=0,0,(VLOOKUP($E358,$D$5:$AI$471,4,)/VLOOKUP($E358,$D$5:$AI$471,3,))*$F358)</f>
        <v>-4749744.1540418919</v>
      </c>
      <c r="H358" s="18">
        <f>IF(VLOOKUP($E358,$D$5:$AI$471,3,)=0,0,(VLOOKUP($E358,$D$5:$AI$471,5,)/VLOOKUP($E358,$D$5:$AI$471,3,))*$F358)</f>
        <v>-492446.28946092707</v>
      </c>
      <c r="I358" s="18">
        <f>IF(VLOOKUP($E358,$D$5:$AI$471,3,)=0,0,(VLOOKUP($E358,$D$5:$AI$471,6,)/VLOOKUP($E358,$D$5:$AI$471,3,))*$F358)</f>
        <v>-194004.53947931278</v>
      </c>
      <c r="J358" s="18">
        <f>IF(VLOOKUP($E358,$D$5:$AI$471,3,)=0,0,(VLOOKUP($E358,$D$5:$AI$471,7,)/VLOOKUP($E358,$D$5:$AI$471,3,))*$F358)</f>
        <v>-293431.7683619195</v>
      </c>
      <c r="K358" s="18">
        <f>IF(VLOOKUP($E358,$D$5:$AI$471,3,)=0,0,(VLOOKUP($E358,$D$5:$AI$471,8,)/VLOOKUP($E358,$D$5:$AI$471,3,))*$F358)</f>
        <v>-671971.13833663345</v>
      </c>
      <c r="L358" s="18">
        <f>IF(VLOOKUP($E358,$D$5:$AI$471,3,)=0,0,(VLOOKUP($E358,$D$5:$AI$471,9,)/VLOOKUP($E358,$D$5:$AI$471,3,))*$F358)</f>
        <v>-92871.342299997516</v>
      </c>
      <c r="M358" s="18">
        <f>IF(VLOOKUP($E358,$D$5:$AI$471,3,)=0,0,(VLOOKUP($E358,$D$5:$AI$471,10,)/VLOOKUP($E358,$D$5:$AI$471,3,))*$F358)</f>
        <v>-56488.01801931626</v>
      </c>
      <c r="N358" s="18">
        <f>IF(VLOOKUP($E358,$D$5:$AI$471,3,)=0,0,(VLOOKUP($E358,$D$5:$AI$471,11,)/VLOOKUP($E358,$D$5:$AI$471,3,))*$F358)</f>
        <v>0</v>
      </c>
      <c r="O358" s="18">
        <f>IF(VLOOKUP($E358,$D$5:$AI$471,3,)=0,0,(VLOOKUP($E358,$D$5:$AI$471,12,)/VLOOKUP($E358,$D$5:$AI$471,3,))*$F358)</f>
        <v>0</v>
      </c>
      <c r="P358" s="18">
        <f>IF(VLOOKUP($E358,$D$5:$AI$471,3,)=0,0,(VLOOKUP($E358,$D$5:$AI$471,13,)/VLOOKUP($E358,$D$5:$AI$471,3,))*$F358)</f>
        <v>0</v>
      </c>
      <c r="Q358" s="18">
        <f>IF(VLOOKUP($E358,$D$5:$AI$471,3,)=0,0,(VLOOKUP($E358,$D$5:$AI$471,14,)/VLOOKUP($E358,$D$5:$AI$471,3,))*$F358)</f>
        <v>0</v>
      </c>
      <c r="R358" s="18">
        <f>IF(VLOOKUP($E358,$D$5:$AI$471,3,)=0,0,(VLOOKUP($E358,$D$5:$AI$471,15,)/VLOOKUP($E358,$D$5:$AI$471,3,))*$F358)</f>
        <v>0</v>
      </c>
      <c r="S358" s="18">
        <f>IF(VLOOKUP($E358,$D$5:$AI$471,3,)=0,0,(VLOOKUP($E358,$D$5:$AI$471,16,)/VLOOKUP($E358,$D$5:$AI$471,3,))*$F358)</f>
        <v>0</v>
      </c>
      <c r="T358" s="18">
        <f>IF(VLOOKUP($E358,$D$5:$AI$471,3,)=0,0,(VLOOKUP($E358,$D$5:$AI$471,17,)/VLOOKUP($E358,$D$5:$AI$471,3,))*$F358)</f>
        <v>0</v>
      </c>
      <c r="U358" s="18">
        <f>IF(VLOOKUP($E358,$D$5:$AI$471,3,)=0,0,(VLOOKUP($E358,$D$5:$AI$471,18,)/VLOOKUP($E358,$D$5:$AI$471,3,))*$F358)</f>
        <v>0</v>
      </c>
      <c r="V358" s="18">
        <f>IF(VLOOKUP($E358,$D$5:$AI$471,3,)=0,0,(VLOOKUP($E358,$D$5:$AI$471,19,)/VLOOKUP($E358,$D$5:$AI$471,3,))*$F358)</f>
        <v>0</v>
      </c>
      <c r="W358" s="18">
        <f>IF(VLOOKUP($E358,$D$5:$AI$471,3,)=0,0,(VLOOKUP($E358,$D$5:$AI$471,20,)/VLOOKUP($E358,$D$5:$AI$471,3,))*$F358)</f>
        <v>0</v>
      </c>
      <c r="X358" s="18">
        <f>IF(VLOOKUP($E358,$D$5:$AI$471,3,)=0,0,(VLOOKUP($E358,$D$5:$AI$471,21,)/VLOOKUP($E358,$D$5:$AI$471,3,))*$F358)</f>
        <v>0</v>
      </c>
      <c r="Y358" s="18">
        <f>IF(VLOOKUP($E358,$D$5:$AI$471,3,)=0,0,(VLOOKUP($E358,$D$5:$AI$471,22,)/VLOOKUP($E358,$D$5:$AI$471,3,))*$F358)</f>
        <v>0</v>
      </c>
      <c r="Z358" s="18">
        <f>IF(VLOOKUP($E358,$D$5:$AI$471,3,)=0,0,(VLOOKUP($E358,$D$5:$AI$471,23,)/VLOOKUP($E358,$D$5:$AI$471,3,))*$F358)</f>
        <v>0</v>
      </c>
      <c r="AA358" s="18">
        <f>IF(VLOOKUP($E358,$D$5:$AI$471,3,)=0,0,(VLOOKUP($E358,$D$5:$AI$471,24,)/VLOOKUP($E358,$D$5:$AI$471,3,))*$F358)</f>
        <v>0</v>
      </c>
      <c r="AB358" s="18">
        <f>IF(VLOOKUP($E358,$D$5:$AI$471,3,)=0,0,(VLOOKUP($E358,$D$5:$AI$471,25,)/VLOOKUP($E358,$D$5:$AI$471,3,))*$F358)</f>
        <v>0</v>
      </c>
      <c r="AC358" s="18">
        <f>IF(VLOOKUP($E358,$D$5:$AI$471,3,)=0,0,(VLOOKUP($E358,$D$5:$AI$471,26,)/VLOOKUP($E358,$D$5:$AI$471,3,))*$F358)</f>
        <v>0</v>
      </c>
      <c r="AD358" s="18">
        <f>IF(VLOOKUP($E358,$D$5:$AI$471,3,)=0,0,(VLOOKUP($E358,$D$5:$AI$471,27,)/VLOOKUP($E358,$D$5:$AI$471,3,))*$F358)</f>
        <v>0</v>
      </c>
      <c r="AE358" s="18">
        <f>IF(VLOOKUP($E358,$D$5:$AI$471,3,)=0,0,(VLOOKUP($E358,$D$5:$AI$471,28,)/VLOOKUP($E358,$D$5:$AI$471,3,))*$F358)</f>
        <v>0</v>
      </c>
      <c r="AF358" s="18">
        <f>IF(VLOOKUP($E358,$D$5:$AI$471,3,)=0,0,(VLOOKUP($E358,$D$5:$AI$471,29,)/VLOOKUP($E358,$D$5:$AI$471,3,))*$F358)</f>
        <v>0</v>
      </c>
      <c r="AG358" s="18">
        <f>IF(VLOOKUP($E358,$D$5:$AI$471,3,)=0,0,(VLOOKUP($E358,$D$5:$AI$471,30,)/VLOOKUP($E358,$D$5:$AI$471,3,))*$F358)</f>
        <v>0</v>
      </c>
      <c r="AH358" s="20">
        <f t="shared" ref="AH358" si="138">SUM(G358:AG358)</f>
        <v>-6550957.2499999991</v>
      </c>
      <c r="AI358" s="15" t="str">
        <f t="shared" ref="AI358" si="139">IF(ABS(F358-AH358)&lt;0.01,"ok","err")</f>
        <v>ok</v>
      </c>
    </row>
    <row r="359" spans="1:35" x14ac:dyDescent="0.3">
      <c r="A359" s="3" t="s">
        <v>745</v>
      </c>
      <c r="F359" s="20">
        <f>SUM(F355:F358)</f>
        <v>2502670467.1829715</v>
      </c>
      <c r="G359" s="20">
        <f t="shared" ref="G359:M359" si="140">SUM(G355:G358)</f>
        <v>1974303993.8684771</v>
      </c>
      <c r="H359" s="20">
        <f t="shared" si="140"/>
        <v>142785004.8603681</v>
      </c>
      <c r="I359" s="20">
        <f t="shared" si="140"/>
        <v>51174872.369945399</v>
      </c>
      <c r="J359" s="20">
        <f t="shared" si="140"/>
        <v>83077216.946696043</v>
      </c>
      <c r="K359" s="20">
        <f t="shared" si="140"/>
        <v>224387219.45596588</v>
      </c>
      <c r="L359" s="20">
        <f t="shared" si="140"/>
        <v>10357394.80381141</v>
      </c>
      <c r="M359" s="20">
        <f t="shared" si="140"/>
        <v>16584764.877707418</v>
      </c>
      <c r="N359" s="20">
        <f t="shared" ref="N359:AG359" si="141">SUM(N355:N357)</f>
        <v>0</v>
      </c>
      <c r="O359" s="20">
        <f t="shared" si="141"/>
        <v>0</v>
      </c>
      <c r="P359" s="20">
        <f t="shared" si="141"/>
        <v>0</v>
      </c>
      <c r="Q359" s="20">
        <f t="shared" si="141"/>
        <v>0</v>
      </c>
      <c r="R359" s="20">
        <f t="shared" si="141"/>
        <v>0</v>
      </c>
      <c r="S359" s="20">
        <f t="shared" si="141"/>
        <v>0</v>
      </c>
      <c r="T359" s="20">
        <f t="shared" si="141"/>
        <v>0</v>
      </c>
      <c r="U359" s="20">
        <f t="shared" si="141"/>
        <v>0</v>
      </c>
      <c r="V359" s="20">
        <f t="shared" si="141"/>
        <v>0</v>
      </c>
      <c r="W359" s="20">
        <f t="shared" si="141"/>
        <v>0</v>
      </c>
      <c r="X359" s="20">
        <f t="shared" si="141"/>
        <v>0</v>
      </c>
      <c r="Y359" s="20">
        <f t="shared" si="141"/>
        <v>0</v>
      </c>
      <c r="Z359" s="20">
        <f t="shared" si="141"/>
        <v>0</v>
      </c>
      <c r="AA359" s="20">
        <f t="shared" si="141"/>
        <v>0</v>
      </c>
      <c r="AB359" s="20">
        <f t="shared" si="141"/>
        <v>0</v>
      </c>
      <c r="AC359" s="20">
        <f t="shared" si="141"/>
        <v>0</v>
      </c>
      <c r="AD359" s="20">
        <f t="shared" si="141"/>
        <v>0</v>
      </c>
      <c r="AE359" s="20">
        <f t="shared" si="141"/>
        <v>0</v>
      </c>
      <c r="AF359" s="20">
        <f t="shared" si="141"/>
        <v>0</v>
      </c>
      <c r="AG359" s="20">
        <f t="shared" si="141"/>
        <v>0</v>
      </c>
      <c r="AH359" s="20">
        <f t="shared" ref="AH359" si="142">SUM(G359:AG359)</f>
        <v>2502670467.1829715</v>
      </c>
      <c r="AI359" s="15" t="str">
        <f t="shared" ref="AI359" si="143">IF(ABS(F359-AH359)&lt;0.01,"ok","err")</f>
        <v>ok</v>
      </c>
    </row>
    <row r="360" spans="1:35" x14ac:dyDescent="0.3">
      <c r="A360" s="3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15"/>
    </row>
    <row r="361" spans="1:35" ht="14.5" thickBot="1" x14ac:dyDescent="0.35">
      <c r="A361" s="3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15"/>
    </row>
    <row r="362" spans="1:35" ht="14.5" thickBot="1" x14ac:dyDescent="0.35">
      <c r="A362" s="33" t="s">
        <v>688</v>
      </c>
      <c r="B362" s="46"/>
      <c r="C362" s="46"/>
      <c r="D362" s="46"/>
      <c r="E362" s="46"/>
      <c r="F362" s="35">
        <f>F343/F359</f>
        <v>1.4545530350216327E-2</v>
      </c>
      <c r="G362" s="35">
        <f t="shared" ref="G362:M362" si="144">G343/G359</f>
        <v>1.950451618884461E-2</v>
      </c>
      <c r="H362" s="35">
        <f t="shared" si="144"/>
        <v>4.0970265765169376E-3</v>
      </c>
      <c r="I362" s="35">
        <f t="shared" si="144"/>
        <v>1.3017152478064224E-2</v>
      </c>
      <c r="J362" s="35">
        <f t="shared" si="144"/>
        <v>-2.4241061156761376E-2</v>
      </c>
      <c r="K362" s="35">
        <f t="shared" si="144"/>
        <v>-2.8290179054436423E-2</v>
      </c>
      <c r="L362" s="35">
        <f t="shared" si="144"/>
        <v>1.0923993707091195E-2</v>
      </c>
      <c r="M362" s="35">
        <f t="shared" si="144"/>
        <v>0.29499184243231713</v>
      </c>
      <c r="N362" s="35" t="e">
        <f>N343/#REF!</f>
        <v>#REF!</v>
      </c>
      <c r="O362" s="35" t="e">
        <f>O343/#REF!</f>
        <v>#REF!</v>
      </c>
      <c r="P362" s="35" t="e">
        <f>P343/#REF!</f>
        <v>#REF!</v>
      </c>
      <c r="Q362" s="35" t="e">
        <f>Q343/#REF!</f>
        <v>#REF!</v>
      </c>
      <c r="R362" s="35" t="e">
        <f>R343/#REF!</f>
        <v>#REF!</v>
      </c>
      <c r="S362" s="35" t="e">
        <f>S343/#REF!</f>
        <v>#REF!</v>
      </c>
      <c r="T362" s="35" t="e">
        <f>T343/#REF!</f>
        <v>#REF!</v>
      </c>
      <c r="U362" s="35" t="e">
        <f>U343/#REF!</f>
        <v>#REF!</v>
      </c>
      <c r="V362" s="35" t="e">
        <f>V343/#REF!</f>
        <v>#REF!</v>
      </c>
      <c r="W362" s="35" t="e">
        <f>W343/#REF!</f>
        <v>#REF!</v>
      </c>
      <c r="X362" s="35" t="e">
        <f>X343/#REF!</f>
        <v>#REF!</v>
      </c>
      <c r="Y362" s="35" t="e">
        <f>Y343/#REF!</f>
        <v>#REF!</v>
      </c>
      <c r="Z362" s="35" t="e">
        <f>Z343/#REF!</f>
        <v>#REF!</v>
      </c>
      <c r="AA362" s="35" t="e">
        <f>AA343/#REF!</f>
        <v>#REF!</v>
      </c>
      <c r="AB362" s="35" t="e">
        <f>AB343/#REF!</f>
        <v>#REF!</v>
      </c>
      <c r="AC362" s="35" t="e">
        <f>AC343/#REF!</f>
        <v>#REF!</v>
      </c>
      <c r="AD362" s="35" t="e">
        <f>AD343/#REF!</f>
        <v>#REF!</v>
      </c>
      <c r="AE362" s="35" t="e">
        <f>AE343/#REF!</f>
        <v>#REF!</v>
      </c>
      <c r="AF362" s="35" t="e">
        <f>AF343/#REF!</f>
        <v>#REF!</v>
      </c>
      <c r="AG362" s="35" t="e">
        <f>AG343/#REF!</f>
        <v>#REF!</v>
      </c>
    </row>
    <row r="363" spans="1:35" x14ac:dyDescent="0.3">
      <c r="F363" s="36"/>
      <c r="G363" s="20"/>
      <c r="I363" s="20"/>
      <c r="J363" s="20"/>
      <c r="Y363" s="20"/>
      <c r="AB363" s="20">
        <f>SUM(Y355:AB355)</f>
        <v>0</v>
      </c>
    </row>
    <row r="364" spans="1:35" x14ac:dyDescent="0.3">
      <c r="A364" s="2" t="s">
        <v>746</v>
      </c>
      <c r="F364" s="115">
        <f>SUM(G364:M364)</f>
        <v>79608164.279999986</v>
      </c>
      <c r="G364" s="18">
        <f>(G359*$F$391)-G343</f>
        <v>53010657.705341354</v>
      </c>
      <c r="H364" s="18">
        <f t="shared" ref="H364:M364" si="145">(H359*$F$391)-H343</f>
        <v>6033778.925078975</v>
      </c>
      <c r="I364" s="18">
        <f t="shared" si="145"/>
        <v>1706050.7679066537</v>
      </c>
      <c r="J364" s="18">
        <f t="shared" si="145"/>
        <v>5864909.1515436806</v>
      </c>
      <c r="K364" s="18">
        <f t="shared" si="145"/>
        <v>16749383.29022355</v>
      </c>
      <c r="L364" s="18">
        <f t="shared" si="145"/>
        <v>366971.03334344446</v>
      </c>
      <c r="M364" s="18">
        <f t="shared" si="145"/>
        <v>-4123586.5934376698</v>
      </c>
      <c r="Y364" s="20"/>
      <c r="AB364" s="20"/>
      <c r="AH364" s="20">
        <f t="shared" ref="AH364" si="146">SUM(G364:AG364)</f>
        <v>79608164.279999986</v>
      </c>
      <c r="AI364" s="15" t="str">
        <f t="shared" ref="AI364" si="147">IF(ABS(F364-AH364)&lt;0.01,"ok","err")</f>
        <v>ok</v>
      </c>
    </row>
    <row r="365" spans="1:35" x14ac:dyDescent="0.3">
      <c r="F365" s="38">
        <f t="shared" ref="F365:M365" si="148">F364/F238</f>
        <v>7.4797524328446371E-2</v>
      </c>
      <c r="G365" s="38">
        <f t="shared" si="148"/>
        <v>6.6082682369074178E-2</v>
      </c>
      <c r="H365" s="38">
        <f t="shared" si="148"/>
        <v>7.8716812371890807E-2</v>
      </c>
      <c r="I365" s="38">
        <f t="shared" si="148"/>
        <v>5.6376635336589487E-2</v>
      </c>
      <c r="J365" s="38">
        <f t="shared" si="148"/>
        <v>0.12833317898108237</v>
      </c>
      <c r="K365" s="38">
        <f t="shared" si="148"/>
        <v>0.20327173494655595</v>
      </c>
      <c r="L365" s="38">
        <f t="shared" si="148"/>
        <v>2.786595518034404E-2</v>
      </c>
      <c r="M365" s="38">
        <f t="shared" si="148"/>
        <v>-0.29567169082573386</v>
      </c>
      <c r="Y365" s="20"/>
      <c r="AB365" s="20"/>
    </row>
    <row r="366" spans="1:35" x14ac:dyDescent="0.3">
      <c r="F366" s="36"/>
      <c r="G366" s="20"/>
      <c r="I366" s="20"/>
      <c r="J366" s="20"/>
      <c r="Y366" s="20"/>
      <c r="AB366" s="20"/>
    </row>
    <row r="367" spans="1:35" x14ac:dyDescent="0.3">
      <c r="A367" s="2" t="s">
        <v>747</v>
      </c>
      <c r="F367" s="18">
        <v>79757474</v>
      </c>
      <c r="G367" s="20">
        <f>F367-SUM(H367:M367)</f>
        <v>55695648.372199625</v>
      </c>
      <c r="H367" s="18">
        <f>H238*0.09</f>
        <v>6898654.6443415601</v>
      </c>
      <c r="I367" s="18">
        <f>I238*0.09</f>
        <v>2723549.7151413988</v>
      </c>
      <c r="J367" s="18">
        <f>J238*0.11</f>
        <v>5027071.0333210491</v>
      </c>
      <c r="K367" s="18">
        <f>K238*0.11</f>
        <v>9063887.6202291548</v>
      </c>
      <c r="L367" s="40">
        <v>0</v>
      </c>
      <c r="M367" s="18">
        <f>M238*0.025</f>
        <v>348662.61476720759</v>
      </c>
      <c r="Y367" s="20"/>
      <c r="AB367" s="20"/>
      <c r="AH367" s="20">
        <f t="shared" ref="AH367" si="149">SUM(G367:AG367)</f>
        <v>79757474</v>
      </c>
    </row>
    <row r="368" spans="1:35" x14ac:dyDescent="0.3">
      <c r="F368" s="20">
        <f>F364+F385</f>
        <v>79731915.279999986</v>
      </c>
      <c r="G368" s="38">
        <f t="shared" ref="G368:M368" si="150">G367/G238</f>
        <v>6.942977129576082E-2</v>
      </c>
      <c r="H368" s="38">
        <f t="shared" si="150"/>
        <v>0.09</v>
      </c>
      <c r="I368" s="38">
        <f t="shared" si="150"/>
        <v>0.09</v>
      </c>
      <c r="J368" s="38">
        <f t="shared" si="150"/>
        <v>0.11</v>
      </c>
      <c r="K368" s="38">
        <f t="shared" si="150"/>
        <v>0.11</v>
      </c>
      <c r="L368" s="38">
        <f t="shared" si="150"/>
        <v>0</v>
      </c>
      <c r="M368" s="38">
        <f t="shared" si="150"/>
        <v>2.5000000000000001E-2</v>
      </c>
      <c r="Y368" s="20"/>
      <c r="AB368" s="20"/>
    </row>
    <row r="369" spans="1:35" x14ac:dyDescent="0.3">
      <c r="F369" s="36"/>
      <c r="G369" s="38"/>
      <c r="H369" s="38"/>
      <c r="I369" s="38"/>
      <c r="J369" s="38"/>
      <c r="K369" s="38"/>
      <c r="L369" s="38"/>
      <c r="M369" s="38"/>
      <c r="Y369" s="20"/>
      <c r="AB369" s="20"/>
    </row>
    <row r="370" spans="1:35" x14ac:dyDescent="0.3">
      <c r="A370" s="3" t="s">
        <v>748</v>
      </c>
    </row>
    <row r="372" spans="1:35" x14ac:dyDescent="0.3">
      <c r="A372" s="3" t="s">
        <v>652</v>
      </c>
      <c r="I372" s="38"/>
    </row>
    <row r="374" spans="1:35" x14ac:dyDescent="0.3">
      <c r="A374" s="2" t="s">
        <v>690</v>
      </c>
      <c r="F374" s="20">
        <f t="shared" ref="F374:AG374" si="151">F293</f>
        <v>476634652.71000004</v>
      </c>
      <c r="G374" s="20">
        <f t="shared" si="151"/>
        <v>371848034.0822798</v>
      </c>
      <c r="H374" s="20">
        <f t="shared" si="151"/>
        <v>30421728.481393959</v>
      </c>
      <c r="I374" s="20">
        <f t="shared" si="151"/>
        <v>11670065.57721477</v>
      </c>
      <c r="J374" s="20">
        <f t="shared" si="151"/>
        <v>19823317.236726459</v>
      </c>
      <c r="K374" s="20">
        <f t="shared" si="151"/>
        <v>24929545.454087842</v>
      </c>
      <c r="L374" s="20">
        <f t="shared" si="151"/>
        <v>12515966.570435965</v>
      </c>
      <c r="M374" s="20">
        <f t="shared" si="151"/>
        <v>5425995.3078610906</v>
      </c>
      <c r="N374" s="20">
        <f t="shared" si="151"/>
        <v>0</v>
      </c>
      <c r="O374" s="20">
        <f t="shared" si="151"/>
        <v>0</v>
      </c>
      <c r="P374" s="20">
        <f t="shared" si="151"/>
        <v>0</v>
      </c>
      <c r="Q374" s="20">
        <f t="shared" si="151"/>
        <v>0</v>
      </c>
      <c r="R374" s="20">
        <f t="shared" si="151"/>
        <v>0</v>
      </c>
      <c r="S374" s="20">
        <f t="shared" si="151"/>
        <v>0</v>
      </c>
      <c r="T374" s="20">
        <f t="shared" si="151"/>
        <v>0</v>
      </c>
      <c r="U374" s="20">
        <f t="shared" si="151"/>
        <v>0</v>
      </c>
      <c r="V374" s="20">
        <f t="shared" si="151"/>
        <v>0</v>
      </c>
      <c r="W374" s="20">
        <f t="shared" si="151"/>
        <v>0</v>
      </c>
      <c r="X374" s="20">
        <f t="shared" si="151"/>
        <v>0</v>
      </c>
      <c r="Y374" s="20">
        <f t="shared" si="151"/>
        <v>0</v>
      </c>
      <c r="Z374" s="20">
        <f t="shared" si="151"/>
        <v>0</v>
      </c>
      <c r="AA374" s="20">
        <f t="shared" si="151"/>
        <v>0</v>
      </c>
      <c r="AB374" s="20">
        <f t="shared" si="151"/>
        <v>0</v>
      </c>
      <c r="AC374" s="20">
        <f t="shared" si="151"/>
        <v>0</v>
      </c>
      <c r="AD374" s="20">
        <f t="shared" si="151"/>
        <v>0</v>
      </c>
      <c r="AE374" s="20">
        <f t="shared" si="151"/>
        <v>0</v>
      </c>
      <c r="AF374" s="20">
        <f t="shared" si="151"/>
        <v>0</v>
      </c>
      <c r="AG374" s="20">
        <f t="shared" si="151"/>
        <v>0</v>
      </c>
      <c r="AH374" s="20">
        <f>ROUND(SUM(G374:AG374),2)</f>
        <v>476634652.70999998</v>
      </c>
      <c r="AI374" s="15" t="str">
        <f>IF(ABS(F374-AH374)&lt;0.01,"ok","err")</f>
        <v>ok</v>
      </c>
    </row>
    <row r="375" spans="1:35" x14ac:dyDescent="0.3"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15"/>
    </row>
    <row r="376" spans="1:35" x14ac:dyDescent="0.3">
      <c r="A376" s="2" t="s">
        <v>691</v>
      </c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15"/>
    </row>
    <row r="377" spans="1:35" x14ac:dyDescent="0.3">
      <c r="A377" s="2" t="s">
        <v>749</v>
      </c>
      <c r="F377" s="18">
        <v>79731915.280000001</v>
      </c>
      <c r="G377" s="18">
        <v>55671585.390000001</v>
      </c>
      <c r="H377" s="18">
        <v>6898139.7599999998</v>
      </c>
      <c r="I377" s="18">
        <v>2723401.56</v>
      </c>
      <c r="J377" s="18">
        <v>5027006.87</v>
      </c>
      <c r="K377" s="18">
        <v>9063284.4499999993</v>
      </c>
      <c r="L377" s="18">
        <v>0</v>
      </c>
      <c r="M377" s="18">
        <v>348497.25</v>
      </c>
      <c r="N377" s="18">
        <v>0</v>
      </c>
      <c r="O377" s="18">
        <v>0</v>
      </c>
      <c r="P377" s="18">
        <v>0</v>
      </c>
      <c r="Q377" s="18">
        <v>0</v>
      </c>
      <c r="R377" s="18">
        <v>0</v>
      </c>
      <c r="S377" s="18">
        <v>0</v>
      </c>
      <c r="T377" s="18">
        <v>0</v>
      </c>
      <c r="U377" s="18">
        <v>0</v>
      </c>
      <c r="V377" s="18">
        <v>0</v>
      </c>
      <c r="W377" s="18">
        <v>0</v>
      </c>
      <c r="X377" s="18">
        <v>0</v>
      </c>
      <c r="Y377" s="18">
        <v>0</v>
      </c>
      <c r="Z377" s="18">
        <v>0</v>
      </c>
      <c r="AA377" s="18">
        <v>0</v>
      </c>
      <c r="AB377" s="18">
        <v>0</v>
      </c>
      <c r="AC377" s="18">
        <v>0</v>
      </c>
      <c r="AD377" s="18">
        <v>0</v>
      </c>
      <c r="AE377" s="18">
        <v>0</v>
      </c>
      <c r="AF377" s="18">
        <v>0</v>
      </c>
      <c r="AG377" s="18">
        <v>0</v>
      </c>
      <c r="AH377" s="20">
        <f>SUM(G377:AG377)</f>
        <v>79731915.280000001</v>
      </c>
      <c r="AI377" s="15" t="str">
        <f>IF(ABS(F377-AH377)&lt;0.01,"ok","err")</f>
        <v>ok</v>
      </c>
    </row>
    <row r="379" spans="1:35" x14ac:dyDescent="0.3">
      <c r="A379" s="2" t="s">
        <v>700</v>
      </c>
      <c r="F379" s="20">
        <f>SUM(F374:F377)</f>
        <v>556366567.99000001</v>
      </c>
      <c r="G379" s="20">
        <f t="shared" ref="G379:AG379" si="152">SUM(G374:G377)</f>
        <v>427519619.47227979</v>
      </c>
      <c r="H379" s="20">
        <f t="shared" si="152"/>
        <v>37319868.241393961</v>
      </c>
      <c r="I379" s="20">
        <f t="shared" si="152"/>
        <v>14393467.137214771</v>
      </c>
      <c r="J379" s="20">
        <f t="shared" si="152"/>
        <v>24850324.10672646</v>
      </c>
      <c r="K379" s="20">
        <f t="shared" si="152"/>
        <v>33992829.904087842</v>
      </c>
      <c r="L379" s="20">
        <f t="shared" si="152"/>
        <v>12515966.570435965</v>
      </c>
      <c r="M379" s="20">
        <f t="shared" si="152"/>
        <v>5774492.5578610906</v>
      </c>
      <c r="N379" s="20">
        <f t="shared" si="152"/>
        <v>0</v>
      </c>
      <c r="O379" s="20">
        <f t="shared" si="152"/>
        <v>0</v>
      </c>
      <c r="P379" s="20">
        <f t="shared" si="152"/>
        <v>0</v>
      </c>
      <c r="Q379" s="20">
        <f t="shared" si="152"/>
        <v>0</v>
      </c>
      <c r="R379" s="20">
        <f t="shared" si="152"/>
        <v>0</v>
      </c>
      <c r="S379" s="20">
        <f t="shared" si="152"/>
        <v>0</v>
      </c>
      <c r="T379" s="20">
        <f t="shared" si="152"/>
        <v>0</v>
      </c>
      <c r="U379" s="20">
        <f t="shared" si="152"/>
        <v>0</v>
      </c>
      <c r="V379" s="20">
        <f t="shared" si="152"/>
        <v>0</v>
      </c>
      <c r="W379" s="20">
        <f t="shared" si="152"/>
        <v>0</v>
      </c>
      <c r="X379" s="20">
        <f t="shared" si="152"/>
        <v>0</v>
      </c>
      <c r="Y379" s="20">
        <f t="shared" si="152"/>
        <v>0</v>
      </c>
      <c r="Z379" s="20">
        <f t="shared" si="152"/>
        <v>0</v>
      </c>
      <c r="AA379" s="20">
        <f t="shared" si="152"/>
        <v>0</v>
      </c>
      <c r="AB379" s="20">
        <f t="shared" si="152"/>
        <v>0</v>
      </c>
      <c r="AC379" s="20">
        <f t="shared" si="152"/>
        <v>0</v>
      </c>
      <c r="AD379" s="20">
        <f t="shared" si="152"/>
        <v>0</v>
      </c>
      <c r="AE379" s="20">
        <f t="shared" si="152"/>
        <v>0</v>
      </c>
      <c r="AF379" s="20">
        <f t="shared" si="152"/>
        <v>0</v>
      </c>
      <c r="AG379" s="20">
        <f t="shared" si="152"/>
        <v>0</v>
      </c>
      <c r="AH379" s="20">
        <f>ROUND(SUM(G379:AG379),2)</f>
        <v>556366567.99000001</v>
      </c>
      <c r="AI379" s="15" t="str">
        <f>IF(ABS(F379-AH379)&lt;0.01,"ok","err")</f>
        <v>ok</v>
      </c>
    </row>
    <row r="382" spans="1:35" x14ac:dyDescent="0.3">
      <c r="A382" s="3" t="s">
        <v>672</v>
      </c>
    </row>
    <row r="384" spans="1:35" x14ac:dyDescent="0.3">
      <c r="A384" s="2" t="s">
        <v>678</v>
      </c>
      <c r="F384" s="20">
        <f>F341</f>
        <v>440231983.47300005</v>
      </c>
      <c r="G384" s="20">
        <f t="shared" ref="G384:M384" si="153">G341</f>
        <v>333340189.87217152</v>
      </c>
      <c r="H384" s="20">
        <f t="shared" si="153"/>
        <v>29836734.521752931</v>
      </c>
      <c r="I384" s="20">
        <f t="shared" si="153"/>
        <v>11003914.460529715</v>
      </c>
      <c r="J384" s="20">
        <f t="shared" si="153"/>
        <v>21837197.13346485</v>
      </c>
      <c r="K384" s="20">
        <f t="shared" si="153"/>
        <v>31277500.070024237</v>
      </c>
      <c r="L384" s="20">
        <f t="shared" si="153"/>
        <v>12402822.454777271</v>
      </c>
      <c r="M384" s="20">
        <f t="shared" si="153"/>
        <v>533624.96027939674</v>
      </c>
      <c r="N384" s="20">
        <f t="shared" ref="N384:AG384" si="154">SUM(N300:N303)</f>
        <v>0</v>
      </c>
      <c r="O384" s="20">
        <f t="shared" si="154"/>
        <v>0</v>
      </c>
      <c r="P384" s="20">
        <f t="shared" si="154"/>
        <v>0</v>
      </c>
      <c r="Q384" s="20">
        <f t="shared" si="154"/>
        <v>0</v>
      </c>
      <c r="R384" s="20">
        <f t="shared" si="154"/>
        <v>0</v>
      </c>
      <c r="S384" s="20">
        <f t="shared" si="154"/>
        <v>0</v>
      </c>
      <c r="T384" s="20">
        <f t="shared" si="154"/>
        <v>0</v>
      </c>
      <c r="U384" s="20">
        <f t="shared" si="154"/>
        <v>0</v>
      </c>
      <c r="V384" s="20">
        <f t="shared" si="154"/>
        <v>0</v>
      </c>
      <c r="W384" s="20">
        <f t="shared" si="154"/>
        <v>0</v>
      </c>
      <c r="X384" s="20">
        <f t="shared" si="154"/>
        <v>0</v>
      </c>
      <c r="Y384" s="20">
        <f t="shared" si="154"/>
        <v>0</v>
      </c>
      <c r="Z384" s="20">
        <f t="shared" si="154"/>
        <v>0</v>
      </c>
      <c r="AA384" s="20">
        <f t="shared" si="154"/>
        <v>0</v>
      </c>
      <c r="AB384" s="20">
        <f t="shared" si="154"/>
        <v>0</v>
      </c>
      <c r="AC384" s="20">
        <f t="shared" si="154"/>
        <v>0</v>
      </c>
      <c r="AD384" s="20">
        <f t="shared" si="154"/>
        <v>0</v>
      </c>
      <c r="AE384" s="20">
        <f t="shared" si="154"/>
        <v>0</v>
      </c>
      <c r="AF384" s="20">
        <f t="shared" si="154"/>
        <v>0</v>
      </c>
      <c r="AG384" s="20">
        <f t="shared" si="154"/>
        <v>0</v>
      </c>
      <c r="AH384" s="20">
        <f>ROUND(SUM(G384:AG384),2)</f>
        <v>440231983.47000003</v>
      </c>
      <c r="AI384" s="15" t="str">
        <f>IF(ABS(F384-AH384)&lt;0.01,"ok","err")</f>
        <v>ok</v>
      </c>
    </row>
    <row r="385" spans="1:35" x14ac:dyDescent="0.3">
      <c r="A385" s="2" t="s">
        <v>750</v>
      </c>
      <c r="E385" s="2" t="s">
        <v>577</v>
      </c>
      <c r="F385" s="20">
        <v>123751</v>
      </c>
      <c r="G385" s="18">
        <f>IF(VLOOKUP($E385,$D$5:$AI$471,3,)=0,0,(VLOOKUP($E385,$D$5:$AI$471,4,)/VLOOKUP($E385,$D$5:$AI$471,3,))*$F385)</f>
        <v>97040.658053635547</v>
      </c>
      <c r="H385" s="18">
        <f>IF(VLOOKUP($E385,$D$5:$AI$471,3,)=0,0,(VLOOKUP($E385,$D$5:$AI$471,5,)/VLOOKUP($E385,$D$5:$AI$471,3,))*$F385)</f>
        <v>7276.1549282137148</v>
      </c>
      <c r="I385" s="18">
        <f>IF(VLOOKUP($E385,$D$5:$AI$471,3,)=0,0,(VLOOKUP($E385,$D$5:$AI$471,6,)/VLOOKUP($E385,$D$5:$AI$471,3,))*$F385)</f>
        <v>2611.2350014827771</v>
      </c>
      <c r="J385" s="18">
        <f>IF(VLOOKUP($E385,$D$5:$AI$471,3,)=0,0,(VLOOKUP($E385,$D$5:$AI$471,7,)/VLOOKUP($E385,$D$5:$AI$471,3,))*$F385)</f>
        <v>4232.9000351235827</v>
      </c>
      <c r="K385" s="18">
        <f>IF(VLOOKUP($E385,$D$5:$AI$471,3,)=0,0,(VLOOKUP($E385,$D$5:$AI$471,8,)/VLOOKUP($E385,$D$5:$AI$471,3,))*$F385)</f>
        <v>11556.986663470609</v>
      </c>
      <c r="L385" s="18">
        <f>IF(VLOOKUP($E385,$D$5:$AI$471,3,)=0,0,(VLOOKUP($E385,$D$5:$AI$471,9,)/VLOOKUP($E385,$D$5:$AI$471,3,))*$F385)</f>
        <v>402.51143179911912</v>
      </c>
      <c r="M385" s="18">
        <f>IF(VLOOKUP($E385,$D$5:$AI$471,3,)=0,0,(VLOOKUP($E385,$D$5:$AI$471,10,)/VLOOKUP($E385,$D$5:$AI$471,3,))*$F385)</f>
        <v>630.55388627463185</v>
      </c>
      <c r="N385" s="18">
        <f>IF(VLOOKUP($E385,$D$5:$AI$471,3,)=0,0,(VLOOKUP($E385,$D$5:$AI$471,11,)/VLOOKUP($E385,$D$5:$AI$471,3,))*$F385)</f>
        <v>0</v>
      </c>
      <c r="O385" s="18">
        <f>IF(VLOOKUP($E385,$D$5:$AI$471,3,)=0,0,(VLOOKUP($E385,$D$5:$AI$471,12,)/VLOOKUP($E385,$D$5:$AI$471,3,))*$F385)</f>
        <v>0</v>
      </c>
      <c r="P385" s="18">
        <f>IF(VLOOKUP($E385,$D$5:$AI$471,3,)=0,0,(VLOOKUP($E385,$D$5:$AI$471,13,)/VLOOKUP($E385,$D$5:$AI$471,3,))*$F385)</f>
        <v>0</v>
      </c>
      <c r="Q385" s="18">
        <f>IF(VLOOKUP($E385,$D$5:$AI$471,3,)=0,0,(VLOOKUP($E385,$D$5:$AI$471,14,)/VLOOKUP($E385,$D$5:$AI$471,3,))*$F385)</f>
        <v>0</v>
      </c>
      <c r="R385" s="18">
        <f>IF(VLOOKUP($E385,$D$5:$AI$471,3,)=0,0,(VLOOKUP($E385,$D$5:$AI$471,15,)/VLOOKUP($E385,$D$5:$AI$471,3,))*$F385)</f>
        <v>0</v>
      </c>
      <c r="S385" s="18">
        <f>IF(VLOOKUP($E385,$D$5:$AI$471,3,)=0,0,(VLOOKUP($E385,$D$5:$AI$471,16,)/VLOOKUP($E385,$D$5:$AI$471,3,))*$F385)</f>
        <v>0</v>
      </c>
      <c r="T385" s="18">
        <f>IF(VLOOKUP($E385,$D$5:$AI$471,3,)=0,0,(VLOOKUP($E385,$D$5:$AI$471,17,)/VLOOKUP($E385,$D$5:$AI$471,3,))*$F385)</f>
        <v>0</v>
      </c>
      <c r="U385" s="18">
        <f>IF(VLOOKUP($E385,$D$5:$AI$471,3,)=0,0,(VLOOKUP($E385,$D$5:$AI$471,18,)/VLOOKUP($E385,$D$5:$AI$471,3,))*$F385)</f>
        <v>0</v>
      </c>
      <c r="V385" s="18">
        <f>IF(VLOOKUP($E385,$D$5:$AI$471,3,)=0,0,(VLOOKUP($E385,$D$5:$AI$471,19,)/VLOOKUP($E385,$D$5:$AI$471,3,))*$F385)</f>
        <v>0</v>
      </c>
      <c r="W385" s="18">
        <f>IF(VLOOKUP($E385,$D$5:$AI$471,3,)=0,0,(VLOOKUP($E385,$D$5:$AI$471,20,)/VLOOKUP($E385,$D$5:$AI$471,3,))*$F385)</f>
        <v>0</v>
      </c>
      <c r="X385" s="18">
        <f>IF(VLOOKUP($E385,$D$5:$AI$471,3,)=0,0,(VLOOKUP($E385,$D$5:$AI$471,21,)/VLOOKUP($E385,$D$5:$AI$471,3,))*$F385)</f>
        <v>0</v>
      </c>
      <c r="Y385" s="18">
        <f>IF(VLOOKUP($E385,$D$5:$AI$471,3,)=0,0,(VLOOKUP($E385,$D$5:$AI$471,22,)/VLOOKUP($E385,$D$5:$AI$471,3,))*$F385)</f>
        <v>0</v>
      </c>
      <c r="Z385" s="18">
        <f>IF(VLOOKUP($E385,$D$5:$AI$471,3,)=0,0,(VLOOKUP($E385,$D$5:$AI$471,23,)/VLOOKUP($E385,$D$5:$AI$471,3,))*$F385)</f>
        <v>0</v>
      </c>
      <c r="AA385" s="18">
        <f>IF(VLOOKUP($E385,$D$5:$AI$471,3,)=0,0,(VLOOKUP($E385,$D$5:$AI$471,24,)/VLOOKUP($E385,$D$5:$AI$471,3,))*$F385)</f>
        <v>0</v>
      </c>
      <c r="AB385" s="18">
        <f>IF(VLOOKUP($E385,$D$5:$AI$471,3,)=0,0,(VLOOKUP($E385,$D$5:$AI$471,25,)/VLOOKUP($E385,$D$5:$AI$471,3,))*$F385)</f>
        <v>0</v>
      </c>
      <c r="AC385" s="18">
        <f>IF(VLOOKUP($E385,$D$5:$AI$471,3,)=0,0,(VLOOKUP($E385,$D$5:$AI$471,26,)/VLOOKUP($E385,$D$5:$AI$471,3,))*$F385)</f>
        <v>0</v>
      </c>
      <c r="AD385" s="18">
        <f>IF(VLOOKUP($E385,$D$5:$AI$471,3,)=0,0,(VLOOKUP($E385,$D$5:$AI$471,27,)/VLOOKUP($E385,$D$5:$AI$471,3,))*$F385)</f>
        <v>0</v>
      </c>
      <c r="AE385" s="18">
        <f>IF(VLOOKUP($E385,$D$5:$AI$471,3,)=0,0,(VLOOKUP($E385,$D$5:$AI$471,28,)/VLOOKUP($E385,$D$5:$AI$471,3,))*$F385)</f>
        <v>0</v>
      </c>
      <c r="AF385" s="18">
        <f>IF(VLOOKUP($E385,$D$5:$AI$471,3,)=0,0,(VLOOKUP($E385,$D$5:$AI$471,29,)/VLOOKUP($E385,$D$5:$AI$471,3,))*$F385)</f>
        <v>0</v>
      </c>
      <c r="AG385" s="18">
        <f>IF(VLOOKUP($E385,$D$5:$AI$471,3,)=0,0,(VLOOKUP($E385,$D$5:$AI$471,30,)/VLOOKUP($E385,$D$5:$AI$471,3,))*$F385)</f>
        <v>0</v>
      </c>
      <c r="AH385" s="20">
        <f t="shared" ref="AH385" si="155">SUM(G385:AG385)</f>
        <v>123751</v>
      </c>
      <c r="AI385" s="15" t="str">
        <f t="shared" ref="AI385" si="156">IF(ABS(F385-AH385)&lt;0.01,"ok","err")</f>
        <v>ok</v>
      </c>
    </row>
    <row r="387" spans="1:35" x14ac:dyDescent="0.3">
      <c r="A387" s="3" t="s">
        <v>751</v>
      </c>
      <c r="F387" s="20">
        <f>F379-F384-F385</f>
        <v>116010833.51699996</v>
      </c>
      <c r="G387" s="20">
        <f t="shared" ref="G387:M387" si="157">G379-G384-G385</f>
        <v>94082388.942054629</v>
      </c>
      <c r="H387" s="20">
        <f t="shared" si="157"/>
        <v>7475857.5647128159</v>
      </c>
      <c r="I387" s="20">
        <f t="shared" si="157"/>
        <v>3386941.4416835727</v>
      </c>
      <c r="J387" s="20">
        <f t="shared" si="157"/>
        <v>3008894.0732264859</v>
      </c>
      <c r="K387" s="20">
        <f t="shared" si="157"/>
        <v>2703772.847400134</v>
      </c>
      <c r="L387" s="20">
        <f t="shared" si="157"/>
        <v>112741.60422689575</v>
      </c>
      <c r="M387" s="20">
        <f t="shared" si="157"/>
        <v>5240237.0436954191</v>
      </c>
      <c r="N387" s="20">
        <f t="shared" ref="N387:AG387" si="158">N379-N384</f>
        <v>0</v>
      </c>
      <c r="O387" s="20">
        <f t="shared" si="158"/>
        <v>0</v>
      </c>
      <c r="P387" s="20">
        <f t="shared" si="158"/>
        <v>0</v>
      </c>
      <c r="Q387" s="20">
        <f t="shared" si="158"/>
        <v>0</v>
      </c>
      <c r="R387" s="20">
        <f t="shared" si="158"/>
        <v>0</v>
      </c>
      <c r="S387" s="20">
        <f t="shared" si="158"/>
        <v>0</v>
      </c>
      <c r="T387" s="20">
        <f t="shared" si="158"/>
        <v>0</v>
      </c>
      <c r="U387" s="20">
        <f t="shared" si="158"/>
        <v>0</v>
      </c>
      <c r="V387" s="20">
        <f t="shared" si="158"/>
        <v>0</v>
      </c>
      <c r="W387" s="20">
        <f t="shared" si="158"/>
        <v>0</v>
      </c>
      <c r="X387" s="20">
        <f t="shared" si="158"/>
        <v>0</v>
      </c>
      <c r="Y387" s="20">
        <f t="shared" si="158"/>
        <v>0</v>
      </c>
      <c r="Z387" s="20">
        <f t="shared" si="158"/>
        <v>0</v>
      </c>
      <c r="AA387" s="20">
        <f t="shared" si="158"/>
        <v>0</v>
      </c>
      <c r="AB387" s="20">
        <f t="shared" si="158"/>
        <v>0</v>
      </c>
      <c r="AC387" s="20">
        <f t="shared" si="158"/>
        <v>0</v>
      </c>
      <c r="AD387" s="20">
        <f t="shared" si="158"/>
        <v>0</v>
      </c>
      <c r="AE387" s="20">
        <f t="shared" si="158"/>
        <v>0</v>
      </c>
      <c r="AF387" s="20">
        <f t="shared" si="158"/>
        <v>0</v>
      </c>
      <c r="AG387" s="20">
        <f t="shared" si="158"/>
        <v>0</v>
      </c>
      <c r="AH387" s="20">
        <f>ROUND(SUM(G387:AG387),2)</f>
        <v>116010833.52</v>
      </c>
      <c r="AI387" s="15" t="str">
        <f>IF(ABS(F387-AH387)&lt;0.01,"ok","err")</f>
        <v>ok</v>
      </c>
    </row>
    <row r="389" spans="1:35" x14ac:dyDescent="0.3">
      <c r="A389" s="3" t="s">
        <v>567</v>
      </c>
      <c r="F389" s="20">
        <f>F359</f>
        <v>2502670467.1829715</v>
      </c>
      <c r="G389" s="20">
        <f t="shared" ref="G389:M389" si="159">G359</f>
        <v>1974303993.8684771</v>
      </c>
      <c r="H389" s="20">
        <f t="shared" si="159"/>
        <v>142785004.8603681</v>
      </c>
      <c r="I389" s="20">
        <f t="shared" si="159"/>
        <v>51174872.369945399</v>
      </c>
      <c r="J389" s="20">
        <f t="shared" si="159"/>
        <v>83077216.946696043</v>
      </c>
      <c r="K389" s="20">
        <f t="shared" si="159"/>
        <v>224387219.45596588</v>
      </c>
      <c r="L389" s="20">
        <f t="shared" si="159"/>
        <v>10357394.80381141</v>
      </c>
      <c r="M389" s="20">
        <f t="shared" si="159"/>
        <v>16584764.877707418</v>
      </c>
      <c r="N389" s="20">
        <f t="shared" ref="N389:AG389" si="160">N273</f>
        <v>0</v>
      </c>
      <c r="O389" s="20">
        <f t="shared" si="160"/>
        <v>0</v>
      </c>
      <c r="P389" s="20">
        <f t="shared" si="160"/>
        <v>0</v>
      </c>
      <c r="Q389" s="20">
        <f t="shared" si="160"/>
        <v>0</v>
      </c>
      <c r="R389" s="20">
        <f t="shared" si="160"/>
        <v>0</v>
      </c>
      <c r="S389" s="20">
        <f t="shared" si="160"/>
        <v>0</v>
      </c>
      <c r="T389" s="20">
        <f t="shared" si="160"/>
        <v>0</v>
      </c>
      <c r="U389" s="20">
        <f t="shared" si="160"/>
        <v>0</v>
      </c>
      <c r="V389" s="20">
        <f t="shared" si="160"/>
        <v>0</v>
      </c>
      <c r="W389" s="20">
        <f t="shared" si="160"/>
        <v>0</v>
      </c>
      <c r="X389" s="20">
        <f t="shared" si="160"/>
        <v>0</v>
      </c>
      <c r="Y389" s="20">
        <f t="shared" si="160"/>
        <v>0</v>
      </c>
      <c r="Z389" s="20">
        <f t="shared" si="160"/>
        <v>0</v>
      </c>
      <c r="AA389" s="20">
        <f t="shared" si="160"/>
        <v>0</v>
      </c>
      <c r="AB389" s="20">
        <f t="shared" si="160"/>
        <v>0</v>
      </c>
      <c r="AC389" s="20">
        <f t="shared" si="160"/>
        <v>0</v>
      </c>
      <c r="AD389" s="20">
        <f t="shared" si="160"/>
        <v>0</v>
      </c>
      <c r="AE389" s="20">
        <f t="shared" si="160"/>
        <v>0</v>
      </c>
      <c r="AF389" s="20">
        <f t="shared" si="160"/>
        <v>0</v>
      </c>
      <c r="AG389" s="20">
        <f t="shared" si="160"/>
        <v>0</v>
      </c>
      <c r="AH389" s="20">
        <f>ROUND(SUM(G389:AG389),2)</f>
        <v>2502670467.1799998</v>
      </c>
      <c r="AI389" s="15" t="str">
        <f>IF(ABS(F389-AH389)&lt;0.01,"ok","err")</f>
        <v>ok</v>
      </c>
    </row>
    <row r="390" spans="1:35" ht="14.5" thickBot="1" x14ac:dyDescent="0.35"/>
    <row r="391" spans="1:35" ht="14.5" thickBot="1" x14ac:dyDescent="0.35">
      <c r="A391" s="33" t="s">
        <v>752</v>
      </c>
      <c r="B391" s="34"/>
      <c r="C391" s="87"/>
      <c r="D391" s="87"/>
      <c r="E391" s="34"/>
      <c r="F391" s="35">
        <f>F387/F389</f>
        <v>4.6354817798918133E-2</v>
      </c>
      <c r="G391" s="35">
        <f t="shared" ref="G391:S391" si="161">G387/G389</f>
        <v>4.7653446092518086E-2</v>
      </c>
      <c r="H391" s="35">
        <f t="shared" si="161"/>
        <v>5.2357441679702882E-2</v>
      </c>
      <c r="I391" s="35">
        <f t="shared" si="161"/>
        <v>6.6183681264492936E-2</v>
      </c>
      <c r="J391" s="35">
        <f t="shared" si="161"/>
        <v>3.6218041285098063E-2</v>
      </c>
      <c r="K391" s="35">
        <f t="shared" si="161"/>
        <v>1.2049584882577178E-2</v>
      </c>
      <c r="L391" s="35">
        <f t="shared" si="161"/>
        <v>1.0885131479723845E-2</v>
      </c>
      <c r="M391" s="35">
        <f t="shared" si="161"/>
        <v>0.31596691797175475</v>
      </c>
      <c r="N391" s="35" t="e">
        <f t="shared" si="161"/>
        <v>#DIV/0!</v>
      </c>
      <c r="O391" s="35" t="e">
        <f t="shared" si="161"/>
        <v>#DIV/0!</v>
      </c>
      <c r="P391" s="35" t="e">
        <f t="shared" si="161"/>
        <v>#DIV/0!</v>
      </c>
      <c r="Q391" s="35" t="e">
        <f t="shared" si="161"/>
        <v>#DIV/0!</v>
      </c>
      <c r="R391" s="35" t="e">
        <f>R387/R389</f>
        <v>#DIV/0!</v>
      </c>
      <c r="S391" s="35" t="e">
        <f t="shared" si="161"/>
        <v>#DIV/0!</v>
      </c>
      <c r="T391" s="35" t="e">
        <f>T387/T389</f>
        <v>#DIV/0!</v>
      </c>
      <c r="U391" s="35" t="e">
        <f>U387/U389</f>
        <v>#DIV/0!</v>
      </c>
      <c r="V391" s="35" t="e">
        <f t="shared" ref="V391:AG391" si="162">V387/V389</f>
        <v>#DIV/0!</v>
      </c>
      <c r="W391" s="35" t="e">
        <f t="shared" si="162"/>
        <v>#DIV/0!</v>
      </c>
      <c r="X391" s="35" t="e">
        <f t="shared" si="162"/>
        <v>#DIV/0!</v>
      </c>
      <c r="Y391" s="35" t="e">
        <f t="shared" si="162"/>
        <v>#DIV/0!</v>
      </c>
      <c r="Z391" s="35" t="e">
        <f t="shared" si="162"/>
        <v>#DIV/0!</v>
      </c>
      <c r="AA391" s="35" t="e">
        <f t="shared" si="162"/>
        <v>#DIV/0!</v>
      </c>
      <c r="AB391" s="35" t="e">
        <f t="shared" si="162"/>
        <v>#DIV/0!</v>
      </c>
      <c r="AC391" s="35" t="e">
        <f t="shared" si="162"/>
        <v>#DIV/0!</v>
      </c>
      <c r="AD391" s="35" t="e">
        <f t="shared" si="162"/>
        <v>#DIV/0!</v>
      </c>
      <c r="AE391" s="35" t="e">
        <f t="shared" si="162"/>
        <v>#DIV/0!</v>
      </c>
      <c r="AF391" s="35" t="e">
        <f t="shared" si="162"/>
        <v>#DIV/0!</v>
      </c>
      <c r="AG391" s="35" t="e">
        <f t="shared" si="162"/>
        <v>#DIV/0!</v>
      </c>
      <c r="AH391" s="3"/>
      <c r="AI391" s="3"/>
    </row>
    <row r="393" spans="1:35" x14ac:dyDescent="0.3">
      <c r="F393" s="20"/>
      <c r="H393" s="20"/>
    </row>
    <row r="394" spans="1:35" x14ac:dyDescent="0.3">
      <c r="A394" s="16" t="s">
        <v>753</v>
      </c>
      <c r="F394" s="20"/>
    </row>
    <row r="396" spans="1:35" x14ac:dyDescent="0.3">
      <c r="A396" s="3" t="s">
        <v>754</v>
      </c>
    </row>
    <row r="397" spans="1:35" x14ac:dyDescent="0.3">
      <c r="A397" s="2" t="s">
        <v>755</v>
      </c>
      <c r="D397" s="2" t="s">
        <v>756</v>
      </c>
      <c r="E397" s="2" t="s">
        <v>122</v>
      </c>
      <c r="F397" s="28">
        <v>1</v>
      </c>
      <c r="G397" s="28">
        <f>IF(VLOOKUP($E397,$D$5:$AI$471,3,)=0,0,(VLOOKUP($E397,$D$5:$AI$471,4,)/VLOOKUP($E397,$D$5:$AI$471,3,))*$F397)</f>
        <v>0.69797508222941729</v>
      </c>
      <c r="H397" s="28">
        <f>IF(VLOOKUP($E397,$D$5:$AI$471,3,)=0,0,(VLOOKUP($E397,$D$5:$AI$471,5,)/VLOOKUP($E397,$D$5:$AI$471,3,))*$F397)</f>
        <v>8.0537839261392699E-2</v>
      </c>
      <c r="I397" s="28">
        <f>IF(VLOOKUP($E397,$D$5:$AI$471,3,)=0,0,(VLOOKUP($E397,$D$5:$AI$471,6,)/VLOOKUP($E397,$D$5:$AI$471,3,))*$F397)</f>
        <v>3.2731481867702174E-2</v>
      </c>
      <c r="J397" s="28">
        <f>IF(VLOOKUP($E397,$D$5:$AI$471,3,)=0,0,(VLOOKUP($E397,$D$5:$AI$471,7,)/VLOOKUP($E397,$D$5:$AI$471,3,))*$F397)</f>
        <v>4.8583445188323117E-2</v>
      </c>
      <c r="K397" s="28">
        <f>IF(VLOOKUP($E397,$D$5:$AI$471,3,)=0,0,(VLOOKUP($E397,$D$5:$AI$471,8,)/VLOOKUP($E397,$D$5:$AI$471,3,))*$F397)</f>
        <v>0.10457600363143491</v>
      </c>
      <c r="L397" s="28">
        <f>IF(VLOOKUP($E397,$D$5:$AI$471,3,)=0,0,(VLOOKUP($E397,$D$5:$AI$471,9,)/VLOOKUP($E397,$D$5:$AI$471,3,))*$F397)</f>
        <v>2.0870696311373633E-2</v>
      </c>
      <c r="M397" s="28">
        <f>IF(VLOOKUP($E397,$D$5:$AI$471,3,)=0,0,(VLOOKUP($E397,$D$5:$AI$471,10,)/VLOOKUP($E397,$D$5:$AI$471,3,))*$F397)</f>
        <v>1.4725451510356227E-2</v>
      </c>
      <c r="N397" s="28">
        <f>IF(VLOOKUP($E397,$D$5:$AI$471,3,)=0,0,(VLOOKUP($E397,$D$5:$AI$471,11,)/VLOOKUP($E397,$D$5:$AI$471,3,))*$F397)</f>
        <v>0</v>
      </c>
      <c r="O397" s="28">
        <f>IF(VLOOKUP($E397,$D$5:$AI$471,3,)=0,0,(VLOOKUP($E397,$D$5:$AI$471,12,)/VLOOKUP($E397,$D$5:$AI$471,3,))*$F397)</f>
        <v>0</v>
      </c>
      <c r="P397" s="28">
        <f>IF(VLOOKUP($E397,$D$5:$AI$471,3,)=0,0,(VLOOKUP($E397,$D$5:$AI$471,13,)/VLOOKUP($E397,$D$5:$AI$471,3,))*$F397)</f>
        <v>0</v>
      </c>
      <c r="Q397" s="28">
        <f>IF(VLOOKUP($E397,$D$5:$AI$471,3,)=0,0,(VLOOKUP($E397,$D$5:$AI$471,14,)/VLOOKUP($E397,$D$5:$AI$471,3,))*$F397)</f>
        <v>0</v>
      </c>
      <c r="R397" s="28">
        <f>IF(VLOOKUP($E397,$D$5:$AI$471,3,)=0,0,(VLOOKUP($E397,$D$5:$AI$471,15,)/VLOOKUP($E397,$D$5:$AI$471,3,))*$F397)</f>
        <v>0</v>
      </c>
      <c r="S397" s="28">
        <f>IF(VLOOKUP($E397,$D$5:$AI$471,3,)=0,0,(VLOOKUP($E397,$D$5:$AI$471,16,)/VLOOKUP($E397,$D$5:$AI$471,3,))*$F397)</f>
        <v>0</v>
      </c>
      <c r="T397" s="28">
        <f>IF(VLOOKUP($E397,$D$5:$AI$471,3,)=0,0,(VLOOKUP($E397,$D$5:$AI$471,17,)/VLOOKUP($E397,$D$5:$AI$471,3,))*$F397)</f>
        <v>0</v>
      </c>
      <c r="U397" s="28">
        <f>IF(VLOOKUP($E397,$D$5:$AI$471,3,)=0,0,(VLOOKUP($E397,$D$5:$AI$471,18,)/VLOOKUP($E397,$D$5:$AI$471,3,))*$F397)</f>
        <v>0</v>
      </c>
      <c r="V397" s="28">
        <f>IF(VLOOKUP($E397,$D$5:$AI$471,3,)=0,0,(VLOOKUP($E397,$D$5:$AI$471,19,)/VLOOKUP($E397,$D$5:$AI$471,3,))*$F397)</f>
        <v>0</v>
      </c>
      <c r="W397" s="28">
        <f>IF(VLOOKUP($E397,$D$5:$AI$471,3,)=0,0,(VLOOKUP($E397,$D$5:$AI$471,20,)/VLOOKUP($E397,$D$5:$AI$471,3,))*$F397)</f>
        <v>0</v>
      </c>
      <c r="X397" s="28">
        <f>IF(VLOOKUP($E397,$D$5:$AI$471,3,)=0,0,(VLOOKUP($E397,$D$5:$AI$471,21,)/VLOOKUP($E397,$D$5:$AI$471,3,))*$F397)</f>
        <v>0</v>
      </c>
      <c r="Y397" s="28">
        <f>IF(VLOOKUP($E397,$D$5:$AI$471,3,)=0,0,(VLOOKUP($E397,$D$5:$AI$471,22,)/VLOOKUP($E397,$D$5:$AI$471,3,))*$F397)</f>
        <v>0</v>
      </c>
      <c r="Z397" s="28">
        <f>IF(VLOOKUP($E397,$D$5:$AI$471,3,)=0,0,(VLOOKUP($E397,$D$5:$AI$471,23,)/VLOOKUP($E397,$D$5:$AI$471,3,))*$F397)</f>
        <v>0</v>
      </c>
      <c r="AA397" s="28">
        <f>IF(VLOOKUP($E397,$D$5:$AI$471,3,)=0,0,(VLOOKUP($E397,$D$5:$AI$471,24,)/VLOOKUP($E397,$D$5:$AI$471,3,))*$F397)</f>
        <v>0</v>
      </c>
      <c r="AB397" s="28">
        <f>IF(VLOOKUP($E397,$D$5:$AI$471,3,)=0,0,(VLOOKUP($E397,$D$5:$AI$471,25,)/VLOOKUP($E397,$D$5:$AI$471,3,))*$F397)</f>
        <v>0</v>
      </c>
      <c r="AC397" s="28">
        <f>IF(VLOOKUP($E397,$D$5:$AI$471,3,)=0,0,(VLOOKUP($E397,$D$5:$AI$471,26,)/VLOOKUP($E397,$D$5:$AI$471,3,))*$F397)</f>
        <v>0</v>
      </c>
      <c r="AD397" s="28">
        <f>IF(VLOOKUP($E397,$D$5:$AI$471,3,)=0,0,(VLOOKUP($E397,$D$5:$AI$471,27,)/VLOOKUP($E397,$D$5:$AI$471,3,))*$F397)</f>
        <v>0</v>
      </c>
      <c r="AE397" s="28">
        <f>IF(VLOOKUP($E397,$D$5:$AI$471,3,)=0,0,(VLOOKUP($E397,$D$5:$AI$471,28,)/VLOOKUP($E397,$D$5:$AI$471,3,))*$F397)</f>
        <v>0</v>
      </c>
      <c r="AF397" s="28">
        <f>IF(VLOOKUP($E397,$D$5:$AI$471,3,)=0,0,(VLOOKUP($E397,$D$5:$AI$471,29,)/VLOOKUP($E397,$D$5:$AI$471,3,))*$F397)</f>
        <v>0</v>
      </c>
      <c r="AG397" s="28">
        <f>IF(VLOOKUP($E397,$D$5:$AI$471,3,)=0,0,(VLOOKUP($E397,$D$5:$AI$471,30,)/VLOOKUP($E397,$D$5:$AI$471,3,))*$F397)</f>
        <v>0</v>
      </c>
      <c r="AH397" s="28">
        <f>SUM(G397:AG397)</f>
        <v>1</v>
      </c>
      <c r="AI397" s="15" t="str">
        <f>IF(ABS(F397-AH397)&lt;0.01,"ok","err")</f>
        <v>ok</v>
      </c>
    </row>
    <row r="399" spans="1:35" x14ac:dyDescent="0.3">
      <c r="A399" s="3" t="s">
        <v>757</v>
      </c>
    </row>
    <row r="400" spans="1:35" x14ac:dyDescent="0.3">
      <c r="G400" s="22"/>
      <c r="W400" s="27">
        <v>0</v>
      </c>
      <c r="X400" s="27">
        <v>0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27">
        <v>0</v>
      </c>
      <c r="AE400" s="27">
        <v>0</v>
      </c>
      <c r="AF400" s="27">
        <v>0</v>
      </c>
      <c r="AG400" s="27">
        <v>0</v>
      </c>
    </row>
    <row r="401" spans="1:35" x14ac:dyDescent="0.3">
      <c r="A401" s="2" t="s">
        <v>758</v>
      </c>
      <c r="D401" s="2" t="s">
        <v>655</v>
      </c>
      <c r="F401" s="43">
        <v>1064315479.3595324</v>
      </c>
      <c r="G401" s="43">
        <f>802186820</f>
        <v>802186820</v>
      </c>
      <c r="H401" s="43">
        <f>76651717</f>
        <v>76651717</v>
      </c>
      <c r="I401" s="43">
        <f>30261663</f>
        <v>30261663</v>
      </c>
      <c r="J401" s="43">
        <f>45700645</f>
        <v>45700645</v>
      </c>
      <c r="K401" s="43">
        <v>82398977</v>
      </c>
      <c r="L401" s="43">
        <v>13169153</v>
      </c>
      <c r="M401" s="43">
        <v>13946504.359532349</v>
      </c>
      <c r="N401" s="43">
        <v>0</v>
      </c>
      <c r="O401" s="43">
        <v>0</v>
      </c>
      <c r="P401" s="43">
        <v>0</v>
      </c>
      <c r="Q401" s="43">
        <v>0</v>
      </c>
      <c r="R401" s="43">
        <v>0</v>
      </c>
      <c r="S401" s="43">
        <v>0</v>
      </c>
      <c r="T401" s="43">
        <v>0</v>
      </c>
      <c r="U401" s="43">
        <v>0</v>
      </c>
      <c r="V401" s="43">
        <v>0</v>
      </c>
      <c r="W401" s="43">
        <v>0</v>
      </c>
      <c r="X401" s="43">
        <v>0</v>
      </c>
      <c r="Y401" s="43">
        <v>0</v>
      </c>
      <c r="Z401" s="43">
        <v>0</v>
      </c>
      <c r="AA401" s="43">
        <v>0</v>
      </c>
      <c r="AB401" s="45">
        <v>0</v>
      </c>
      <c r="AC401" s="45">
        <v>0</v>
      </c>
      <c r="AD401" s="45">
        <v>0</v>
      </c>
      <c r="AE401" s="45">
        <v>0</v>
      </c>
      <c r="AF401" s="45">
        <v>0</v>
      </c>
      <c r="AG401" s="45">
        <v>0</v>
      </c>
      <c r="AH401" s="43">
        <f>SUM(G401:AG401)</f>
        <v>1064315479.3595324</v>
      </c>
      <c r="AI401" s="15" t="str">
        <f>IF(ABS(F401-AH401)&lt;0.01,"ok","err")</f>
        <v>ok</v>
      </c>
    </row>
    <row r="402" spans="1:35" x14ac:dyDescent="0.3">
      <c r="A402" s="2" t="s">
        <v>759</v>
      </c>
      <c r="D402" s="2" t="s">
        <v>760</v>
      </c>
      <c r="F402" s="43">
        <v>6261311509</v>
      </c>
      <c r="G402" s="43">
        <v>4747846336</v>
      </c>
      <c r="H402" s="43">
        <v>476980571</v>
      </c>
      <c r="I402" s="43">
        <v>195971525</v>
      </c>
      <c r="J402" s="43">
        <v>290218089</v>
      </c>
      <c r="K402" s="43">
        <v>424833911</v>
      </c>
      <c r="L402" s="43">
        <v>125461077</v>
      </c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5"/>
      <c r="AC402" s="45"/>
      <c r="AD402" s="45"/>
      <c r="AE402" s="45"/>
      <c r="AF402" s="45"/>
      <c r="AG402" s="45"/>
      <c r="AH402" s="43">
        <f t="shared" ref="AH402:AH403" si="163">SUM(G402:AG402)</f>
        <v>6261311509</v>
      </c>
      <c r="AI402" s="15" t="str">
        <f t="shared" ref="AI402:AI403" si="164">IF(ABS(F402-AH402)&lt;0.01,"ok","err")</f>
        <v>ok</v>
      </c>
    </row>
    <row r="403" spans="1:35" x14ac:dyDescent="0.3">
      <c r="A403" s="2" t="s">
        <v>761</v>
      </c>
      <c r="D403" s="2" t="s">
        <v>762</v>
      </c>
      <c r="F403" s="43">
        <v>6835814937</v>
      </c>
      <c r="G403" s="43">
        <v>4530245666</v>
      </c>
      <c r="H403" s="43">
        <v>593598453</v>
      </c>
      <c r="I403" s="43">
        <v>239123807</v>
      </c>
      <c r="J403" s="43">
        <v>355595330</v>
      </c>
      <c r="K403" s="43">
        <v>965281306</v>
      </c>
      <c r="L403" s="43">
        <v>151970375</v>
      </c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5"/>
      <c r="AC403" s="45"/>
      <c r="AD403" s="45"/>
      <c r="AE403" s="45"/>
      <c r="AF403" s="45"/>
      <c r="AG403" s="45"/>
      <c r="AH403" s="43">
        <f t="shared" si="163"/>
        <v>6835814937</v>
      </c>
      <c r="AI403" s="15" t="str">
        <f t="shared" si="164"/>
        <v>ok</v>
      </c>
    </row>
    <row r="404" spans="1:35" x14ac:dyDescent="0.3">
      <c r="A404" s="2" t="s">
        <v>122</v>
      </c>
      <c r="D404" s="2" t="s">
        <v>122</v>
      </c>
      <c r="F404" s="43">
        <v>13292869958</v>
      </c>
      <c r="G404" s="43">
        <v>9278092002</v>
      </c>
      <c r="H404" s="43">
        <v>1070579024</v>
      </c>
      <c r="I404" s="43">
        <v>435095332</v>
      </c>
      <c r="J404" s="43">
        <v>645813419</v>
      </c>
      <c r="K404" s="43">
        <v>1390115217</v>
      </c>
      <c r="L404" s="43">
        <v>277431452</v>
      </c>
      <c r="M404" s="43">
        <v>195743512</v>
      </c>
      <c r="N404" s="43">
        <v>0</v>
      </c>
      <c r="O404" s="43">
        <v>0</v>
      </c>
      <c r="P404" s="43">
        <v>0</v>
      </c>
      <c r="Q404" s="43">
        <v>0</v>
      </c>
      <c r="R404" s="43">
        <v>0</v>
      </c>
      <c r="S404" s="43">
        <v>0</v>
      </c>
      <c r="T404" s="43">
        <v>0</v>
      </c>
      <c r="U404" s="43">
        <v>0</v>
      </c>
      <c r="V404" s="43">
        <v>0</v>
      </c>
      <c r="W404" s="43">
        <v>0</v>
      </c>
      <c r="X404" s="43">
        <v>0</v>
      </c>
      <c r="Y404" s="43">
        <v>0</v>
      </c>
      <c r="Z404" s="43">
        <v>0</v>
      </c>
      <c r="AA404" s="43">
        <v>0</v>
      </c>
      <c r="AB404" s="45">
        <v>0</v>
      </c>
      <c r="AC404" s="45">
        <v>0</v>
      </c>
      <c r="AD404" s="45">
        <v>0</v>
      </c>
      <c r="AE404" s="45">
        <v>0</v>
      </c>
      <c r="AF404" s="45">
        <v>0</v>
      </c>
      <c r="AG404" s="45">
        <v>0</v>
      </c>
      <c r="AH404" s="43">
        <f>SUM(G404:AG404)</f>
        <v>13292869958</v>
      </c>
      <c r="AI404" s="15" t="str">
        <f>IF(ABS(F404-AH404)&lt;0.01,"ok","err")</f>
        <v>ok</v>
      </c>
    </row>
    <row r="405" spans="1:35" x14ac:dyDescent="0.3">
      <c r="A405" s="2" t="s">
        <v>763</v>
      </c>
      <c r="D405" s="2" t="s">
        <v>695</v>
      </c>
      <c r="F405" s="43">
        <v>142026658.35587713</v>
      </c>
      <c r="G405" s="19">
        <v>106775172</v>
      </c>
      <c r="H405" s="19">
        <v>10780390</v>
      </c>
      <c r="I405" s="19">
        <v>4151243</v>
      </c>
      <c r="J405" s="19">
        <v>4388124</v>
      </c>
      <c r="K405" s="19">
        <v>13858209</v>
      </c>
      <c r="L405" s="43">
        <v>0</v>
      </c>
      <c r="M405" s="19">
        <v>2073520.3558771298</v>
      </c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>
        <f>SUM(G405:AG405)</f>
        <v>142026658.35587713</v>
      </c>
      <c r="AI405" s="15" t="str">
        <f>IF(ABS(F405-AH405)&lt;0.01,"ok","err")</f>
        <v>ok</v>
      </c>
    </row>
    <row r="406" spans="1:35" x14ac:dyDescent="0.3">
      <c r="A406" s="2" t="s">
        <v>764</v>
      </c>
      <c r="D406" s="2" t="s">
        <v>658</v>
      </c>
      <c r="F406" s="43">
        <v>139953138</v>
      </c>
      <c r="G406" s="19">
        <f>G405</f>
        <v>106775172</v>
      </c>
      <c r="H406" s="19">
        <f t="shared" ref="H406:L406" si="165">H405</f>
        <v>10780390</v>
      </c>
      <c r="I406" s="19">
        <f t="shared" si="165"/>
        <v>4151243</v>
      </c>
      <c r="J406" s="19">
        <f t="shared" si="165"/>
        <v>4388124</v>
      </c>
      <c r="K406" s="19">
        <f t="shared" si="165"/>
        <v>13858209</v>
      </c>
      <c r="L406" s="19">
        <f t="shared" si="165"/>
        <v>0</v>
      </c>
      <c r="M406" s="19">
        <v>0</v>
      </c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>
        <f>SUM(G406:AG406)</f>
        <v>139953138</v>
      </c>
      <c r="AI406" s="15" t="str">
        <f>IF(ABS(F406-AH406)&lt;0.01,"ok","err")</f>
        <v>ok</v>
      </c>
    </row>
    <row r="407" spans="1:35" x14ac:dyDescent="0.3">
      <c r="A407" s="2" t="s">
        <v>765</v>
      </c>
      <c r="D407" s="2" t="s">
        <v>693</v>
      </c>
      <c r="F407" s="43">
        <v>13015438506</v>
      </c>
      <c r="G407" s="43">
        <f>G404</f>
        <v>9278092002</v>
      </c>
      <c r="H407" s="43">
        <f>H404</f>
        <v>1070579024</v>
      </c>
      <c r="I407" s="43">
        <f>I404</f>
        <v>435095332</v>
      </c>
      <c r="J407" s="43">
        <f>J404</f>
        <v>645813419</v>
      </c>
      <c r="K407" s="43">
        <f>K404</f>
        <v>1390115217</v>
      </c>
      <c r="L407" s="43">
        <v>0</v>
      </c>
      <c r="M407" s="43">
        <f>M404</f>
        <v>195743512</v>
      </c>
      <c r="N407" s="43">
        <v>0</v>
      </c>
      <c r="O407" s="43">
        <v>0</v>
      </c>
      <c r="P407" s="43">
        <v>0</v>
      </c>
      <c r="Q407" s="43">
        <v>0</v>
      </c>
      <c r="R407" s="43">
        <v>0</v>
      </c>
      <c r="S407" s="43">
        <v>0</v>
      </c>
      <c r="T407" s="43">
        <v>0</v>
      </c>
      <c r="U407" s="43">
        <v>0</v>
      </c>
      <c r="V407" s="43">
        <v>0</v>
      </c>
      <c r="W407" s="43">
        <v>0</v>
      </c>
      <c r="X407" s="43">
        <v>0</v>
      </c>
      <c r="Y407" s="43">
        <v>0</v>
      </c>
      <c r="Z407" s="43">
        <v>0</v>
      </c>
      <c r="AA407" s="43">
        <v>0</v>
      </c>
      <c r="AB407" s="45">
        <v>0</v>
      </c>
      <c r="AC407" s="45">
        <v>0</v>
      </c>
      <c r="AD407" s="45">
        <v>0</v>
      </c>
      <c r="AE407" s="45">
        <v>0</v>
      </c>
      <c r="AF407" s="45">
        <v>0</v>
      </c>
      <c r="AG407" s="45">
        <v>0</v>
      </c>
      <c r="AH407" s="43">
        <f>SUM(G407:AG407)</f>
        <v>13015438506</v>
      </c>
      <c r="AI407" s="15" t="str">
        <f>IF(ABS(F407-AH407)&lt;0.01,"ok","err")</f>
        <v>ok</v>
      </c>
    </row>
    <row r="408" spans="1:35" x14ac:dyDescent="0.3">
      <c r="A408" s="2" t="s">
        <v>766</v>
      </c>
      <c r="D408" s="2" t="s">
        <v>704</v>
      </c>
      <c r="F408" s="95">
        <f>459314615*IF(FAC,0,1)</f>
        <v>459314615</v>
      </c>
      <c r="G408" s="43">
        <f t="shared" ref="G408:AG408" si="166">G286+G287</f>
        <v>332009749.29578787</v>
      </c>
      <c r="H408" s="43">
        <f t="shared" si="166"/>
        <v>37032874.400602944</v>
      </c>
      <c r="I408" s="43">
        <f t="shared" si="166"/>
        <v>14859849.915833546</v>
      </c>
      <c r="J408" s="43">
        <f t="shared" si="166"/>
        <v>20585977.29034115</v>
      </c>
      <c r="K408" s="43">
        <f t="shared" si="166"/>
        <v>47970171.659622259</v>
      </c>
      <c r="L408" s="43">
        <f t="shared" si="166"/>
        <v>0</v>
      </c>
      <c r="M408" s="43">
        <f t="shared" si="166"/>
        <v>6855992.4378122576</v>
      </c>
      <c r="N408" s="43">
        <f t="shared" si="166"/>
        <v>0</v>
      </c>
      <c r="O408" s="43">
        <f t="shared" si="166"/>
        <v>0</v>
      </c>
      <c r="P408" s="43">
        <f t="shared" si="166"/>
        <v>0</v>
      </c>
      <c r="Q408" s="43">
        <f t="shared" si="166"/>
        <v>0</v>
      </c>
      <c r="R408" s="43">
        <f t="shared" si="166"/>
        <v>0</v>
      </c>
      <c r="S408" s="43">
        <f t="shared" si="166"/>
        <v>0</v>
      </c>
      <c r="T408" s="43">
        <f t="shared" si="166"/>
        <v>0</v>
      </c>
      <c r="U408" s="43">
        <f t="shared" si="166"/>
        <v>0</v>
      </c>
      <c r="V408" s="43">
        <f t="shared" si="166"/>
        <v>0</v>
      </c>
      <c r="W408" s="43">
        <f t="shared" si="166"/>
        <v>0</v>
      </c>
      <c r="X408" s="43">
        <f t="shared" si="166"/>
        <v>0</v>
      </c>
      <c r="Y408" s="43">
        <f t="shared" si="166"/>
        <v>0</v>
      </c>
      <c r="Z408" s="43">
        <f t="shared" si="166"/>
        <v>0</v>
      </c>
      <c r="AA408" s="43">
        <f t="shared" si="166"/>
        <v>0</v>
      </c>
      <c r="AB408" s="43">
        <f t="shared" si="166"/>
        <v>0</v>
      </c>
      <c r="AC408" s="43">
        <f t="shared" si="166"/>
        <v>0</v>
      </c>
      <c r="AD408" s="43">
        <f t="shared" si="166"/>
        <v>0</v>
      </c>
      <c r="AE408" s="43">
        <f t="shared" si="166"/>
        <v>0</v>
      </c>
      <c r="AF408" s="43">
        <f t="shared" si="166"/>
        <v>0</v>
      </c>
      <c r="AG408" s="43">
        <f t="shared" si="166"/>
        <v>0</v>
      </c>
      <c r="AH408" s="43">
        <f>SUM(G408:AG408)</f>
        <v>459314615</v>
      </c>
      <c r="AI408" s="15" t="str">
        <f>IF(ABS(F408-AH408)&lt;0.01,"ok","err")</f>
        <v>ok</v>
      </c>
    </row>
    <row r="409" spans="1:35" x14ac:dyDescent="0.3">
      <c r="A409" s="2" t="s">
        <v>767</v>
      </c>
      <c r="D409" s="2" t="s">
        <v>697</v>
      </c>
      <c r="F409" s="43">
        <v>143939485.76043221</v>
      </c>
      <c r="G409" s="43">
        <f>108743800-61999</f>
        <v>108681801</v>
      </c>
      <c r="H409" s="43">
        <f>10429845-4003</f>
        <v>10425842</v>
      </c>
      <c r="I409" s="43">
        <f>4182063+46335</f>
        <v>4228398</v>
      </c>
      <c r="J409" s="43">
        <v>6250245.7291699992</v>
      </c>
      <c r="K409" s="43">
        <v>11229659.844654739</v>
      </c>
      <c r="L409" s="43">
        <v>1236070.1866074835</v>
      </c>
      <c r="M409" s="43">
        <f>1887469</f>
        <v>1887469</v>
      </c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>
        <f t="shared" ref="AH409" si="167">SUM(G409:AG409)</f>
        <v>143939485.76043221</v>
      </c>
      <c r="AI409" s="15" t="str">
        <f t="shared" ref="AI409" si="168">IF(ABS(F409-AH409)&lt;0.01,"ok","err")</f>
        <v>ok</v>
      </c>
    </row>
    <row r="410" spans="1:35" x14ac:dyDescent="0.3">
      <c r="A410" s="2" t="s">
        <v>768</v>
      </c>
      <c r="D410" s="2" t="s">
        <v>661</v>
      </c>
      <c r="F410" s="43">
        <v>142052016.76043221</v>
      </c>
      <c r="G410" s="43">
        <f>108743800-61999</f>
        <v>108681801</v>
      </c>
      <c r="H410" s="43">
        <f>10429845-4003</f>
        <v>10425842</v>
      </c>
      <c r="I410" s="43">
        <f>4182063+46335</f>
        <v>4228398</v>
      </c>
      <c r="J410" s="43">
        <v>6250245.7291699992</v>
      </c>
      <c r="K410" s="43">
        <v>11229659.844654739</v>
      </c>
      <c r="L410" s="43">
        <v>1236070.1866074835</v>
      </c>
      <c r="M410" s="43">
        <v>0</v>
      </c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>
        <f t="shared" ref="AH410" si="169">SUM(G410:AG410)</f>
        <v>142052016.76043221</v>
      </c>
      <c r="AI410" s="15" t="str">
        <f t="shared" ref="AI410" si="170">IF(ABS(F410-AH410)&lt;0.01,"ok","err")</f>
        <v>ok</v>
      </c>
    </row>
    <row r="411" spans="1:35" x14ac:dyDescent="0.3">
      <c r="F411" s="43"/>
      <c r="G411" s="43"/>
      <c r="H411" s="43"/>
      <c r="I411" s="43"/>
      <c r="J411" s="43"/>
      <c r="K411" s="43"/>
      <c r="L411" s="43"/>
      <c r="M411" s="43">
        <v>0</v>
      </c>
      <c r="N411" s="43">
        <f t="shared" ref="N411:X411" si="171">SUM(N405:N408)</f>
        <v>0</v>
      </c>
      <c r="O411" s="43">
        <f t="shared" si="171"/>
        <v>0</v>
      </c>
      <c r="P411" s="43">
        <f t="shared" si="171"/>
        <v>0</v>
      </c>
      <c r="Q411" s="43">
        <f t="shared" si="171"/>
        <v>0</v>
      </c>
      <c r="R411" s="43">
        <f t="shared" si="171"/>
        <v>0</v>
      </c>
      <c r="S411" s="43">
        <f t="shared" si="171"/>
        <v>0</v>
      </c>
      <c r="T411" s="43">
        <f t="shared" si="171"/>
        <v>0</v>
      </c>
      <c r="U411" s="43">
        <f t="shared" si="171"/>
        <v>0</v>
      </c>
      <c r="V411" s="43">
        <f t="shared" si="171"/>
        <v>0</v>
      </c>
      <c r="W411" s="43">
        <f t="shared" si="171"/>
        <v>0</v>
      </c>
      <c r="X411" s="43">
        <f t="shared" si="171"/>
        <v>0</v>
      </c>
      <c r="Y411" s="43">
        <v>0</v>
      </c>
      <c r="Z411" s="43">
        <v>0</v>
      </c>
      <c r="AA411" s="45">
        <v>0</v>
      </c>
      <c r="AB411" s="45">
        <v>0</v>
      </c>
      <c r="AC411" s="45">
        <v>0</v>
      </c>
      <c r="AD411" s="45">
        <v>0</v>
      </c>
      <c r="AE411" s="45">
        <v>0</v>
      </c>
      <c r="AF411" s="45">
        <v>0</v>
      </c>
      <c r="AG411" s="45">
        <v>0</v>
      </c>
      <c r="AH411" s="43"/>
      <c r="AI411" s="15"/>
    </row>
    <row r="412" spans="1:35" x14ac:dyDescent="0.3">
      <c r="A412" s="3" t="s">
        <v>769</v>
      </c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5">
        <v>0</v>
      </c>
      <c r="X412" s="45">
        <v>0</v>
      </c>
      <c r="Y412" s="45">
        <v>0</v>
      </c>
      <c r="Z412" s="45">
        <v>0</v>
      </c>
      <c r="AA412" s="45">
        <v>0</v>
      </c>
      <c r="AB412" s="45">
        <v>0</v>
      </c>
      <c r="AC412" s="45">
        <v>0</v>
      </c>
      <c r="AD412" s="45">
        <v>0</v>
      </c>
      <c r="AE412" s="45">
        <v>0</v>
      </c>
      <c r="AF412" s="45">
        <v>0</v>
      </c>
      <c r="AG412" s="45">
        <v>0</v>
      </c>
      <c r="AH412" s="43"/>
      <c r="AI412" s="15"/>
    </row>
    <row r="413" spans="1:35" x14ac:dyDescent="0.3">
      <c r="A413" s="2" t="s">
        <v>770</v>
      </c>
      <c r="D413" s="2" t="s">
        <v>555</v>
      </c>
      <c r="F413" s="43">
        <v>4382</v>
      </c>
      <c r="G413" s="43">
        <f>4370</f>
        <v>4370</v>
      </c>
      <c r="H413" s="43">
        <v>0</v>
      </c>
      <c r="I413" s="43">
        <v>0</v>
      </c>
      <c r="J413" s="43">
        <v>12</v>
      </c>
      <c r="K413" s="43">
        <v>0</v>
      </c>
      <c r="L413" s="43">
        <v>0</v>
      </c>
      <c r="M413" s="43">
        <v>0</v>
      </c>
      <c r="N413" s="43">
        <v>0</v>
      </c>
      <c r="O413" s="43">
        <v>0</v>
      </c>
      <c r="P413" s="43">
        <v>0</v>
      </c>
      <c r="Q413" s="43">
        <v>0</v>
      </c>
      <c r="R413" s="43">
        <v>0</v>
      </c>
      <c r="S413" s="43">
        <v>0</v>
      </c>
      <c r="T413" s="43">
        <v>0</v>
      </c>
      <c r="U413" s="43">
        <v>0</v>
      </c>
      <c r="V413" s="43">
        <v>0</v>
      </c>
      <c r="W413" s="43">
        <v>0</v>
      </c>
      <c r="X413" s="43">
        <v>0</v>
      </c>
      <c r="Y413" s="43">
        <v>0</v>
      </c>
      <c r="Z413" s="43">
        <v>0</v>
      </c>
      <c r="AA413" s="43">
        <v>0</v>
      </c>
      <c r="AB413" s="45">
        <v>0</v>
      </c>
      <c r="AC413" s="45">
        <v>0</v>
      </c>
      <c r="AD413" s="45">
        <v>0</v>
      </c>
      <c r="AE413" s="45">
        <v>0</v>
      </c>
      <c r="AF413" s="45">
        <v>0</v>
      </c>
      <c r="AG413" s="45">
        <v>0</v>
      </c>
      <c r="AH413" s="43">
        <f>SUM(G413:AG413)</f>
        <v>4382</v>
      </c>
      <c r="AI413" s="15" t="str">
        <f>IF(ABS(F413-AH413)&lt;0.01,"ok","err")</f>
        <v>ok</v>
      </c>
    </row>
    <row r="414" spans="1:35" x14ac:dyDescent="0.3">
      <c r="F414" s="43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45"/>
      <c r="AB414" s="45"/>
      <c r="AC414" s="45"/>
      <c r="AD414" s="45"/>
      <c r="AE414" s="45"/>
      <c r="AF414" s="45"/>
      <c r="AG414" s="45"/>
      <c r="AH414" s="43"/>
      <c r="AI414" s="15"/>
    </row>
    <row r="415" spans="1:35" x14ac:dyDescent="0.3">
      <c r="C415" s="102">
        <v>2852233.821761529</v>
      </c>
      <c r="F415" s="43"/>
      <c r="G415" s="22"/>
      <c r="H415" s="22"/>
      <c r="I415" s="22"/>
      <c r="J415" s="22"/>
      <c r="K415" s="22"/>
      <c r="L415" s="22"/>
      <c r="M415" s="22"/>
      <c r="N415" s="22">
        <f t="shared" ref="N415:AA415" si="172">N404-N416</f>
        <v>0</v>
      </c>
      <c r="O415" s="22">
        <f t="shared" si="172"/>
        <v>0</v>
      </c>
      <c r="P415" s="22">
        <f t="shared" si="172"/>
        <v>0</v>
      </c>
      <c r="Q415" s="22">
        <f t="shared" si="172"/>
        <v>0</v>
      </c>
      <c r="R415" s="22">
        <f t="shared" si="172"/>
        <v>0</v>
      </c>
      <c r="S415" s="22">
        <f t="shared" si="172"/>
        <v>0</v>
      </c>
      <c r="T415" s="22">
        <f t="shared" si="172"/>
        <v>0</v>
      </c>
      <c r="U415" s="22">
        <f t="shared" si="172"/>
        <v>0</v>
      </c>
      <c r="V415" s="22">
        <f t="shared" si="172"/>
        <v>0</v>
      </c>
      <c r="W415" s="22">
        <f t="shared" si="172"/>
        <v>0</v>
      </c>
      <c r="X415" s="22">
        <f t="shared" si="172"/>
        <v>0</v>
      </c>
      <c r="Y415" s="22">
        <f t="shared" si="172"/>
        <v>0</v>
      </c>
      <c r="Z415" s="22">
        <f t="shared" si="172"/>
        <v>0</v>
      </c>
      <c r="AA415" s="22">
        <f t="shared" si="172"/>
        <v>0</v>
      </c>
      <c r="AB415" s="22"/>
      <c r="AC415" s="22"/>
      <c r="AD415" s="22"/>
      <c r="AE415" s="22"/>
      <c r="AF415" s="22"/>
      <c r="AG415" s="22"/>
      <c r="AH415" s="22"/>
      <c r="AI415" s="15"/>
    </row>
    <row r="416" spans="1:35" x14ac:dyDescent="0.3">
      <c r="A416" s="16" t="s">
        <v>771</v>
      </c>
      <c r="C416" s="102">
        <v>235439.43445783106</v>
      </c>
      <c r="G416" s="22"/>
      <c r="H416" s="22"/>
      <c r="I416" s="22"/>
      <c r="J416" s="22"/>
      <c r="K416" s="22"/>
      <c r="L416" s="22"/>
      <c r="M416" s="22"/>
      <c r="N416" s="22">
        <f t="shared" ref="N416:AA416" si="173">SUM(N417:N418)</f>
        <v>0</v>
      </c>
      <c r="O416" s="22">
        <f t="shared" si="173"/>
        <v>0</v>
      </c>
      <c r="P416" s="22">
        <f t="shared" si="173"/>
        <v>0</v>
      </c>
      <c r="Q416" s="22">
        <f t="shared" si="173"/>
        <v>0</v>
      </c>
      <c r="R416" s="22">
        <f t="shared" si="173"/>
        <v>0</v>
      </c>
      <c r="S416" s="22">
        <f t="shared" si="173"/>
        <v>0</v>
      </c>
      <c r="T416" s="22">
        <f t="shared" si="173"/>
        <v>0</v>
      </c>
      <c r="U416" s="22">
        <f t="shared" si="173"/>
        <v>0</v>
      </c>
      <c r="V416" s="22">
        <f t="shared" si="173"/>
        <v>0</v>
      </c>
      <c r="W416" s="22">
        <f t="shared" si="173"/>
        <v>0</v>
      </c>
      <c r="X416" s="22">
        <f t="shared" si="173"/>
        <v>0</v>
      </c>
      <c r="Y416" s="22">
        <f t="shared" si="173"/>
        <v>0</v>
      </c>
      <c r="Z416" s="22">
        <f t="shared" si="173"/>
        <v>0</v>
      </c>
      <c r="AA416" s="22">
        <f t="shared" si="173"/>
        <v>0</v>
      </c>
      <c r="AB416" s="22"/>
      <c r="AC416" s="22"/>
      <c r="AD416" s="22"/>
      <c r="AE416" s="22"/>
      <c r="AF416" s="22"/>
      <c r="AG416" s="22"/>
      <c r="AH416" s="22"/>
    </row>
    <row r="417" spans="1:37" x14ac:dyDescent="0.3">
      <c r="A417" s="2" t="s">
        <v>772</v>
      </c>
      <c r="C417" s="102">
        <v>76315.933057641305</v>
      </c>
      <c r="D417" s="2" t="s">
        <v>545</v>
      </c>
      <c r="F417" s="43">
        <v>1</v>
      </c>
      <c r="G417" s="43">
        <v>0</v>
      </c>
      <c r="H417" s="43">
        <v>0</v>
      </c>
      <c r="I417" s="43">
        <v>0</v>
      </c>
      <c r="J417" s="43">
        <v>0</v>
      </c>
      <c r="K417" s="43">
        <v>0</v>
      </c>
      <c r="L417" s="43">
        <v>0</v>
      </c>
      <c r="M417" s="43">
        <v>1</v>
      </c>
      <c r="N417" s="43">
        <v>0</v>
      </c>
      <c r="O417" s="43">
        <v>0</v>
      </c>
      <c r="P417" s="43">
        <v>0</v>
      </c>
      <c r="Q417" s="43">
        <v>0</v>
      </c>
      <c r="R417" s="43">
        <v>0</v>
      </c>
      <c r="S417" s="43">
        <v>0</v>
      </c>
      <c r="T417" s="43">
        <v>0</v>
      </c>
      <c r="U417" s="43">
        <v>0</v>
      </c>
      <c r="V417" s="43">
        <v>0</v>
      </c>
      <c r="W417" s="43">
        <v>0</v>
      </c>
      <c r="X417" s="43">
        <v>0</v>
      </c>
      <c r="Y417" s="43">
        <v>0</v>
      </c>
      <c r="Z417" s="43">
        <v>0</v>
      </c>
      <c r="AA417" s="43">
        <v>0</v>
      </c>
      <c r="AB417" s="43">
        <v>0</v>
      </c>
      <c r="AC417" s="43">
        <v>0</v>
      </c>
      <c r="AD417" s="43">
        <v>0</v>
      </c>
      <c r="AE417" s="43">
        <v>0</v>
      </c>
      <c r="AF417" s="43">
        <v>0</v>
      </c>
      <c r="AG417" s="43">
        <v>0</v>
      </c>
      <c r="AH417" s="43">
        <f>SUM(G417:AG417)</f>
        <v>1</v>
      </c>
      <c r="AI417" s="15" t="str">
        <f>IF(ABS(F417-AH417)&lt;0.01,"ok","err")</f>
        <v>ok</v>
      </c>
    </row>
    <row r="418" spans="1:37" x14ac:dyDescent="0.3">
      <c r="A418" s="2" t="s">
        <v>773</v>
      </c>
      <c r="C418" s="102">
        <v>125613.44162689681</v>
      </c>
      <c r="D418" s="2" t="s">
        <v>552</v>
      </c>
      <c r="F418" s="43">
        <v>293001771.06</v>
      </c>
      <c r="G418" s="43">
        <f>F418-J418</f>
        <v>291795188.43313432</v>
      </c>
      <c r="H418" s="43">
        <v>0</v>
      </c>
      <c r="I418" s="43">
        <v>0</v>
      </c>
      <c r="J418" s="43">
        <f>'Substation Allocation'!J11</f>
        <v>1206582.6268656717</v>
      </c>
      <c r="K418" s="43">
        <v>0</v>
      </c>
      <c r="L418" s="43">
        <v>0</v>
      </c>
      <c r="M418" s="43">
        <v>0</v>
      </c>
      <c r="N418" s="43">
        <v>0</v>
      </c>
      <c r="O418" s="43">
        <v>0</v>
      </c>
      <c r="P418" s="43">
        <v>0</v>
      </c>
      <c r="Q418" s="43">
        <v>0</v>
      </c>
      <c r="R418" s="43">
        <v>0</v>
      </c>
      <c r="S418" s="43">
        <v>0</v>
      </c>
      <c r="T418" s="43">
        <v>0</v>
      </c>
      <c r="U418" s="43">
        <v>0</v>
      </c>
      <c r="V418" s="43">
        <v>0</v>
      </c>
      <c r="W418" s="43">
        <v>0</v>
      </c>
      <c r="X418" s="43">
        <v>0</v>
      </c>
      <c r="Y418" s="43">
        <v>0</v>
      </c>
      <c r="Z418" s="43">
        <v>0</v>
      </c>
      <c r="AA418" s="43">
        <v>0</v>
      </c>
      <c r="AB418" s="43">
        <v>0</v>
      </c>
      <c r="AC418" s="43">
        <v>0</v>
      </c>
      <c r="AD418" s="43">
        <v>0</v>
      </c>
      <c r="AE418" s="43">
        <v>0</v>
      </c>
      <c r="AF418" s="43">
        <v>0</v>
      </c>
      <c r="AG418" s="43">
        <v>0</v>
      </c>
      <c r="AH418" s="43">
        <f>SUM(G418:AG418)</f>
        <v>293001771.06</v>
      </c>
      <c r="AI418" s="15" t="str">
        <f>IF(ABS(F418-AH418)&lt;0.01,"ok","err")</f>
        <v>ok</v>
      </c>
    </row>
    <row r="419" spans="1:37" ht="17" x14ac:dyDescent="0.6">
      <c r="C419" s="214">
        <v>297566.64840000001</v>
      </c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15"/>
    </row>
    <row r="420" spans="1:37" x14ac:dyDescent="0.3">
      <c r="A420" s="2" t="s">
        <v>774</v>
      </c>
      <c r="C420" s="215">
        <f>SUM(C415:C419)</f>
        <v>3587169.2793038976</v>
      </c>
      <c r="F420" s="102">
        <f>'A&amp;E Adjustments'!F16</f>
        <v>2812139.5646000006</v>
      </c>
      <c r="G420" s="102">
        <f>'A&amp;E Adjustments'!G16</f>
        <v>2170713.25</v>
      </c>
      <c r="H420" s="102">
        <f>'A&amp;E Adjustments'!H16</f>
        <v>177628.52739999999</v>
      </c>
      <c r="I420" s="102">
        <f>'A&amp;E Adjustments'!I16</f>
        <v>63217.178699999997</v>
      </c>
      <c r="J420" s="102">
        <f>'A&amp;E Adjustments'!J16</f>
        <v>103013.6085</v>
      </c>
      <c r="K420" s="102">
        <f>'A&amp;E Adjustments'!K16</f>
        <v>297567</v>
      </c>
      <c r="L420" s="43">
        <v>0</v>
      </c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>
        <f>SUM(G420:AG420)</f>
        <v>2812139.5646000002</v>
      </c>
      <c r="AI420" s="15" t="str">
        <f>IF(ABS(F420-AH420)&lt;0.01,"ok","err")</f>
        <v>ok</v>
      </c>
      <c r="AK420" s="100">
        <f>K420/F420</f>
        <v>0.10581516072169982</v>
      </c>
    </row>
    <row r="421" spans="1:37" x14ac:dyDescent="0.3">
      <c r="A421" s="2" t="s">
        <v>12</v>
      </c>
      <c r="D421" s="2" t="s">
        <v>536</v>
      </c>
      <c r="F421" s="102">
        <f>'A&amp;E Adjustments'!F17</f>
        <v>1463435.5015981735</v>
      </c>
      <c r="G421" s="102">
        <f>'A&amp;E Adjustments'!G17</f>
        <v>1059142.9226027397</v>
      </c>
      <c r="H421" s="102">
        <f>'A&amp;E Adjustments'!H17</f>
        <v>122212.21735159817</v>
      </c>
      <c r="I421" s="102">
        <f>'A&amp;E Adjustments'!I17</f>
        <v>49668.41689497717</v>
      </c>
      <c r="J421" s="102">
        <f>'A&amp;E Adjustments'!J17</f>
        <v>73722.993036529675</v>
      </c>
      <c r="K421" s="102">
        <f>'A&amp;E Adjustments'!K17</f>
        <v>158688.95171232877</v>
      </c>
      <c r="L421" s="43">
        <v>0</v>
      </c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>
        <f>SUM(G421:AG421)</f>
        <v>1463435.5015981735</v>
      </c>
      <c r="AI421" s="15" t="str">
        <f>IF(ABS(F421-AH421)&lt;0.01,"ok","err")</f>
        <v>ok</v>
      </c>
      <c r="AK421" s="100">
        <f t="shared" ref="AK421:AK422" si="174">K421/F421</f>
        <v>0.10843590410307073</v>
      </c>
    </row>
    <row r="422" spans="1:37" x14ac:dyDescent="0.3">
      <c r="A422" s="2" t="s">
        <v>775</v>
      </c>
      <c r="D422" s="2" t="s">
        <v>533</v>
      </c>
      <c r="F422" s="102">
        <f>F420-F421</f>
        <v>1348704.0630018271</v>
      </c>
      <c r="G422" s="43">
        <f>G420-G421</f>
        <v>1111570.3273972603</v>
      </c>
      <c r="H422" s="43">
        <f t="shared" ref="H422:L422" si="175">H420-H421</f>
        <v>55416.310048401821</v>
      </c>
      <c r="I422" s="43">
        <f t="shared" si="175"/>
        <v>13548.761805022827</v>
      </c>
      <c r="J422" s="43">
        <f t="shared" si="175"/>
        <v>29290.615463470327</v>
      </c>
      <c r="K422" s="43">
        <f t="shared" si="175"/>
        <v>138878.04828767123</v>
      </c>
      <c r="L422" s="43">
        <f t="shared" si="175"/>
        <v>0</v>
      </c>
      <c r="M422" s="43">
        <v>0</v>
      </c>
      <c r="N422" s="43">
        <v>0</v>
      </c>
      <c r="O422" s="43">
        <v>0</v>
      </c>
      <c r="P422" s="43">
        <v>0</v>
      </c>
      <c r="Q422" s="43">
        <v>0</v>
      </c>
      <c r="R422" s="43">
        <v>0</v>
      </c>
      <c r="S422" s="43">
        <v>0</v>
      </c>
      <c r="T422" s="43">
        <v>0</v>
      </c>
      <c r="U422" s="43">
        <v>0</v>
      </c>
      <c r="V422" s="43">
        <v>0</v>
      </c>
      <c r="W422" s="43">
        <v>0</v>
      </c>
      <c r="X422" s="43">
        <v>0</v>
      </c>
      <c r="Y422" s="43">
        <v>0</v>
      </c>
      <c r="Z422" s="43">
        <v>0</v>
      </c>
      <c r="AA422" s="43">
        <v>0</v>
      </c>
      <c r="AB422" s="43">
        <f>AB405/8760</f>
        <v>0</v>
      </c>
      <c r="AC422" s="43"/>
      <c r="AD422" s="43"/>
      <c r="AE422" s="43"/>
      <c r="AF422" s="43"/>
      <c r="AG422" s="43"/>
      <c r="AH422" s="43">
        <f>SUM(G422:AG422)</f>
        <v>1348704.0630018266</v>
      </c>
      <c r="AI422" s="15" t="str">
        <f>IF(ABS(F422-AH422)&lt;0.01,"ok","err")</f>
        <v>ok</v>
      </c>
      <c r="AK422" s="100">
        <f t="shared" si="174"/>
        <v>0.102971476172889</v>
      </c>
    </row>
    <row r="423" spans="1:37" x14ac:dyDescent="0.3">
      <c r="F423" s="43"/>
      <c r="G423" s="58"/>
      <c r="H423" s="58"/>
      <c r="I423" s="58"/>
      <c r="J423" s="58"/>
      <c r="K423" s="58"/>
      <c r="L423" s="58"/>
      <c r="M423" s="58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15"/>
    </row>
    <row r="424" spans="1:37" x14ac:dyDescent="0.3">
      <c r="A424" s="2" t="s">
        <v>776</v>
      </c>
      <c r="D424" s="2" t="s">
        <v>549</v>
      </c>
      <c r="F424" s="102">
        <f>IF(Trans_12CP,'T-8,9 Weather Normalization'!J66*10^3,F425)</f>
        <v>27577095.433099974</v>
      </c>
      <c r="G424" s="102">
        <f>IF(Trans_12CP,'T-8,9 Weather Normalization'!D66*10^3,G425)</f>
        <v>21762801.969599981</v>
      </c>
      <c r="H424" s="102">
        <f>IF(Trans_12CP,'T-8,9 Weather Normalization'!E66*10^3,H425)</f>
        <v>1629064.803199999</v>
      </c>
      <c r="I424" s="102">
        <f>IF(Trans_12CP,'T-8,9 Weather Normalization'!F66*10^3,I425)</f>
        <v>552360.03930000006</v>
      </c>
      <c r="J424" s="102">
        <f>IF(Trans_12CP,'T-8,9 Weather Normalization'!G66*10^3,J425)</f>
        <v>889774.87489999912</v>
      </c>
      <c r="K424" s="102">
        <f>IF(Trans_12CP,'T-8,9 Weather Normalization'!H66*10^3,K425)</f>
        <v>2391598.127299997</v>
      </c>
      <c r="L424" s="102">
        <f>IF(Trans_12CP,'T-8,9 Weather Normalization'!I66*10^3,L425)</f>
        <v>351495.61879999965</v>
      </c>
      <c r="M424" s="43">
        <v>0</v>
      </c>
      <c r="N424" s="43">
        <v>0</v>
      </c>
      <c r="O424" s="43">
        <v>0</v>
      </c>
      <c r="P424" s="43">
        <v>0</v>
      </c>
      <c r="Q424" s="43">
        <v>0</v>
      </c>
      <c r="R424" s="43">
        <v>0</v>
      </c>
      <c r="S424" s="43">
        <v>0</v>
      </c>
      <c r="T424" s="43">
        <v>0</v>
      </c>
      <c r="U424" s="43">
        <v>0</v>
      </c>
      <c r="V424" s="43">
        <v>0</v>
      </c>
      <c r="W424" s="43">
        <v>0</v>
      </c>
      <c r="X424" s="43">
        <v>0</v>
      </c>
      <c r="Y424" s="43">
        <v>0</v>
      </c>
      <c r="Z424" s="43">
        <v>0</v>
      </c>
      <c r="AA424" s="43">
        <v>0</v>
      </c>
      <c r="AB424" s="45"/>
      <c r="AC424" s="45"/>
      <c r="AD424" s="45"/>
      <c r="AE424" s="45"/>
      <c r="AF424" s="45"/>
      <c r="AG424" s="45"/>
      <c r="AH424" s="43">
        <f>SUM(G424:AG424)</f>
        <v>27577095.433099974</v>
      </c>
      <c r="AI424" s="15" t="str">
        <f>IF(ABS(F424-AH424)&lt;0.01,"ok","err")</f>
        <v>ok</v>
      </c>
    </row>
    <row r="425" spans="1:37" x14ac:dyDescent="0.3">
      <c r="A425" s="178" t="s">
        <v>1019</v>
      </c>
      <c r="B425" s="178"/>
      <c r="C425" s="178"/>
      <c r="D425" s="178"/>
      <c r="E425" s="178"/>
      <c r="F425" s="176">
        <v>30108312</v>
      </c>
      <c r="G425" s="176">
        <v>22131348</v>
      </c>
      <c r="H425" s="176">
        <v>1898312</v>
      </c>
      <c r="I425" s="176">
        <v>796143</v>
      </c>
      <c r="J425" s="176">
        <v>1367257</v>
      </c>
      <c r="K425" s="176">
        <v>3403373</v>
      </c>
      <c r="L425" s="176">
        <v>511879</v>
      </c>
      <c r="M425" s="177">
        <v>0</v>
      </c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15"/>
    </row>
    <row r="426" spans="1:37" x14ac:dyDescent="0.3">
      <c r="F426" s="59"/>
      <c r="G426" s="168"/>
      <c r="H426" s="168"/>
      <c r="I426" s="168"/>
      <c r="J426" s="168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5"/>
      <c r="AC426" s="45"/>
      <c r="AD426" s="45"/>
      <c r="AE426" s="45"/>
      <c r="AF426" s="45"/>
      <c r="AG426" s="45"/>
      <c r="AH426" s="45"/>
      <c r="AI426" s="15"/>
    </row>
    <row r="427" spans="1:37" x14ac:dyDescent="0.3">
      <c r="A427" s="16" t="s">
        <v>777</v>
      </c>
      <c r="F427" s="43">
        <v>0</v>
      </c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3"/>
      <c r="AI427" s="15"/>
    </row>
    <row r="428" spans="1:37" x14ac:dyDescent="0.3">
      <c r="A428" s="2" t="s">
        <v>778</v>
      </c>
      <c r="D428" s="2" t="s">
        <v>779</v>
      </c>
      <c r="F428" s="43">
        <v>13015438506</v>
      </c>
      <c r="G428" s="43">
        <f>G404</f>
        <v>9278092002</v>
      </c>
      <c r="H428" s="43">
        <f>H404</f>
        <v>1070579024</v>
      </c>
      <c r="I428" s="43">
        <f>I404</f>
        <v>435095332</v>
      </c>
      <c r="J428" s="43">
        <f>J404</f>
        <v>645813419</v>
      </c>
      <c r="K428" s="43">
        <f>K404</f>
        <v>1390115217</v>
      </c>
      <c r="L428" s="43">
        <v>0</v>
      </c>
      <c r="M428" s="43">
        <f t="shared" ref="M428:AG428" si="176">M404</f>
        <v>195743512</v>
      </c>
      <c r="N428" s="43">
        <f t="shared" si="176"/>
        <v>0</v>
      </c>
      <c r="O428" s="43">
        <f t="shared" si="176"/>
        <v>0</v>
      </c>
      <c r="P428" s="43">
        <f t="shared" si="176"/>
        <v>0</v>
      </c>
      <c r="Q428" s="43">
        <f t="shared" si="176"/>
        <v>0</v>
      </c>
      <c r="R428" s="43">
        <f t="shared" si="176"/>
        <v>0</v>
      </c>
      <c r="S428" s="43">
        <f t="shared" si="176"/>
        <v>0</v>
      </c>
      <c r="T428" s="43">
        <f t="shared" si="176"/>
        <v>0</v>
      </c>
      <c r="U428" s="43">
        <f t="shared" si="176"/>
        <v>0</v>
      </c>
      <c r="V428" s="43">
        <f t="shared" si="176"/>
        <v>0</v>
      </c>
      <c r="W428" s="43">
        <f t="shared" si="176"/>
        <v>0</v>
      </c>
      <c r="X428" s="43">
        <f t="shared" si="176"/>
        <v>0</v>
      </c>
      <c r="Y428" s="43">
        <f t="shared" si="176"/>
        <v>0</v>
      </c>
      <c r="Z428" s="43">
        <f t="shared" si="176"/>
        <v>0</v>
      </c>
      <c r="AA428" s="43">
        <f t="shared" si="176"/>
        <v>0</v>
      </c>
      <c r="AB428" s="43">
        <f t="shared" si="176"/>
        <v>0</v>
      </c>
      <c r="AC428" s="43">
        <f t="shared" si="176"/>
        <v>0</v>
      </c>
      <c r="AD428" s="43">
        <f t="shared" si="176"/>
        <v>0</v>
      </c>
      <c r="AE428" s="43">
        <f t="shared" si="176"/>
        <v>0</v>
      </c>
      <c r="AF428" s="43">
        <f t="shared" si="176"/>
        <v>0</v>
      </c>
      <c r="AG428" s="43">
        <f t="shared" si="176"/>
        <v>0</v>
      </c>
      <c r="AH428" s="43">
        <f>SUM(G428:AG428)</f>
        <v>13015438506</v>
      </c>
      <c r="AI428" s="15" t="str">
        <f t="shared" ref="AI428:AI433" si="177">IF(ABS(F428-AH428)&lt;0.01,"ok","err")</f>
        <v>ok</v>
      </c>
    </row>
    <row r="429" spans="1:37" x14ac:dyDescent="0.3">
      <c r="A429" s="2" t="s">
        <v>780</v>
      </c>
      <c r="F429" s="20">
        <f>F79</f>
        <v>84905603.641176924</v>
      </c>
      <c r="AH429" s="20">
        <f>F429</f>
        <v>84905603.641176924</v>
      </c>
      <c r="AI429" s="15" t="str">
        <f t="shared" si="177"/>
        <v>ok</v>
      </c>
    </row>
    <row r="430" spans="1:37" x14ac:dyDescent="0.3">
      <c r="A430" s="2" t="s">
        <v>781</v>
      </c>
      <c r="F430" s="44">
        <v>11037292.739388999</v>
      </c>
      <c r="G430" s="43">
        <v>0</v>
      </c>
      <c r="H430" s="43">
        <v>0</v>
      </c>
      <c r="I430" s="43">
        <v>0</v>
      </c>
      <c r="J430" s="44">
        <v>0</v>
      </c>
      <c r="K430" s="43">
        <v>0</v>
      </c>
      <c r="L430" s="18">
        <v>11037292.739388999</v>
      </c>
      <c r="M430" s="22">
        <v>0</v>
      </c>
      <c r="N430" s="43">
        <v>0</v>
      </c>
      <c r="O430" s="43">
        <v>0</v>
      </c>
      <c r="P430" s="43">
        <v>0</v>
      </c>
      <c r="Q430" s="2">
        <v>0</v>
      </c>
      <c r="R430" s="2">
        <v>0</v>
      </c>
      <c r="S430" s="43">
        <v>0</v>
      </c>
      <c r="Z430" s="43">
        <v>0</v>
      </c>
      <c r="AC430" s="43">
        <v>0</v>
      </c>
      <c r="AD430" s="43">
        <v>0</v>
      </c>
      <c r="AH430" s="70">
        <f>SUM(G430:AG430)</f>
        <v>11037292.739388999</v>
      </c>
      <c r="AI430" s="15" t="str">
        <f t="shared" si="177"/>
        <v>ok</v>
      </c>
    </row>
    <row r="431" spans="1:37" x14ac:dyDescent="0.3">
      <c r="A431" s="2" t="s">
        <v>782</v>
      </c>
      <c r="E431" s="2" t="s">
        <v>779</v>
      </c>
      <c r="F431" s="20">
        <f>F429-F430</f>
        <v>73868310.901787922</v>
      </c>
      <c r="G431" s="44">
        <f>IF(VLOOKUP($E431,$D$5:$AI$471,3,)=0,0,(VLOOKUP($E431,$D$5:$AI$471,4,)/VLOOKUP($E431,$D$5:$AI$471,3,))*$F431)</f>
        <v>52657233.504901476</v>
      </c>
      <c r="H431" s="44">
        <f>IF(VLOOKUP($E431,$D$5:$AI$471,3,)=0,0,(VLOOKUP($E431,$D$5:$AI$471,5,)/VLOOKUP($E431,$D$5:$AI$471,3,))*$F431)</f>
        <v>6076004.5966417985</v>
      </c>
      <c r="I431" s="44">
        <f>IF(VLOOKUP($E431,$D$5:$AI$471,3,)=0,0,(VLOOKUP($E431,$D$5:$AI$471,6,)/VLOOKUP($E431,$D$5:$AI$471,3,))*$F431)</f>
        <v>2469356.4678037157</v>
      </c>
      <c r="J431" s="44">
        <f>IF(VLOOKUP($E431,$D$5:$AI$471,3,)=0,0,(VLOOKUP($E431,$D$5:$AI$471,7,)/VLOOKUP($E431,$D$5:$AI$471,3,))*$F431)</f>
        <v>3665273.8512995155</v>
      </c>
      <c r="K431" s="44">
        <f>IF(VLOOKUP($E431,$D$5:$AI$471,3,)=0,0,(VLOOKUP($E431,$D$5:$AI$471,8,)/VLOOKUP($E431,$D$5:$AI$471,3,))*$F431)</f>
        <v>7889512.365743598</v>
      </c>
      <c r="L431" s="44">
        <f>IF(VLOOKUP($E431,$D$5:$AI$471,3,)=0,0,(VLOOKUP($E431,$D$5:$AI$471,9,)/VLOOKUP($E431,$D$5:$AI$471,3,))*$F431)</f>
        <v>0</v>
      </c>
      <c r="M431" s="44">
        <f>IF(VLOOKUP($E431,$D$5:$AI$471,3,)=0,0,(VLOOKUP($E431,$D$5:$AI$471,10,)/VLOOKUP($E431,$D$5:$AI$471,3,))*$F431)</f>
        <v>1110930.1153978235</v>
      </c>
      <c r="N431" s="44">
        <f>IF(VLOOKUP($E431,$D$5:$AI$471,3,)=0,0,(VLOOKUP($E431,$D$5:$AI$471,11,)/VLOOKUP($E431,$D$5:$AI$471,3,))*$F431)</f>
        <v>0</v>
      </c>
      <c r="O431" s="44">
        <f>IF(VLOOKUP($E431,$D$5:$AI$471,3,)=0,0,(VLOOKUP($E431,$D$5:$AI$471,12,)/VLOOKUP($E431,$D$5:$AI$471,3,))*$F431)</f>
        <v>0</v>
      </c>
      <c r="P431" s="44">
        <f>IF(VLOOKUP($E431,$D$5:$AI$471,3,)=0,0,(VLOOKUP($E431,$D$5:$AI$471,13,)/VLOOKUP($E431,$D$5:$AI$471,3,))*$F431)</f>
        <v>0</v>
      </c>
      <c r="Q431" s="44">
        <f>IF(VLOOKUP($E431,$D$5:$AI$471,3,)=0,0,(VLOOKUP($E431,$D$5:$AI$471,14,)/VLOOKUP($E431,$D$5:$AI$471,3,))*$F431)</f>
        <v>0</v>
      </c>
      <c r="R431" s="44">
        <f>IF(VLOOKUP($E431,$D$5:$AI$471,3,)=0,0,(VLOOKUP($E431,$D$5:$AI$471,15,)/VLOOKUP($E431,$D$5:$AI$471,3,))*$F431)</f>
        <v>0</v>
      </c>
      <c r="S431" s="44">
        <f>IF(VLOOKUP($E431,$D$5:$AI$471,3,)=0,0,(VLOOKUP($E431,$D$5:$AI$471,16,)/VLOOKUP($E431,$D$5:$AI$471,3,))*$F431)</f>
        <v>0</v>
      </c>
      <c r="T431" s="44">
        <f>IF(VLOOKUP($E431,$D$5:$AI$471,3,)=0,0,(VLOOKUP($E431,$D$5:$AI$471,17,)/VLOOKUP($E431,$D$5:$AI$471,3,))*$F431)</f>
        <v>0</v>
      </c>
      <c r="U431" s="44">
        <f>IF(VLOOKUP($E431,$D$5:$AI$471,3,)=0,0,(VLOOKUP($E431,$D$5:$AI$471,18,)/VLOOKUP($E431,$D$5:$AI$471,3,))*$F431)</f>
        <v>0</v>
      </c>
      <c r="V431" s="44">
        <f>IF(VLOOKUP($E431,$D$5:$AI$471,3,)=0,0,(VLOOKUP($E431,$D$5:$AI$471,19,)/VLOOKUP($E431,$D$5:$AI$471,3,))*$F431)</f>
        <v>0</v>
      </c>
      <c r="W431" s="44">
        <f>IF(VLOOKUP($E431,$D$5:$AI$471,3,)=0,0,(VLOOKUP($E431,$D$5:$AI$471,20,)/VLOOKUP($E431,$D$5:$AI$471,3,))*$F431)</f>
        <v>0</v>
      </c>
      <c r="X431" s="44">
        <f>IF(VLOOKUP($E431,$D$5:$AI$471,3,)=0,0,(VLOOKUP($E431,$D$5:$AI$471,21,)/VLOOKUP($E431,$D$5:$AI$471,3,))*$F431)</f>
        <v>0</v>
      </c>
      <c r="Y431" s="44">
        <f>IF(VLOOKUP($E431,$D$5:$AI$471,3,)=0,0,(VLOOKUP($E431,$D$5:$AI$471,22,)/VLOOKUP($E431,$D$5:$AI$471,3,))*$F431)</f>
        <v>0</v>
      </c>
      <c r="Z431" s="44">
        <f>IF(VLOOKUP($E431,$D$5:$AI$471,3,)=0,0,(VLOOKUP($E431,$D$5:$AI$471,23,)/VLOOKUP($E431,$D$5:$AI$471,3,))*$F431)</f>
        <v>0</v>
      </c>
      <c r="AA431" s="44">
        <f>IF(VLOOKUP($E431,$D$5:$AI$471,3,)=0,0,(VLOOKUP($E431,$D$5:$AI$471,24,)/VLOOKUP($E431,$D$5:$AI$471,3,))*$F431)</f>
        <v>0</v>
      </c>
      <c r="AB431" s="44">
        <f>IF(VLOOKUP($E431,$D$5:$AI$471,3,)=0,0,(VLOOKUP($E431,$D$5:$AI$471,25,)/VLOOKUP($E431,$D$5:$AI$471,3,))*$F431)</f>
        <v>0</v>
      </c>
      <c r="AC431" s="44">
        <f>IF(VLOOKUP($E431,$D$5:$AI$471,3,)=0,0,(VLOOKUP($E431,$D$5:$AI$471,26,)/VLOOKUP($E431,$D$5:$AI$471,3,))*$F431)</f>
        <v>0</v>
      </c>
      <c r="AD431" s="44">
        <f>IF(VLOOKUP($E431,$D$5:$AI$471,3,)=0,0,(VLOOKUP($E431,$D$5:$AI$471,27,)/VLOOKUP($E431,$D$5:$AI$471,3,))*$F431)</f>
        <v>0</v>
      </c>
      <c r="AE431" s="44">
        <f>IF(VLOOKUP($E431,$D$5:$AI$471,3,)=0,0,(VLOOKUP($E431,$D$5:$AI$471,28,)/VLOOKUP($E431,$D$5:$AI$471,3,))*$F431)</f>
        <v>0</v>
      </c>
      <c r="AF431" s="44">
        <f>IF(VLOOKUP($E431,$D$5:$AI$471,3,)=0,0,(VLOOKUP($E431,$D$5:$AI$471,29,)/VLOOKUP($E431,$D$5:$AI$471,3,))*$F431)</f>
        <v>0</v>
      </c>
      <c r="AG431" s="44">
        <f>IF(VLOOKUP($E431,$D$5:$AI$471,3,)=0,0,(VLOOKUP($E431,$D$5:$AI$471,30,)/VLOOKUP($E431,$D$5:$AI$471,3,))*$F431)</f>
        <v>0</v>
      </c>
      <c r="AH431" s="20">
        <f>SUM(G431:AG431)</f>
        <v>73868310.901787937</v>
      </c>
      <c r="AI431" s="15" t="str">
        <f t="shared" si="177"/>
        <v>ok</v>
      </c>
    </row>
    <row r="432" spans="1:37" x14ac:dyDescent="0.3">
      <c r="A432" s="2" t="s">
        <v>783</v>
      </c>
      <c r="D432" s="2" t="s">
        <v>784</v>
      </c>
      <c r="F432" s="20">
        <f t="shared" ref="F432:AG432" si="178">F430+F431</f>
        <v>84905603.641176924</v>
      </c>
      <c r="G432" s="20">
        <f t="shared" si="178"/>
        <v>52657233.504901476</v>
      </c>
      <c r="H432" s="20">
        <f t="shared" si="178"/>
        <v>6076004.5966417985</v>
      </c>
      <c r="I432" s="20">
        <f t="shared" si="178"/>
        <v>2469356.4678037157</v>
      </c>
      <c r="J432" s="20">
        <f t="shared" si="178"/>
        <v>3665273.8512995155</v>
      </c>
      <c r="K432" s="20">
        <f t="shared" si="178"/>
        <v>7889512.365743598</v>
      </c>
      <c r="L432" s="20">
        <f t="shared" si="178"/>
        <v>11037292.739388999</v>
      </c>
      <c r="M432" s="20">
        <f t="shared" si="178"/>
        <v>1110930.1153978235</v>
      </c>
      <c r="N432" s="20">
        <f t="shared" si="178"/>
        <v>0</v>
      </c>
      <c r="O432" s="20">
        <f t="shared" si="178"/>
        <v>0</v>
      </c>
      <c r="P432" s="20">
        <f t="shared" si="178"/>
        <v>0</v>
      </c>
      <c r="Q432" s="20">
        <f t="shared" si="178"/>
        <v>0</v>
      </c>
      <c r="R432" s="20">
        <f t="shared" si="178"/>
        <v>0</v>
      </c>
      <c r="S432" s="20">
        <f t="shared" si="178"/>
        <v>0</v>
      </c>
      <c r="T432" s="20">
        <f t="shared" si="178"/>
        <v>0</v>
      </c>
      <c r="U432" s="20">
        <f t="shared" si="178"/>
        <v>0</v>
      </c>
      <c r="V432" s="20">
        <f t="shared" si="178"/>
        <v>0</v>
      </c>
      <c r="W432" s="20">
        <f t="shared" si="178"/>
        <v>0</v>
      </c>
      <c r="X432" s="20">
        <f t="shared" si="178"/>
        <v>0</v>
      </c>
      <c r="Y432" s="20">
        <f t="shared" si="178"/>
        <v>0</v>
      </c>
      <c r="Z432" s="20">
        <f t="shared" si="178"/>
        <v>0</v>
      </c>
      <c r="AA432" s="20">
        <f t="shared" si="178"/>
        <v>0</v>
      </c>
      <c r="AB432" s="20">
        <f t="shared" si="178"/>
        <v>0</v>
      </c>
      <c r="AC432" s="20">
        <f t="shared" si="178"/>
        <v>0</v>
      </c>
      <c r="AD432" s="20">
        <f t="shared" si="178"/>
        <v>0</v>
      </c>
      <c r="AE432" s="20">
        <f t="shared" si="178"/>
        <v>0</v>
      </c>
      <c r="AF432" s="20">
        <f t="shared" si="178"/>
        <v>0</v>
      </c>
      <c r="AG432" s="20">
        <f t="shared" si="178"/>
        <v>0</v>
      </c>
      <c r="AH432" s="20">
        <f>SUM(G432:AG432)</f>
        <v>84905603.641176939</v>
      </c>
      <c r="AI432" s="15" t="str">
        <f t="shared" si="177"/>
        <v>ok</v>
      </c>
    </row>
    <row r="433" spans="1:35" x14ac:dyDescent="0.3">
      <c r="A433" s="2" t="s">
        <v>785</v>
      </c>
      <c r="D433" s="2" t="s">
        <v>786</v>
      </c>
      <c r="E433" s="2" t="s">
        <v>784</v>
      </c>
      <c r="F433" s="59">
        <v>1</v>
      </c>
      <c r="G433" s="45">
        <f>IF(VLOOKUP($E433,$D$5:$AI$471,3,)=0,0,(VLOOKUP($E433,$D$5:$AI$471,4,)/VLOOKUP($E433,$D$5:$AI$471,3,))*$F433)</f>
        <v>0.62018560903751874</v>
      </c>
      <c r="H433" s="45">
        <f>IF(VLOOKUP($E433,$D$5:$AI$471,3,)=0,0,(VLOOKUP($E433,$D$5:$AI$471,5,)/VLOOKUP($E433,$D$5:$AI$471,3,))*$F433)</f>
        <v>7.1561879735521958E-2</v>
      </c>
      <c r="I433" s="45">
        <f>IF(VLOOKUP($E433,$D$5:$AI$471,3,)=0,0,(VLOOKUP($E433,$D$5:$AI$471,6,)/VLOOKUP($E433,$D$5:$AI$471,3,))*$F433)</f>
        <v>2.9083551166299518E-2</v>
      </c>
      <c r="J433" s="45">
        <f>IF(VLOOKUP($E433,$D$5:$AI$471,3,)=0,0,(VLOOKUP($E433,$D$5:$AI$471,7,)/VLOOKUP($E433,$D$5:$AI$471,3,))*$F433)</f>
        <v>4.3168809761832454E-2</v>
      </c>
      <c r="K433" s="45">
        <f>IF(VLOOKUP($E433,$D$5:$AI$471,3,)=0,0,(VLOOKUP($E433,$D$5:$AI$471,8,)/VLOOKUP($E433,$D$5:$AI$471,3,))*$F433)</f>
        <v>9.2920985510989262E-2</v>
      </c>
      <c r="L433" s="45">
        <f>IF(VLOOKUP($E433,$D$5:$AI$471,3,)=0,0,(VLOOKUP($E433,$D$5:$AI$471,9,)/VLOOKUP($E433,$D$5:$AI$471,3,))*$F433)</f>
        <v>0.12999486801877244</v>
      </c>
      <c r="M433" s="45">
        <f>IF(VLOOKUP($E433,$D$5:$AI$471,3,)=0,0,(VLOOKUP($E433,$D$5:$AI$471,10,)/VLOOKUP($E433,$D$5:$AI$471,3,))*$F433)</f>
        <v>1.3084296769065692E-2</v>
      </c>
      <c r="N433" s="45">
        <f>IF(VLOOKUP($E433,$D$5:$AI$471,3,)=0,0,(VLOOKUP($E433,$D$5:$AI$471,11,)/VLOOKUP($E433,$D$5:$AI$471,3,))*$F433)</f>
        <v>0</v>
      </c>
      <c r="O433" s="45">
        <f>IF(VLOOKUP($E433,$D$5:$AI$471,3,)=0,0,(VLOOKUP($E433,$D$5:$AI$471,12,)/VLOOKUP($E433,$D$5:$AI$471,3,))*$F433)</f>
        <v>0</v>
      </c>
      <c r="P433" s="45">
        <f>IF(VLOOKUP($E433,$D$5:$AI$471,3,)=0,0,(VLOOKUP($E433,$D$5:$AI$471,13,)/VLOOKUP($E433,$D$5:$AI$471,3,))*$F433)</f>
        <v>0</v>
      </c>
      <c r="Q433" s="45">
        <f>IF(VLOOKUP($E433,$D$5:$AI$471,3,)=0,0,(VLOOKUP($E433,$D$5:$AI$471,14,)/VLOOKUP($E433,$D$5:$AI$471,3,))*$F433)</f>
        <v>0</v>
      </c>
      <c r="R433" s="45">
        <f>IF(VLOOKUP($E433,$D$5:$AI$471,3,)=0,0,(VLOOKUP($E433,$D$5:$AI$471,15,)/VLOOKUP($E433,$D$5:$AI$471,3,))*$F433)</f>
        <v>0</v>
      </c>
      <c r="S433" s="45">
        <f>IF(VLOOKUP($E433,$D$5:$AI$471,3,)=0,0,(VLOOKUP($E433,$D$5:$AI$471,16,)/VLOOKUP($E433,$D$5:$AI$471,3,))*$F433)</f>
        <v>0</v>
      </c>
      <c r="T433" s="45">
        <f>IF(VLOOKUP($E433,$D$5:$AI$471,3,)=0,0,(VLOOKUP($E433,$D$5:$AI$471,17,)/VLOOKUP($E433,$D$5:$AI$471,3,))*$F433)</f>
        <v>0</v>
      </c>
      <c r="U433" s="45">
        <f>IF(VLOOKUP($E433,$D$5:$AI$471,3,)=0,0,(VLOOKUP($E433,$D$5:$AI$471,18,)/VLOOKUP($E433,$D$5:$AI$471,3,))*$F433)</f>
        <v>0</v>
      </c>
      <c r="V433" s="45">
        <f>IF(VLOOKUP($E433,$D$5:$AI$471,3,)=0,0,(VLOOKUP($E433,$D$5:$AI$471,19,)/VLOOKUP($E433,$D$5:$AI$471,3,))*$F433)</f>
        <v>0</v>
      </c>
      <c r="W433" s="45">
        <f>IF(VLOOKUP($E433,$D$5:$AI$471,3,)=0,0,(VLOOKUP($E433,$D$5:$AI$471,20,)/VLOOKUP($E433,$D$5:$AI$471,3,))*$F433)</f>
        <v>0</v>
      </c>
      <c r="X433" s="45">
        <f>IF(VLOOKUP($E433,$D$5:$AI$471,3,)=0,0,(VLOOKUP($E433,$D$5:$AI$471,21,)/VLOOKUP($E433,$D$5:$AI$471,3,))*$F433)</f>
        <v>0</v>
      </c>
      <c r="Y433" s="45">
        <f>IF(VLOOKUP($E433,$D$5:$AI$471,3,)=0,0,(VLOOKUP($E433,$D$5:$AI$471,22,)/VLOOKUP($E433,$D$5:$AI$471,3,))*$F433)</f>
        <v>0</v>
      </c>
      <c r="Z433" s="45">
        <f>IF(VLOOKUP($E433,$D$5:$AI$471,3,)=0,0,(VLOOKUP($E433,$D$5:$AI$471,23,)/VLOOKUP($E433,$D$5:$AI$471,3,))*$F433)</f>
        <v>0</v>
      </c>
      <c r="AA433" s="45">
        <f>IF(VLOOKUP($E433,$D$5:$AI$471,3,)=0,0,(VLOOKUP($E433,$D$5:$AI$471,24,)/VLOOKUP($E433,$D$5:$AI$471,3,))*$F433)</f>
        <v>0</v>
      </c>
      <c r="AB433" s="45">
        <f>IF(VLOOKUP($E433,$D$5:$AI$471,3,)=0,0,(VLOOKUP($E433,$D$5:$AI$471,25,)/VLOOKUP($E433,$D$5:$AI$471,3,))*$F433)</f>
        <v>0</v>
      </c>
      <c r="AC433" s="45">
        <f>IF(VLOOKUP($E433,$D$5:$AI$471,3,)=0,0,(VLOOKUP($E433,$D$5:$AI$471,26,)/VLOOKUP($E433,$D$5:$AI$471,3,))*$F433)</f>
        <v>0</v>
      </c>
      <c r="AD433" s="45">
        <f>IF(VLOOKUP($E433,$D$5:$AI$471,3,)=0,0,(VLOOKUP($E433,$D$5:$AI$471,27,)/VLOOKUP($E433,$D$5:$AI$471,3,))*$F433)</f>
        <v>0</v>
      </c>
      <c r="AE433" s="45">
        <f>IF(VLOOKUP($E433,$D$5:$AI$471,3,)=0,0,(VLOOKUP($E433,$D$5:$AI$471,28,)/VLOOKUP($E433,$D$5:$AI$471,3,))*$F433)</f>
        <v>0</v>
      </c>
      <c r="AF433" s="45">
        <f>IF(VLOOKUP($E433,$D$5:$AI$471,3,)=0,0,(VLOOKUP($E433,$D$5:$AI$471,29,)/VLOOKUP($E433,$D$5:$AI$471,3,))*$F433)</f>
        <v>0</v>
      </c>
      <c r="AG433" s="45">
        <f>IF(VLOOKUP($E433,$D$5:$AI$471,3,)=0,0,(VLOOKUP($E433,$D$5:$AI$471,30,)/VLOOKUP($E433,$D$5:$AI$471,3,))*$F433)</f>
        <v>0</v>
      </c>
      <c r="AH433" s="45">
        <f>SUM(G433:AG433)</f>
        <v>1.0000000000000002</v>
      </c>
      <c r="AI433" s="15" t="str">
        <f t="shared" si="177"/>
        <v>ok</v>
      </c>
    </row>
    <row r="434" spans="1:35" x14ac:dyDescent="0.3">
      <c r="F434" s="59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15"/>
    </row>
    <row r="435" spans="1:35" x14ac:dyDescent="0.3">
      <c r="A435" s="2" t="s">
        <v>787</v>
      </c>
      <c r="D435" s="2" t="s">
        <v>788</v>
      </c>
      <c r="F435" s="43">
        <v>459314615</v>
      </c>
      <c r="G435" s="43">
        <f>G286+G287</f>
        <v>332009749.29578787</v>
      </c>
      <c r="H435" s="43">
        <f>H286+H287</f>
        <v>37032874.400602944</v>
      </c>
      <c r="I435" s="43">
        <f>I286+I287</f>
        <v>14859849.915833546</v>
      </c>
      <c r="J435" s="43">
        <f>J286+J287</f>
        <v>20585977.29034115</v>
      </c>
      <c r="K435" s="43">
        <f>K286+K287</f>
        <v>47970171.659622259</v>
      </c>
      <c r="L435" s="43">
        <v>0</v>
      </c>
      <c r="M435" s="43">
        <f t="shared" ref="M435:AG435" si="179">M286+M287</f>
        <v>6855992.4378122576</v>
      </c>
      <c r="N435" s="43">
        <f t="shared" si="179"/>
        <v>0</v>
      </c>
      <c r="O435" s="43">
        <f t="shared" si="179"/>
        <v>0</v>
      </c>
      <c r="P435" s="43">
        <f t="shared" si="179"/>
        <v>0</v>
      </c>
      <c r="Q435" s="43">
        <f t="shared" si="179"/>
        <v>0</v>
      </c>
      <c r="R435" s="43">
        <f t="shared" si="179"/>
        <v>0</v>
      </c>
      <c r="S435" s="43">
        <f t="shared" si="179"/>
        <v>0</v>
      </c>
      <c r="T435" s="43">
        <f t="shared" si="179"/>
        <v>0</v>
      </c>
      <c r="U435" s="43">
        <f t="shared" si="179"/>
        <v>0</v>
      </c>
      <c r="V435" s="43">
        <f t="shared" si="179"/>
        <v>0</v>
      </c>
      <c r="W435" s="43">
        <f t="shared" si="179"/>
        <v>0</v>
      </c>
      <c r="X435" s="43">
        <f t="shared" si="179"/>
        <v>0</v>
      </c>
      <c r="Y435" s="43">
        <f t="shared" si="179"/>
        <v>0</v>
      </c>
      <c r="Z435" s="43">
        <f t="shared" si="179"/>
        <v>0</v>
      </c>
      <c r="AA435" s="43">
        <f t="shared" si="179"/>
        <v>0</v>
      </c>
      <c r="AB435" s="43">
        <f t="shared" si="179"/>
        <v>0</v>
      </c>
      <c r="AC435" s="43">
        <f t="shared" si="179"/>
        <v>0</v>
      </c>
      <c r="AD435" s="43">
        <f t="shared" si="179"/>
        <v>0</v>
      </c>
      <c r="AE435" s="43">
        <f t="shared" si="179"/>
        <v>0</v>
      </c>
      <c r="AF435" s="43">
        <f t="shared" si="179"/>
        <v>0</v>
      </c>
      <c r="AG435" s="43">
        <f t="shared" si="179"/>
        <v>0</v>
      </c>
      <c r="AH435" s="43">
        <f>SUM(G435:AG435)</f>
        <v>459314615</v>
      </c>
      <c r="AI435" s="15" t="str">
        <f t="shared" ref="AI435:AI440" si="180">IF(ABS(F435-AH435)&lt;0.01,"ok","err")</f>
        <v>ok</v>
      </c>
    </row>
    <row r="436" spans="1:35" x14ac:dyDescent="0.3">
      <c r="A436" s="2" t="s">
        <v>789</v>
      </c>
      <c r="F436" s="20">
        <f>F307</f>
        <v>-327966613</v>
      </c>
      <c r="AH436" s="20">
        <f>F436</f>
        <v>-327966613</v>
      </c>
      <c r="AI436" s="15" t="str">
        <f t="shared" si="180"/>
        <v>ok</v>
      </c>
    </row>
    <row r="437" spans="1:35" x14ac:dyDescent="0.3">
      <c r="A437" s="2" t="s">
        <v>781</v>
      </c>
      <c r="F437" s="20">
        <v>0</v>
      </c>
      <c r="G437" s="43">
        <v>0</v>
      </c>
      <c r="H437" s="43">
        <v>0</v>
      </c>
      <c r="I437" s="43">
        <v>0</v>
      </c>
      <c r="J437" s="44">
        <v>0</v>
      </c>
      <c r="K437" s="43">
        <v>0</v>
      </c>
      <c r="L437" s="43">
        <v>0</v>
      </c>
      <c r="M437" s="22">
        <v>0</v>
      </c>
      <c r="O437" s="43">
        <v>0</v>
      </c>
      <c r="P437" s="43">
        <v>0</v>
      </c>
      <c r="Q437" s="2">
        <v>0</v>
      </c>
      <c r="R437" s="2">
        <v>0</v>
      </c>
      <c r="S437" s="43">
        <v>0</v>
      </c>
      <c r="Z437" s="43">
        <v>0</v>
      </c>
      <c r="AC437" s="43">
        <v>0</v>
      </c>
      <c r="AD437" s="43">
        <v>0</v>
      </c>
      <c r="AH437" s="20">
        <f>SUM(G437:AG437)</f>
        <v>0</v>
      </c>
      <c r="AI437" s="15" t="str">
        <f t="shared" si="180"/>
        <v>ok</v>
      </c>
    </row>
    <row r="438" spans="1:35" x14ac:dyDescent="0.3">
      <c r="A438" s="2" t="s">
        <v>790</v>
      </c>
      <c r="E438" s="2" t="s">
        <v>788</v>
      </c>
      <c r="F438" s="20">
        <f>F436-F437</f>
        <v>-327966613</v>
      </c>
      <c r="G438" s="44">
        <f>IF(VLOOKUP($E438,$D$5:$AI$471,3,)=0,0,(VLOOKUP($E438,$D$5:$AI$471,4,)/VLOOKUP($E438,$D$5:$AI$471,3,))*$F438)</f>
        <v>-237066510.41251689</v>
      </c>
      <c r="H438" s="44">
        <f>IF(VLOOKUP($E438,$D$5:$AI$471,3,)=0,0,(VLOOKUP($E438,$D$5:$AI$471,5,)/VLOOKUP($E438,$D$5:$AI$471,3,))*$F438)</f>
        <v>-26442760.561451226</v>
      </c>
      <c r="I438" s="44">
        <f>IF(VLOOKUP($E438,$D$5:$AI$471,3,)=0,0,(VLOOKUP($E438,$D$5:$AI$471,6,)/VLOOKUP($E438,$D$5:$AI$471,3,))*$F438)</f>
        <v>-10610449.76020252</v>
      </c>
      <c r="J438" s="44">
        <f>IF(VLOOKUP($E438,$D$5:$AI$471,3,)=0,0,(VLOOKUP($E438,$D$5:$AI$471,7,)/VLOOKUP($E438,$D$5:$AI$471,3,))*$F438)</f>
        <v>-14699103.896809608</v>
      </c>
      <c r="K438" s="44">
        <f>IF(VLOOKUP($E438,$D$5:$AI$471,3,)=0,0,(VLOOKUP($E438,$D$5:$AI$471,8,)/VLOOKUP($E438,$D$5:$AI$471,3,))*$F438)</f>
        <v>-34252371.273304462</v>
      </c>
      <c r="L438" s="44">
        <f>IF(VLOOKUP($E438,$D$5:$AI$471,3,)=0,0,(VLOOKUP($E438,$D$5:$AI$471,9,)/VLOOKUP($E438,$D$5:$AI$471,3,))*$F438)</f>
        <v>0</v>
      </c>
      <c r="M438" s="44">
        <f>IF(VLOOKUP($E438,$D$5:$AI$471,3,)=0,0,(VLOOKUP($E438,$D$5:$AI$471,10,)/VLOOKUP($E438,$D$5:$AI$471,3,))*$F438)</f>
        <v>-4895417.0957153169</v>
      </c>
      <c r="N438" s="44">
        <f>IF(VLOOKUP($E438,$D$5:$AI$471,3,)=0,0,(VLOOKUP($E438,$D$5:$AI$471,11,)/VLOOKUP($E438,$D$5:$AI$471,3,))*$F438)</f>
        <v>0</v>
      </c>
      <c r="O438" s="44">
        <f>IF(VLOOKUP($E438,$D$5:$AI$471,3,)=0,0,(VLOOKUP($E438,$D$5:$AI$471,12,)/VLOOKUP($E438,$D$5:$AI$471,3,))*$F438)</f>
        <v>0</v>
      </c>
      <c r="P438" s="44">
        <f>IF(VLOOKUP($E438,$D$5:$AI$471,3,)=0,0,(VLOOKUP($E438,$D$5:$AI$471,13,)/VLOOKUP($E438,$D$5:$AI$471,3,))*$F438)</f>
        <v>0</v>
      </c>
      <c r="Q438" s="44">
        <f>IF(VLOOKUP($E438,$D$5:$AI$471,3,)=0,0,(VLOOKUP($E438,$D$5:$AI$471,14,)/VLOOKUP($E438,$D$5:$AI$471,3,))*$F438)</f>
        <v>0</v>
      </c>
      <c r="R438" s="44">
        <f>IF(VLOOKUP($E438,$D$5:$AI$471,3,)=0,0,(VLOOKUP($E438,$D$5:$AI$471,15,)/VLOOKUP($E438,$D$5:$AI$471,3,))*$F438)</f>
        <v>0</v>
      </c>
      <c r="S438" s="44">
        <f>IF(VLOOKUP($E438,$D$5:$AI$471,3,)=0,0,(VLOOKUP($E438,$D$5:$AI$471,16,)/VLOOKUP($E438,$D$5:$AI$471,3,))*$F438)</f>
        <v>0</v>
      </c>
      <c r="T438" s="44">
        <f>IF(VLOOKUP($E438,$D$5:$AI$471,3,)=0,0,(VLOOKUP($E438,$D$5:$AI$471,17,)/VLOOKUP($E438,$D$5:$AI$471,3,))*$F438)</f>
        <v>0</v>
      </c>
      <c r="U438" s="44">
        <f>IF(VLOOKUP($E438,$D$5:$AI$471,3,)=0,0,(VLOOKUP($E438,$D$5:$AI$471,18,)/VLOOKUP($E438,$D$5:$AI$471,3,))*$F438)</f>
        <v>0</v>
      </c>
      <c r="V438" s="44">
        <f>IF(VLOOKUP($E438,$D$5:$AI$471,3,)=0,0,(VLOOKUP($E438,$D$5:$AI$471,19,)/VLOOKUP($E438,$D$5:$AI$471,3,))*$F438)</f>
        <v>0</v>
      </c>
      <c r="W438" s="44">
        <f>IF(VLOOKUP($E438,$D$5:$AI$471,3,)=0,0,(VLOOKUP($E438,$D$5:$AI$471,20,)/VLOOKUP($E438,$D$5:$AI$471,3,))*$F438)</f>
        <v>0</v>
      </c>
      <c r="X438" s="44">
        <f>IF(VLOOKUP($E438,$D$5:$AI$471,3,)=0,0,(VLOOKUP($E438,$D$5:$AI$471,21,)/VLOOKUP($E438,$D$5:$AI$471,3,))*$F438)</f>
        <v>0</v>
      </c>
      <c r="Y438" s="44">
        <f>IF(VLOOKUP($E438,$D$5:$AI$471,3,)=0,0,(VLOOKUP($E438,$D$5:$AI$471,22,)/VLOOKUP($E438,$D$5:$AI$471,3,))*$F438)</f>
        <v>0</v>
      </c>
      <c r="Z438" s="44">
        <f>IF(VLOOKUP($E438,$D$5:$AI$471,3,)=0,0,(VLOOKUP($E438,$D$5:$AI$471,23,)/VLOOKUP($E438,$D$5:$AI$471,3,))*$F438)</f>
        <v>0</v>
      </c>
      <c r="AA438" s="44">
        <f>IF(VLOOKUP($E438,$D$5:$AI$471,3,)=0,0,(VLOOKUP($E438,$D$5:$AI$471,24,)/VLOOKUP($E438,$D$5:$AI$471,3,))*$F438)</f>
        <v>0</v>
      </c>
      <c r="AB438" s="44">
        <f>IF(VLOOKUP($E438,$D$5:$AI$471,3,)=0,0,(VLOOKUP($E438,$D$5:$AI$471,25,)/VLOOKUP($E438,$D$5:$AI$471,3,))*$F438)</f>
        <v>0</v>
      </c>
      <c r="AC438" s="44">
        <f>IF(VLOOKUP($E438,$D$5:$AI$471,3,)=0,0,(VLOOKUP($E438,$D$5:$AI$471,26,)/VLOOKUP($E438,$D$5:$AI$471,3,))*$F438)</f>
        <v>0</v>
      </c>
      <c r="AD438" s="44">
        <f>IF(VLOOKUP($E438,$D$5:$AI$471,3,)=0,0,(VLOOKUP($E438,$D$5:$AI$471,27,)/VLOOKUP($E438,$D$5:$AI$471,3,))*$F438)</f>
        <v>0</v>
      </c>
      <c r="AE438" s="44">
        <f>IF(VLOOKUP($E438,$D$5:$AI$471,3,)=0,0,(VLOOKUP($E438,$D$5:$AI$471,28,)/VLOOKUP($E438,$D$5:$AI$471,3,))*$F438)</f>
        <v>0</v>
      </c>
      <c r="AF438" s="44">
        <f>IF(VLOOKUP($E438,$D$5:$AI$471,3,)=0,0,(VLOOKUP($E438,$D$5:$AI$471,29,)/VLOOKUP($E438,$D$5:$AI$471,3,))*$F438)</f>
        <v>0</v>
      </c>
      <c r="AG438" s="44">
        <f>IF(VLOOKUP($E438,$D$5:$AI$471,3,)=0,0,(VLOOKUP($E438,$D$5:$AI$471,30,)/VLOOKUP($E438,$D$5:$AI$471,3,))*$F438)</f>
        <v>0</v>
      </c>
      <c r="AH438" s="20">
        <f>SUM(G438:AG438)</f>
        <v>-327966613.00000006</v>
      </c>
      <c r="AI438" s="15" t="str">
        <f t="shared" si="180"/>
        <v>ok</v>
      </c>
    </row>
    <row r="439" spans="1:35" x14ac:dyDescent="0.3">
      <c r="A439" s="2" t="s">
        <v>791</v>
      </c>
      <c r="D439" s="2" t="s">
        <v>792</v>
      </c>
      <c r="F439" s="20">
        <f t="shared" ref="F439:AG439" si="181">F437+F438</f>
        <v>-327966613</v>
      </c>
      <c r="G439" s="20">
        <f t="shared" si="181"/>
        <v>-237066510.41251689</v>
      </c>
      <c r="H439" s="20">
        <f t="shared" si="181"/>
        <v>-26442760.561451226</v>
      </c>
      <c r="I439" s="20">
        <f t="shared" si="181"/>
        <v>-10610449.76020252</v>
      </c>
      <c r="J439" s="20">
        <f t="shared" si="181"/>
        <v>-14699103.896809608</v>
      </c>
      <c r="K439" s="20">
        <f t="shared" si="181"/>
        <v>-34252371.273304462</v>
      </c>
      <c r="L439" s="20">
        <f t="shared" si="181"/>
        <v>0</v>
      </c>
      <c r="M439" s="20">
        <f t="shared" si="181"/>
        <v>-4895417.0957153169</v>
      </c>
      <c r="N439" s="20">
        <f t="shared" si="181"/>
        <v>0</v>
      </c>
      <c r="O439" s="20">
        <f t="shared" si="181"/>
        <v>0</v>
      </c>
      <c r="P439" s="20">
        <f t="shared" si="181"/>
        <v>0</v>
      </c>
      <c r="Q439" s="20">
        <f t="shared" si="181"/>
        <v>0</v>
      </c>
      <c r="R439" s="20">
        <f t="shared" si="181"/>
        <v>0</v>
      </c>
      <c r="S439" s="20">
        <f t="shared" si="181"/>
        <v>0</v>
      </c>
      <c r="T439" s="20">
        <f t="shared" si="181"/>
        <v>0</v>
      </c>
      <c r="U439" s="20">
        <f t="shared" si="181"/>
        <v>0</v>
      </c>
      <c r="V439" s="20">
        <f t="shared" si="181"/>
        <v>0</v>
      </c>
      <c r="W439" s="20">
        <f t="shared" si="181"/>
        <v>0</v>
      </c>
      <c r="X439" s="20">
        <f t="shared" si="181"/>
        <v>0</v>
      </c>
      <c r="Y439" s="20">
        <f t="shared" si="181"/>
        <v>0</v>
      </c>
      <c r="Z439" s="20">
        <f t="shared" si="181"/>
        <v>0</v>
      </c>
      <c r="AA439" s="20">
        <f t="shared" si="181"/>
        <v>0</v>
      </c>
      <c r="AB439" s="20">
        <f t="shared" si="181"/>
        <v>0</v>
      </c>
      <c r="AC439" s="20">
        <f t="shared" si="181"/>
        <v>0</v>
      </c>
      <c r="AD439" s="20">
        <f t="shared" si="181"/>
        <v>0</v>
      </c>
      <c r="AE439" s="20">
        <f t="shared" si="181"/>
        <v>0</v>
      </c>
      <c r="AF439" s="20">
        <f t="shared" si="181"/>
        <v>0</v>
      </c>
      <c r="AG439" s="20">
        <f t="shared" si="181"/>
        <v>0</v>
      </c>
      <c r="AH439" s="20">
        <f>SUM(G439:AG439)</f>
        <v>-327966613.00000006</v>
      </c>
      <c r="AI439" s="15" t="str">
        <f t="shared" si="180"/>
        <v>ok</v>
      </c>
    </row>
    <row r="440" spans="1:35" x14ac:dyDescent="0.3">
      <c r="A440" s="2" t="s">
        <v>793</v>
      </c>
      <c r="D440" s="2" t="s">
        <v>794</v>
      </c>
      <c r="E440" s="2" t="s">
        <v>792</v>
      </c>
      <c r="F440" s="59">
        <v>1</v>
      </c>
      <c r="G440" s="45">
        <f>IF(VLOOKUP($E440,$D$5:$AI$471,3,)=0,0,(VLOOKUP($E440,$D$5:$AI$471,4,)/VLOOKUP($E440,$D$5:$AI$471,3,))*$F440)</f>
        <v>0.72283732860489947</v>
      </c>
      <c r="H440" s="45">
        <f>IF(VLOOKUP($E440,$D$5:$AI$471,3,)=0,0,(VLOOKUP($E440,$D$5:$AI$471,5,)/VLOOKUP($E440,$D$5:$AI$471,3,))*$F440)</f>
        <v>8.0626379373107793E-2</v>
      </c>
      <c r="I440" s="45">
        <f>IF(VLOOKUP($E440,$D$5:$AI$471,3,)=0,0,(VLOOKUP($E440,$D$5:$AI$471,6,)/VLOOKUP($E440,$D$5:$AI$471,3,))*$F440)</f>
        <v>3.2352225316918219E-2</v>
      </c>
      <c r="J440" s="45">
        <f>IF(VLOOKUP($E440,$D$5:$AI$471,3,)=0,0,(VLOOKUP($E440,$D$5:$AI$471,7,)/VLOOKUP($E440,$D$5:$AI$471,3,))*$F440)</f>
        <v>4.4818903248574293E-2</v>
      </c>
      <c r="K440" s="45">
        <f>IF(VLOOKUP($E440,$D$5:$AI$471,3,)=0,0,(VLOOKUP($E440,$D$5:$AI$471,8,)/VLOOKUP($E440,$D$5:$AI$471,3,))*$F440)</f>
        <v>0.10443859196516586</v>
      </c>
      <c r="L440" s="45">
        <f>IF(VLOOKUP($E440,$D$5:$AI$471,3,)=0,0,(VLOOKUP($E440,$D$5:$AI$471,9,)/VLOOKUP($E440,$D$5:$AI$471,3,))*$F440)</f>
        <v>0</v>
      </c>
      <c r="M440" s="45">
        <f>IF(VLOOKUP($E440,$D$5:$AI$471,3,)=0,0,(VLOOKUP($E440,$D$5:$AI$471,10,)/VLOOKUP($E440,$D$5:$AI$471,3,))*$F440)</f>
        <v>1.4926571491334445E-2</v>
      </c>
      <c r="N440" s="45">
        <f>IF(VLOOKUP($E440,$D$5:$AI$471,3,)=0,0,(VLOOKUP($E440,$D$5:$AI$471,11,)/VLOOKUP($E440,$D$5:$AI$471,3,))*$F440)</f>
        <v>0</v>
      </c>
      <c r="O440" s="45">
        <f>IF(VLOOKUP($E440,$D$5:$AI$471,3,)=0,0,(VLOOKUP($E440,$D$5:$AI$471,12,)/VLOOKUP($E440,$D$5:$AI$471,3,))*$F440)</f>
        <v>0</v>
      </c>
      <c r="P440" s="45">
        <f>IF(VLOOKUP($E440,$D$5:$AI$471,3,)=0,0,(VLOOKUP($E440,$D$5:$AI$471,13,)/VLOOKUP($E440,$D$5:$AI$471,3,))*$F440)</f>
        <v>0</v>
      </c>
      <c r="Q440" s="45">
        <f>IF(VLOOKUP($E440,$D$5:$AI$471,3,)=0,0,(VLOOKUP($E440,$D$5:$AI$471,14,)/VLOOKUP($E440,$D$5:$AI$471,3,))*$F440)</f>
        <v>0</v>
      </c>
      <c r="R440" s="45">
        <f>IF(VLOOKUP($E440,$D$5:$AI$471,3,)=0,0,(VLOOKUP($E440,$D$5:$AI$471,15,)/VLOOKUP($E440,$D$5:$AI$471,3,))*$F440)</f>
        <v>0</v>
      </c>
      <c r="S440" s="45">
        <f>IF(VLOOKUP($E440,$D$5:$AI$471,3,)=0,0,(VLOOKUP($E440,$D$5:$AI$471,16,)/VLOOKUP($E440,$D$5:$AI$471,3,))*$F440)</f>
        <v>0</v>
      </c>
      <c r="T440" s="45">
        <f>IF(VLOOKUP($E440,$D$5:$AI$471,3,)=0,0,(VLOOKUP($E440,$D$5:$AI$471,17,)/VLOOKUP($E440,$D$5:$AI$471,3,))*$F440)</f>
        <v>0</v>
      </c>
      <c r="U440" s="45">
        <f>IF(VLOOKUP($E440,$D$5:$AI$471,3,)=0,0,(VLOOKUP($E440,$D$5:$AI$471,18,)/VLOOKUP($E440,$D$5:$AI$471,3,))*$F440)</f>
        <v>0</v>
      </c>
      <c r="V440" s="45">
        <f>IF(VLOOKUP($E440,$D$5:$AI$471,3,)=0,0,(VLOOKUP($E440,$D$5:$AI$471,19,)/VLOOKUP($E440,$D$5:$AI$471,3,))*$F440)</f>
        <v>0</v>
      </c>
      <c r="W440" s="45">
        <f>IF(VLOOKUP($E440,$D$5:$AI$471,3,)=0,0,(VLOOKUP($E440,$D$5:$AI$471,20,)/VLOOKUP($E440,$D$5:$AI$471,3,))*$F440)</f>
        <v>0</v>
      </c>
      <c r="X440" s="45">
        <f>IF(VLOOKUP($E440,$D$5:$AI$471,3,)=0,0,(VLOOKUP($E440,$D$5:$AI$471,21,)/VLOOKUP($E440,$D$5:$AI$471,3,))*$F440)</f>
        <v>0</v>
      </c>
      <c r="Y440" s="45">
        <f>IF(VLOOKUP($E440,$D$5:$AI$471,3,)=0,0,(VLOOKUP($E440,$D$5:$AI$471,22,)/VLOOKUP($E440,$D$5:$AI$471,3,))*$F440)</f>
        <v>0</v>
      </c>
      <c r="Z440" s="45">
        <f>IF(VLOOKUP($E440,$D$5:$AI$471,3,)=0,0,(VLOOKUP($E440,$D$5:$AI$471,23,)/VLOOKUP($E440,$D$5:$AI$471,3,))*$F440)</f>
        <v>0</v>
      </c>
      <c r="AA440" s="45">
        <f>IF(VLOOKUP($E440,$D$5:$AI$471,3,)=0,0,(VLOOKUP($E440,$D$5:$AI$471,24,)/VLOOKUP($E440,$D$5:$AI$471,3,))*$F440)</f>
        <v>0</v>
      </c>
      <c r="AB440" s="45">
        <f>IF(VLOOKUP($E440,$D$5:$AI$471,3,)=0,0,(VLOOKUP($E440,$D$5:$AI$471,25,)/VLOOKUP($E440,$D$5:$AI$471,3,))*$F440)</f>
        <v>0</v>
      </c>
      <c r="AC440" s="45">
        <f>IF(VLOOKUP($E440,$D$5:$AI$471,3,)=0,0,(VLOOKUP($E440,$D$5:$AI$471,26,)/VLOOKUP($E440,$D$5:$AI$471,3,))*$F440)</f>
        <v>0</v>
      </c>
      <c r="AD440" s="45">
        <f>IF(VLOOKUP($E440,$D$5:$AI$471,3,)=0,0,(VLOOKUP($E440,$D$5:$AI$471,27,)/VLOOKUP($E440,$D$5:$AI$471,3,))*$F440)</f>
        <v>0</v>
      </c>
      <c r="AE440" s="45">
        <f>IF(VLOOKUP($E440,$D$5:$AI$471,3,)=0,0,(VLOOKUP($E440,$D$5:$AI$471,28,)/VLOOKUP($E440,$D$5:$AI$471,3,))*$F440)</f>
        <v>0</v>
      </c>
      <c r="AF440" s="45">
        <f>IF(VLOOKUP($E440,$D$5:$AI$471,3,)=0,0,(VLOOKUP($E440,$D$5:$AI$471,29,)/VLOOKUP($E440,$D$5:$AI$471,3,))*$F440)</f>
        <v>0</v>
      </c>
      <c r="AG440" s="45">
        <f>IF(VLOOKUP($E440,$D$5:$AI$471,3,)=0,0,(VLOOKUP($E440,$D$5:$AI$471,30,)/VLOOKUP($E440,$D$5:$AI$471,3,))*$F440)</f>
        <v>0</v>
      </c>
      <c r="AH440" s="45">
        <f>SUM(G440:AG440)</f>
        <v>1</v>
      </c>
      <c r="AI440" s="15" t="str">
        <f t="shared" si="180"/>
        <v>ok</v>
      </c>
    </row>
    <row r="441" spans="1:35" x14ac:dyDescent="0.3">
      <c r="F441" s="59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  <c r="AD441" s="45"/>
      <c r="AE441" s="45"/>
      <c r="AF441" s="45"/>
      <c r="AG441" s="45"/>
      <c r="AH441" s="45"/>
      <c r="AI441" s="15"/>
    </row>
    <row r="442" spans="1:35" x14ac:dyDescent="0.3">
      <c r="A442" s="2" t="s">
        <v>795</v>
      </c>
      <c r="D442" s="2" t="s">
        <v>796</v>
      </c>
      <c r="F442" s="43">
        <v>6135850432</v>
      </c>
      <c r="G442" s="43">
        <f>G402</f>
        <v>4747846336</v>
      </c>
      <c r="H442" s="43">
        <f>H402</f>
        <v>476980571</v>
      </c>
      <c r="I442" s="43">
        <f>I402</f>
        <v>195971525</v>
      </c>
      <c r="J442" s="43">
        <f>J402</f>
        <v>290218089</v>
      </c>
      <c r="K442" s="43">
        <f>K402</f>
        <v>424833911</v>
      </c>
      <c r="L442" s="43">
        <v>0</v>
      </c>
      <c r="M442" s="43">
        <f>M402</f>
        <v>0</v>
      </c>
      <c r="N442" s="43">
        <f t="shared" ref="N442:AG442" si="182">N424</f>
        <v>0</v>
      </c>
      <c r="O442" s="43">
        <f t="shared" si="182"/>
        <v>0</v>
      </c>
      <c r="P442" s="43">
        <f t="shared" si="182"/>
        <v>0</v>
      </c>
      <c r="Q442" s="43">
        <f t="shared" si="182"/>
        <v>0</v>
      </c>
      <c r="R442" s="43">
        <f t="shared" si="182"/>
        <v>0</v>
      </c>
      <c r="S442" s="43">
        <f t="shared" si="182"/>
        <v>0</v>
      </c>
      <c r="T442" s="43">
        <f t="shared" si="182"/>
        <v>0</v>
      </c>
      <c r="U442" s="43">
        <f t="shared" si="182"/>
        <v>0</v>
      </c>
      <c r="V442" s="43">
        <f t="shared" si="182"/>
        <v>0</v>
      </c>
      <c r="W442" s="43">
        <f t="shared" si="182"/>
        <v>0</v>
      </c>
      <c r="X442" s="43">
        <f t="shared" si="182"/>
        <v>0</v>
      </c>
      <c r="Y442" s="43">
        <f t="shared" si="182"/>
        <v>0</v>
      </c>
      <c r="Z442" s="43">
        <f t="shared" si="182"/>
        <v>0</v>
      </c>
      <c r="AA442" s="43">
        <f t="shared" si="182"/>
        <v>0</v>
      </c>
      <c r="AB442" s="43">
        <f t="shared" si="182"/>
        <v>0</v>
      </c>
      <c r="AC442" s="43">
        <f t="shared" si="182"/>
        <v>0</v>
      </c>
      <c r="AD442" s="43">
        <f t="shared" si="182"/>
        <v>0</v>
      </c>
      <c r="AE442" s="43">
        <f t="shared" si="182"/>
        <v>0</v>
      </c>
      <c r="AF442" s="43">
        <f t="shared" si="182"/>
        <v>0</v>
      </c>
      <c r="AG442" s="43">
        <f t="shared" si="182"/>
        <v>0</v>
      </c>
      <c r="AH442" s="43">
        <f>SUM(G442:AG442)</f>
        <v>6135850432</v>
      </c>
      <c r="AI442" s="15" t="str">
        <f t="shared" ref="AI442:AI447" si="183">IF(ABS(F442-AH442)&lt;0.01,"ok","err")</f>
        <v>ok</v>
      </c>
    </row>
    <row r="443" spans="1:35" x14ac:dyDescent="0.3">
      <c r="A443" s="2" t="s">
        <v>797</v>
      </c>
      <c r="F443" s="20">
        <f>F80</f>
        <v>289780957.19425559</v>
      </c>
      <c r="AH443" s="20">
        <f>F443</f>
        <v>289780957.19425559</v>
      </c>
      <c r="AI443" s="15" t="str">
        <f t="shared" si="183"/>
        <v>ok</v>
      </c>
    </row>
    <row r="444" spans="1:35" x14ac:dyDescent="0.3">
      <c r="A444" s="2" t="s">
        <v>781</v>
      </c>
      <c r="F444" s="44">
        <v>6512978.5458535561</v>
      </c>
      <c r="G444" s="43">
        <v>0</v>
      </c>
      <c r="H444" s="43">
        <v>0</v>
      </c>
      <c r="I444" s="43">
        <v>0</v>
      </c>
      <c r="J444" s="44">
        <v>0</v>
      </c>
      <c r="K444" s="43">
        <v>0</v>
      </c>
      <c r="L444" s="18">
        <v>6512978.5458535561</v>
      </c>
      <c r="M444" s="22">
        <v>0</v>
      </c>
      <c r="N444" s="43">
        <v>0</v>
      </c>
      <c r="O444" s="43">
        <v>0</v>
      </c>
      <c r="P444" s="43">
        <v>0</v>
      </c>
      <c r="Q444" s="2">
        <v>0</v>
      </c>
      <c r="R444" s="2">
        <v>0</v>
      </c>
      <c r="S444" s="43">
        <v>0</v>
      </c>
      <c r="Z444" s="43">
        <v>0</v>
      </c>
      <c r="AC444" s="43">
        <v>0</v>
      </c>
      <c r="AD444" s="43">
        <v>0</v>
      </c>
      <c r="AH444" s="70">
        <f>SUM(G444:AG444)</f>
        <v>6512978.5458535561</v>
      </c>
      <c r="AI444" s="15" t="str">
        <f t="shared" si="183"/>
        <v>ok</v>
      </c>
    </row>
    <row r="445" spans="1:35" x14ac:dyDescent="0.3">
      <c r="A445" s="2" t="s">
        <v>798</v>
      </c>
      <c r="E445" s="2" t="s">
        <v>796</v>
      </c>
      <c r="F445" s="20">
        <f>F443-F444</f>
        <v>283267978.64840204</v>
      </c>
      <c r="G445" s="44">
        <f>IF(VLOOKUP($E445,$D$5:$AI$471,3,)=0,0,(VLOOKUP($E445,$D$5:$AI$471,4,)/VLOOKUP($E445,$D$5:$AI$471,3,))*$F445)</f>
        <v>219189311.96853885</v>
      </c>
      <c r="H445" s="44">
        <f>IF(VLOOKUP($E445,$D$5:$AI$471,3,)=0,0,(VLOOKUP($E445,$D$5:$AI$471,5,)/VLOOKUP($E445,$D$5:$AI$471,3,))*$F445)</f>
        <v>22020308.952949822</v>
      </c>
      <c r="I445" s="44">
        <f>IF(VLOOKUP($E445,$D$5:$AI$471,3,)=0,0,(VLOOKUP($E445,$D$5:$AI$471,6,)/VLOOKUP($E445,$D$5:$AI$471,3,))*$F445)</f>
        <v>9047231.2476659119</v>
      </c>
      <c r="J445" s="44">
        <f>IF(VLOOKUP($E445,$D$5:$AI$471,3,)=0,0,(VLOOKUP($E445,$D$5:$AI$471,7,)/VLOOKUP($E445,$D$5:$AI$471,3,))*$F445)</f>
        <v>13398222.846093006</v>
      </c>
      <c r="K445" s="44">
        <f>IF(VLOOKUP($E445,$D$5:$AI$471,3,)=0,0,(VLOOKUP($E445,$D$5:$AI$471,8,)/VLOOKUP($E445,$D$5:$AI$471,3,))*$F445)</f>
        <v>19612903.633154456</v>
      </c>
      <c r="L445" s="44">
        <f>IF(VLOOKUP($E445,$D$5:$AI$471,3,)=0,0,(VLOOKUP($E445,$D$5:$AI$471,9,)/VLOOKUP($E445,$D$5:$AI$471,3,))*$F445)</f>
        <v>0</v>
      </c>
      <c r="M445" s="44">
        <f>IF(VLOOKUP($E445,$D$5:$AI$471,3,)=0,0,(VLOOKUP($E445,$D$5:$AI$471,10,)/VLOOKUP($E445,$D$5:$AI$471,3,))*$F445)</f>
        <v>0</v>
      </c>
      <c r="N445" s="44">
        <f>IF(VLOOKUP($E445,$D$5:$AI$471,3,)=0,0,(VLOOKUP($E445,$D$5:$AI$471,11,)/VLOOKUP($E445,$D$5:$AI$471,3,))*$F445)</f>
        <v>0</v>
      </c>
      <c r="O445" s="44">
        <f>IF(VLOOKUP($E445,$D$5:$AI$471,3,)=0,0,(VLOOKUP($E445,$D$5:$AI$471,12,)/VLOOKUP($E445,$D$5:$AI$471,3,))*$F445)</f>
        <v>0</v>
      </c>
      <c r="P445" s="44">
        <f>IF(VLOOKUP($E445,$D$5:$AI$471,3,)=0,0,(VLOOKUP($E445,$D$5:$AI$471,13,)/VLOOKUP($E445,$D$5:$AI$471,3,))*$F445)</f>
        <v>0</v>
      </c>
      <c r="Q445" s="44">
        <f>IF(VLOOKUP($E445,$D$5:$AI$471,3,)=0,0,(VLOOKUP($E445,$D$5:$AI$471,14,)/VLOOKUP($E445,$D$5:$AI$471,3,))*$F445)</f>
        <v>0</v>
      </c>
      <c r="R445" s="44">
        <f>IF(VLOOKUP($E445,$D$5:$AI$471,3,)=0,0,(VLOOKUP($E445,$D$5:$AI$471,15,)/VLOOKUP($E445,$D$5:$AI$471,3,))*$F445)</f>
        <v>0</v>
      </c>
      <c r="S445" s="44">
        <f>IF(VLOOKUP($E445,$D$5:$AI$471,3,)=0,0,(VLOOKUP($E445,$D$5:$AI$471,16,)/VLOOKUP($E445,$D$5:$AI$471,3,))*$F445)</f>
        <v>0</v>
      </c>
      <c r="T445" s="44">
        <f>IF(VLOOKUP($E445,$D$5:$AI$471,3,)=0,0,(VLOOKUP($E445,$D$5:$AI$471,17,)/VLOOKUP($E445,$D$5:$AI$471,3,))*$F445)</f>
        <v>0</v>
      </c>
      <c r="U445" s="44">
        <f>IF(VLOOKUP($E445,$D$5:$AI$471,3,)=0,0,(VLOOKUP($E445,$D$5:$AI$471,18,)/VLOOKUP($E445,$D$5:$AI$471,3,))*$F445)</f>
        <v>0</v>
      </c>
      <c r="V445" s="44">
        <f>IF(VLOOKUP($E445,$D$5:$AI$471,3,)=0,0,(VLOOKUP($E445,$D$5:$AI$471,19,)/VLOOKUP($E445,$D$5:$AI$471,3,))*$F445)</f>
        <v>0</v>
      </c>
      <c r="W445" s="44">
        <f>IF(VLOOKUP($E445,$D$5:$AI$471,3,)=0,0,(VLOOKUP($E445,$D$5:$AI$471,20,)/VLOOKUP($E445,$D$5:$AI$471,3,))*$F445)</f>
        <v>0</v>
      </c>
      <c r="X445" s="44">
        <f>IF(VLOOKUP($E445,$D$5:$AI$471,3,)=0,0,(VLOOKUP($E445,$D$5:$AI$471,21,)/VLOOKUP($E445,$D$5:$AI$471,3,))*$F445)</f>
        <v>0</v>
      </c>
      <c r="Y445" s="44">
        <f>IF(VLOOKUP($E445,$D$5:$AI$471,3,)=0,0,(VLOOKUP($E445,$D$5:$AI$471,22,)/VLOOKUP($E445,$D$5:$AI$471,3,))*$F445)</f>
        <v>0</v>
      </c>
      <c r="Z445" s="44">
        <f>IF(VLOOKUP($E445,$D$5:$AI$471,3,)=0,0,(VLOOKUP($E445,$D$5:$AI$471,23,)/VLOOKUP($E445,$D$5:$AI$471,3,))*$F445)</f>
        <v>0</v>
      </c>
      <c r="AA445" s="44">
        <f>IF(VLOOKUP($E445,$D$5:$AI$471,3,)=0,0,(VLOOKUP($E445,$D$5:$AI$471,24,)/VLOOKUP($E445,$D$5:$AI$471,3,))*$F445)</f>
        <v>0</v>
      </c>
      <c r="AB445" s="44">
        <f>IF(VLOOKUP($E445,$D$5:$AI$471,3,)=0,0,(VLOOKUP($E445,$D$5:$AI$471,25,)/VLOOKUP($E445,$D$5:$AI$471,3,))*$F445)</f>
        <v>0</v>
      </c>
      <c r="AC445" s="44">
        <f>IF(VLOOKUP($E445,$D$5:$AI$471,3,)=0,0,(VLOOKUP($E445,$D$5:$AI$471,26,)/VLOOKUP($E445,$D$5:$AI$471,3,))*$F445)</f>
        <v>0</v>
      </c>
      <c r="AD445" s="44">
        <f>IF(VLOOKUP($E445,$D$5:$AI$471,3,)=0,0,(VLOOKUP($E445,$D$5:$AI$471,27,)/VLOOKUP($E445,$D$5:$AI$471,3,))*$F445)</f>
        <v>0</v>
      </c>
      <c r="AE445" s="44">
        <f>IF(VLOOKUP($E445,$D$5:$AI$471,3,)=0,0,(VLOOKUP($E445,$D$5:$AI$471,28,)/VLOOKUP($E445,$D$5:$AI$471,3,))*$F445)</f>
        <v>0</v>
      </c>
      <c r="AF445" s="44">
        <f>IF(VLOOKUP($E445,$D$5:$AI$471,3,)=0,0,(VLOOKUP($E445,$D$5:$AI$471,29,)/VLOOKUP($E445,$D$5:$AI$471,3,))*$F445)</f>
        <v>0</v>
      </c>
      <c r="AG445" s="44">
        <f>IF(VLOOKUP($E445,$D$5:$AI$471,3,)=0,0,(VLOOKUP($E445,$D$5:$AI$471,30,)/VLOOKUP($E445,$D$5:$AI$471,3,))*$F445)</f>
        <v>0</v>
      </c>
      <c r="AH445" s="20">
        <f>SUM(G445:AG445)</f>
        <v>283267978.64840204</v>
      </c>
      <c r="AI445" s="15" t="str">
        <f t="shared" si="183"/>
        <v>ok</v>
      </c>
    </row>
    <row r="446" spans="1:35" x14ac:dyDescent="0.3">
      <c r="A446" s="2" t="s">
        <v>799</v>
      </c>
      <c r="D446" s="2" t="s">
        <v>800</v>
      </c>
      <c r="F446" s="20">
        <f t="shared" ref="F446:AG446" si="184">F444+F445</f>
        <v>289780957.19425559</v>
      </c>
      <c r="G446" s="20">
        <f t="shared" si="184"/>
        <v>219189311.96853885</v>
      </c>
      <c r="H446" s="20">
        <f t="shared" si="184"/>
        <v>22020308.952949822</v>
      </c>
      <c r="I446" s="20">
        <f t="shared" si="184"/>
        <v>9047231.2476659119</v>
      </c>
      <c r="J446" s="20">
        <f t="shared" si="184"/>
        <v>13398222.846093006</v>
      </c>
      <c r="K446" s="20">
        <f t="shared" si="184"/>
        <v>19612903.633154456</v>
      </c>
      <c r="L446" s="20">
        <f t="shared" si="184"/>
        <v>6512978.5458535561</v>
      </c>
      <c r="M446" s="20">
        <f t="shared" si="184"/>
        <v>0</v>
      </c>
      <c r="N446" s="20">
        <f t="shared" si="184"/>
        <v>0</v>
      </c>
      <c r="O446" s="20">
        <f t="shared" si="184"/>
        <v>0</v>
      </c>
      <c r="P446" s="20">
        <f t="shared" si="184"/>
        <v>0</v>
      </c>
      <c r="Q446" s="20">
        <f t="shared" si="184"/>
        <v>0</v>
      </c>
      <c r="R446" s="20">
        <f t="shared" si="184"/>
        <v>0</v>
      </c>
      <c r="S446" s="20">
        <f t="shared" si="184"/>
        <v>0</v>
      </c>
      <c r="T446" s="20">
        <f t="shared" si="184"/>
        <v>0</v>
      </c>
      <c r="U446" s="20">
        <f t="shared" si="184"/>
        <v>0</v>
      </c>
      <c r="V446" s="20">
        <f t="shared" si="184"/>
        <v>0</v>
      </c>
      <c r="W446" s="20">
        <f t="shared" si="184"/>
        <v>0</v>
      </c>
      <c r="X446" s="20">
        <f t="shared" si="184"/>
        <v>0</v>
      </c>
      <c r="Y446" s="20">
        <f t="shared" si="184"/>
        <v>0</v>
      </c>
      <c r="Z446" s="20">
        <f t="shared" si="184"/>
        <v>0</v>
      </c>
      <c r="AA446" s="20">
        <f t="shared" si="184"/>
        <v>0</v>
      </c>
      <c r="AB446" s="20">
        <f t="shared" si="184"/>
        <v>0</v>
      </c>
      <c r="AC446" s="20">
        <f t="shared" si="184"/>
        <v>0</v>
      </c>
      <c r="AD446" s="20">
        <f t="shared" si="184"/>
        <v>0</v>
      </c>
      <c r="AE446" s="20">
        <f t="shared" si="184"/>
        <v>0</v>
      </c>
      <c r="AF446" s="20">
        <f t="shared" si="184"/>
        <v>0</v>
      </c>
      <c r="AG446" s="20">
        <f t="shared" si="184"/>
        <v>0</v>
      </c>
      <c r="AH446" s="20">
        <f>SUM(G446:AG446)</f>
        <v>289780957.19425559</v>
      </c>
      <c r="AI446" s="15" t="str">
        <f t="shared" si="183"/>
        <v>ok</v>
      </c>
    </row>
    <row r="447" spans="1:35" x14ac:dyDescent="0.3">
      <c r="A447" s="2" t="s">
        <v>801</v>
      </c>
      <c r="D447" s="2" t="s">
        <v>539</v>
      </c>
      <c r="E447" s="2" t="s">
        <v>800</v>
      </c>
      <c r="F447" s="59">
        <v>1</v>
      </c>
      <c r="G447" s="45">
        <f>IF(VLOOKUP($E447,$D$5:$AI$471,3,)=0,0,(VLOOKUP($E447,$D$5:$AI$471,4,)/VLOOKUP($E447,$D$5:$AI$471,3,))*$F447)</f>
        <v>0.75639653513051441</v>
      </c>
      <c r="H447" s="45">
        <f>IF(VLOOKUP($E447,$D$5:$AI$471,3,)=0,0,(VLOOKUP($E447,$D$5:$AI$471,5,)/VLOOKUP($E447,$D$5:$AI$471,3,))*$F447)</f>
        <v>7.5989496225552317E-2</v>
      </c>
      <c r="I447" s="45">
        <f>IF(VLOOKUP($E447,$D$5:$AI$471,3,)=0,0,(VLOOKUP($E447,$D$5:$AI$471,6,)/VLOOKUP($E447,$D$5:$AI$471,3,))*$F447)</f>
        <v>3.1220930924046441E-2</v>
      </c>
      <c r="J447" s="45">
        <f>IF(VLOOKUP($E447,$D$5:$AI$471,3,)=0,0,(VLOOKUP($E447,$D$5:$AI$471,7,)/VLOOKUP($E447,$D$5:$AI$471,3,))*$F447)</f>
        <v>4.6235691177979876E-2</v>
      </c>
      <c r="K447" s="45">
        <f>IF(VLOOKUP($E447,$D$5:$AI$471,3,)=0,0,(VLOOKUP($E447,$D$5:$AI$471,8,)/VLOOKUP($E447,$D$5:$AI$471,3,))*$F447)</f>
        <v>6.7681823619648279E-2</v>
      </c>
      <c r="L447" s="45">
        <f>IF(VLOOKUP($E447,$D$5:$AI$471,3,)=0,0,(VLOOKUP($E447,$D$5:$AI$471,9,)/VLOOKUP($E447,$D$5:$AI$471,3,))*$F447)</f>
        <v>2.2475522922258691E-2</v>
      </c>
      <c r="M447" s="45">
        <f>IF(VLOOKUP($E447,$D$5:$AI$471,3,)=0,0,(VLOOKUP($E447,$D$5:$AI$471,10,)/VLOOKUP($E447,$D$5:$AI$471,3,))*$F447)</f>
        <v>0</v>
      </c>
      <c r="N447" s="45">
        <f>IF(VLOOKUP($E447,$D$5:$AI$471,3,)=0,0,(VLOOKUP($E447,$D$5:$AI$471,11,)/VLOOKUP($E447,$D$5:$AI$471,3,))*$F447)</f>
        <v>0</v>
      </c>
      <c r="O447" s="45">
        <f>IF(VLOOKUP($E447,$D$5:$AI$471,3,)=0,0,(VLOOKUP($E447,$D$5:$AI$471,12,)/VLOOKUP($E447,$D$5:$AI$471,3,))*$F447)</f>
        <v>0</v>
      </c>
      <c r="P447" s="45">
        <f>IF(VLOOKUP($E447,$D$5:$AI$471,3,)=0,0,(VLOOKUP($E447,$D$5:$AI$471,13,)/VLOOKUP($E447,$D$5:$AI$471,3,))*$F447)</f>
        <v>0</v>
      </c>
      <c r="Q447" s="45">
        <f>IF(VLOOKUP($E447,$D$5:$AI$471,3,)=0,0,(VLOOKUP($E447,$D$5:$AI$471,14,)/VLOOKUP($E447,$D$5:$AI$471,3,))*$F447)</f>
        <v>0</v>
      </c>
      <c r="R447" s="45">
        <f>IF(VLOOKUP($E447,$D$5:$AI$471,3,)=0,0,(VLOOKUP($E447,$D$5:$AI$471,15,)/VLOOKUP($E447,$D$5:$AI$471,3,))*$F447)</f>
        <v>0</v>
      </c>
      <c r="S447" s="45">
        <f>IF(VLOOKUP($E447,$D$5:$AI$471,3,)=0,0,(VLOOKUP($E447,$D$5:$AI$471,16,)/VLOOKUP($E447,$D$5:$AI$471,3,))*$F447)</f>
        <v>0</v>
      </c>
      <c r="T447" s="45">
        <f>IF(VLOOKUP($E447,$D$5:$AI$471,3,)=0,0,(VLOOKUP($E447,$D$5:$AI$471,17,)/VLOOKUP($E447,$D$5:$AI$471,3,))*$F447)</f>
        <v>0</v>
      </c>
      <c r="U447" s="45">
        <f>IF(VLOOKUP($E447,$D$5:$AI$471,3,)=0,0,(VLOOKUP($E447,$D$5:$AI$471,18,)/VLOOKUP($E447,$D$5:$AI$471,3,))*$F447)</f>
        <v>0</v>
      </c>
      <c r="V447" s="45">
        <f>IF(VLOOKUP($E447,$D$5:$AI$471,3,)=0,0,(VLOOKUP($E447,$D$5:$AI$471,19,)/VLOOKUP($E447,$D$5:$AI$471,3,))*$F447)</f>
        <v>0</v>
      </c>
      <c r="W447" s="45">
        <f>IF(VLOOKUP($E447,$D$5:$AI$471,3,)=0,0,(VLOOKUP($E447,$D$5:$AI$471,20,)/VLOOKUP($E447,$D$5:$AI$471,3,))*$F447)</f>
        <v>0</v>
      </c>
      <c r="X447" s="45">
        <f>IF(VLOOKUP($E447,$D$5:$AI$471,3,)=0,0,(VLOOKUP($E447,$D$5:$AI$471,21,)/VLOOKUP($E447,$D$5:$AI$471,3,))*$F447)</f>
        <v>0</v>
      </c>
      <c r="Y447" s="45">
        <f>IF(VLOOKUP($E447,$D$5:$AI$471,3,)=0,0,(VLOOKUP($E447,$D$5:$AI$471,22,)/VLOOKUP($E447,$D$5:$AI$471,3,))*$F447)</f>
        <v>0</v>
      </c>
      <c r="Z447" s="45">
        <f>IF(VLOOKUP($E447,$D$5:$AI$471,3,)=0,0,(VLOOKUP($E447,$D$5:$AI$471,23,)/VLOOKUP($E447,$D$5:$AI$471,3,))*$F447)</f>
        <v>0</v>
      </c>
      <c r="AA447" s="45">
        <f>IF(VLOOKUP($E447,$D$5:$AI$471,3,)=0,0,(VLOOKUP($E447,$D$5:$AI$471,24,)/VLOOKUP($E447,$D$5:$AI$471,3,))*$F447)</f>
        <v>0</v>
      </c>
      <c r="AB447" s="45">
        <f>IF(VLOOKUP($E447,$D$5:$AI$471,3,)=0,0,(VLOOKUP($E447,$D$5:$AI$471,25,)/VLOOKUP($E447,$D$5:$AI$471,3,))*$F447)</f>
        <v>0</v>
      </c>
      <c r="AC447" s="45">
        <f>IF(VLOOKUP($E447,$D$5:$AI$471,3,)=0,0,(VLOOKUP($E447,$D$5:$AI$471,26,)/VLOOKUP($E447,$D$5:$AI$471,3,))*$F447)</f>
        <v>0</v>
      </c>
      <c r="AD447" s="45">
        <f>IF(VLOOKUP($E447,$D$5:$AI$471,3,)=0,0,(VLOOKUP($E447,$D$5:$AI$471,27,)/VLOOKUP($E447,$D$5:$AI$471,3,))*$F447)</f>
        <v>0</v>
      </c>
      <c r="AE447" s="45">
        <f>IF(VLOOKUP($E447,$D$5:$AI$471,3,)=0,0,(VLOOKUP($E447,$D$5:$AI$471,28,)/VLOOKUP($E447,$D$5:$AI$471,3,))*$F447)</f>
        <v>0</v>
      </c>
      <c r="AF447" s="45">
        <f>IF(VLOOKUP($E447,$D$5:$AI$471,3,)=0,0,(VLOOKUP($E447,$D$5:$AI$471,29,)/VLOOKUP($E447,$D$5:$AI$471,3,))*$F447)</f>
        <v>0</v>
      </c>
      <c r="AG447" s="45">
        <f>IF(VLOOKUP($E447,$D$5:$AI$471,3,)=0,0,(VLOOKUP($E447,$D$5:$AI$471,30,)/VLOOKUP($E447,$D$5:$AI$471,3,))*$F447)</f>
        <v>0</v>
      </c>
      <c r="AH447" s="45">
        <f>SUM(G447:AG447)</f>
        <v>1</v>
      </c>
      <c r="AI447" s="15" t="str">
        <f t="shared" si="183"/>
        <v>ok</v>
      </c>
    </row>
    <row r="448" spans="1:35" x14ac:dyDescent="0.3">
      <c r="F448" s="59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15"/>
    </row>
    <row r="449" spans="1:35" x14ac:dyDescent="0.3">
      <c r="A449" s="2" t="s">
        <v>802</v>
      </c>
      <c r="D449" s="2" t="s">
        <v>803</v>
      </c>
      <c r="F449" s="43">
        <v>6683844562</v>
      </c>
      <c r="G449" s="43">
        <f>G403</f>
        <v>4530245666</v>
      </c>
      <c r="H449" s="43">
        <f>H403</f>
        <v>593598453</v>
      </c>
      <c r="I449" s="43">
        <f>I403</f>
        <v>239123807</v>
      </c>
      <c r="J449" s="43">
        <f>J403</f>
        <v>355595330</v>
      </c>
      <c r="K449" s="43">
        <f>K403</f>
        <v>965281306</v>
      </c>
      <c r="L449" s="43">
        <v>0</v>
      </c>
      <c r="M449" s="43">
        <f>M403</f>
        <v>0</v>
      </c>
      <c r="N449" s="43">
        <f t="shared" ref="N449:AG449" si="185">N431</f>
        <v>0</v>
      </c>
      <c r="O449" s="43">
        <f t="shared" si="185"/>
        <v>0</v>
      </c>
      <c r="P449" s="43">
        <f t="shared" si="185"/>
        <v>0</v>
      </c>
      <c r="Q449" s="43">
        <f t="shared" si="185"/>
        <v>0</v>
      </c>
      <c r="R449" s="43">
        <f t="shared" si="185"/>
        <v>0</v>
      </c>
      <c r="S449" s="43">
        <f t="shared" si="185"/>
        <v>0</v>
      </c>
      <c r="T449" s="43">
        <f t="shared" si="185"/>
        <v>0</v>
      </c>
      <c r="U449" s="43">
        <f t="shared" si="185"/>
        <v>0</v>
      </c>
      <c r="V449" s="43">
        <f t="shared" si="185"/>
        <v>0</v>
      </c>
      <c r="W449" s="43">
        <f t="shared" si="185"/>
        <v>0</v>
      </c>
      <c r="X449" s="43">
        <f t="shared" si="185"/>
        <v>0</v>
      </c>
      <c r="Y449" s="43">
        <f t="shared" si="185"/>
        <v>0</v>
      </c>
      <c r="Z449" s="43">
        <f t="shared" si="185"/>
        <v>0</v>
      </c>
      <c r="AA449" s="43">
        <f t="shared" si="185"/>
        <v>0</v>
      </c>
      <c r="AB449" s="43">
        <f t="shared" si="185"/>
        <v>0</v>
      </c>
      <c r="AC449" s="43">
        <f t="shared" si="185"/>
        <v>0</v>
      </c>
      <c r="AD449" s="43">
        <f t="shared" si="185"/>
        <v>0</v>
      </c>
      <c r="AE449" s="43">
        <f t="shared" si="185"/>
        <v>0</v>
      </c>
      <c r="AF449" s="43">
        <f t="shared" si="185"/>
        <v>0</v>
      </c>
      <c r="AG449" s="43">
        <f t="shared" si="185"/>
        <v>0</v>
      </c>
      <c r="AH449" s="43">
        <f>SUM(G449:AG449)</f>
        <v>6683844562</v>
      </c>
      <c r="AI449" s="15" t="str">
        <f t="shared" ref="AI449:AI454" si="186">IF(ABS(F449-AH449)&lt;0.01,"ok","err")</f>
        <v>ok</v>
      </c>
    </row>
    <row r="450" spans="1:35" x14ac:dyDescent="0.3">
      <c r="A450" s="2" t="s">
        <v>804</v>
      </c>
      <c r="F450" s="20">
        <f>F81</f>
        <v>312164434.28502363</v>
      </c>
      <c r="AH450" s="20">
        <f>F450</f>
        <v>312164434.28502363</v>
      </c>
      <c r="AI450" s="15" t="str">
        <f t="shared" si="186"/>
        <v>ok</v>
      </c>
    </row>
    <row r="451" spans="1:35" x14ac:dyDescent="0.3">
      <c r="A451" s="2" t="s">
        <v>781</v>
      </c>
      <c r="F451" s="44">
        <v>4524314.1935354434</v>
      </c>
      <c r="G451" s="43">
        <v>0</v>
      </c>
      <c r="H451" s="43">
        <v>0</v>
      </c>
      <c r="I451" s="43">
        <v>0</v>
      </c>
      <c r="J451" s="44">
        <v>0</v>
      </c>
      <c r="K451" s="43">
        <v>0</v>
      </c>
      <c r="L451" s="18">
        <v>4524314.1935354434</v>
      </c>
      <c r="M451" s="22">
        <v>0</v>
      </c>
      <c r="N451" s="43">
        <v>0</v>
      </c>
      <c r="O451" s="43">
        <v>0</v>
      </c>
      <c r="P451" s="43">
        <v>0</v>
      </c>
      <c r="Q451" s="2">
        <v>0</v>
      </c>
      <c r="R451" s="2">
        <v>0</v>
      </c>
      <c r="S451" s="43">
        <v>0</v>
      </c>
      <c r="Z451" s="43">
        <v>0</v>
      </c>
      <c r="AC451" s="43">
        <v>0</v>
      </c>
      <c r="AD451" s="43">
        <v>0</v>
      </c>
      <c r="AH451" s="70">
        <f>SUM(G451:AG451)</f>
        <v>4524314.1935354434</v>
      </c>
      <c r="AI451" s="15" t="str">
        <f t="shared" si="186"/>
        <v>ok</v>
      </c>
    </row>
    <row r="452" spans="1:35" x14ac:dyDescent="0.3">
      <c r="A452" s="2" t="s">
        <v>805</v>
      </c>
      <c r="E452" s="2" t="s">
        <v>803</v>
      </c>
      <c r="F452" s="20">
        <f>F450-F451</f>
        <v>307640120.09148818</v>
      </c>
      <c r="G452" s="44">
        <f>IF(VLOOKUP($E452,$D$5:$AI$471,3,)=0,0,(VLOOKUP($E452,$D$5:$AI$471,4,)/VLOOKUP($E452,$D$5:$AI$471,3,))*$F452)</f>
        <v>208515519.44456843</v>
      </c>
      <c r="H452" s="44">
        <f>IF(VLOOKUP($E452,$D$5:$AI$471,3,)=0,0,(VLOOKUP($E452,$D$5:$AI$471,5,)/VLOOKUP($E452,$D$5:$AI$471,3,))*$F452)</f>
        <v>27321805.238450665</v>
      </c>
      <c r="I452" s="44">
        <f>IF(VLOOKUP($E452,$D$5:$AI$471,3,)=0,0,(VLOOKUP($E452,$D$5:$AI$471,6,)/VLOOKUP($E452,$D$5:$AI$471,3,))*$F452)</f>
        <v>11006251.868939536</v>
      </c>
      <c r="J452" s="44">
        <f>IF(VLOOKUP($E452,$D$5:$AI$471,3,)=0,0,(VLOOKUP($E452,$D$5:$AI$471,7,)/VLOOKUP($E452,$D$5:$AI$471,3,))*$F452)</f>
        <v>16367135.562535897</v>
      </c>
      <c r="K452" s="44">
        <f>IF(VLOOKUP($E452,$D$5:$AI$471,3,)=0,0,(VLOOKUP($E452,$D$5:$AI$471,8,)/VLOOKUP($E452,$D$5:$AI$471,3,))*$F452)</f>
        <v>44429407.976993673</v>
      </c>
      <c r="L452" s="44">
        <f>IF(VLOOKUP($E452,$D$5:$AI$471,3,)=0,0,(VLOOKUP($E452,$D$5:$AI$471,9,)/VLOOKUP($E452,$D$5:$AI$471,3,))*$F452)</f>
        <v>0</v>
      </c>
      <c r="M452" s="44">
        <f>IF(VLOOKUP($E452,$D$5:$AI$471,3,)=0,0,(VLOOKUP($E452,$D$5:$AI$471,10,)/VLOOKUP($E452,$D$5:$AI$471,3,))*$F452)</f>
        <v>0</v>
      </c>
      <c r="N452" s="44">
        <f>IF(VLOOKUP($E452,$D$5:$AI$471,3,)=0,0,(VLOOKUP($E452,$D$5:$AI$471,11,)/VLOOKUP($E452,$D$5:$AI$471,3,))*$F452)</f>
        <v>0</v>
      </c>
      <c r="O452" s="44">
        <f>IF(VLOOKUP($E452,$D$5:$AI$471,3,)=0,0,(VLOOKUP($E452,$D$5:$AI$471,12,)/VLOOKUP($E452,$D$5:$AI$471,3,))*$F452)</f>
        <v>0</v>
      </c>
      <c r="P452" s="44">
        <f>IF(VLOOKUP($E452,$D$5:$AI$471,3,)=0,0,(VLOOKUP($E452,$D$5:$AI$471,13,)/VLOOKUP($E452,$D$5:$AI$471,3,))*$F452)</f>
        <v>0</v>
      </c>
      <c r="Q452" s="44">
        <f>IF(VLOOKUP($E452,$D$5:$AI$471,3,)=0,0,(VLOOKUP($E452,$D$5:$AI$471,14,)/VLOOKUP($E452,$D$5:$AI$471,3,))*$F452)</f>
        <v>0</v>
      </c>
      <c r="R452" s="44">
        <f>IF(VLOOKUP($E452,$D$5:$AI$471,3,)=0,0,(VLOOKUP($E452,$D$5:$AI$471,15,)/VLOOKUP($E452,$D$5:$AI$471,3,))*$F452)</f>
        <v>0</v>
      </c>
      <c r="S452" s="44">
        <f>IF(VLOOKUP($E452,$D$5:$AI$471,3,)=0,0,(VLOOKUP($E452,$D$5:$AI$471,16,)/VLOOKUP($E452,$D$5:$AI$471,3,))*$F452)</f>
        <v>0</v>
      </c>
      <c r="T452" s="44">
        <f>IF(VLOOKUP($E452,$D$5:$AI$471,3,)=0,0,(VLOOKUP($E452,$D$5:$AI$471,17,)/VLOOKUP($E452,$D$5:$AI$471,3,))*$F452)</f>
        <v>0</v>
      </c>
      <c r="U452" s="44">
        <f>IF(VLOOKUP($E452,$D$5:$AI$471,3,)=0,0,(VLOOKUP($E452,$D$5:$AI$471,18,)/VLOOKUP($E452,$D$5:$AI$471,3,))*$F452)</f>
        <v>0</v>
      </c>
      <c r="V452" s="44">
        <f>IF(VLOOKUP($E452,$D$5:$AI$471,3,)=0,0,(VLOOKUP($E452,$D$5:$AI$471,19,)/VLOOKUP($E452,$D$5:$AI$471,3,))*$F452)</f>
        <v>0</v>
      </c>
      <c r="W452" s="44">
        <f>IF(VLOOKUP($E452,$D$5:$AI$471,3,)=0,0,(VLOOKUP($E452,$D$5:$AI$471,20,)/VLOOKUP($E452,$D$5:$AI$471,3,))*$F452)</f>
        <v>0</v>
      </c>
      <c r="X452" s="44">
        <f>IF(VLOOKUP($E452,$D$5:$AI$471,3,)=0,0,(VLOOKUP($E452,$D$5:$AI$471,21,)/VLOOKUP($E452,$D$5:$AI$471,3,))*$F452)</f>
        <v>0</v>
      </c>
      <c r="Y452" s="44">
        <f>IF(VLOOKUP($E452,$D$5:$AI$471,3,)=0,0,(VLOOKUP($E452,$D$5:$AI$471,22,)/VLOOKUP($E452,$D$5:$AI$471,3,))*$F452)</f>
        <v>0</v>
      </c>
      <c r="Z452" s="44">
        <f>IF(VLOOKUP($E452,$D$5:$AI$471,3,)=0,0,(VLOOKUP($E452,$D$5:$AI$471,23,)/VLOOKUP($E452,$D$5:$AI$471,3,))*$F452)</f>
        <v>0</v>
      </c>
      <c r="AA452" s="44">
        <f>IF(VLOOKUP($E452,$D$5:$AI$471,3,)=0,0,(VLOOKUP($E452,$D$5:$AI$471,24,)/VLOOKUP($E452,$D$5:$AI$471,3,))*$F452)</f>
        <v>0</v>
      </c>
      <c r="AB452" s="44">
        <f>IF(VLOOKUP($E452,$D$5:$AI$471,3,)=0,0,(VLOOKUP($E452,$D$5:$AI$471,25,)/VLOOKUP($E452,$D$5:$AI$471,3,))*$F452)</f>
        <v>0</v>
      </c>
      <c r="AC452" s="44">
        <f>IF(VLOOKUP($E452,$D$5:$AI$471,3,)=0,0,(VLOOKUP($E452,$D$5:$AI$471,26,)/VLOOKUP($E452,$D$5:$AI$471,3,))*$F452)</f>
        <v>0</v>
      </c>
      <c r="AD452" s="44">
        <f>IF(VLOOKUP($E452,$D$5:$AI$471,3,)=0,0,(VLOOKUP($E452,$D$5:$AI$471,27,)/VLOOKUP($E452,$D$5:$AI$471,3,))*$F452)</f>
        <v>0</v>
      </c>
      <c r="AE452" s="44">
        <f>IF(VLOOKUP($E452,$D$5:$AI$471,3,)=0,0,(VLOOKUP($E452,$D$5:$AI$471,28,)/VLOOKUP($E452,$D$5:$AI$471,3,))*$F452)</f>
        <v>0</v>
      </c>
      <c r="AF452" s="44">
        <f>IF(VLOOKUP($E452,$D$5:$AI$471,3,)=0,0,(VLOOKUP($E452,$D$5:$AI$471,29,)/VLOOKUP($E452,$D$5:$AI$471,3,))*$F452)</f>
        <v>0</v>
      </c>
      <c r="AG452" s="44">
        <f>IF(VLOOKUP($E452,$D$5:$AI$471,3,)=0,0,(VLOOKUP($E452,$D$5:$AI$471,30,)/VLOOKUP($E452,$D$5:$AI$471,3,))*$F452)</f>
        <v>0</v>
      </c>
      <c r="AH452" s="20">
        <f>SUM(G452:AG452)</f>
        <v>307640120.09148824</v>
      </c>
      <c r="AI452" s="15" t="str">
        <f t="shared" si="186"/>
        <v>ok</v>
      </c>
    </row>
    <row r="453" spans="1:35" x14ac:dyDescent="0.3">
      <c r="A453" s="2" t="s">
        <v>806</v>
      </c>
      <c r="D453" s="2" t="s">
        <v>807</v>
      </c>
      <c r="F453" s="20">
        <f t="shared" ref="F453:AG453" si="187">F451+F452</f>
        <v>312164434.28502363</v>
      </c>
      <c r="G453" s="20">
        <f t="shared" si="187"/>
        <v>208515519.44456843</v>
      </c>
      <c r="H453" s="20">
        <f t="shared" si="187"/>
        <v>27321805.238450665</v>
      </c>
      <c r="I453" s="20">
        <f t="shared" si="187"/>
        <v>11006251.868939536</v>
      </c>
      <c r="J453" s="20">
        <f t="shared" si="187"/>
        <v>16367135.562535897</v>
      </c>
      <c r="K453" s="20">
        <f t="shared" si="187"/>
        <v>44429407.976993673</v>
      </c>
      <c r="L453" s="20">
        <f t="shared" si="187"/>
        <v>4524314.1935354434</v>
      </c>
      <c r="M453" s="20">
        <f t="shared" si="187"/>
        <v>0</v>
      </c>
      <c r="N453" s="20">
        <f t="shared" si="187"/>
        <v>0</v>
      </c>
      <c r="O453" s="20">
        <f t="shared" si="187"/>
        <v>0</v>
      </c>
      <c r="P453" s="20">
        <f t="shared" si="187"/>
        <v>0</v>
      </c>
      <c r="Q453" s="20">
        <f t="shared" si="187"/>
        <v>0</v>
      </c>
      <c r="R453" s="20">
        <f t="shared" si="187"/>
        <v>0</v>
      </c>
      <c r="S453" s="20">
        <f t="shared" si="187"/>
        <v>0</v>
      </c>
      <c r="T453" s="20">
        <f t="shared" si="187"/>
        <v>0</v>
      </c>
      <c r="U453" s="20">
        <f t="shared" si="187"/>
        <v>0</v>
      </c>
      <c r="V453" s="20">
        <f t="shared" si="187"/>
        <v>0</v>
      </c>
      <c r="W453" s="20">
        <f t="shared" si="187"/>
        <v>0</v>
      </c>
      <c r="X453" s="20">
        <f t="shared" si="187"/>
        <v>0</v>
      </c>
      <c r="Y453" s="20">
        <f t="shared" si="187"/>
        <v>0</v>
      </c>
      <c r="Z453" s="20">
        <f t="shared" si="187"/>
        <v>0</v>
      </c>
      <c r="AA453" s="20">
        <f t="shared" si="187"/>
        <v>0</v>
      </c>
      <c r="AB453" s="20">
        <f t="shared" si="187"/>
        <v>0</v>
      </c>
      <c r="AC453" s="20">
        <f t="shared" si="187"/>
        <v>0</v>
      </c>
      <c r="AD453" s="20">
        <f t="shared" si="187"/>
        <v>0</v>
      </c>
      <c r="AE453" s="20">
        <f t="shared" si="187"/>
        <v>0</v>
      </c>
      <c r="AF453" s="20">
        <f t="shared" si="187"/>
        <v>0</v>
      </c>
      <c r="AG453" s="20">
        <f t="shared" si="187"/>
        <v>0</v>
      </c>
      <c r="AH453" s="20">
        <f>SUM(G453:AG453)</f>
        <v>312164434.28502369</v>
      </c>
      <c r="AI453" s="15" t="str">
        <f t="shared" si="186"/>
        <v>ok</v>
      </c>
    </row>
    <row r="454" spans="1:35" x14ac:dyDescent="0.3">
      <c r="A454" s="2" t="s">
        <v>808</v>
      </c>
      <c r="D454" s="2" t="s">
        <v>542</v>
      </c>
      <c r="E454" s="2" t="s">
        <v>807</v>
      </c>
      <c r="F454" s="59">
        <v>1</v>
      </c>
      <c r="G454" s="45">
        <f>IF(VLOOKUP($E454,$D$5:$AI$471,3,)=0,0,(VLOOKUP($E454,$D$5:$AI$471,4,)/VLOOKUP($E454,$D$5:$AI$471,3,))*$F454)</f>
        <v>0.66796693198617896</v>
      </c>
      <c r="H454" s="45">
        <f>IF(VLOOKUP($E454,$D$5:$AI$471,3,)=0,0,(VLOOKUP($E454,$D$5:$AI$471,5,)/VLOOKUP($E454,$D$5:$AI$471,3,))*$F454)</f>
        <v>8.7523760677695669E-2</v>
      </c>
      <c r="I454" s="45">
        <f>IF(VLOOKUP($E454,$D$5:$AI$471,3,)=0,0,(VLOOKUP($E454,$D$5:$AI$471,6,)/VLOOKUP($E454,$D$5:$AI$471,3,))*$F454)</f>
        <v>3.52578662401054E-2</v>
      </c>
      <c r="J454" s="45">
        <f>IF(VLOOKUP($E454,$D$5:$AI$471,3,)=0,0,(VLOOKUP($E454,$D$5:$AI$471,7,)/VLOOKUP($E454,$D$5:$AI$471,3,))*$F454)</f>
        <v>5.2431134892169634E-2</v>
      </c>
      <c r="K454" s="45">
        <f>IF(VLOOKUP($E454,$D$5:$AI$471,3,)=0,0,(VLOOKUP($E454,$D$5:$AI$471,8,)/VLOOKUP($E454,$D$5:$AI$471,3,))*$F454)</f>
        <v>0.14232693765628385</v>
      </c>
      <c r="L454" s="45">
        <f>IF(VLOOKUP($E454,$D$5:$AI$471,3,)=0,0,(VLOOKUP($E454,$D$5:$AI$471,9,)/VLOOKUP($E454,$D$5:$AI$471,3,))*$F454)</f>
        <v>1.4493368547566476E-2</v>
      </c>
      <c r="M454" s="45">
        <f>IF(VLOOKUP($E454,$D$5:$AI$471,3,)=0,0,(VLOOKUP($E454,$D$5:$AI$471,10,)/VLOOKUP($E454,$D$5:$AI$471,3,))*$F454)</f>
        <v>0</v>
      </c>
      <c r="N454" s="45">
        <f>IF(VLOOKUP($E454,$D$5:$AI$471,3,)=0,0,(VLOOKUP($E454,$D$5:$AI$471,11,)/VLOOKUP($E454,$D$5:$AI$471,3,))*$F454)</f>
        <v>0</v>
      </c>
      <c r="O454" s="45">
        <f>IF(VLOOKUP($E454,$D$5:$AI$471,3,)=0,0,(VLOOKUP($E454,$D$5:$AI$471,12,)/VLOOKUP($E454,$D$5:$AI$471,3,))*$F454)</f>
        <v>0</v>
      </c>
      <c r="P454" s="45">
        <f>IF(VLOOKUP($E454,$D$5:$AI$471,3,)=0,0,(VLOOKUP($E454,$D$5:$AI$471,13,)/VLOOKUP($E454,$D$5:$AI$471,3,))*$F454)</f>
        <v>0</v>
      </c>
      <c r="Q454" s="45">
        <f>IF(VLOOKUP($E454,$D$5:$AI$471,3,)=0,0,(VLOOKUP($E454,$D$5:$AI$471,14,)/VLOOKUP($E454,$D$5:$AI$471,3,))*$F454)</f>
        <v>0</v>
      </c>
      <c r="R454" s="45">
        <f>IF(VLOOKUP($E454,$D$5:$AI$471,3,)=0,0,(VLOOKUP($E454,$D$5:$AI$471,15,)/VLOOKUP($E454,$D$5:$AI$471,3,))*$F454)</f>
        <v>0</v>
      </c>
      <c r="S454" s="45">
        <f>IF(VLOOKUP($E454,$D$5:$AI$471,3,)=0,0,(VLOOKUP($E454,$D$5:$AI$471,16,)/VLOOKUP($E454,$D$5:$AI$471,3,))*$F454)</f>
        <v>0</v>
      </c>
      <c r="T454" s="45">
        <f>IF(VLOOKUP($E454,$D$5:$AI$471,3,)=0,0,(VLOOKUP($E454,$D$5:$AI$471,17,)/VLOOKUP($E454,$D$5:$AI$471,3,))*$F454)</f>
        <v>0</v>
      </c>
      <c r="U454" s="45">
        <f>IF(VLOOKUP($E454,$D$5:$AI$471,3,)=0,0,(VLOOKUP($E454,$D$5:$AI$471,18,)/VLOOKUP($E454,$D$5:$AI$471,3,))*$F454)</f>
        <v>0</v>
      </c>
      <c r="V454" s="45">
        <f>IF(VLOOKUP($E454,$D$5:$AI$471,3,)=0,0,(VLOOKUP($E454,$D$5:$AI$471,19,)/VLOOKUP($E454,$D$5:$AI$471,3,))*$F454)</f>
        <v>0</v>
      </c>
      <c r="W454" s="45">
        <f>IF(VLOOKUP($E454,$D$5:$AI$471,3,)=0,0,(VLOOKUP($E454,$D$5:$AI$471,20,)/VLOOKUP($E454,$D$5:$AI$471,3,))*$F454)</f>
        <v>0</v>
      </c>
      <c r="X454" s="45">
        <f>IF(VLOOKUP($E454,$D$5:$AI$471,3,)=0,0,(VLOOKUP($E454,$D$5:$AI$471,21,)/VLOOKUP($E454,$D$5:$AI$471,3,))*$F454)</f>
        <v>0</v>
      </c>
      <c r="Y454" s="45">
        <f>IF(VLOOKUP($E454,$D$5:$AI$471,3,)=0,0,(VLOOKUP($E454,$D$5:$AI$471,22,)/VLOOKUP($E454,$D$5:$AI$471,3,))*$F454)</f>
        <v>0</v>
      </c>
      <c r="Z454" s="45">
        <f>IF(VLOOKUP($E454,$D$5:$AI$471,3,)=0,0,(VLOOKUP($E454,$D$5:$AI$471,23,)/VLOOKUP($E454,$D$5:$AI$471,3,))*$F454)</f>
        <v>0</v>
      </c>
      <c r="AA454" s="45">
        <f>IF(VLOOKUP($E454,$D$5:$AI$471,3,)=0,0,(VLOOKUP($E454,$D$5:$AI$471,24,)/VLOOKUP($E454,$D$5:$AI$471,3,))*$F454)</f>
        <v>0</v>
      </c>
      <c r="AB454" s="45">
        <f>IF(VLOOKUP($E454,$D$5:$AI$471,3,)=0,0,(VLOOKUP($E454,$D$5:$AI$471,25,)/VLOOKUP($E454,$D$5:$AI$471,3,))*$F454)</f>
        <v>0</v>
      </c>
      <c r="AC454" s="45">
        <f>IF(VLOOKUP($E454,$D$5:$AI$471,3,)=0,0,(VLOOKUP($E454,$D$5:$AI$471,26,)/VLOOKUP($E454,$D$5:$AI$471,3,))*$F454)</f>
        <v>0</v>
      </c>
      <c r="AD454" s="45">
        <f>IF(VLOOKUP($E454,$D$5:$AI$471,3,)=0,0,(VLOOKUP($E454,$D$5:$AI$471,27,)/VLOOKUP($E454,$D$5:$AI$471,3,))*$F454)</f>
        <v>0</v>
      </c>
      <c r="AE454" s="45">
        <f>IF(VLOOKUP($E454,$D$5:$AI$471,3,)=0,0,(VLOOKUP($E454,$D$5:$AI$471,28,)/VLOOKUP($E454,$D$5:$AI$471,3,))*$F454)</f>
        <v>0</v>
      </c>
      <c r="AF454" s="45">
        <f>IF(VLOOKUP($E454,$D$5:$AI$471,3,)=0,0,(VLOOKUP($E454,$D$5:$AI$471,29,)/VLOOKUP($E454,$D$5:$AI$471,3,))*$F454)</f>
        <v>0</v>
      </c>
      <c r="AG454" s="45">
        <f>IF(VLOOKUP($E454,$D$5:$AI$471,3,)=0,0,(VLOOKUP($E454,$D$5:$AI$471,30,)/VLOOKUP($E454,$D$5:$AI$471,3,))*$F454)</f>
        <v>0</v>
      </c>
      <c r="AH454" s="45">
        <f>SUM(G454:AG454)</f>
        <v>0.99999999999999989</v>
      </c>
      <c r="AI454" s="15" t="str">
        <f t="shared" si="186"/>
        <v>ok</v>
      </c>
    </row>
    <row r="455" spans="1:35" x14ac:dyDescent="0.3">
      <c r="F455" s="59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5"/>
      <c r="AE455" s="45"/>
      <c r="AF455" s="45"/>
      <c r="AG455" s="45"/>
      <c r="AH455" s="45"/>
      <c r="AI455" s="15"/>
    </row>
    <row r="456" spans="1:35" x14ac:dyDescent="0.3">
      <c r="A456" s="2" t="s">
        <v>809</v>
      </c>
      <c r="D456" s="2" t="s">
        <v>723</v>
      </c>
      <c r="F456" s="44">
        <f t="shared" ref="F456:M456" si="188">F55+F56</f>
        <v>2219390140.3074498</v>
      </c>
      <c r="G456" s="44">
        <f t="shared" si="188"/>
        <v>1706049839.0482011</v>
      </c>
      <c r="H456" s="44">
        <f t="shared" si="188"/>
        <v>143192830.85208523</v>
      </c>
      <c r="I456" s="44">
        <f t="shared" si="188"/>
        <v>51584805.218220323</v>
      </c>
      <c r="J456" s="44">
        <f t="shared" si="188"/>
        <v>83330428.498628378</v>
      </c>
      <c r="K456" s="44">
        <f t="shared" si="188"/>
        <v>235232236.69031411</v>
      </c>
      <c r="L456" s="44">
        <f t="shared" si="188"/>
        <v>0</v>
      </c>
      <c r="M456" s="44">
        <f t="shared" si="188"/>
        <v>0</v>
      </c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4">
        <f>SUM(G456:AG456)</f>
        <v>2219390140.3074489</v>
      </c>
      <c r="AI456" s="15" t="str">
        <f t="shared" ref="AI456" si="189">IF(ABS(F456-AH456)&lt;0.01,"ok","err")</f>
        <v>ok</v>
      </c>
    </row>
    <row r="457" spans="1:35" x14ac:dyDescent="0.3">
      <c r="A457" s="2" t="s">
        <v>810</v>
      </c>
      <c r="D457" s="2" t="s">
        <v>706</v>
      </c>
      <c r="F457" s="44">
        <f t="shared" ref="F457:M457" si="190">F55+F56+F59</f>
        <v>2236031393.2031765</v>
      </c>
      <c r="G457" s="44">
        <f t="shared" si="190"/>
        <v>1706049839.0482011</v>
      </c>
      <c r="H457" s="44">
        <f t="shared" si="190"/>
        <v>143192830.85208523</v>
      </c>
      <c r="I457" s="44">
        <f t="shared" si="190"/>
        <v>51584805.218220323</v>
      </c>
      <c r="J457" s="44">
        <f t="shared" si="190"/>
        <v>83330428.498628378</v>
      </c>
      <c r="K457" s="44">
        <f t="shared" si="190"/>
        <v>235232236.69031411</v>
      </c>
      <c r="L457" s="44">
        <f t="shared" si="190"/>
        <v>0</v>
      </c>
      <c r="M457" s="44">
        <f t="shared" si="190"/>
        <v>16641252.895726735</v>
      </c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4">
        <f>SUM(G457:AG457)</f>
        <v>2236031393.2031755</v>
      </c>
      <c r="AI457" s="15" t="str">
        <f t="shared" ref="AI457" si="191">IF(ABS(F457-AH457)&lt;0.01,"ok","err")</f>
        <v>ok</v>
      </c>
    </row>
    <row r="458" spans="1:35" x14ac:dyDescent="0.3">
      <c r="F458" s="44"/>
      <c r="G458" s="58"/>
      <c r="H458" s="44"/>
      <c r="I458" s="44"/>
      <c r="J458" s="44"/>
      <c r="K458" s="44"/>
      <c r="L458" s="44"/>
      <c r="M458" s="44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  <c r="AD458" s="45"/>
      <c r="AE458" s="45"/>
      <c r="AF458" s="45"/>
      <c r="AG458" s="45"/>
      <c r="AH458" s="44"/>
      <c r="AI458" s="15"/>
    </row>
    <row r="460" spans="1:35" x14ac:dyDescent="0.3">
      <c r="A460" s="3" t="s">
        <v>672</v>
      </c>
    </row>
    <row r="461" spans="1:35" x14ac:dyDescent="0.3">
      <c r="A461" s="21" t="s">
        <v>811</v>
      </c>
      <c r="F461" s="20">
        <f t="shared" ref="F461:AG461" si="192">F78+F124+F147+F169+F192</f>
        <v>121211305.45289363</v>
      </c>
      <c r="G461" s="20">
        <f t="shared" si="192"/>
        <v>99899521.461098909</v>
      </c>
      <c r="H461" s="20">
        <f t="shared" si="192"/>
        <v>4980398.1975102816</v>
      </c>
      <c r="I461" s="20">
        <f t="shared" si="192"/>
        <v>1217660.0862326424</v>
      </c>
      <c r="J461" s="20">
        <f t="shared" si="192"/>
        <v>2632418.6567243566</v>
      </c>
      <c r="K461" s="20">
        <f t="shared" si="192"/>
        <v>12481307.051327409</v>
      </c>
      <c r="L461" s="20">
        <f t="shared" si="192"/>
        <v>0</v>
      </c>
      <c r="M461" s="20">
        <f t="shared" si="192"/>
        <v>0</v>
      </c>
      <c r="N461" s="20">
        <f t="shared" si="192"/>
        <v>0</v>
      </c>
      <c r="O461" s="20">
        <f t="shared" si="192"/>
        <v>0</v>
      </c>
      <c r="P461" s="20">
        <f t="shared" si="192"/>
        <v>0</v>
      </c>
      <c r="Q461" s="20">
        <f t="shared" si="192"/>
        <v>0</v>
      </c>
      <c r="R461" s="20">
        <f t="shared" si="192"/>
        <v>0</v>
      </c>
      <c r="S461" s="20">
        <f t="shared" si="192"/>
        <v>0</v>
      </c>
      <c r="T461" s="20">
        <f t="shared" si="192"/>
        <v>0</v>
      </c>
      <c r="U461" s="20">
        <f t="shared" si="192"/>
        <v>0</v>
      </c>
      <c r="V461" s="20">
        <f t="shared" si="192"/>
        <v>0</v>
      </c>
      <c r="W461" s="20">
        <f t="shared" si="192"/>
        <v>0</v>
      </c>
      <c r="X461" s="20">
        <f t="shared" si="192"/>
        <v>0</v>
      </c>
      <c r="Y461" s="20">
        <f t="shared" si="192"/>
        <v>0</v>
      </c>
      <c r="Z461" s="20">
        <f t="shared" si="192"/>
        <v>0</v>
      </c>
      <c r="AA461" s="20">
        <f t="shared" si="192"/>
        <v>0</v>
      </c>
      <c r="AB461" s="20">
        <f t="shared" si="192"/>
        <v>0</v>
      </c>
      <c r="AC461" s="20">
        <f t="shared" si="192"/>
        <v>0</v>
      </c>
      <c r="AD461" s="20">
        <f t="shared" si="192"/>
        <v>0</v>
      </c>
      <c r="AE461" s="20">
        <f t="shared" si="192"/>
        <v>0</v>
      </c>
      <c r="AF461" s="20">
        <f t="shared" si="192"/>
        <v>0</v>
      </c>
      <c r="AG461" s="20">
        <f t="shared" si="192"/>
        <v>0</v>
      </c>
      <c r="AH461" s="20">
        <f>SUM(G461:AG461)</f>
        <v>121211305.45289361</v>
      </c>
      <c r="AI461" s="15" t="str">
        <f>IF(ABS(F461-AH461)&lt;0.01,"ok","err")</f>
        <v>ok</v>
      </c>
    </row>
    <row r="462" spans="1:35" x14ac:dyDescent="0.3">
      <c r="A462" s="21" t="s">
        <v>534</v>
      </c>
      <c r="F462" s="20">
        <f t="shared" ref="F462:AG462" si="193">F79+F125+F148+F170+F193</f>
        <v>147596996.97460413</v>
      </c>
      <c r="G462" s="20">
        <f t="shared" si="193"/>
        <v>106821458.52847683</v>
      </c>
      <c r="H462" s="20">
        <f t="shared" si="193"/>
        <v>12325897.694161838</v>
      </c>
      <c r="I462" s="20">
        <f t="shared" si="193"/>
        <v>5009383.1741648065</v>
      </c>
      <c r="J462" s="20">
        <f t="shared" si="193"/>
        <v>7435443.7679612832</v>
      </c>
      <c r="K462" s="20">
        <f t="shared" si="193"/>
        <v>16004813.8098394</v>
      </c>
      <c r="L462" s="20">
        <f t="shared" si="193"/>
        <v>0</v>
      </c>
      <c r="M462" s="20">
        <f t="shared" si="193"/>
        <v>0</v>
      </c>
      <c r="N462" s="20">
        <f t="shared" si="193"/>
        <v>0</v>
      </c>
      <c r="O462" s="20">
        <f t="shared" si="193"/>
        <v>0</v>
      </c>
      <c r="P462" s="20">
        <f t="shared" si="193"/>
        <v>0</v>
      </c>
      <c r="Q462" s="20">
        <f t="shared" si="193"/>
        <v>0</v>
      </c>
      <c r="R462" s="20">
        <f t="shared" si="193"/>
        <v>0</v>
      </c>
      <c r="S462" s="20">
        <f t="shared" si="193"/>
        <v>0</v>
      </c>
      <c r="T462" s="20">
        <f t="shared" si="193"/>
        <v>0</v>
      </c>
      <c r="U462" s="20">
        <f t="shared" si="193"/>
        <v>0</v>
      </c>
      <c r="V462" s="20">
        <f t="shared" si="193"/>
        <v>0</v>
      </c>
      <c r="W462" s="20">
        <f t="shared" si="193"/>
        <v>0</v>
      </c>
      <c r="X462" s="20">
        <f t="shared" si="193"/>
        <v>0</v>
      </c>
      <c r="Y462" s="20">
        <f t="shared" si="193"/>
        <v>0</v>
      </c>
      <c r="Z462" s="20">
        <f t="shared" si="193"/>
        <v>0</v>
      </c>
      <c r="AA462" s="20">
        <f t="shared" si="193"/>
        <v>0</v>
      </c>
      <c r="AB462" s="20">
        <f t="shared" si="193"/>
        <v>0</v>
      </c>
      <c r="AC462" s="20">
        <f t="shared" si="193"/>
        <v>0</v>
      </c>
      <c r="AD462" s="20">
        <f t="shared" si="193"/>
        <v>0</v>
      </c>
      <c r="AE462" s="20">
        <f t="shared" si="193"/>
        <v>0</v>
      </c>
      <c r="AF462" s="20">
        <f t="shared" si="193"/>
        <v>0</v>
      </c>
      <c r="AG462" s="20">
        <f t="shared" si="193"/>
        <v>0</v>
      </c>
      <c r="AH462" s="20">
        <f t="shared" ref="AH462:AH466" si="194">SUM(G462:AG462)</f>
        <v>147596996.97460416</v>
      </c>
      <c r="AI462" s="15" t="str">
        <f t="shared" ref="AI462:AI466" si="195">IF(ABS(F462-AH462)&lt;0.01,"ok","err")</f>
        <v>ok</v>
      </c>
    </row>
    <row r="463" spans="1:35" x14ac:dyDescent="0.3">
      <c r="A463" s="21" t="s">
        <v>537</v>
      </c>
      <c r="F463" s="20">
        <f t="shared" ref="F463:AG463" si="196">F80+F126+F149+F171+F194</f>
        <v>289780957.19425559</v>
      </c>
      <c r="G463" s="20">
        <f t="shared" si="196"/>
        <v>219189311.96853885</v>
      </c>
      <c r="H463" s="20">
        <f t="shared" si="196"/>
        <v>22020308.952949822</v>
      </c>
      <c r="I463" s="20">
        <f t="shared" si="196"/>
        <v>9047231.2476659119</v>
      </c>
      <c r="J463" s="20">
        <f t="shared" si="196"/>
        <v>13398222.846093006</v>
      </c>
      <c r="K463" s="20">
        <f t="shared" si="196"/>
        <v>19612903.633154456</v>
      </c>
      <c r="L463" s="20">
        <f t="shared" si="196"/>
        <v>6512978.5458535561</v>
      </c>
      <c r="M463" s="20">
        <f t="shared" si="196"/>
        <v>0</v>
      </c>
      <c r="N463" s="20">
        <f t="shared" si="196"/>
        <v>0</v>
      </c>
      <c r="O463" s="20">
        <f t="shared" si="196"/>
        <v>0</v>
      </c>
      <c r="P463" s="20">
        <f t="shared" si="196"/>
        <v>0</v>
      </c>
      <c r="Q463" s="20">
        <f t="shared" si="196"/>
        <v>0</v>
      </c>
      <c r="R463" s="20">
        <f t="shared" si="196"/>
        <v>0</v>
      </c>
      <c r="S463" s="20">
        <f t="shared" si="196"/>
        <v>0</v>
      </c>
      <c r="T463" s="20">
        <f t="shared" si="196"/>
        <v>0</v>
      </c>
      <c r="U463" s="20">
        <f t="shared" si="196"/>
        <v>0</v>
      </c>
      <c r="V463" s="20">
        <f t="shared" si="196"/>
        <v>0</v>
      </c>
      <c r="W463" s="20">
        <f t="shared" si="196"/>
        <v>0</v>
      </c>
      <c r="X463" s="20">
        <f t="shared" si="196"/>
        <v>0</v>
      </c>
      <c r="Y463" s="20">
        <f t="shared" si="196"/>
        <v>0</v>
      </c>
      <c r="Z463" s="20">
        <f t="shared" si="196"/>
        <v>0</v>
      </c>
      <c r="AA463" s="20">
        <f t="shared" si="196"/>
        <v>0</v>
      </c>
      <c r="AB463" s="20">
        <f t="shared" si="196"/>
        <v>0</v>
      </c>
      <c r="AC463" s="20">
        <f t="shared" si="196"/>
        <v>0</v>
      </c>
      <c r="AD463" s="20">
        <f t="shared" si="196"/>
        <v>0</v>
      </c>
      <c r="AE463" s="20">
        <f t="shared" si="196"/>
        <v>0</v>
      </c>
      <c r="AF463" s="20">
        <f t="shared" si="196"/>
        <v>0</v>
      </c>
      <c r="AG463" s="20">
        <f t="shared" si="196"/>
        <v>0</v>
      </c>
      <c r="AH463" s="20">
        <f t="shared" si="194"/>
        <v>289780957.19425559</v>
      </c>
      <c r="AI463" s="15" t="str">
        <f t="shared" si="195"/>
        <v>ok</v>
      </c>
    </row>
    <row r="464" spans="1:35" x14ac:dyDescent="0.3">
      <c r="A464" s="21" t="s">
        <v>540</v>
      </c>
      <c r="F464" s="20">
        <f t="shared" ref="F464:AG464" si="197">F81+F127+F150+F172+F195</f>
        <v>312164434.28502363</v>
      </c>
      <c r="G464" s="20">
        <f t="shared" si="197"/>
        <v>208515519.4445684</v>
      </c>
      <c r="H464" s="20">
        <f t="shared" si="197"/>
        <v>27321805.238450665</v>
      </c>
      <c r="I464" s="20">
        <f t="shared" si="197"/>
        <v>11006251.868939536</v>
      </c>
      <c r="J464" s="20">
        <f t="shared" si="197"/>
        <v>16367135.562535897</v>
      </c>
      <c r="K464" s="20">
        <f t="shared" si="197"/>
        <v>44429407.976993673</v>
      </c>
      <c r="L464" s="20">
        <f t="shared" si="197"/>
        <v>4524314.1935354434</v>
      </c>
      <c r="M464" s="20">
        <f t="shared" si="197"/>
        <v>0</v>
      </c>
      <c r="N464" s="20">
        <f t="shared" si="197"/>
        <v>0</v>
      </c>
      <c r="O464" s="20">
        <f t="shared" si="197"/>
        <v>0</v>
      </c>
      <c r="P464" s="20">
        <f t="shared" si="197"/>
        <v>0</v>
      </c>
      <c r="Q464" s="20">
        <f t="shared" si="197"/>
        <v>0</v>
      </c>
      <c r="R464" s="20">
        <f t="shared" si="197"/>
        <v>0</v>
      </c>
      <c r="S464" s="20">
        <f t="shared" si="197"/>
        <v>0</v>
      </c>
      <c r="T464" s="20">
        <f t="shared" si="197"/>
        <v>0</v>
      </c>
      <c r="U464" s="20">
        <f t="shared" si="197"/>
        <v>0</v>
      </c>
      <c r="V464" s="20">
        <f t="shared" si="197"/>
        <v>0</v>
      </c>
      <c r="W464" s="20">
        <f t="shared" si="197"/>
        <v>0</v>
      </c>
      <c r="X464" s="20">
        <f t="shared" si="197"/>
        <v>0</v>
      </c>
      <c r="Y464" s="20">
        <f t="shared" si="197"/>
        <v>0</v>
      </c>
      <c r="Z464" s="20">
        <f t="shared" si="197"/>
        <v>0</v>
      </c>
      <c r="AA464" s="20">
        <f t="shared" si="197"/>
        <v>0</v>
      </c>
      <c r="AB464" s="20">
        <f t="shared" si="197"/>
        <v>0</v>
      </c>
      <c r="AC464" s="20">
        <f t="shared" si="197"/>
        <v>0</v>
      </c>
      <c r="AD464" s="20">
        <f t="shared" si="197"/>
        <v>0</v>
      </c>
      <c r="AE464" s="20">
        <f t="shared" si="197"/>
        <v>0</v>
      </c>
      <c r="AF464" s="20">
        <f t="shared" si="197"/>
        <v>0</v>
      </c>
      <c r="AG464" s="20">
        <f t="shared" si="197"/>
        <v>0</v>
      </c>
      <c r="AH464" s="20">
        <f t="shared" si="194"/>
        <v>312164434.28502363</v>
      </c>
      <c r="AI464" s="15" t="str">
        <f t="shared" si="195"/>
        <v>ok</v>
      </c>
    </row>
    <row r="465" spans="1:35" x14ac:dyDescent="0.3">
      <c r="A465" s="21" t="s">
        <v>543</v>
      </c>
      <c r="F465" s="20">
        <f t="shared" ref="F465:AG465" si="198">F82+F128+F151+F173+F196</f>
        <v>8099186.6928332513</v>
      </c>
      <c r="G465" s="20">
        <f t="shared" si="198"/>
        <v>0</v>
      </c>
      <c r="H465" s="20">
        <f t="shared" si="198"/>
        <v>0</v>
      </c>
      <c r="I465" s="20">
        <f t="shared" si="198"/>
        <v>0</v>
      </c>
      <c r="J465" s="20">
        <f t="shared" si="198"/>
        <v>0</v>
      </c>
      <c r="K465" s="20">
        <f t="shared" si="198"/>
        <v>0</v>
      </c>
      <c r="L465" s="20">
        <f t="shared" si="198"/>
        <v>0</v>
      </c>
      <c r="M465" s="20">
        <f t="shared" si="198"/>
        <v>8099186.6928332513</v>
      </c>
      <c r="N465" s="20">
        <f t="shared" si="198"/>
        <v>0</v>
      </c>
      <c r="O465" s="20">
        <f t="shared" si="198"/>
        <v>0</v>
      </c>
      <c r="P465" s="20">
        <f t="shared" si="198"/>
        <v>0</v>
      </c>
      <c r="Q465" s="20">
        <f t="shared" si="198"/>
        <v>0</v>
      </c>
      <c r="R465" s="20">
        <f t="shared" si="198"/>
        <v>0</v>
      </c>
      <c r="S465" s="20">
        <f t="shared" si="198"/>
        <v>0</v>
      </c>
      <c r="T465" s="20">
        <f t="shared" si="198"/>
        <v>0</v>
      </c>
      <c r="U465" s="20">
        <f t="shared" si="198"/>
        <v>0</v>
      </c>
      <c r="V465" s="20">
        <f t="shared" si="198"/>
        <v>0</v>
      </c>
      <c r="W465" s="20">
        <f t="shared" si="198"/>
        <v>0</v>
      </c>
      <c r="X465" s="20">
        <f t="shared" si="198"/>
        <v>0</v>
      </c>
      <c r="Y465" s="20">
        <f t="shared" si="198"/>
        <v>0</v>
      </c>
      <c r="Z465" s="20">
        <f t="shared" si="198"/>
        <v>0</v>
      </c>
      <c r="AA465" s="20">
        <f t="shared" si="198"/>
        <v>0</v>
      </c>
      <c r="AB465" s="20">
        <f t="shared" si="198"/>
        <v>0</v>
      </c>
      <c r="AC465" s="20">
        <f t="shared" si="198"/>
        <v>0</v>
      </c>
      <c r="AD465" s="20">
        <f t="shared" si="198"/>
        <v>0</v>
      </c>
      <c r="AE465" s="20">
        <f t="shared" si="198"/>
        <v>0</v>
      </c>
      <c r="AF465" s="20">
        <f t="shared" si="198"/>
        <v>0</v>
      </c>
      <c r="AG465" s="20">
        <f t="shared" si="198"/>
        <v>0</v>
      </c>
      <c r="AH465" s="20">
        <f t="shared" si="194"/>
        <v>8099186.6928332513</v>
      </c>
      <c r="AI465" s="15" t="str">
        <f t="shared" si="195"/>
        <v>ok</v>
      </c>
    </row>
    <row r="466" spans="1:35" x14ac:dyDescent="0.3">
      <c r="A466" s="2" t="s">
        <v>812</v>
      </c>
      <c r="F466" s="20">
        <f t="shared" ref="F466:AG466" si="199">F86+F132+F155+F177+F200</f>
        <v>106924223.29932249</v>
      </c>
      <c r="G466" s="20">
        <f t="shared" si="199"/>
        <v>84380557.882228926</v>
      </c>
      <c r="H466" s="20">
        <f t="shared" si="199"/>
        <v>6316346.4480509665</v>
      </c>
      <c r="I466" s="20">
        <f t="shared" si="199"/>
        <v>2141656.5905939094</v>
      </c>
      <c r="J466" s="20">
        <f t="shared" si="199"/>
        <v>3449909.6411633813</v>
      </c>
      <c r="K466" s="20">
        <f t="shared" si="199"/>
        <v>9272904.4951823857</v>
      </c>
      <c r="L466" s="20">
        <f t="shared" si="199"/>
        <v>1362848.2421029177</v>
      </c>
      <c r="M466" s="20">
        <f t="shared" si="199"/>
        <v>0</v>
      </c>
      <c r="N466" s="20">
        <f t="shared" si="199"/>
        <v>0</v>
      </c>
      <c r="O466" s="20">
        <f t="shared" si="199"/>
        <v>0</v>
      </c>
      <c r="P466" s="20">
        <f t="shared" si="199"/>
        <v>0</v>
      </c>
      <c r="Q466" s="20">
        <f t="shared" si="199"/>
        <v>0</v>
      </c>
      <c r="R466" s="20">
        <f t="shared" si="199"/>
        <v>0</v>
      </c>
      <c r="S466" s="20">
        <f t="shared" si="199"/>
        <v>0</v>
      </c>
      <c r="T466" s="20">
        <f t="shared" si="199"/>
        <v>0</v>
      </c>
      <c r="U466" s="20">
        <f t="shared" si="199"/>
        <v>0</v>
      </c>
      <c r="V466" s="20">
        <f t="shared" si="199"/>
        <v>0</v>
      </c>
      <c r="W466" s="20">
        <f t="shared" si="199"/>
        <v>0</v>
      </c>
      <c r="X466" s="20">
        <f t="shared" si="199"/>
        <v>0</v>
      </c>
      <c r="Y466" s="20">
        <f t="shared" si="199"/>
        <v>0</v>
      </c>
      <c r="Z466" s="20">
        <f t="shared" si="199"/>
        <v>0</v>
      </c>
      <c r="AA466" s="20">
        <f t="shared" si="199"/>
        <v>0</v>
      </c>
      <c r="AB466" s="20">
        <f t="shared" si="199"/>
        <v>0</v>
      </c>
      <c r="AC466" s="20">
        <f t="shared" si="199"/>
        <v>0</v>
      </c>
      <c r="AD466" s="20">
        <f t="shared" si="199"/>
        <v>0</v>
      </c>
      <c r="AE466" s="20">
        <f t="shared" si="199"/>
        <v>0</v>
      </c>
      <c r="AF466" s="20">
        <f t="shared" si="199"/>
        <v>0</v>
      </c>
      <c r="AG466" s="20">
        <f t="shared" si="199"/>
        <v>0</v>
      </c>
      <c r="AH466" s="20">
        <f t="shared" si="194"/>
        <v>106924223.29932247</v>
      </c>
      <c r="AI466" s="15" t="str">
        <f t="shared" si="195"/>
        <v>ok</v>
      </c>
    </row>
    <row r="467" spans="1:35" x14ac:dyDescent="0.3">
      <c r="A467" s="2" t="s">
        <v>813</v>
      </c>
      <c r="F467" s="20">
        <f t="shared" ref="F467:AG467" si="200">F89+F135+F158+F180+F203</f>
        <v>15315709.866994854</v>
      </c>
      <c r="G467" s="20">
        <f t="shared" si="200"/>
        <v>15252639.704050865</v>
      </c>
      <c r="H467" s="20">
        <f t="shared" si="200"/>
        <v>0</v>
      </c>
      <c r="I467" s="20">
        <f t="shared" si="200"/>
        <v>0</v>
      </c>
      <c r="J467" s="20">
        <f t="shared" si="200"/>
        <v>63070.162943987554</v>
      </c>
      <c r="K467" s="20">
        <f t="shared" si="200"/>
        <v>0</v>
      </c>
      <c r="L467" s="20">
        <f t="shared" si="200"/>
        <v>0</v>
      </c>
      <c r="M467" s="20">
        <f t="shared" si="200"/>
        <v>0</v>
      </c>
      <c r="N467" s="20">
        <f t="shared" si="200"/>
        <v>0</v>
      </c>
      <c r="O467" s="20">
        <f t="shared" si="200"/>
        <v>0</v>
      </c>
      <c r="P467" s="20">
        <f t="shared" si="200"/>
        <v>0</v>
      </c>
      <c r="Q467" s="20">
        <f t="shared" si="200"/>
        <v>0</v>
      </c>
      <c r="R467" s="20">
        <f t="shared" si="200"/>
        <v>0</v>
      </c>
      <c r="S467" s="20">
        <f t="shared" si="200"/>
        <v>0</v>
      </c>
      <c r="T467" s="20">
        <f t="shared" si="200"/>
        <v>0</v>
      </c>
      <c r="U467" s="20">
        <f t="shared" si="200"/>
        <v>0</v>
      </c>
      <c r="V467" s="20">
        <f t="shared" si="200"/>
        <v>0</v>
      </c>
      <c r="W467" s="20">
        <f t="shared" si="200"/>
        <v>0</v>
      </c>
      <c r="X467" s="20">
        <f t="shared" si="200"/>
        <v>0</v>
      </c>
      <c r="Y467" s="20">
        <f t="shared" si="200"/>
        <v>0</v>
      </c>
      <c r="Z467" s="20">
        <f t="shared" si="200"/>
        <v>0</v>
      </c>
      <c r="AA467" s="20">
        <f t="shared" si="200"/>
        <v>0</v>
      </c>
      <c r="AB467" s="20">
        <f t="shared" si="200"/>
        <v>0</v>
      </c>
      <c r="AC467" s="20">
        <f t="shared" si="200"/>
        <v>0</v>
      </c>
      <c r="AD467" s="20">
        <f t="shared" si="200"/>
        <v>0</v>
      </c>
      <c r="AE467" s="20">
        <f t="shared" si="200"/>
        <v>0</v>
      </c>
      <c r="AF467" s="20">
        <f t="shared" si="200"/>
        <v>0</v>
      </c>
      <c r="AG467" s="20">
        <f t="shared" si="200"/>
        <v>0</v>
      </c>
      <c r="AH467" s="20">
        <f t="shared" ref="AH467" si="201">SUM(G467:AG467)</f>
        <v>15315709.866994852</v>
      </c>
      <c r="AI467" s="15" t="str">
        <f t="shared" ref="AI467" si="202">IF(ABS(F467-AH467)&lt;0.01,"ok","err")</f>
        <v>ok</v>
      </c>
    </row>
    <row r="468" spans="1:35" x14ac:dyDescent="0.3">
      <c r="A468" s="2" t="s">
        <v>814</v>
      </c>
      <c r="F468" s="20">
        <f t="shared" ref="F468:AG468" si="203">F92+F138+F161+F183+F206</f>
        <v>340772.70707243797</v>
      </c>
      <c r="G468" s="20">
        <f t="shared" si="203"/>
        <v>339839.50933513325</v>
      </c>
      <c r="H468" s="20">
        <f t="shared" si="203"/>
        <v>0</v>
      </c>
      <c r="I468" s="20">
        <f t="shared" si="203"/>
        <v>0</v>
      </c>
      <c r="J468" s="20">
        <f t="shared" si="203"/>
        <v>933.19773730471388</v>
      </c>
      <c r="K468" s="20">
        <f t="shared" si="203"/>
        <v>0</v>
      </c>
      <c r="L468" s="20">
        <f t="shared" si="203"/>
        <v>0</v>
      </c>
      <c r="M468" s="20">
        <f t="shared" si="203"/>
        <v>0</v>
      </c>
      <c r="N468" s="20">
        <f t="shared" si="203"/>
        <v>0</v>
      </c>
      <c r="O468" s="20">
        <f t="shared" si="203"/>
        <v>0</v>
      </c>
      <c r="P468" s="20">
        <f t="shared" si="203"/>
        <v>0</v>
      </c>
      <c r="Q468" s="20">
        <f t="shared" si="203"/>
        <v>0</v>
      </c>
      <c r="R468" s="20">
        <f t="shared" si="203"/>
        <v>0</v>
      </c>
      <c r="S468" s="20">
        <f t="shared" si="203"/>
        <v>0</v>
      </c>
      <c r="T468" s="20">
        <f t="shared" si="203"/>
        <v>0</v>
      </c>
      <c r="U468" s="20">
        <f t="shared" si="203"/>
        <v>0</v>
      </c>
      <c r="V468" s="20">
        <f t="shared" si="203"/>
        <v>0</v>
      </c>
      <c r="W468" s="20">
        <f t="shared" si="203"/>
        <v>0</v>
      </c>
      <c r="X468" s="20">
        <f t="shared" si="203"/>
        <v>0</v>
      </c>
      <c r="Y468" s="20">
        <f t="shared" si="203"/>
        <v>0</v>
      </c>
      <c r="Z468" s="20">
        <f t="shared" si="203"/>
        <v>0</v>
      </c>
      <c r="AA468" s="20">
        <f t="shared" si="203"/>
        <v>0</v>
      </c>
      <c r="AB468" s="20">
        <f t="shared" si="203"/>
        <v>0</v>
      </c>
      <c r="AC468" s="20">
        <f t="shared" si="203"/>
        <v>0</v>
      </c>
      <c r="AD468" s="20">
        <f t="shared" si="203"/>
        <v>0</v>
      </c>
      <c r="AE468" s="20">
        <f t="shared" si="203"/>
        <v>0</v>
      </c>
      <c r="AF468" s="20">
        <f t="shared" si="203"/>
        <v>0</v>
      </c>
      <c r="AG468" s="20">
        <f t="shared" si="203"/>
        <v>0</v>
      </c>
      <c r="AH468" s="20">
        <f t="shared" ref="AH468" si="204">SUM(G468:AG468)</f>
        <v>340772.70707243797</v>
      </c>
      <c r="AI468" s="15" t="str">
        <f t="shared" ref="AI468" si="205">IF(ABS(F468-AH468)&lt;0.01,"ok","err")</f>
        <v>ok</v>
      </c>
    </row>
    <row r="469" spans="1:35" x14ac:dyDescent="0.3">
      <c r="A469" s="2" t="s">
        <v>1</v>
      </c>
      <c r="E469" s="31"/>
      <c r="F469" s="20">
        <f t="shared" ref="F469:AH469" si="206">SUM(F461:F468)</f>
        <v>1001433586.473</v>
      </c>
      <c r="G469" s="20">
        <f t="shared" si="206"/>
        <v>734398848.49829805</v>
      </c>
      <c r="H469" s="20">
        <f t="shared" si="206"/>
        <v>72964756.531123564</v>
      </c>
      <c r="I469" s="20">
        <f t="shared" si="206"/>
        <v>28422182.967596803</v>
      </c>
      <c r="J469" s="20">
        <f t="shared" si="206"/>
        <v>43347133.83515922</v>
      </c>
      <c r="K469" s="20">
        <f t="shared" si="206"/>
        <v>101801336.96649732</v>
      </c>
      <c r="L469" s="20">
        <f t="shared" si="206"/>
        <v>12400140.981491916</v>
      </c>
      <c r="M469" s="20">
        <f t="shared" si="206"/>
        <v>8099186.6928332513</v>
      </c>
      <c r="N469" s="20">
        <f t="shared" si="206"/>
        <v>0</v>
      </c>
      <c r="O469" s="20">
        <f t="shared" si="206"/>
        <v>0</v>
      </c>
      <c r="P469" s="20">
        <f t="shared" si="206"/>
        <v>0</v>
      </c>
      <c r="Q469" s="20">
        <f t="shared" si="206"/>
        <v>0</v>
      </c>
      <c r="R469" s="20">
        <f t="shared" si="206"/>
        <v>0</v>
      </c>
      <c r="S469" s="20">
        <f t="shared" si="206"/>
        <v>0</v>
      </c>
      <c r="T469" s="20">
        <f t="shared" si="206"/>
        <v>0</v>
      </c>
      <c r="U469" s="20">
        <f t="shared" si="206"/>
        <v>0</v>
      </c>
      <c r="V469" s="20">
        <f t="shared" si="206"/>
        <v>0</v>
      </c>
      <c r="W469" s="20">
        <f t="shared" si="206"/>
        <v>0</v>
      </c>
      <c r="X469" s="20">
        <f t="shared" si="206"/>
        <v>0</v>
      </c>
      <c r="Y469" s="20">
        <f t="shared" si="206"/>
        <v>0</v>
      </c>
      <c r="Z469" s="20">
        <f t="shared" si="206"/>
        <v>0</v>
      </c>
      <c r="AA469" s="20">
        <f t="shared" si="206"/>
        <v>0</v>
      </c>
      <c r="AB469" s="20">
        <f t="shared" si="206"/>
        <v>0</v>
      </c>
      <c r="AC469" s="20">
        <f t="shared" si="206"/>
        <v>0</v>
      </c>
      <c r="AD469" s="20">
        <f t="shared" si="206"/>
        <v>0</v>
      </c>
      <c r="AE469" s="20">
        <f t="shared" si="206"/>
        <v>0</v>
      </c>
      <c r="AF469" s="20">
        <f t="shared" si="206"/>
        <v>0</v>
      </c>
      <c r="AG469" s="20">
        <f t="shared" si="206"/>
        <v>0</v>
      </c>
      <c r="AH469" s="20">
        <f t="shared" si="206"/>
        <v>1001433586.473</v>
      </c>
      <c r="AI469" s="15" t="str">
        <f t="shared" ref="AI469" si="207">IF(ABS(F469-AH469)&lt;0.01,"ok","err")</f>
        <v>ok</v>
      </c>
    </row>
    <row r="470" spans="1:35" x14ac:dyDescent="0.3">
      <c r="F470" s="20"/>
    </row>
    <row r="471" spans="1:35" x14ac:dyDescent="0.3">
      <c r="A471" s="3" t="s">
        <v>60</v>
      </c>
      <c r="F471" s="20"/>
      <c r="H471" s="20"/>
    </row>
    <row r="472" spans="1:35" x14ac:dyDescent="0.3">
      <c r="A472" s="21" t="s">
        <v>811</v>
      </c>
      <c r="E472" s="31"/>
      <c r="F472" s="20">
        <f t="shared" ref="F472:M473" si="208">F55+(F55/($F$55+$F$56))*($F$356+$F$358)</f>
        <v>657925542.66205502</v>
      </c>
      <c r="G472" s="20">
        <f t="shared" si="208"/>
        <v>542246835.99762392</v>
      </c>
      <c r="H472" s="20">
        <f t="shared" si="208"/>
        <v>27033214.224753227</v>
      </c>
      <c r="I472" s="20">
        <f t="shared" si="208"/>
        <v>6609364.2834651191</v>
      </c>
      <c r="J472" s="20">
        <f t="shared" si="208"/>
        <v>14288563.816451697</v>
      </c>
      <c r="K472" s="20">
        <f t="shared" si="208"/>
        <v>67747564.33976087</v>
      </c>
      <c r="L472" s="20">
        <f t="shared" si="208"/>
        <v>0</v>
      </c>
      <c r="M472" s="20">
        <f t="shared" si="208"/>
        <v>0</v>
      </c>
      <c r="N472" s="20">
        <f t="shared" ref="N472:AG472" si="209">N55</f>
        <v>0</v>
      </c>
      <c r="O472" s="20">
        <f t="shared" si="209"/>
        <v>0</v>
      </c>
      <c r="P472" s="20">
        <f t="shared" si="209"/>
        <v>0</v>
      </c>
      <c r="Q472" s="20">
        <f t="shared" si="209"/>
        <v>0</v>
      </c>
      <c r="R472" s="20">
        <f t="shared" si="209"/>
        <v>0</v>
      </c>
      <c r="S472" s="20">
        <f t="shared" si="209"/>
        <v>0</v>
      </c>
      <c r="T472" s="20">
        <f t="shared" si="209"/>
        <v>0</v>
      </c>
      <c r="U472" s="20">
        <f t="shared" si="209"/>
        <v>0</v>
      </c>
      <c r="V472" s="20">
        <f t="shared" si="209"/>
        <v>0</v>
      </c>
      <c r="W472" s="20">
        <f t="shared" si="209"/>
        <v>0</v>
      </c>
      <c r="X472" s="20">
        <f t="shared" si="209"/>
        <v>0</v>
      </c>
      <c r="Y472" s="20">
        <f t="shared" si="209"/>
        <v>0</v>
      </c>
      <c r="Z472" s="20">
        <f t="shared" si="209"/>
        <v>0</v>
      </c>
      <c r="AA472" s="20">
        <f t="shared" si="209"/>
        <v>0</v>
      </c>
      <c r="AB472" s="20">
        <f t="shared" si="209"/>
        <v>0</v>
      </c>
      <c r="AC472" s="20">
        <f t="shared" si="209"/>
        <v>0</v>
      </c>
      <c r="AD472" s="20">
        <f t="shared" si="209"/>
        <v>0</v>
      </c>
      <c r="AE472" s="20">
        <f t="shared" si="209"/>
        <v>0</v>
      </c>
      <c r="AF472" s="20">
        <f t="shared" si="209"/>
        <v>0</v>
      </c>
      <c r="AG472" s="20">
        <f t="shared" si="209"/>
        <v>0</v>
      </c>
      <c r="AH472" s="20">
        <f t="shared" ref="AH472:AH479" si="210">SUM(G472:AG472)</f>
        <v>657925542.6620549</v>
      </c>
      <c r="AI472" s="15" t="str">
        <f>IF(ABS(F472-AH472)&lt;0.01,"ok","err")</f>
        <v>ok</v>
      </c>
    </row>
    <row r="473" spans="1:35" x14ac:dyDescent="0.3">
      <c r="A473" s="21" t="s">
        <v>534</v>
      </c>
      <c r="E473" s="31"/>
      <c r="F473" s="20">
        <f t="shared" si="208"/>
        <v>811704713.39539468</v>
      </c>
      <c r="G473" s="20">
        <f t="shared" si="208"/>
        <v>587461013.14144206</v>
      </c>
      <c r="H473" s="20">
        <f t="shared" si="208"/>
        <v>67785859.199439332</v>
      </c>
      <c r="I473" s="20">
        <f t="shared" si="208"/>
        <v>27548934.036732361</v>
      </c>
      <c r="J473" s="20">
        <f t="shared" si="208"/>
        <v>40890972.556027323</v>
      </c>
      <c r="K473" s="20">
        <f t="shared" si="208"/>
        <v>88017934.461753532</v>
      </c>
      <c r="L473" s="20">
        <f t="shared" si="208"/>
        <v>0</v>
      </c>
      <c r="M473" s="20">
        <f t="shared" si="208"/>
        <v>0</v>
      </c>
      <c r="N473" s="20">
        <f t="shared" ref="N473:AG473" si="211">N56</f>
        <v>0</v>
      </c>
      <c r="O473" s="20">
        <f t="shared" si="211"/>
        <v>0</v>
      </c>
      <c r="P473" s="20">
        <f t="shared" si="211"/>
        <v>0</v>
      </c>
      <c r="Q473" s="20">
        <f t="shared" si="211"/>
        <v>0</v>
      </c>
      <c r="R473" s="20">
        <f t="shared" si="211"/>
        <v>0</v>
      </c>
      <c r="S473" s="20">
        <f t="shared" si="211"/>
        <v>0</v>
      </c>
      <c r="T473" s="20">
        <f t="shared" si="211"/>
        <v>0</v>
      </c>
      <c r="U473" s="20">
        <f t="shared" si="211"/>
        <v>0</v>
      </c>
      <c r="V473" s="20">
        <f t="shared" si="211"/>
        <v>0</v>
      </c>
      <c r="W473" s="20">
        <f t="shared" si="211"/>
        <v>0</v>
      </c>
      <c r="X473" s="20">
        <f t="shared" si="211"/>
        <v>0</v>
      </c>
      <c r="Y473" s="20">
        <f t="shared" si="211"/>
        <v>0</v>
      </c>
      <c r="Z473" s="20">
        <f t="shared" si="211"/>
        <v>0</v>
      </c>
      <c r="AA473" s="20">
        <f t="shared" si="211"/>
        <v>0</v>
      </c>
      <c r="AB473" s="20">
        <f t="shared" si="211"/>
        <v>0</v>
      </c>
      <c r="AC473" s="20">
        <f t="shared" si="211"/>
        <v>0</v>
      </c>
      <c r="AD473" s="20">
        <f t="shared" si="211"/>
        <v>0</v>
      </c>
      <c r="AE473" s="20">
        <f t="shared" si="211"/>
        <v>0</v>
      </c>
      <c r="AF473" s="20">
        <f t="shared" si="211"/>
        <v>0</v>
      </c>
      <c r="AG473" s="20">
        <f t="shared" si="211"/>
        <v>0</v>
      </c>
      <c r="AH473" s="20">
        <f t="shared" ref="AH473:AH474" si="212">SUM(G473:AG473)</f>
        <v>811704713.39539444</v>
      </c>
      <c r="AI473" s="15" t="str">
        <f t="shared" ref="AI473:AI474" si="213">IF(ABS(F473-AH473)&lt;0.01,"ok","err")</f>
        <v>ok</v>
      </c>
    </row>
    <row r="474" spans="1:35" x14ac:dyDescent="0.3">
      <c r="A474" s="21" t="s">
        <v>537</v>
      </c>
      <c r="E474" s="31"/>
      <c r="F474" s="20">
        <f t="shared" ref="F474:M476" si="214">F57</f>
        <v>66762723.069734029</v>
      </c>
      <c r="G474" s="20">
        <f t="shared" si="214"/>
        <v>50499092.405824877</v>
      </c>
      <c r="H474" s="20">
        <f t="shared" si="214"/>
        <v>5073265.6927151484</v>
      </c>
      <c r="I474" s="20">
        <f t="shared" si="214"/>
        <v>2084394.3652614078</v>
      </c>
      <c r="J474" s="20">
        <f t="shared" si="214"/>
        <v>3086820.646053215</v>
      </c>
      <c r="K474" s="20">
        <f t="shared" si="214"/>
        <v>4518622.8471731618</v>
      </c>
      <c r="L474" s="20">
        <f t="shared" si="214"/>
        <v>1500527.1127062163</v>
      </c>
      <c r="M474" s="20">
        <f t="shared" si="214"/>
        <v>0</v>
      </c>
      <c r="N474" s="20">
        <f t="shared" ref="N474:AG474" si="215">N57</f>
        <v>0</v>
      </c>
      <c r="O474" s="20">
        <f t="shared" si="215"/>
        <v>0</v>
      </c>
      <c r="P474" s="20">
        <f t="shared" si="215"/>
        <v>0</v>
      </c>
      <c r="Q474" s="20">
        <f t="shared" si="215"/>
        <v>0</v>
      </c>
      <c r="R474" s="20">
        <f t="shared" si="215"/>
        <v>0</v>
      </c>
      <c r="S474" s="20">
        <f t="shared" si="215"/>
        <v>0</v>
      </c>
      <c r="T474" s="20">
        <f t="shared" si="215"/>
        <v>0</v>
      </c>
      <c r="U474" s="20">
        <f t="shared" si="215"/>
        <v>0</v>
      </c>
      <c r="V474" s="20">
        <f t="shared" si="215"/>
        <v>0</v>
      </c>
      <c r="W474" s="20">
        <f t="shared" si="215"/>
        <v>0</v>
      </c>
      <c r="X474" s="20">
        <f t="shared" si="215"/>
        <v>0</v>
      </c>
      <c r="Y474" s="20">
        <f t="shared" si="215"/>
        <v>0</v>
      </c>
      <c r="Z474" s="20">
        <f t="shared" si="215"/>
        <v>0</v>
      </c>
      <c r="AA474" s="20">
        <f t="shared" si="215"/>
        <v>0</v>
      </c>
      <c r="AB474" s="20">
        <f t="shared" si="215"/>
        <v>0</v>
      </c>
      <c r="AC474" s="20">
        <f t="shared" si="215"/>
        <v>0</v>
      </c>
      <c r="AD474" s="20">
        <f t="shared" si="215"/>
        <v>0</v>
      </c>
      <c r="AE474" s="20">
        <f t="shared" si="215"/>
        <v>0</v>
      </c>
      <c r="AF474" s="20">
        <f t="shared" si="215"/>
        <v>0</v>
      </c>
      <c r="AG474" s="20">
        <f t="shared" si="215"/>
        <v>0</v>
      </c>
      <c r="AH474" s="20">
        <f t="shared" si="212"/>
        <v>66762723.069734022</v>
      </c>
      <c r="AI474" s="15" t="str">
        <f t="shared" si="213"/>
        <v>ok</v>
      </c>
    </row>
    <row r="475" spans="1:35" x14ac:dyDescent="0.3">
      <c r="A475" s="21" t="s">
        <v>540</v>
      </c>
      <c r="E475" s="31"/>
      <c r="F475" s="20">
        <f t="shared" si="214"/>
        <v>72887735.568122163</v>
      </c>
      <c r="G475" s="20">
        <f t="shared" si="214"/>
        <v>48686597.106858455</v>
      </c>
      <c r="H475" s="20">
        <f t="shared" si="214"/>
        <v>6379408.7242034907</v>
      </c>
      <c r="I475" s="20">
        <f t="shared" si="214"/>
        <v>2569866.0312050241</v>
      </c>
      <c r="J475" s="20">
        <f t="shared" si="214"/>
        <v>3821586.6955570038</v>
      </c>
      <c r="K475" s="20">
        <f t="shared" si="214"/>
        <v>10373888.196111826</v>
      </c>
      <c r="L475" s="20">
        <f t="shared" si="214"/>
        <v>1056388.8141863642</v>
      </c>
      <c r="M475" s="20">
        <f t="shared" si="214"/>
        <v>0</v>
      </c>
      <c r="N475" s="20">
        <f t="shared" ref="N475:AG475" si="216">N56</f>
        <v>0</v>
      </c>
      <c r="O475" s="20">
        <f t="shared" si="216"/>
        <v>0</v>
      </c>
      <c r="P475" s="20">
        <f t="shared" si="216"/>
        <v>0</v>
      </c>
      <c r="Q475" s="20">
        <f t="shared" si="216"/>
        <v>0</v>
      </c>
      <c r="R475" s="20">
        <f t="shared" si="216"/>
        <v>0</v>
      </c>
      <c r="S475" s="20">
        <f t="shared" si="216"/>
        <v>0</v>
      </c>
      <c r="T475" s="20">
        <f t="shared" si="216"/>
        <v>0</v>
      </c>
      <c r="U475" s="20">
        <f t="shared" si="216"/>
        <v>0</v>
      </c>
      <c r="V475" s="20">
        <f t="shared" si="216"/>
        <v>0</v>
      </c>
      <c r="W475" s="20">
        <f t="shared" si="216"/>
        <v>0</v>
      </c>
      <c r="X475" s="20">
        <f t="shared" si="216"/>
        <v>0</v>
      </c>
      <c r="Y475" s="20">
        <f t="shared" si="216"/>
        <v>0</v>
      </c>
      <c r="Z475" s="20">
        <f t="shared" si="216"/>
        <v>0</v>
      </c>
      <c r="AA475" s="20">
        <f t="shared" si="216"/>
        <v>0</v>
      </c>
      <c r="AB475" s="20">
        <f t="shared" si="216"/>
        <v>0</v>
      </c>
      <c r="AC475" s="20">
        <f t="shared" si="216"/>
        <v>0</v>
      </c>
      <c r="AD475" s="20">
        <f t="shared" si="216"/>
        <v>0</v>
      </c>
      <c r="AE475" s="20">
        <f t="shared" si="216"/>
        <v>0</v>
      </c>
      <c r="AF475" s="20">
        <f t="shared" si="216"/>
        <v>0</v>
      </c>
      <c r="AG475" s="20">
        <f t="shared" si="216"/>
        <v>0</v>
      </c>
      <c r="AH475" s="20">
        <f t="shared" si="210"/>
        <v>72887735.568122163</v>
      </c>
      <c r="AI475" s="15" t="str">
        <f t="shared" ref="AI475:AI480" si="217">IF(ABS(F475-AH475)&lt;0.01,"ok","err")</f>
        <v>ok</v>
      </c>
    </row>
    <row r="476" spans="1:35" x14ac:dyDescent="0.3">
      <c r="A476" s="21" t="s">
        <v>543</v>
      </c>
      <c r="E476" s="31"/>
      <c r="F476" s="20">
        <f t="shared" si="214"/>
        <v>16641252.895726735</v>
      </c>
      <c r="G476" s="20">
        <f t="shared" si="214"/>
        <v>0</v>
      </c>
      <c r="H476" s="20">
        <f t="shared" si="214"/>
        <v>0</v>
      </c>
      <c r="I476" s="20">
        <f t="shared" si="214"/>
        <v>0</v>
      </c>
      <c r="J476" s="20">
        <f t="shared" si="214"/>
        <v>0</v>
      </c>
      <c r="K476" s="20">
        <f t="shared" si="214"/>
        <v>0</v>
      </c>
      <c r="L476" s="20">
        <f t="shared" si="214"/>
        <v>0</v>
      </c>
      <c r="M476" s="20">
        <f t="shared" si="214"/>
        <v>16641252.895726735</v>
      </c>
      <c r="N476" s="20">
        <f t="shared" ref="N476:AG476" si="218">N57</f>
        <v>0</v>
      </c>
      <c r="O476" s="20">
        <f t="shared" si="218"/>
        <v>0</v>
      </c>
      <c r="P476" s="20">
        <f t="shared" si="218"/>
        <v>0</v>
      </c>
      <c r="Q476" s="20">
        <f t="shared" si="218"/>
        <v>0</v>
      </c>
      <c r="R476" s="20">
        <f t="shared" si="218"/>
        <v>0</v>
      </c>
      <c r="S476" s="20">
        <f t="shared" si="218"/>
        <v>0</v>
      </c>
      <c r="T476" s="20">
        <f t="shared" si="218"/>
        <v>0</v>
      </c>
      <c r="U476" s="20">
        <f t="shared" si="218"/>
        <v>0</v>
      </c>
      <c r="V476" s="20">
        <f t="shared" si="218"/>
        <v>0</v>
      </c>
      <c r="W476" s="20">
        <f t="shared" si="218"/>
        <v>0</v>
      </c>
      <c r="X476" s="20">
        <f t="shared" si="218"/>
        <v>0</v>
      </c>
      <c r="Y476" s="20">
        <f t="shared" si="218"/>
        <v>0</v>
      </c>
      <c r="Z476" s="20">
        <f t="shared" si="218"/>
        <v>0</v>
      </c>
      <c r="AA476" s="20">
        <f t="shared" si="218"/>
        <v>0</v>
      </c>
      <c r="AB476" s="20">
        <f t="shared" si="218"/>
        <v>0</v>
      </c>
      <c r="AC476" s="20">
        <f t="shared" si="218"/>
        <v>0</v>
      </c>
      <c r="AD476" s="20">
        <f t="shared" si="218"/>
        <v>0</v>
      </c>
      <c r="AE476" s="20">
        <f t="shared" si="218"/>
        <v>0</v>
      </c>
      <c r="AF476" s="20">
        <f t="shared" si="218"/>
        <v>0</v>
      </c>
      <c r="AG476" s="20">
        <f t="shared" si="218"/>
        <v>0</v>
      </c>
      <c r="AH476" s="20">
        <f t="shared" si="210"/>
        <v>16641252.895726735</v>
      </c>
      <c r="AI476" s="15" t="str">
        <f t="shared" si="217"/>
        <v>ok</v>
      </c>
    </row>
    <row r="477" spans="1:35" x14ac:dyDescent="0.3">
      <c r="A477" s="2" t="s">
        <v>812</v>
      </c>
      <c r="E477" s="31"/>
      <c r="F477" s="20">
        <f t="shared" ref="F477:M477" si="219">F63+F357</f>
        <v>619284169.24631786</v>
      </c>
      <c r="G477" s="20">
        <f t="shared" si="219"/>
        <v>488715672.42862642</v>
      </c>
      <c r="H477" s="20">
        <f t="shared" si="219"/>
        <v>36583042.102658503</v>
      </c>
      <c r="I477" s="20">
        <f t="shared" si="219"/>
        <v>12404055.709659332</v>
      </c>
      <c r="J477" s="20">
        <f t="shared" si="219"/>
        <v>19981201.267386381</v>
      </c>
      <c r="K477" s="20">
        <f t="shared" si="219"/>
        <v>53706847.518768534</v>
      </c>
      <c r="L477" s="20">
        <f t="shared" si="219"/>
        <v>7893350.2192188287</v>
      </c>
      <c r="M477" s="20">
        <f t="shared" si="219"/>
        <v>0</v>
      </c>
      <c r="N477" s="20">
        <f t="shared" ref="N477:AG477" si="220">N63</f>
        <v>0</v>
      </c>
      <c r="O477" s="20">
        <f t="shared" si="220"/>
        <v>0</v>
      </c>
      <c r="P477" s="20">
        <f t="shared" si="220"/>
        <v>0</v>
      </c>
      <c r="Q477" s="20">
        <f t="shared" si="220"/>
        <v>0</v>
      </c>
      <c r="R477" s="20">
        <f t="shared" si="220"/>
        <v>0</v>
      </c>
      <c r="S477" s="20">
        <f t="shared" si="220"/>
        <v>0</v>
      </c>
      <c r="T477" s="20">
        <f t="shared" si="220"/>
        <v>0</v>
      </c>
      <c r="U477" s="20">
        <f t="shared" si="220"/>
        <v>0</v>
      </c>
      <c r="V477" s="20">
        <f t="shared" si="220"/>
        <v>0</v>
      </c>
      <c r="W477" s="20">
        <f t="shared" si="220"/>
        <v>0</v>
      </c>
      <c r="X477" s="20">
        <f t="shared" si="220"/>
        <v>0</v>
      </c>
      <c r="Y477" s="20">
        <f t="shared" si="220"/>
        <v>0</v>
      </c>
      <c r="Z477" s="20">
        <f t="shared" si="220"/>
        <v>0</v>
      </c>
      <c r="AA477" s="20">
        <f t="shared" si="220"/>
        <v>0</v>
      </c>
      <c r="AB477" s="20">
        <f t="shared" si="220"/>
        <v>0</v>
      </c>
      <c r="AC477" s="20">
        <f t="shared" si="220"/>
        <v>0</v>
      </c>
      <c r="AD477" s="20">
        <f t="shared" si="220"/>
        <v>0</v>
      </c>
      <c r="AE477" s="20">
        <f t="shared" si="220"/>
        <v>0</v>
      </c>
      <c r="AF477" s="20">
        <f t="shared" si="220"/>
        <v>0</v>
      </c>
      <c r="AG477" s="20">
        <f t="shared" si="220"/>
        <v>0</v>
      </c>
      <c r="AH477" s="20">
        <f t="shared" si="210"/>
        <v>619284169.2463181</v>
      </c>
      <c r="AI477" s="15" t="str">
        <f>IF(ABS(F477-AH477)&lt;0.01,"ok","err")</f>
        <v>ok</v>
      </c>
    </row>
    <row r="478" spans="1:35" x14ac:dyDescent="0.3">
      <c r="A478" s="2" t="s">
        <v>813</v>
      </c>
      <c r="E478" s="31"/>
      <c r="F478" s="20">
        <f t="shared" ref="F478:AG478" si="221">F66</f>
        <v>254056390.18752602</v>
      </c>
      <c r="G478" s="20">
        <f t="shared" si="221"/>
        <v>253010184.8163588</v>
      </c>
      <c r="H478" s="20">
        <f t="shared" si="221"/>
        <v>0</v>
      </c>
      <c r="I478" s="20">
        <f t="shared" si="221"/>
        <v>0</v>
      </c>
      <c r="J478" s="20">
        <f t="shared" si="221"/>
        <v>1046205.3711672032</v>
      </c>
      <c r="K478" s="20">
        <f t="shared" si="221"/>
        <v>0</v>
      </c>
      <c r="L478" s="20">
        <f t="shared" si="221"/>
        <v>0</v>
      </c>
      <c r="M478" s="20">
        <f t="shared" si="221"/>
        <v>0</v>
      </c>
      <c r="N478" s="20">
        <f t="shared" si="221"/>
        <v>0</v>
      </c>
      <c r="O478" s="20">
        <f t="shared" si="221"/>
        <v>0</v>
      </c>
      <c r="P478" s="20">
        <f t="shared" si="221"/>
        <v>0</v>
      </c>
      <c r="Q478" s="20">
        <f t="shared" si="221"/>
        <v>0</v>
      </c>
      <c r="R478" s="20">
        <f t="shared" si="221"/>
        <v>0</v>
      </c>
      <c r="S478" s="20">
        <f t="shared" si="221"/>
        <v>0</v>
      </c>
      <c r="T478" s="20">
        <f t="shared" si="221"/>
        <v>0</v>
      </c>
      <c r="U478" s="20">
        <f t="shared" si="221"/>
        <v>0</v>
      </c>
      <c r="V478" s="20">
        <f t="shared" si="221"/>
        <v>0</v>
      </c>
      <c r="W478" s="20">
        <f t="shared" si="221"/>
        <v>0</v>
      </c>
      <c r="X478" s="20">
        <f t="shared" si="221"/>
        <v>0</v>
      </c>
      <c r="Y478" s="20">
        <f t="shared" si="221"/>
        <v>0</v>
      </c>
      <c r="Z478" s="20">
        <f t="shared" si="221"/>
        <v>0</v>
      </c>
      <c r="AA478" s="20">
        <f t="shared" si="221"/>
        <v>0</v>
      </c>
      <c r="AB478" s="20">
        <f t="shared" si="221"/>
        <v>0</v>
      </c>
      <c r="AC478" s="20">
        <f t="shared" si="221"/>
        <v>0</v>
      </c>
      <c r="AD478" s="20">
        <f t="shared" si="221"/>
        <v>0</v>
      </c>
      <c r="AE478" s="20">
        <f t="shared" si="221"/>
        <v>0</v>
      </c>
      <c r="AF478" s="20">
        <f t="shared" si="221"/>
        <v>0</v>
      </c>
      <c r="AG478" s="20">
        <f t="shared" si="221"/>
        <v>0</v>
      </c>
      <c r="AH478" s="20">
        <f t="shared" si="210"/>
        <v>254056390.18752602</v>
      </c>
      <c r="AI478" s="15" t="str">
        <f t="shared" si="217"/>
        <v>ok</v>
      </c>
    </row>
    <row r="479" spans="1:35" x14ac:dyDescent="0.3">
      <c r="A479" s="2" t="s">
        <v>814</v>
      </c>
      <c r="E479" s="31"/>
      <c r="F479" s="20">
        <f t="shared" ref="F479:AG479" si="222">F69</f>
        <v>3407940.1580944289</v>
      </c>
      <c r="G479" s="20">
        <f t="shared" si="222"/>
        <v>3398607.597186822</v>
      </c>
      <c r="H479" s="20">
        <f t="shared" si="222"/>
        <v>0</v>
      </c>
      <c r="I479" s="20">
        <f t="shared" si="222"/>
        <v>0</v>
      </c>
      <c r="J479" s="20">
        <f t="shared" si="222"/>
        <v>9332.560907606834</v>
      </c>
      <c r="K479" s="20">
        <f t="shared" si="222"/>
        <v>0</v>
      </c>
      <c r="L479" s="20">
        <f t="shared" si="222"/>
        <v>0</v>
      </c>
      <c r="M479" s="20">
        <f t="shared" si="222"/>
        <v>0</v>
      </c>
      <c r="N479" s="20">
        <f t="shared" si="222"/>
        <v>0</v>
      </c>
      <c r="O479" s="20">
        <f t="shared" si="222"/>
        <v>0</v>
      </c>
      <c r="P479" s="20">
        <f t="shared" si="222"/>
        <v>0</v>
      </c>
      <c r="Q479" s="20">
        <f t="shared" si="222"/>
        <v>0</v>
      </c>
      <c r="R479" s="20">
        <f t="shared" si="222"/>
        <v>0</v>
      </c>
      <c r="S479" s="20">
        <f t="shared" si="222"/>
        <v>0</v>
      </c>
      <c r="T479" s="20">
        <f t="shared" si="222"/>
        <v>0</v>
      </c>
      <c r="U479" s="20">
        <f t="shared" si="222"/>
        <v>0</v>
      </c>
      <c r="V479" s="20">
        <f t="shared" si="222"/>
        <v>0</v>
      </c>
      <c r="W479" s="20">
        <f t="shared" si="222"/>
        <v>0</v>
      </c>
      <c r="X479" s="20">
        <f t="shared" si="222"/>
        <v>0</v>
      </c>
      <c r="Y479" s="20">
        <f t="shared" si="222"/>
        <v>0</v>
      </c>
      <c r="Z479" s="20">
        <f t="shared" si="222"/>
        <v>0</v>
      </c>
      <c r="AA479" s="20">
        <f t="shared" si="222"/>
        <v>0</v>
      </c>
      <c r="AB479" s="20">
        <f t="shared" si="222"/>
        <v>0</v>
      </c>
      <c r="AC479" s="20">
        <f t="shared" si="222"/>
        <v>0</v>
      </c>
      <c r="AD479" s="20">
        <f t="shared" si="222"/>
        <v>0</v>
      </c>
      <c r="AE479" s="20">
        <f t="shared" si="222"/>
        <v>0</v>
      </c>
      <c r="AF479" s="20">
        <f t="shared" si="222"/>
        <v>0</v>
      </c>
      <c r="AG479" s="20">
        <f t="shared" si="222"/>
        <v>0</v>
      </c>
      <c r="AH479" s="20">
        <f t="shared" si="210"/>
        <v>3407940.1580944289</v>
      </c>
      <c r="AI479" s="15" t="str">
        <f t="shared" si="217"/>
        <v>ok</v>
      </c>
    </row>
    <row r="480" spans="1:35" x14ac:dyDescent="0.3">
      <c r="A480" s="2" t="s">
        <v>1</v>
      </c>
      <c r="F480" s="20">
        <f t="shared" ref="F480:AH480" si="223">SUM(F472:F479)</f>
        <v>2502670467.1829715</v>
      </c>
      <c r="G480" s="20">
        <f t="shared" si="223"/>
        <v>1974018003.4939213</v>
      </c>
      <c r="H480" s="20">
        <f t="shared" si="223"/>
        <v>142854789.94376972</v>
      </c>
      <c r="I480" s="20">
        <f t="shared" si="223"/>
        <v>51216614.426323235</v>
      </c>
      <c r="J480" s="20">
        <f t="shared" si="223"/>
        <v>83124682.913550422</v>
      </c>
      <c r="K480" s="20">
        <f t="shared" si="223"/>
        <v>224364857.36356789</v>
      </c>
      <c r="L480" s="20">
        <f t="shared" si="223"/>
        <v>10450266.14611141</v>
      </c>
      <c r="M480" s="20">
        <f t="shared" si="223"/>
        <v>16641252.895726735</v>
      </c>
      <c r="N480" s="20">
        <f t="shared" si="223"/>
        <v>0</v>
      </c>
      <c r="O480" s="20">
        <f t="shared" si="223"/>
        <v>0</v>
      </c>
      <c r="P480" s="20">
        <f t="shared" si="223"/>
        <v>0</v>
      </c>
      <c r="Q480" s="20">
        <f t="shared" si="223"/>
        <v>0</v>
      </c>
      <c r="R480" s="20">
        <f t="shared" si="223"/>
        <v>0</v>
      </c>
      <c r="S480" s="20">
        <f t="shared" si="223"/>
        <v>0</v>
      </c>
      <c r="T480" s="20">
        <f t="shared" si="223"/>
        <v>0</v>
      </c>
      <c r="U480" s="20">
        <f t="shared" si="223"/>
        <v>0</v>
      </c>
      <c r="V480" s="20">
        <f t="shared" si="223"/>
        <v>0</v>
      </c>
      <c r="W480" s="20">
        <f t="shared" si="223"/>
        <v>0</v>
      </c>
      <c r="X480" s="20">
        <f t="shared" si="223"/>
        <v>0</v>
      </c>
      <c r="Y480" s="20">
        <f t="shared" si="223"/>
        <v>0</v>
      </c>
      <c r="Z480" s="20">
        <f t="shared" si="223"/>
        <v>0</v>
      </c>
      <c r="AA480" s="20">
        <f t="shared" si="223"/>
        <v>0</v>
      </c>
      <c r="AB480" s="20">
        <f t="shared" si="223"/>
        <v>0</v>
      </c>
      <c r="AC480" s="20">
        <f t="shared" si="223"/>
        <v>0</v>
      </c>
      <c r="AD480" s="20">
        <f t="shared" si="223"/>
        <v>0</v>
      </c>
      <c r="AE480" s="20">
        <f t="shared" si="223"/>
        <v>0</v>
      </c>
      <c r="AF480" s="20">
        <f t="shared" si="223"/>
        <v>0</v>
      </c>
      <c r="AG480" s="20">
        <f t="shared" si="223"/>
        <v>0</v>
      </c>
      <c r="AH480" s="20">
        <f t="shared" si="223"/>
        <v>2502670467.182971</v>
      </c>
      <c r="AI480" s="15" t="str">
        <f t="shared" si="217"/>
        <v>ok</v>
      </c>
    </row>
    <row r="481" spans="1:34" x14ac:dyDescent="0.3">
      <c r="A481" s="3"/>
    </row>
    <row r="482" spans="1:34" x14ac:dyDescent="0.3">
      <c r="A482" s="3" t="s">
        <v>2</v>
      </c>
    </row>
    <row r="483" spans="1:34" x14ac:dyDescent="0.3">
      <c r="A483" s="2" t="s">
        <v>815</v>
      </c>
      <c r="F483" s="39"/>
      <c r="G483" s="40">
        <f>(G461+G462)/G424</f>
        <v>9.49882190162554</v>
      </c>
      <c r="H483" s="40">
        <f t="shared" ref="H483:L483" si="224">(H461+H462)/H424</f>
        <v>10.623454547466174</v>
      </c>
      <c r="I483" s="40">
        <f t="shared" si="224"/>
        <v>11.273522371909658</v>
      </c>
      <c r="J483" s="40">
        <f t="shared" si="224"/>
        <v>11.315067112697644</v>
      </c>
      <c r="K483" s="40">
        <f t="shared" si="224"/>
        <v>11.910914520294559</v>
      </c>
      <c r="L483" s="40">
        <f t="shared" si="224"/>
        <v>0</v>
      </c>
      <c r="M483" s="40">
        <v>0</v>
      </c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</row>
    <row r="484" spans="1:34" ht="17" x14ac:dyDescent="0.6">
      <c r="A484" s="2" t="s">
        <v>816</v>
      </c>
      <c r="F484" s="39"/>
      <c r="G484" s="78">
        <f>(1.5*(G215+G216-G347)/G424)</f>
        <v>3.2232579019724774</v>
      </c>
      <c r="H484" s="78">
        <f>(1.5*(H215-H347*0.4477)/H424)</f>
        <v>0.83675361320473918</v>
      </c>
      <c r="I484" s="78">
        <f>(1.5*(I215-I347*0.4477)/I424)</f>
        <v>0.42133377032239472</v>
      </c>
      <c r="J484" s="78">
        <f>(1.5*(J215-J347*0.4477)/J424)</f>
        <v>0.7576244302605174</v>
      </c>
      <c r="K484" s="78">
        <f>(1.5*(K215-K347*0.4477)/K424)</f>
        <v>1.7419190620093312</v>
      </c>
      <c r="L484" s="78">
        <f>(1.5*(L215-L347*0.4477)/L424)</f>
        <v>0</v>
      </c>
      <c r="M484" s="78">
        <v>0</v>
      </c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</row>
    <row r="485" spans="1:34" x14ac:dyDescent="0.3">
      <c r="B485" s="2" t="s">
        <v>817</v>
      </c>
      <c r="F485" s="39"/>
      <c r="G485" s="40">
        <f>SUM(G483:G484)</f>
        <v>12.722079803598017</v>
      </c>
      <c r="H485" s="40">
        <f t="shared" ref="H485:J485" si="225">SUM(H483:H484)</f>
        <v>11.460208160670913</v>
      </c>
      <c r="I485" s="40">
        <f t="shared" si="225"/>
        <v>11.694856142232053</v>
      </c>
      <c r="J485" s="40">
        <f t="shared" si="225"/>
        <v>12.072691542958161</v>
      </c>
      <c r="K485" s="40">
        <f>SUM(K483:K484)</f>
        <v>13.652833582303892</v>
      </c>
      <c r="L485" s="40">
        <f t="shared" ref="L485:M485" si="226">SUM(L483:L484)</f>
        <v>0</v>
      </c>
      <c r="M485" s="40">
        <f t="shared" si="226"/>
        <v>0</v>
      </c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</row>
    <row r="486" spans="1:34" x14ac:dyDescent="0.3">
      <c r="A486" s="3"/>
    </row>
    <row r="487" spans="1:34" x14ac:dyDescent="0.3">
      <c r="A487" s="3" t="s">
        <v>818</v>
      </c>
    </row>
    <row r="488" spans="1:34" x14ac:dyDescent="0.3">
      <c r="A488" s="2" t="s">
        <v>819</v>
      </c>
      <c r="F488" s="39"/>
      <c r="G488" s="39">
        <f>G463/G402</f>
        <v>4.6166050132364446E-2</v>
      </c>
      <c r="H488" s="39">
        <f t="shared" ref="H488:L488" si="227">H463/H402</f>
        <v>4.6166050132364453E-2</v>
      </c>
      <c r="I488" s="39">
        <f t="shared" si="227"/>
        <v>4.6166050132364446E-2</v>
      </c>
      <c r="J488" s="39">
        <f t="shared" si="227"/>
        <v>4.6166050132364446E-2</v>
      </c>
      <c r="K488" s="39">
        <f t="shared" si="227"/>
        <v>4.6166050132364446E-2</v>
      </c>
      <c r="L488" s="39">
        <f t="shared" si="227"/>
        <v>5.1912343665386808E-2</v>
      </c>
      <c r="M488" s="39">
        <v>0</v>
      </c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</row>
    <row r="489" spans="1:34" ht="17" x14ac:dyDescent="0.6">
      <c r="A489" s="2" t="s">
        <v>820</v>
      </c>
      <c r="G489" s="41">
        <f t="shared" ref="G489:L489" si="228">(1.5*G217)/G402</f>
        <v>0</v>
      </c>
      <c r="H489" s="41">
        <f t="shared" si="228"/>
        <v>0</v>
      </c>
      <c r="I489" s="41">
        <f t="shared" si="228"/>
        <v>0</v>
      </c>
      <c r="J489" s="41">
        <f t="shared" si="228"/>
        <v>0</v>
      </c>
      <c r="K489" s="41">
        <f t="shared" si="228"/>
        <v>0</v>
      </c>
      <c r="L489" s="41">
        <f t="shared" si="228"/>
        <v>0</v>
      </c>
      <c r="M489" s="41">
        <v>0</v>
      </c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  <c r="AC489" s="76"/>
      <c r="AD489" s="76"/>
      <c r="AE489" s="76"/>
      <c r="AF489" s="76"/>
      <c r="AG489" s="76"/>
      <c r="AH489" s="41"/>
    </row>
    <row r="490" spans="1:34" x14ac:dyDescent="0.3">
      <c r="B490" s="2" t="s">
        <v>821</v>
      </c>
      <c r="G490" s="39">
        <f t="shared" ref="G490:M490" si="229">SUM(G488:G489)</f>
        <v>4.6166050132364446E-2</v>
      </c>
      <c r="H490" s="39">
        <f t="shared" si="229"/>
        <v>4.6166050132364453E-2</v>
      </c>
      <c r="I490" s="39">
        <f t="shared" si="229"/>
        <v>4.6166050132364446E-2</v>
      </c>
      <c r="J490" s="39">
        <f t="shared" si="229"/>
        <v>4.6166050132364446E-2</v>
      </c>
      <c r="K490" s="39">
        <f t="shared" si="229"/>
        <v>4.6166050132364446E-2</v>
      </c>
      <c r="L490" s="39">
        <f t="shared" si="229"/>
        <v>5.1912343665386808E-2</v>
      </c>
      <c r="M490" s="39">
        <f t="shared" si="229"/>
        <v>0</v>
      </c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</row>
    <row r="492" spans="1:34" x14ac:dyDescent="0.3">
      <c r="A492" s="3" t="s">
        <v>822</v>
      </c>
    </row>
    <row r="493" spans="1:34" x14ac:dyDescent="0.3">
      <c r="A493" s="2" t="s">
        <v>823</v>
      </c>
      <c r="F493" s="39"/>
      <c r="G493" s="39">
        <f>G464/G403</f>
        <v>4.6027419883539797E-2</v>
      </c>
      <c r="H493" s="39">
        <f t="shared" ref="H493:L493" si="230">H464/H403</f>
        <v>4.6027419883539797E-2</v>
      </c>
      <c r="I493" s="39">
        <f t="shared" si="230"/>
        <v>4.6027419883539811E-2</v>
      </c>
      <c r="J493" s="39">
        <f t="shared" si="230"/>
        <v>4.6027419883539804E-2</v>
      </c>
      <c r="K493" s="39">
        <f t="shared" si="230"/>
        <v>4.6027419883539804E-2</v>
      </c>
      <c r="L493" s="39">
        <f t="shared" si="230"/>
        <v>2.9771027369876815E-2</v>
      </c>
      <c r="M493" s="39">
        <v>0</v>
      </c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</row>
    <row r="494" spans="1:34" ht="17" x14ac:dyDescent="0.6">
      <c r="A494" s="2" t="s">
        <v>824</v>
      </c>
      <c r="G494" s="41">
        <f t="shared" ref="G494:L494" si="231">(1.5*G218)/G403</f>
        <v>0</v>
      </c>
      <c r="H494" s="41">
        <f t="shared" si="231"/>
        <v>0</v>
      </c>
      <c r="I494" s="41">
        <f t="shared" si="231"/>
        <v>0</v>
      </c>
      <c r="J494" s="41">
        <f t="shared" si="231"/>
        <v>0</v>
      </c>
      <c r="K494" s="41">
        <f t="shared" si="231"/>
        <v>0</v>
      </c>
      <c r="L494" s="41">
        <f t="shared" si="231"/>
        <v>0</v>
      </c>
      <c r="M494" s="41">
        <v>0</v>
      </c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  <c r="AC494" s="76"/>
      <c r="AD494" s="76"/>
      <c r="AE494" s="76"/>
      <c r="AF494" s="76"/>
      <c r="AG494" s="76"/>
      <c r="AH494" s="41"/>
    </row>
    <row r="495" spans="1:34" x14ac:dyDescent="0.3">
      <c r="B495" s="2" t="s">
        <v>825</v>
      </c>
      <c r="G495" s="39">
        <f t="shared" ref="G495:M495" si="232">SUM(G493:G494)</f>
        <v>4.6027419883539797E-2</v>
      </c>
      <c r="H495" s="39">
        <f t="shared" si="232"/>
        <v>4.6027419883539797E-2</v>
      </c>
      <c r="I495" s="39">
        <f t="shared" si="232"/>
        <v>4.6027419883539811E-2</v>
      </c>
      <c r="J495" s="39">
        <f t="shared" si="232"/>
        <v>4.6027419883539804E-2</v>
      </c>
      <c r="K495" s="39">
        <f t="shared" si="232"/>
        <v>4.6027419883539804E-2</v>
      </c>
      <c r="L495" s="39">
        <f t="shared" si="232"/>
        <v>2.9771027369876815E-2</v>
      </c>
      <c r="M495" s="39">
        <f t="shared" si="232"/>
        <v>0</v>
      </c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</row>
    <row r="496" spans="1:34" x14ac:dyDescent="0.3"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</row>
    <row r="497" spans="1:35" x14ac:dyDescent="0.3">
      <c r="A497" s="3" t="s">
        <v>826</v>
      </c>
    </row>
    <row r="498" spans="1:35" x14ac:dyDescent="0.3">
      <c r="A498" s="2" t="s">
        <v>826</v>
      </c>
      <c r="G498" s="24">
        <f>G466/G424</f>
        <v>3.8772837247748901</v>
      </c>
      <c r="H498" s="24">
        <f t="shared" ref="H498:L498" si="233">H466/H424</f>
        <v>3.8772837247748906</v>
      </c>
      <c r="I498" s="24">
        <f t="shared" si="233"/>
        <v>3.877283724774891</v>
      </c>
      <c r="J498" s="24">
        <f t="shared" si="233"/>
        <v>3.877283724774891</v>
      </c>
      <c r="K498" s="24">
        <f t="shared" si="233"/>
        <v>3.8772837247748906</v>
      </c>
      <c r="L498" s="24">
        <f t="shared" si="233"/>
        <v>3.8772837247748906</v>
      </c>
      <c r="M498" s="24">
        <v>0</v>
      </c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</row>
    <row r="499" spans="1:35" ht="17" x14ac:dyDescent="0.6">
      <c r="A499" s="2" t="s">
        <v>827</v>
      </c>
      <c r="G499" s="42">
        <f t="shared" ref="G499:L499" si="234">(1.5*G223)/G424</f>
        <v>0.987891625165081</v>
      </c>
      <c r="H499" s="42">
        <f t="shared" si="234"/>
        <v>0.98789162516508067</v>
      </c>
      <c r="I499" s="42">
        <f t="shared" si="234"/>
        <v>0.98789162516508078</v>
      </c>
      <c r="J499" s="42">
        <f t="shared" si="234"/>
        <v>0.987891625165081</v>
      </c>
      <c r="K499" s="42">
        <f t="shared" si="234"/>
        <v>0.98789162516508089</v>
      </c>
      <c r="L499" s="42">
        <f t="shared" si="234"/>
        <v>0.98789162516508078</v>
      </c>
      <c r="M499" s="42">
        <v>0</v>
      </c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41"/>
    </row>
    <row r="500" spans="1:35" x14ac:dyDescent="0.3">
      <c r="B500" s="2" t="s">
        <v>828</v>
      </c>
      <c r="G500" s="65">
        <f t="shared" ref="G500:M500" si="235">SUM(G498:G499)</f>
        <v>4.865175349939971</v>
      </c>
      <c r="H500" s="65">
        <f t="shared" si="235"/>
        <v>4.865175349939971</v>
      </c>
      <c r="I500" s="65">
        <f t="shared" si="235"/>
        <v>4.8651753499399719</v>
      </c>
      <c r="J500" s="65">
        <f t="shared" si="235"/>
        <v>4.8651753499399719</v>
      </c>
      <c r="K500" s="65">
        <f t="shared" si="235"/>
        <v>4.865175349939971</v>
      </c>
      <c r="L500" s="65">
        <f t="shared" si="235"/>
        <v>4.865175349939971</v>
      </c>
      <c r="M500" s="65">
        <f t="shared" si="235"/>
        <v>0</v>
      </c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</row>
    <row r="501" spans="1:35" x14ac:dyDescent="0.3"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</row>
    <row r="502" spans="1:35" x14ac:dyDescent="0.3">
      <c r="A502" s="3" t="s">
        <v>550</v>
      </c>
    </row>
    <row r="503" spans="1:35" x14ac:dyDescent="0.3">
      <c r="A503" s="2" t="s">
        <v>829</v>
      </c>
      <c r="F503" s="39"/>
      <c r="G503" s="24">
        <f>G467/G413</f>
        <v>3490.3065684326921</v>
      </c>
      <c r="H503" s="24">
        <v>0</v>
      </c>
      <c r="I503" s="24">
        <v>0</v>
      </c>
      <c r="J503" s="24">
        <f t="shared" ref="J503" si="236">J467/J413</f>
        <v>5255.8469119989632</v>
      </c>
      <c r="K503" s="24">
        <v>0</v>
      </c>
      <c r="L503" s="24">
        <v>0</v>
      </c>
      <c r="M503" s="24">
        <v>0</v>
      </c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</row>
    <row r="504" spans="1:35" ht="17" x14ac:dyDescent="0.6">
      <c r="A504" s="2" t="s">
        <v>830</v>
      </c>
      <c r="G504" s="42">
        <f>(1.5*G226)/G413</f>
        <v>2630.1987335620388</v>
      </c>
      <c r="H504" s="42">
        <v>0</v>
      </c>
      <c r="I504" s="42">
        <v>0</v>
      </c>
      <c r="J504" s="42">
        <f>(1.5*J226)/J413</f>
        <v>3960.6612257969077</v>
      </c>
      <c r="K504" s="42">
        <v>0</v>
      </c>
      <c r="L504" s="42">
        <v>0</v>
      </c>
      <c r="M504" s="42">
        <v>0</v>
      </c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41"/>
    </row>
    <row r="505" spans="1:35" x14ac:dyDescent="0.3">
      <c r="B505" s="2" t="s">
        <v>831</v>
      </c>
      <c r="G505" s="65">
        <f t="shared" ref="G505:M505" si="237">SUM(G503:G504)</f>
        <v>6120.5053019947309</v>
      </c>
      <c r="H505" s="65">
        <f t="shared" si="237"/>
        <v>0</v>
      </c>
      <c r="I505" s="65">
        <f t="shared" si="237"/>
        <v>0</v>
      </c>
      <c r="J505" s="65">
        <f t="shared" si="237"/>
        <v>9216.5081377958704</v>
      </c>
      <c r="K505" s="65">
        <f t="shared" si="237"/>
        <v>0</v>
      </c>
      <c r="L505" s="65">
        <f t="shared" si="237"/>
        <v>0</v>
      </c>
      <c r="M505" s="65">
        <f t="shared" si="237"/>
        <v>0</v>
      </c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</row>
    <row r="507" spans="1:35" x14ac:dyDescent="0.3">
      <c r="A507" s="3" t="s">
        <v>553</v>
      </c>
    </row>
    <row r="508" spans="1:35" x14ac:dyDescent="0.3">
      <c r="A508" s="2" t="s">
        <v>832</v>
      </c>
      <c r="F508" s="39"/>
      <c r="G508" s="24">
        <f>G468/G413</f>
        <v>77.766478108726147</v>
      </c>
      <c r="H508" s="24">
        <v>0</v>
      </c>
      <c r="I508" s="24">
        <v>0</v>
      </c>
      <c r="J508" s="24">
        <f t="shared" ref="J508" si="238">J468/J413</f>
        <v>77.766478108726162</v>
      </c>
      <c r="K508" s="24">
        <v>0</v>
      </c>
      <c r="L508" s="24">
        <v>0</v>
      </c>
      <c r="M508" s="24">
        <v>0</v>
      </c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</row>
    <row r="509" spans="1:35" ht="17" x14ac:dyDescent="0.6">
      <c r="A509" s="2" t="s">
        <v>833</v>
      </c>
      <c r="F509" s="41"/>
      <c r="G509" s="42">
        <f>(1.5*G229)/G413</f>
        <v>35.261055740386468</v>
      </c>
      <c r="H509" s="42">
        <v>0</v>
      </c>
      <c r="I509" s="42">
        <v>0</v>
      </c>
      <c r="J509" s="42">
        <f>(1.5*J229)/J413</f>
        <v>35.261055740386468</v>
      </c>
      <c r="K509" s="42">
        <v>0</v>
      </c>
      <c r="L509" s="42">
        <v>0</v>
      </c>
      <c r="M509" s="42">
        <v>0</v>
      </c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</row>
    <row r="510" spans="1:35" x14ac:dyDescent="0.3">
      <c r="B510" s="2" t="s">
        <v>834</v>
      </c>
      <c r="F510" s="39"/>
      <c r="G510" s="65">
        <f t="shared" ref="G510:M510" si="239">SUM(G508:G509)</f>
        <v>113.02753384911261</v>
      </c>
      <c r="H510" s="65">
        <f t="shared" si="239"/>
        <v>0</v>
      </c>
      <c r="I510" s="65">
        <f t="shared" si="239"/>
        <v>0</v>
      </c>
      <c r="J510" s="65">
        <f t="shared" si="239"/>
        <v>113.02753384911263</v>
      </c>
      <c r="K510" s="65">
        <f t="shared" si="239"/>
        <v>0</v>
      </c>
      <c r="L510" s="65">
        <f t="shared" si="239"/>
        <v>0</v>
      </c>
      <c r="M510" s="65">
        <f t="shared" si="239"/>
        <v>0</v>
      </c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</row>
    <row r="512" spans="1:35" x14ac:dyDescent="0.3">
      <c r="A512" s="3"/>
    </row>
    <row r="513" spans="6:35" x14ac:dyDescent="0.3"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H513" s="19"/>
      <c r="AI513" s="15"/>
    </row>
    <row r="514" spans="6:35" x14ac:dyDescent="0.3">
      <c r="F514" s="19"/>
      <c r="G514" s="18"/>
      <c r="H514" s="18"/>
      <c r="I514" s="18"/>
      <c r="J514" s="18"/>
      <c r="K514" s="18"/>
      <c r="L514" s="18"/>
      <c r="M514" s="18"/>
      <c r="N514" s="18"/>
      <c r="O514" s="19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20"/>
      <c r="AI514" s="15"/>
    </row>
    <row r="515" spans="6:35" x14ac:dyDescent="0.3"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H515" s="20"/>
      <c r="AI515" s="15"/>
    </row>
    <row r="521" spans="6:35" x14ac:dyDescent="0.3">
      <c r="F521" s="39"/>
    </row>
    <row r="524" spans="6:35" x14ac:dyDescent="0.3">
      <c r="F524" s="37"/>
    </row>
  </sheetData>
  <phoneticPr fontId="0" type="noConversion"/>
  <pageMargins left="0.75" right="0.75" top="1" bottom="1" header="0.5" footer="0.5"/>
  <pageSetup scale="61" fitToWidth="3" fitToHeight="8" pageOrder="overThenDown" orientation="landscape" r:id="rId1"/>
  <headerFooter alignWithMargins="0">
    <oddHeader>&amp;C&amp;"Arial,Bold"&amp;11EAST KENTUCKY POWER COOPERATIVE, INC
Cost of Service Study
Rate Schedule Allocation
12 Months Ended 
December 31, 2023</oddHeader>
    <oddFooter>&amp;RExhibit JWW-2
Page &amp;P of &amp;N</oddFooter>
  </headerFooter>
  <rowBreaks count="3" manualBreakCount="3">
    <brk id="277" max="12" man="1"/>
    <brk id="305" max="12" man="1"/>
    <brk id="354" max="1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D46E6-40D0-4FDB-8631-033407FA00D9}">
  <sheetPr>
    <tabColor rgb="FF00B0F0"/>
    <pageSetUpPr fitToPage="1"/>
  </sheetPr>
  <dimension ref="A1:S95"/>
  <sheetViews>
    <sheetView showGridLines="0" tabSelected="1" topLeftCell="A4" zoomScaleNormal="100" workbookViewId="0">
      <pane xSplit="5" ySplit="4" topLeftCell="F26" activePane="bottomRight" state="frozen"/>
      <selection activeCell="A4" sqref="A4"/>
      <selection pane="topRight" activeCell="F4" sqref="F4"/>
      <selection pane="bottomLeft" activeCell="A8" sqref="A8"/>
      <selection pane="bottomRight" activeCell="C27" sqref="C27:H43"/>
    </sheetView>
  </sheetViews>
  <sheetFormatPr defaultColWidth="8.7265625" defaultRowHeight="12.5" x14ac:dyDescent="0.25"/>
  <cols>
    <col min="1" max="1" width="8.7265625" style="118"/>
    <col min="2" max="2" width="3.54296875" style="118" customWidth="1"/>
    <col min="3" max="3" width="10.54296875" style="118" customWidth="1"/>
    <col min="4" max="4" width="8.7265625" style="118"/>
    <col min="5" max="5" width="18" style="118" customWidth="1"/>
    <col min="6" max="6" width="24.08984375" style="118" customWidth="1"/>
    <col min="7" max="7" width="25.90625" style="118" customWidth="1"/>
    <col min="8" max="8" width="15.6328125" style="118" customWidth="1"/>
    <col min="9" max="9" width="14.7265625" style="118" customWidth="1"/>
    <col min="10" max="10" width="15.26953125" style="118" bestFit="1" customWidth="1"/>
    <col min="11" max="11" width="15.453125" style="118" customWidth="1"/>
    <col min="12" max="12" width="12.81640625" style="118" customWidth="1"/>
    <col min="13" max="13" width="12.26953125" style="118" customWidth="1"/>
    <col min="14" max="14" width="10.81640625" style="118" customWidth="1"/>
    <col min="15" max="15" width="13.7265625" style="118" bestFit="1" customWidth="1"/>
    <col min="16" max="17" width="14.81640625" style="118" bestFit="1" customWidth="1"/>
    <col min="18" max="18" width="8.7265625" style="118"/>
    <col min="19" max="19" width="15.08984375" style="118" bestFit="1" customWidth="1"/>
    <col min="20" max="16384" width="8.7265625" style="118"/>
  </cols>
  <sheetData>
    <row r="1" spans="1:16" x14ac:dyDescent="0.25">
      <c r="F1" s="118">
        <v>238</v>
      </c>
      <c r="G1" s="118">
        <v>293</v>
      </c>
      <c r="H1" s="118">
        <v>341</v>
      </c>
      <c r="J1" s="118">
        <v>359</v>
      </c>
      <c r="P1" s="118">
        <v>72</v>
      </c>
    </row>
    <row r="2" spans="1:16" x14ac:dyDescent="0.25">
      <c r="F2" s="118">
        <v>291</v>
      </c>
      <c r="G2" s="118">
        <v>377</v>
      </c>
      <c r="P2" s="118">
        <v>422</v>
      </c>
    </row>
    <row r="5" spans="1:16" ht="13" x14ac:dyDescent="0.3">
      <c r="C5" s="119" t="s">
        <v>835</v>
      </c>
    </row>
    <row r="6" spans="1:16" x14ac:dyDescent="0.25">
      <c r="C6" s="118" t="s">
        <v>836</v>
      </c>
    </row>
    <row r="7" spans="1:16" x14ac:dyDescent="0.25">
      <c r="C7" s="118" t="s">
        <v>837</v>
      </c>
    </row>
    <row r="10" spans="1:16" s="120" customFormat="1" ht="13" x14ac:dyDescent="0.3">
      <c r="G10" s="120" t="s">
        <v>932</v>
      </c>
      <c r="H10" s="120" t="s">
        <v>932</v>
      </c>
      <c r="I10" s="120" t="s">
        <v>932</v>
      </c>
    </row>
    <row r="11" spans="1:16" s="120" customFormat="1" ht="13" x14ac:dyDescent="0.3">
      <c r="F11" s="120" t="s">
        <v>933</v>
      </c>
      <c r="G11" s="120" t="s">
        <v>934</v>
      </c>
      <c r="H11" s="120" t="s">
        <v>934</v>
      </c>
      <c r="I11" s="120" t="s">
        <v>934</v>
      </c>
      <c r="J11" s="120" t="s">
        <v>839</v>
      </c>
      <c r="K11" s="120" t="s">
        <v>882</v>
      </c>
      <c r="L11" s="120" t="s">
        <v>935</v>
      </c>
    </row>
    <row r="12" spans="1:16" s="120" customFormat="1" ht="13.5" thickBot="1" x14ac:dyDescent="0.35">
      <c r="C12" s="121" t="s">
        <v>840</v>
      </c>
      <c r="D12" s="121"/>
      <c r="E12" s="121"/>
      <c r="F12" s="121" t="s">
        <v>936</v>
      </c>
      <c r="G12" s="121" t="s">
        <v>929</v>
      </c>
      <c r="H12" s="121" t="s">
        <v>937</v>
      </c>
      <c r="I12" s="121" t="s">
        <v>938</v>
      </c>
      <c r="J12" s="121" t="s">
        <v>60</v>
      </c>
      <c r="K12" s="121" t="s">
        <v>883</v>
      </c>
      <c r="L12" s="120" t="s">
        <v>939</v>
      </c>
      <c r="M12" s="120" t="s">
        <v>940</v>
      </c>
    </row>
    <row r="14" spans="1:16" ht="13" x14ac:dyDescent="0.3">
      <c r="A14" s="118" t="s">
        <v>941</v>
      </c>
      <c r="C14" s="66" t="s">
        <v>843</v>
      </c>
      <c r="F14" s="49" cm="1">
        <f t="array" aca="1" ref="F14" ca="1">INDIRECT("'Allocation by Rate'!"&amp;$A14&amp;F$1)+INDIRECT("'Allocation by Rate'!"&amp;$A14&amp;F$2)</f>
        <v>802186833.29582334</v>
      </c>
      <c r="G14" s="49" cm="1">
        <f t="array" aca="1" ref="G14" ca="1">INDIRECT("'Allocation by Rate'!"&amp;$A14&amp;G$1)</f>
        <v>371848034.0822798</v>
      </c>
      <c r="H14" s="49" cm="1">
        <f t="array" aca="1" ref="H14" ca="1">INDIRECT("'Allocation by Rate'!"&amp;$A14&amp;H$1)</f>
        <v>333340189.87217152</v>
      </c>
      <c r="I14" s="49">
        <f ca="1">G14-H14</f>
        <v>38507844.21010828</v>
      </c>
      <c r="J14" s="49" cm="1">
        <f t="array" aca="1" ref="J14" ca="1">INDIRECT("'Allocation by Rate'!"&amp;$A14&amp;J$1)</f>
        <v>1974303993.8684771</v>
      </c>
      <c r="K14" s="51">
        <f ca="1">I14/J14</f>
        <v>1.950451618884461E-2</v>
      </c>
      <c r="L14" s="122">
        <f ca="1">K14/$K$23</f>
        <v>1.3409284996304409</v>
      </c>
      <c r="M14" s="49">
        <f ca="1">(K14-$K$23)*J14</f>
        <v>9790545.5467410535</v>
      </c>
    </row>
    <row r="15" spans="1:16" ht="13" x14ac:dyDescent="0.3">
      <c r="A15" s="118" t="s">
        <v>942</v>
      </c>
      <c r="C15" s="66" t="s">
        <v>844</v>
      </c>
      <c r="F15" s="52" cm="1">
        <f t="array" aca="1" ref="F15" ca="1">INDIRECT("'Allocation by Rate'!"&amp;$A15&amp;F$1)+INDIRECT("'Allocation by Rate'!"&amp;$A15&amp;F$2)</f>
        <v>76651718.270461783</v>
      </c>
      <c r="G15" s="52" cm="1">
        <f t="array" aca="1" ref="G15" ca="1">INDIRECT("'Allocation by Rate'!"&amp;$A15&amp;G$1)</f>
        <v>30421728.481393959</v>
      </c>
      <c r="H15" s="52" cm="1">
        <f t="array" aca="1" ref="H15" ca="1">INDIRECT("'Allocation by Rate'!"&amp;$A15&amp;H$1)</f>
        <v>29836734.521752931</v>
      </c>
      <c r="I15" s="52">
        <f t="shared" ref="I15:I18" ca="1" si="0">G15-H15</f>
        <v>584993.9596410282</v>
      </c>
      <c r="J15" s="52" cm="1">
        <f t="array" aca="1" ref="J15" ca="1">INDIRECT("'Allocation by Rate'!"&amp;$A15&amp;J$1)</f>
        <v>142785004.8603681</v>
      </c>
      <c r="K15" s="51">
        <f t="shared" ref="K15:K21" ca="1" si="1">I15/J15</f>
        <v>4.0970265765169376E-3</v>
      </c>
      <c r="L15" s="122">
        <f t="shared" ref="L15:L18" ca="1" si="2">K15/$K$23</f>
        <v>0.28166910919518362</v>
      </c>
      <c r="M15" s="52">
        <f t="shared" ref="M15:M18" ca="1" si="3">(K15-$K$23)*J15</f>
        <v>-1491889.6621112404</v>
      </c>
    </row>
    <row r="16" spans="1:16" ht="13" x14ac:dyDescent="0.3">
      <c r="A16" s="118" t="s">
        <v>943</v>
      </c>
      <c r="C16" s="66" t="s">
        <v>845</v>
      </c>
      <c r="F16" s="52" cm="1">
        <f t="array" aca="1" ref="F16" ca="1">INDIRECT("'Allocation by Rate'!"&amp;$A16&amp;F$1)+INDIRECT("'Allocation by Rate'!"&amp;$A16&amp;F$2)</f>
        <v>30261663.5015711</v>
      </c>
      <c r="G16" s="52" cm="1">
        <f t="array" aca="1" ref="G16" ca="1">INDIRECT("'Allocation by Rate'!"&amp;$A16&amp;G$1)</f>
        <v>11670065.57721477</v>
      </c>
      <c r="H16" s="52" cm="1">
        <f t="array" aca="1" ref="H16" ca="1">INDIRECT("'Allocation by Rate'!"&amp;$A16&amp;H$1)</f>
        <v>11003914.460529715</v>
      </c>
      <c r="I16" s="52">
        <f t="shared" ca="1" si="0"/>
        <v>666151.1166850552</v>
      </c>
      <c r="J16" s="52" cm="1">
        <f t="array" aca="1" ref="J16" ca="1">INDIRECT("'Allocation by Rate'!"&amp;$A16&amp;J$1)</f>
        <v>51174872.369945399</v>
      </c>
      <c r="K16" s="51">
        <f t="shared" ca="1" si="1"/>
        <v>1.3017152478064224E-2</v>
      </c>
      <c r="L16" s="122">
        <f t="shared" ca="1" si="2"/>
        <v>0.89492456889828254</v>
      </c>
      <c r="M16" s="52">
        <f t="shared" ca="1" si="3"/>
        <v>-78214.542540432158</v>
      </c>
    </row>
    <row r="17" spans="1:13" ht="13" x14ac:dyDescent="0.3">
      <c r="A17" s="118" t="s">
        <v>944</v>
      </c>
      <c r="C17" s="67" t="s">
        <v>846</v>
      </c>
      <c r="F17" s="52" cm="1">
        <f t="array" aca="1" ref="F17" ca="1">INDIRECT("'Allocation by Rate'!"&amp;$A17&amp;F$1)+INDIRECT("'Allocation by Rate'!"&amp;$A17&amp;F$2)</f>
        <v>45700645.757464081</v>
      </c>
      <c r="G17" s="52" cm="1">
        <f t="array" aca="1" ref="G17" ca="1">INDIRECT("'Allocation by Rate'!"&amp;$A17&amp;G$1)</f>
        <v>19823317.236726459</v>
      </c>
      <c r="H17" s="52" cm="1">
        <f t="array" aca="1" ref="H17" ca="1">INDIRECT("'Allocation by Rate'!"&amp;$A17&amp;H$1)</f>
        <v>21837197.13346485</v>
      </c>
      <c r="I17" s="52">
        <f t="shared" ca="1" si="0"/>
        <v>-2013879.8967383914</v>
      </c>
      <c r="J17" s="52" cm="1">
        <f t="array" aca="1" ref="J17" ca="1">INDIRECT("'Allocation by Rate'!"&amp;$A17&amp;J$1)</f>
        <v>83077216.946696043</v>
      </c>
      <c r="K17" s="51">
        <f t="shared" ca="1" si="1"/>
        <v>-2.4241061156761376E-2</v>
      </c>
      <c r="L17" s="122">
        <f t="shared" ca="1" si="2"/>
        <v>-1.666564269098711</v>
      </c>
      <c r="M17" s="52">
        <f t="shared" ca="1" si="3"/>
        <v>-3222282.0772480639</v>
      </c>
    </row>
    <row r="18" spans="1:13" ht="13" x14ac:dyDescent="0.3">
      <c r="A18" s="118" t="s">
        <v>945</v>
      </c>
      <c r="C18" s="67" t="s">
        <v>847</v>
      </c>
      <c r="F18" s="52" cm="1">
        <f t="array" aca="1" ref="F18" ca="1">INDIRECT("'Allocation by Rate'!"&amp;$A18&amp;F$1)+INDIRECT("'Allocation by Rate'!"&amp;$A18&amp;F$2)</f>
        <v>82398978.365719587</v>
      </c>
      <c r="G18" s="52" cm="1">
        <f t="array" aca="1" ref="G18" ca="1">INDIRECT("'Allocation by Rate'!"&amp;$A18&amp;G$1)</f>
        <v>24929545.454087842</v>
      </c>
      <c r="H18" s="52" cm="1">
        <f t="array" aca="1" ref="H18" ca="1">INDIRECT("'Allocation by Rate'!"&amp;$A18&amp;H$1)</f>
        <v>31277500.070024237</v>
      </c>
      <c r="I18" s="52">
        <f t="shared" ca="1" si="0"/>
        <v>-6347954.6159363948</v>
      </c>
      <c r="J18" s="52" cm="1">
        <f t="array" aca="1" ref="J18" ca="1">INDIRECT("'Allocation by Rate'!"&amp;$A18&amp;J$1)</f>
        <v>224387219.45596588</v>
      </c>
      <c r="K18" s="51">
        <f t="shared" ca="1" si="1"/>
        <v>-2.8290179054436423E-2</v>
      </c>
      <c r="L18" s="122">
        <f t="shared" ca="1" si="2"/>
        <v>-1.9449396737889104</v>
      </c>
      <c r="M18" s="52">
        <f t="shared" ca="1" si="3"/>
        <v>-9611785.7267337963</v>
      </c>
    </row>
    <row r="19" spans="1:13" ht="13" x14ac:dyDescent="0.3">
      <c r="C19" s="139" t="s">
        <v>946</v>
      </c>
      <c r="D19" s="140"/>
      <c r="E19" s="140"/>
      <c r="F19" s="141">
        <f ca="1">SUM(F14:F18)</f>
        <v>1037199839.1910398</v>
      </c>
      <c r="G19" s="141">
        <f t="shared" ref="G19:J19" ca="1" si="4">SUM(G14:G18)</f>
        <v>458692690.83170283</v>
      </c>
      <c r="H19" s="141">
        <f t="shared" ca="1" si="4"/>
        <v>427295536.05794328</v>
      </c>
      <c r="I19" s="141">
        <f t="shared" ca="1" si="4"/>
        <v>31397154.773759577</v>
      </c>
      <c r="J19" s="141">
        <f t="shared" ca="1" si="4"/>
        <v>2475728307.5014524</v>
      </c>
      <c r="K19" s="142">
        <f t="shared" ca="1" si="1"/>
        <v>1.2681987227203508E-2</v>
      </c>
      <c r="L19" s="143"/>
      <c r="M19" s="141"/>
    </row>
    <row r="20" spans="1:13" ht="13" x14ac:dyDescent="0.3">
      <c r="A20" s="118" t="s">
        <v>947</v>
      </c>
      <c r="C20" s="67" t="s">
        <v>848</v>
      </c>
      <c r="F20" s="52" cm="1">
        <f t="array" aca="1" ref="F20" ca="1">INDIRECT("'Allocation by Rate'!"&amp;$A20&amp;F$1)+INDIRECT("'Allocation by Rate'!"&amp;$A20&amp;F$2)</f>
        <v>13169153.218271764</v>
      </c>
      <c r="G20" s="52" cm="1">
        <f t="array" aca="1" ref="G20" ca="1">INDIRECT("'Allocation by Rate'!"&amp;$A20&amp;G$1)</f>
        <v>12515966.570435965</v>
      </c>
      <c r="H20" s="52" cm="1">
        <f t="array" aca="1" ref="H20" ca="1">INDIRECT("'Allocation by Rate'!"&amp;$A20&amp;H$1)</f>
        <v>12402822.454777271</v>
      </c>
      <c r="I20" s="52">
        <f t="shared" ref="I20:I21" ca="1" si="5">G20-H20</f>
        <v>113144.11565869488</v>
      </c>
      <c r="J20" s="52" cm="1">
        <f t="array" aca="1" ref="J20" ca="1">INDIRECT("'Allocation by Rate'!"&amp;$A20&amp;J$1)</f>
        <v>10357394.80381141</v>
      </c>
      <c r="K20" s="51">
        <f t="shared" ca="1" si="1"/>
        <v>1.0923993707091195E-2</v>
      </c>
      <c r="L20" s="122">
        <f t="shared" ref="L20:L21" ca="1" si="6">K20/$K$23</f>
        <v>0.75102065336027668</v>
      </c>
      <c r="M20" s="52">
        <f t="shared" ref="M20:M21" ca="1" si="7">(K20-$K$23)*J20</f>
        <v>-37509.684809316779</v>
      </c>
    </row>
    <row r="21" spans="1:13" ht="13" x14ac:dyDescent="0.3">
      <c r="A21" s="118" t="s">
        <v>948</v>
      </c>
      <c r="C21" s="67" t="s">
        <v>529</v>
      </c>
      <c r="F21" s="52" cm="1">
        <f t="array" aca="1" ref="F21" ca="1">INDIRECT("'Allocation by Rate'!"&amp;$A21&amp;F$1)+INDIRECT("'Allocation by Rate'!"&amp;$A21&amp;F$2)</f>
        <v>13946504.590688303</v>
      </c>
      <c r="G21" s="52" cm="1">
        <f t="array" aca="1" ref="G21" ca="1">INDIRECT("'Allocation by Rate'!"&amp;$A21&amp;G$1)</f>
        <v>5425995.3078610906</v>
      </c>
      <c r="H21" s="52" cm="1">
        <f t="array" aca="1" ref="H21" ca="1">INDIRECT("'Allocation by Rate'!"&amp;$A21&amp;H$1)</f>
        <v>533624.96027939674</v>
      </c>
      <c r="I21" s="52">
        <f t="shared" ca="1" si="5"/>
        <v>4892370.3475816939</v>
      </c>
      <c r="J21" s="52" cm="1">
        <f t="array" aca="1" ref="J21" ca="1">INDIRECT("'Allocation by Rate'!"&amp;$A21&amp;J$1)</f>
        <v>16584764.877707418</v>
      </c>
      <c r="K21" s="51">
        <f t="shared" ca="1" si="1"/>
        <v>0.29499184243231713</v>
      </c>
      <c r="L21" s="122">
        <f t="shared" ca="1" si="6"/>
        <v>20.280583473391882</v>
      </c>
      <c r="M21" s="52">
        <f t="shared" ca="1" si="7"/>
        <v>4651136.1467017988</v>
      </c>
    </row>
    <row r="22" spans="1:13" ht="13" x14ac:dyDescent="0.3">
      <c r="C22" s="67"/>
      <c r="K22" s="51"/>
    </row>
    <row r="23" spans="1:13" ht="13" x14ac:dyDescent="0.3">
      <c r="C23" s="139" t="s">
        <v>1</v>
      </c>
      <c r="D23" s="140"/>
      <c r="E23" s="140"/>
      <c r="F23" s="144">
        <f ca="1">SUM(F19:F21)</f>
        <v>1064315496.9999999</v>
      </c>
      <c r="G23" s="144">
        <f t="shared" ref="G23:J23" ca="1" si="8">SUM(G19:G21)</f>
        <v>476634652.70999986</v>
      </c>
      <c r="H23" s="144">
        <f t="shared" ca="1" si="8"/>
        <v>440231983.47299999</v>
      </c>
      <c r="I23" s="144">
        <f t="shared" ca="1" si="8"/>
        <v>36402669.236999966</v>
      </c>
      <c r="J23" s="144">
        <f t="shared" ca="1" si="8"/>
        <v>2502670467.1829715</v>
      </c>
      <c r="K23" s="142">
        <f ca="1">I23/J23</f>
        <v>1.4545530350216319E-2</v>
      </c>
      <c r="L23" s="143">
        <f ca="1">K23/$K$23</f>
        <v>1</v>
      </c>
      <c r="M23" s="144">
        <f ca="1">SUM(M14:M22)</f>
        <v>0</v>
      </c>
    </row>
    <row r="24" spans="1:13" ht="13" x14ac:dyDescent="0.3">
      <c r="C24" s="139"/>
      <c r="D24" s="140"/>
      <c r="E24" s="140"/>
      <c r="F24" s="144"/>
      <c r="G24" s="144"/>
      <c r="H24" s="144"/>
      <c r="I24" s="144"/>
      <c r="J24" s="144"/>
      <c r="K24" s="142"/>
      <c r="L24" s="143"/>
      <c r="M24" s="144"/>
    </row>
    <row r="25" spans="1:13" ht="13" x14ac:dyDescent="0.3">
      <c r="C25" s="139"/>
      <c r="D25" s="140"/>
      <c r="E25" s="140"/>
      <c r="F25" s="144"/>
      <c r="G25" s="144"/>
      <c r="H25" s="144"/>
      <c r="I25" s="144"/>
      <c r="J25" s="144"/>
      <c r="K25" s="142"/>
      <c r="L25" s="143"/>
      <c r="M25" s="144"/>
    </row>
    <row r="26" spans="1:13" ht="13" x14ac:dyDescent="0.3">
      <c r="C26" s="310"/>
      <c r="D26" s="311"/>
      <c r="E26" s="311"/>
      <c r="F26" s="311"/>
      <c r="G26" s="312"/>
      <c r="H26" s="312"/>
      <c r="I26" s="144"/>
      <c r="J26" s="144"/>
      <c r="K26" s="142"/>
      <c r="L26" s="143"/>
      <c r="M26" s="144"/>
    </row>
    <row r="27" spans="1:13" ht="13" x14ac:dyDescent="0.3">
      <c r="C27" s="310"/>
      <c r="D27" s="311"/>
      <c r="E27" s="311"/>
      <c r="F27" s="313" t="s">
        <v>1069</v>
      </c>
      <c r="G27" s="314"/>
      <c r="H27" s="314"/>
      <c r="I27" s="144"/>
      <c r="J27" s="144"/>
      <c r="K27" s="142"/>
      <c r="L27" s="143"/>
      <c r="M27" s="144"/>
    </row>
    <row r="28" spans="1:13" ht="13" x14ac:dyDescent="0.3">
      <c r="C28" s="315"/>
      <c r="D28" s="315"/>
      <c r="E28" s="311"/>
      <c r="F28" s="316" t="s">
        <v>1068</v>
      </c>
      <c r="G28" s="316" t="s">
        <v>1068</v>
      </c>
      <c r="H28" s="312"/>
      <c r="I28" s="144"/>
      <c r="J28" s="144"/>
      <c r="K28" s="142"/>
      <c r="L28" s="143"/>
      <c r="M28" s="144"/>
    </row>
    <row r="29" spans="1:13" ht="13" x14ac:dyDescent="0.3">
      <c r="C29" s="315"/>
      <c r="D29" s="315"/>
      <c r="E29" s="311"/>
      <c r="F29" s="316" t="s">
        <v>1071</v>
      </c>
      <c r="G29" s="316" t="s">
        <v>1070</v>
      </c>
      <c r="H29" s="316" t="s">
        <v>1067</v>
      </c>
      <c r="I29" s="144"/>
      <c r="J29" s="144"/>
      <c r="K29" s="142"/>
      <c r="L29" s="143"/>
      <c r="M29" s="144"/>
    </row>
    <row r="30" spans="1:13" ht="13.5" thickBot="1" x14ac:dyDescent="0.35">
      <c r="C30" s="323" t="s">
        <v>840</v>
      </c>
      <c r="D30" s="317"/>
      <c r="E30" s="311"/>
      <c r="F30" s="312"/>
      <c r="G30" s="312"/>
      <c r="H30" s="312"/>
      <c r="I30" s="144"/>
      <c r="J30" s="144"/>
      <c r="K30" s="142"/>
      <c r="L30" s="143"/>
      <c r="M30" s="144"/>
    </row>
    <row r="31" spans="1:13" x14ac:dyDescent="0.25">
      <c r="C31" s="311"/>
      <c r="D31" s="311"/>
      <c r="E31" s="311"/>
      <c r="F31" s="312"/>
      <c r="G31" s="312"/>
      <c r="H31" s="312"/>
      <c r="I31" s="144"/>
      <c r="J31" s="144"/>
      <c r="K31" s="142"/>
      <c r="L31" s="143"/>
      <c r="M31" s="144"/>
    </row>
    <row r="32" spans="1:13" ht="13" x14ac:dyDescent="0.3">
      <c r="C32" s="318" t="s">
        <v>843</v>
      </c>
      <c r="D32" s="311"/>
      <c r="E32" s="311"/>
      <c r="F32" s="319">
        <v>46989530.867510356</v>
      </c>
      <c r="G32" s="312">
        <f ca="1">F70</f>
        <v>53107667.065421365</v>
      </c>
      <c r="H32" s="312">
        <f ca="1">G32-F32</f>
        <v>6118136.1979110092</v>
      </c>
      <c r="I32" s="144"/>
      <c r="J32" s="144"/>
      <c r="K32" s="142"/>
      <c r="L32" s="143"/>
      <c r="M32" s="144"/>
    </row>
    <row r="33" spans="3:13" ht="13" x14ac:dyDescent="0.3">
      <c r="C33" s="318" t="s">
        <v>844</v>
      </c>
      <c r="D33" s="311"/>
      <c r="E33" s="311"/>
      <c r="F33" s="319">
        <v>6608350.6485759988</v>
      </c>
      <c r="G33" s="312">
        <f t="shared" ref="G33:G41" ca="1" si="9">F71</f>
        <v>6041052.7332701664</v>
      </c>
      <c r="H33" s="312">
        <f t="shared" ref="H33:H41" ca="1" si="10">G33-F33</f>
        <v>-567297.9153058324</v>
      </c>
      <c r="I33" s="144"/>
      <c r="J33" s="144"/>
      <c r="K33" s="142"/>
      <c r="L33" s="143"/>
      <c r="M33" s="144"/>
    </row>
    <row r="34" spans="3:13" ht="13" x14ac:dyDescent="0.3">
      <c r="C34" s="318" t="s">
        <v>845</v>
      </c>
      <c r="D34" s="311"/>
      <c r="E34" s="311"/>
      <c r="F34" s="319">
        <v>2558525.1269713966</v>
      </c>
      <c r="G34" s="312">
        <f t="shared" ca="1" si="9"/>
        <v>1708661.1607213062</v>
      </c>
      <c r="H34" s="312">
        <f t="shared" ca="1" si="10"/>
        <v>-849863.96625009039</v>
      </c>
      <c r="I34" s="144"/>
      <c r="J34" s="144"/>
      <c r="K34" s="142"/>
      <c r="L34" s="143"/>
      <c r="M34" s="144"/>
    </row>
    <row r="35" spans="3:13" ht="13" x14ac:dyDescent="0.3">
      <c r="C35" s="320" t="s">
        <v>846</v>
      </c>
      <c r="D35" s="311"/>
      <c r="E35" s="311"/>
      <c r="F35" s="319">
        <v>6455285.1459140172</v>
      </c>
      <c r="G35" s="312">
        <f t="shared" ca="1" si="9"/>
        <v>5869140.6863655383</v>
      </c>
      <c r="H35" s="312">
        <f t="shared" ca="1" si="10"/>
        <v>-586144.45954847895</v>
      </c>
      <c r="I35" s="144"/>
      <c r="J35" s="144"/>
      <c r="K35" s="142"/>
      <c r="L35" s="143"/>
      <c r="M35" s="144"/>
    </row>
    <row r="36" spans="3:13" ht="14" x14ac:dyDescent="0.4">
      <c r="C36" s="320" t="s">
        <v>847</v>
      </c>
      <c r="D36" s="311"/>
      <c r="E36" s="311"/>
      <c r="F36" s="321">
        <v>20319553.395866387</v>
      </c>
      <c r="G36" s="322">
        <f t="shared" ca="1" si="9"/>
        <v>16760936.549477594</v>
      </c>
      <c r="H36" s="322">
        <f t="shared" ca="1" si="10"/>
        <v>-3558616.8463887926</v>
      </c>
      <c r="I36" s="144"/>
      <c r="J36" s="144"/>
      <c r="K36" s="142"/>
      <c r="L36" s="143"/>
      <c r="M36" s="144"/>
    </row>
    <row r="37" spans="3:13" ht="13" x14ac:dyDescent="0.3">
      <c r="C37" s="310" t="s">
        <v>946</v>
      </c>
      <c r="D37" s="311"/>
      <c r="E37" s="311"/>
      <c r="F37" s="319">
        <v>82931245.184838146</v>
      </c>
      <c r="G37" s="312">
        <f t="shared" ca="1" si="9"/>
        <v>83487458.19525598</v>
      </c>
      <c r="H37" s="312">
        <f t="shared" ca="1" si="10"/>
        <v>556213.01041783392</v>
      </c>
      <c r="I37" s="144"/>
      <c r="J37" s="144"/>
      <c r="K37" s="142"/>
      <c r="L37" s="143"/>
      <c r="M37" s="144"/>
    </row>
    <row r="38" spans="3:13" ht="13" x14ac:dyDescent="0.3">
      <c r="C38" s="320" t="s">
        <v>848</v>
      </c>
      <c r="D38" s="311"/>
      <c r="E38" s="311"/>
      <c r="F38" s="319">
        <v>923586.42537332268</v>
      </c>
      <c r="G38" s="312">
        <f t="shared" ca="1" si="9"/>
        <v>367373.41495551198</v>
      </c>
      <c r="H38" s="312">
        <f t="shared" ca="1" si="10"/>
        <v>-556213.01041781064</v>
      </c>
      <c r="I38" s="144"/>
      <c r="J38" s="144"/>
      <c r="K38" s="142"/>
      <c r="L38" s="143"/>
      <c r="M38" s="144"/>
    </row>
    <row r="39" spans="3:13" ht="13" x14ac:dyDescent="0.3">
      <c r="C39" s="320" t="s">
        <v>529</v>
      </c>
      <c r="D39" s="311"/>
      <c r="E39" s="311"/>
      <c r="F39" s="319">
        <v>-4122956.2429203675</v>
      </c>
      <c r="G39" s="312">
        <f t="shared" ca="1" si="9"/>
        <v>-4122956.2429203675</v>
      </c>
      <c r="H39" s="312">
        <f t="shared" ca="1" si="10"/>
        <v>0</v>
      </c>
      <c r="I39" s="144"/>
      <c r="J39" s="144"/>
      <c r="K39" s="142"/>
      <c r="L39" s="143"/>
      <c r="M39" s="144"/>
    </row>
    <row r="40" spans="3:13" ht="13" x14ac:dyDescent="0.3">
      <c r="C40" s="320"/>
      <c r="D40" s="311"/>
      <c r="E40" s="311"/>
      <c r="F40" s="319">
        <v>0</v>
      </c>
      <c r="G40" s="312">
        <f t="shared" si="9"/>
        <v>0</v>
      </c>
      <c r="H40" s="312">
        <f t="shared" si="10"/>
        <v>0</v>
      </c>
      <c r="I40" s="144"/>
      <c r="J40" s="144"/>
      <c r="K40" s="142"/>
      <c r="L40" s="143"/>
      <c r="M40" s="144"/>
    </row>
    <row r="41" spans="3:13" ht="13" x14ac:dyDescent="0.3">
      <c r="C41" s="310" t="s">
        <v>1</v>
      </c>
      <c r="D41" s="311"/>
      <c r="E41" s="311"/>
      <c r="F41" s="319">
        <v>79731875.367291093</v>
      </c>
      <c r="G41" s="312">
        <f t="shared" ca="1" si="9"/>
        <v>79731875.367291123</v>
      </c>
      <c r="H41" s="312">
        <f t="shared" ca="1" si="10"/>
        <v>0</v>
      </c>
      <c r="I41" s="144"/>
      <c r="J41" s="144"/>
      <c r="K41" s="142"/>
      <c r="L41" s="143"/>
      <c r="M41" s="144"/>
    </row>
    <row r="42" spans="3:13" ht="13" x14ac:dyDescent="0.3">
      <c r="C42" s="310"/>
      <c r="D42" s="311"/>
      <c r="E42" s="311"/>
      <c r="F42" s="312"/>
      <c r="G42" s="312"/>
      <c r="H42" s="312"/>
      <c r="I42" s="144"/>
      <c r="J42" s="144"/>
      <c r="K42" s="142"/>
      <c r="L42" s="143"/>
      <c r="M42" s="144"/>
    </row>
    <row r="43" spans="3:13" ht="13" x14ac:dyDescent="0.3">
      <c r="C43" s="310" t="s">
        <v>1072</v>
      </c>
      <c r="D43" s="311"/>
      <c r="E43" s="311"/>
      <c r="F43" s="312"/>
      <c r="G43" s="312"/>
      <c r="H43" s="312"/>
      <c r="I43" s="144"/>
      <c r="J43" s="144"/>
      <c r="K43" s="142"/>
      <c r="L43" s="143"/>
      <c r="M43" s="144"/>
    </row>
    <row r="44" spans="3:13" ht="13" x14ac:dyDescent="0.3">
      <c r="C44" s="139"/>
      <c r="D44" s="140"/>
      <c r="E44" s="140"/>
      <c r="F44" s="144"/>
      <c r="G44" s="144"/>
      <c r="H44" s="144"/>
      <c r="I44" s="144"/>
      <c r="J44" s="144"/>
      <c r="K44" s="142"/>
      <c r="L44" s="143"/>
      <c r="M44" s="144"/>
    </row>
    <row r="45" spans="3:13" ht="13" x14ac:dyDescent="0.3">
      <c r="C45" s="139"/>
      <c r="D45" s="140"/>
      <c r="E45" s="140"/>
      <c r="F45" s="144"/>
      <c r="G45" s="144"/>
      <c r="H45" s="144"/>
      <c r="I45" s="144"/>
      <c r="J45" s="144"/>
      <c r="K45" s="142"/>
      <c r="L45" s="143"/>
      <c r="M45" s="144"/>
    </row>
    <row r="46" spans="3:13" ht="13" x14ac:dyDescent="0.3">
      <c r="C46" s="139"/>
      <c r="D46" s="140"/>
      <c r="E46" s="140"/>
      <c r="F46" s="144"/>
      <c r="G46" s="144"/>
      <c r="H46" s="144"/>
      <c r="I46" s="144"/>
      <c r="J46" s="144"/>
      <c r="K46" s="142"/>
      <c r="L46" s="143"/>
      <c r="M46" s="144"/>
    </row>
    <row r="47" spans="3:13" ht="13" x14ac:dyDescent="0.3">
      <c r="C47" s="139"/>
      <c r="D47" s="140"/>
      <c r="E47" s="140"/>
      <c r="F47" s="144"/>
      <c r="G47" s="144"/>
      <c r="H47" s="144"/>
      <c r="I47" s="144"/>
      <c r="J47" s="144"/>
      <c r="K47" s="142"/>
      <c r="L47" s="143"/>
      <c r="M47" s="144"/>
    </row>
    <row r="48" spans="3:13" ht="13" x14ac:dyDescent="0.3">
      <c r="C48" s="139"/>
      <c r="D48" s="140"/>
      <c r="E48" s="140"/>
      <c r="F48" s="144"/>
      <c r="G48" s="144"/>
      <c r="H48" s="144"/>
      <c r="I48" s="144"/>
      <c r="J48" s="144"/>
      <c r="K48" s="142"/>
      <c r="L48" s="143"/>
      <c r="M48" s="144"/>
    </row>
    <row r="49" spans="3:19" ht="13" x14ac:dyDescent="0.3">
      <c r="C49" s="139"/>
      <c r="D49" s="140"/>
      <c r="E49" s="140"/>
      <c r="F49" s="144"/>
      <c r="G49" s="144"/>
      <c r="H49" s="144"/>
      <c r="I49" s="144"/>
      <c r="J49" s="144"/>
      <c r="K49" s="142"/>
      <c r="L49" s="143"/>
      <c r="M49" s="144"/>
    </row>
    <row r="50" spans="3:19" ht="13" x14ac:dyDescent="0.3">
      <c r="C50" s="139"/>
      <c r="D50" s="140"/>
      <c r="E50" s="140"/>
      <c r="F50" s="144"/>
      <c r="G50" s="144"/>
      <c r="H50" s="144"/>
      <c r="I50" s="144"/>
      <c r="J50" s="144"/>
      <c r="K50" s="142"/>
      <c r="L50" s="143"/>
      <c r="M50" s="144"/>
    </row>
    <row r="51" spans="3:19" ht="13" x14ac:dyDescent="0.3">
      <c r="C51" s="139"/>
      <c r="D51" s="140"/>
      <c r="E51" s="140"/>
      <c r="F51" s="144"/>
      <c r="G51" s="144"/>
      <c r="H51" s="144"/>
      <c r="I51" s="144"/>
      <c r="J51" s="144"/>
      <c r="K51" s="142"/>
      <c r="L51" s="143"/>
      <c r="M51" s="144"/>
    </row>
    <row r="52" spans="3:19" ht="13" x14ac:dyDescent="0.3">
      <c r="C52" s="139"/>
      <c r="D52" s="140"/>
      <c r="E52" s="140"/>
      <c r="F52" s="144"/>
      <c r="G52" s="144"/>
      <c r="H52" s="144"/>
      <c r="I52" s="144"/>
      <c r="J52" s="144"/>
      <c r="K52" s="142"/>
      <c r="L52" s="143"/>
      <c r="M52" s="144"/>
    </row>
    <row r="53" spans="3:19" ht="13" x14ac:dyDescent="0.3">
      <c r="C53" s="139"/>
      <c r="D53" s="140"/>
      <c r="E53" s="140"/>
      <c r="F53" s="144"/>
      <c r="G53" s="144"/>
      <c r="H53" s="144"/>
      <c r="I53" s="144"/>
      <c r="J53" s="144"/>
      <c r="K53" s="142"/>
      <c r="L53" s="143"/>
      <c r="M53" s="144"/>
    </row>
    <row r="54" spans="3:19" ht="13" x14ac:dyDescent="0.3">
      <c r="C54" s="139"/>
      <c r="D54" s="140"/>
      <c r="E54" s="140"/>
      <c r="F54" s="144"/>
      <c r="G54" s="144"/>
      <c r="H54" s="144"/>
      <c r="I54" s="144"/>
      <c r="J54" s="144"/>
      <c r="K54" s="142"/>
      <c r="L54" s="143"/>
      <c r="M54" s="144"/>
    </row>
    <row r="55" spans="3:19" ht="13" x14ac:dyDescent="0.3">
      <c r="C55" s="139"/>
      <c r="D55" s="140"/>
      <c r="E55" s="140"/>
      <c r="F55" s="144"/>
      <c r="G55" s="144"/>
      <c r="H55" s="144"/>
      <c r="I55" s="144"/>
      <c r="J55" s="144"/>
      <c r="K55" s="142"/>
      <c r="L55" s="143"/>
      <c r="M55" s="144"/>
    </row>
    <row r="56" spans="3:19" ht="13" x14ac:dyDescent="0.3">
      <c r="C56" s="139"/>
      <c r="D56" s="140"/>
      <c r="E56" s="140"/>
      <c r="F56" s="144"/>
      <c r="G56" s="144"/>
      <c r="H56" s="144"/>
      <c r="I56" s="144"/>
      <c r="J56" s="144"/>
      <c r="K56" s="142"/>
      <c r="L56" s="143"/>
      <c r="M56" s="144"/>
    </row>
    <row r="57" spans="3:19" ht="13" x14ac:dyDescent="0.3">
      <c r="C57" s="139"/>
      <c r="D57" s="140"/>
      <c r="E57" s="140"/>
      <c r="F57" s="144"/>
      <c r="G57" s="144"/>
      <c r="H57" s="144"/>
      <c r="I57" s="144"/>
      <c r="J57" s="144"/>
      <c r="K57" s="142"/>
      <c r="L57" s="143"/>
      <c r="M57" s="144"/>
    </row>
    <row r="58" spans="3:19" ht="13" x14ac:dyDescent="0.3">
      <c r="C58" s="139"/>
      <c r="D58" s="140"/>
      <c r="E58" s="140"/>
      <c r="F58" s="144"/>
      <c r="G58" s="144"/>
      <c r="H58" s="144"/>
      <c r="I58" s="144"/>
      <c r="J58" s="144"/>
      <c r="K58" s="142"/>
      <c r="L58" s="143"/>
      <c r="M58" s="144"/>
    </row>
    <row r="59" spans="3:19" ht="13" x14ac:dyDescent="0.3">
      <c r="C59" s="139"/>
      <c r="D59" s="140"/>
      <c r="E59" s="140"/>
      <c r="F59" s="144"/>
      <c r="G59" s="144"/>
      <c r="H59" s="144"/>
      <c r="I59" s="144"/>
      <c r="J59" s="144"/>
      <c r="K59" s="142"/>
      <c r="L59" s="143"/>
      <c r="M59" s="144"/>
    </row>
    <row r="60" spans="3:19" ht="13" x14ac:dyDescent="0.3">
      <c r="C60" s="139"/>
      <c r="D60" s="140"/>
      <c r="E60" s="140"/>
      <c r="F60" s="144"/>
      <c r="G60" s="144"/>
      <c r="H60" s="144"/>
      <c r="I60" s="144"/>
      <c r="J60" s="144"/>
      <c r="K60" s="142"/>
      <c r="L60" s="143"/>
      <c r="M60" s="144"/>
    </row>
    <row r="61" spans="3:19" ht="13" x14ac:dyDescent="0.3">
      <c r="C61" s="139"/>
      <c r="D61" s="140"/>
      <c r="E61" s="140"/>
      <c r="F61" s="144"/>
      <c r="G61" s="144"/>
      <c r="H61" s="144"/>
      <c r="I61" s="144"/>
      <c r="J61" s="144"/>
      <c r="K61" s="142"/>
      <c r="L61" s="143"/>
      <c r="M61" s="144"/>
    </row>
    <row r="62" spans="3:19" ht="13" x14ac:dyDescent="0.3">
      <c r="C62" s="139"/>
      <c r="D62" s="140"/>
      <c r="E62" s="140"/>
      <c r="F62" s="144"/>
      <c r="G62" s="144"/>
      <c r="H62" s="144"/>
      <c r="I62" s="144"/>
      <c r="J62" s="144"/>
      <c r="K62" s="142"/>
      <c r="L62" s="143"/>
      <c r="M62" s="144"/>
    </row>
    <row r="63" spans="3:19" ht="13" x14ac:dyDescent="0.3">
      <c r="C63" s="139"/>
      <c r="D63" s="140"/>
      <c r="E63" s="140"/>
      <c r="F63" s="144"/>
      <c r="G63" s="144"/>
      <c r="H63" s="144"/>
      <c r="I63" s="144"/>
      <c r="J63" s="144"/>
      <c r="K63" s="142"/>
      <c r="L63" s="143"/>
      <c r="M63" s="144"/>
    </row>
    <row r="64" spans="3:19" ht="13" x14ac:dyDescent="0.3">
      <c r="C64" s="67"/>
      <c r="F64" s="123"/>
      <c r="G64" s="123"/>
      <c r="H64" s="123"/>
      <c r="I64" s="123"/>
      <c r="J64" s="123"/>
      <c r="K64" s="51"/>
      <c r="L64" s="122"/>
      <c r="M64" s="123"/>
      <c r="Q64" s="123">
        <f ca="1">(F65-K23)*J23</f>
        <v>79608164.280000001</v>
      </c>
      <c r="S64" s="192">
        <v>4.6354817798918133E-2</v>
      </c>
    </row>
    <row r="65" spans="1:19" ht="13" x14ac:dyDescent="0.3">
      <c r="F65" s="124">
        <v>4.6354817798918133E-2</v>
      </c>
      <c r="G65" s="124">
        <f ca="1">(I19+F79-SUM(G76:G77))/J19</f>
        <v>4.4746643868548049E-2</v>
      </c>
      <c r="I65" s="124">
        <f ca="1">ROUND(H79*1.5,2)</f>
        <v>0.11</v>
      </c>
      <c r="K65" s="51"/>
      <c r="P65" s="132" t="s">
        <v>577</v>
      </c>
      <c r="Q65" s="133">
        <v>1.554E-3</v>
      </c>
      <c r="S65" s="191">
        <f>'Allocation by Rate'!F391</f>
        <v>4.6354817798918133E-2</v>
      </c>
    </row>
    <row r="66" spans="1:19" ht="13" x14ac:dyDescent="0.3">
      <c r="B66" s="120"/>
      <c r="C66" s="120"/>
      <c r="D66" s="120"/>
      <c r="E66" s="120"/>
      <c r="F66" s="120"/>
      <c r="G66" s="132" t="s">
        <v>949</v>
      </c>
      <c r="H66" s="132"/>
      <c r="I66" s="132"/>
      <c r="J66" s="132"/>
      <c r="K66" s="132"/>
      <c r="L66" s="120"/>
      <c r="M66" s="120"/>
      <c r="P66" s="132" t="s">
        <v>115</v>
      </c>
      <c r="Q66" s="132" t="s">
        <v>955</v>
      </c>
      <c r="S66" s="191">
        <f>F65</f>
        <v>4.6354817798918133E-2</v>
      </c>
    </row>
    <row r="67" spans="1:19" ht="13" x14ac:dyDescent="0.3">
      <c r="B67" s="120"/>
      <c r="C67" s="120"/>
      <c r="D67" s="120"/>
      <c r="E67" s="120"/>
      <c r="F67" s="132" t="s">
        <v>964</v>
      </c>
      <c r="G67" s="132" t="s">
        <v>950</v>
      </c>
      <c r="H67" s="132"/>
      <c r="I67" s="132"/>
      <c r="J67" s="132" t="s">
        <v>964</v>
      </c>
      <c r="K67" s="132" t="s">
        <v>964</v>
      </c>
      <c r="L67" s="120"/>
      <c r="M67" s="120"/>
      <c r="P67" s="132" t="s">
        <v>959</v>
      </c>
      <c r="Q67" s="132" t="s">
        <v>956</v>
      </c>
      <c r="S67" s="191">
        <f>S65-S66</f>
        <v>0</v>
      </c>
    </row>
    <row r="68" spans="1:19" ht="39.5" thickBot="1" x14ac:dyDescent="0.35">
      <c r="B68" s="120"/>
      <c r="C68" s="121" t="s">
        <v>840</v>
      </c>
      <c r="D68" s="121"/>
      <c r="E68" s="121"/>
      <c r="F68" s="145" t="s">
        <v>963</v>
      </c>
      <c r="G68" s="145" t="s">
        <v>962</v>
      </c>
      <c r="H68" s="146" t="s">
        <v>965</v>
      </c>
      <c r="I68" s="145" t="s">
        <v>966</v>
      </c>
      <c r="J68" s="145" t="s">
        <v>967</v>
      </c>
      <c r="K68" s="145" t="s">
        <v>968</v>
      </c>
      <c r="L68" s="145" t="s">
        <v>969</v>
      </c>
      <c r="M68" s="120"/>
      <c r="P68" s="132" t="s">
        <v>958</v>
      </c>
      <c r="Q68" s="132" t="s">
        <v>957</v>
      </c>
    </row>
    <row r="69" spans="1:19" ht="13" x14ac:dyDescent="0.3">
      <c r="B69" s="120"/>
      <c r="C69" s="120"/>
      <c r="D69" s="120"/>
      <c r="E69" s="120"/>
      <c r="F69" s="120"/>
      <c r="G69" s="120"/>
      <c r="H69" s="126"/>
      <c r="I69" s="120"/>
      <c r="J69" s="120"/>
      <c r="K69" s="120"/>
      <c r="L69" s="120"/>
      <c r="M69" s="120"/>
    </row>
    <row r="70" spans="1:19" ht="13" x14ac:dyDescent="0.3">
      <c r="A70" s="118" t="s">
        <v>941</v>
      </c>
      <c r="C70" s="66" t="s">
        <v>843</v>
      </c>
      <c r="E70" s="123"/>
      <c r="F70" s="49">
        <f ca="1">($F$65-K14)*J14+Q70</f>
        <v>53107667.065421365</v>
      </c>
      <c r="G70" s="49">
        <f ca="1">($G$65-K14)*J14</f>
        <v>49835633.491776533</v>
      </c>
      <c r="H70" s="127">
        <f ca="1">G70/F14</f>
        <v>6.2124721353284278E-2</v>
      </c>
      <c r="I70" s="49">
        <f ca="1">IF(G70&lt;0,-G70,IF(H70&gt;$I$65,F14*$I$65-G70,0))</f>
        <v>0</v>
      </c>
      <c r="J70" s="49">
        <f ca="1">-SUM(I71:J74)</f>
        <v>6903715.4302017633</v>
      </c>
      <c r="K70" s="49">
        <f ca="1">G70+I70+J70</f>
        <v>56739348.921978295</v>
      </c>
      <c r="L70" s="149">
        <f ca="1">K70/F14</f>
        <v>7.0730840456283653E-2</v>
      </c>
      <c r="M70" s="128"/>
      <c r="P70" s="49" cm="1">
        <f t="array" aca="1" ref="P70" ca="1">INDIRECT("'Allocation by Rate'!"&amp;$A70&amp;P$1)</f>
        <v>2561046988.9879408</v>
      </c>
      <c r="Q70" s="123">
        <f ca="1">($Q$64*$Q$65)*(P70/$P$79)</f>
        <v>97009.360080007726</v>
      </c>
      <c r="S70" s="134">
        <f ca="1">($F$65-K14)*J14</f>
        <v>53010657.705341354</v>
      </c>
    </row>
    <row r="71" spans="1:19" ht="13" x14ac:dyDescent="0.3">
      <c r="A71" s="118" t="s">
        <v>942</v>
      </c>
      <c r="C71" s="66" t="s">
        <v>844</v>
      </c>
      <c r="E71" s="131"/>
      <c r="F71" s="52">
        <f ca="1">($F$65-K15)*J15+Q71</f>
        <v>6041052.7332701664</v>
      </c>
      <c r="G71" s="52">
        <f ca="1">($G$65-K15)*J15</f>
        <v>5804155.8026147662</v>
      </c>
      <c r="H71" s="127">
        <f ca="1">G71/F15</f>
        <v>7.5721144073184254E-2</v>
      </c>
      <c r="I71" s="129">
        <f ca="1">IF(G71&lt;0,-G71,IF(H71&gt;$I$65,F15*$I$65-G71,0))</f>
        <v>0</v>
      </c>
      <c r="J71" s="129">
        <f ca="1">0.08*F15-G71</f>
        <v>327981.65902217664</v>
      </c>
      <c r="K71" s="129">
        <f t="shared" ref="K71:K74" ca="1" si="11">G71+I71+J71</f>
        <v>6132137.4616369428</v>
      </c>
      <c r="L71" s="149">
        <f ca="1">K71/F15</f>
        <v>0.08</v>
      </c>
      <c r="M71" s="128"/>
      <c r="P71" s="52" cm="1">
        <f t="array" aca="1" ref="P71" ca="1">INDIRECT("'Allocation by Rate'!"&amp;$A71&amp;P$1)</f>
        <v>192028527.4653841</v>
      </c>
      <c r="Q71" s="134">
        <f t="shared" ref="Q71:Q74" ca="1" si="12">($Q$64*$Q$65)*(P71/$P$79)</f>
        <v>7273.8081911900499</v>
      </c>
      <c r="S71" s="134">
        <f ca="1">($F$65-K15)*J15</f>
        <v>6033778.925078976</v>
      </c>
    </row>
    <row r="72" spans="1:19" ht="13" x14ac:dyDescent="0.3">
      <c r="A72" s="118" t="s">
        <v>943</v>
      </c>
      <c r="C72" s="66" t="s">
        <v>845</v>
      </c>
      <c r="E72" s="131"/>
      <c r="F72" s="52">
        <f ca="1">($F$65-K16)*J16+Q72</f>
        <v>1708661.1607213062</v>
      </c>
      <c r="G72" s="52">
        <f ca="1">($G$65-K16)*J16</f>
        <v>1623752.672271291</v>
      </c>
      <c r="H72" s="127">
        <f ca="1">G72/F16</f>
        <v>5.3657085711332105E-2</v>
      </c>
      <c r="I72" s="129">
        <f ca="1">IF(G72&lt;0,-G72,IF(H72&gt;$I$65,F16*$I$65-G72,0))</f>
        <v>0</v>
      </c>
      <c r="J72" s="129">
        <f t="shared" ref="J72" ca="1" si="13">0.08*F16-G72</f>
        <v>797180.40785439708</v>
      </c>
      <c r="K72" s="129">
        <f t="shared" ca="1" si="11"/>
        <v>2420933.0801256881</v>
      </c>
      <c r="L72" s="149">
        <f ca="1">K72/F16</f>
        <v>0.08</v>
      </c>
      <c r="M72" s="128"/>
      <c r="P72" s="52" cm="1">
        <f t="array" aca="1" ref="P72" ca="1">INDIRECT("'Allocation by Rate'!"&amp;$A72&amp;P$1)</f>
        <v>68914367.155168384</v>
      </c>
      <c r="Q72" s="134">
        <f t="shared" ca="1" si="12"/>
        <v>2610.3928146525182</v>
      </c>
      <c r="S72" s="134">
        <f ca="1">($F$65-K16)*J16</f>
        <v>1706050.7679066537</v>
      </c>
    </row>
    <row r="73" spans="1:19" ht="13" x14ac:dyDescent="0.3">
      <c r="A73" s="118" t="s">
        <v>944</v>
      </c>
      <c r="C73" s="67" t="s">
        <v>846</v>
      </c>
      <c r="E73" s="131"/>
      <c r="F73" s="52">
        <f ca="1">($F$65-K17)*J17+Q73</f>
        <v>5869140.6863655383</v>
      </c>
      <c r="G73" s="52">
        <f ca="1">($G$65-K17)*J17</f>
        <v>5731306.5370423049</v>
      </c>
      <c r="H73" s="127">
        <f ca="1">G73/F17</f>
        <v>0.12540974951335859</v>
      </c>
      <c r="I73" s="129">
        <f ca="1">IF(G73&lt;0,-G73,IF(H73&gt;$I$65,F17*$I$65-G73,0))</f>
        <v>-704235.50372125581</v>
      </c>
      <c r="J73" s="129">
        <f ca="1">IF(I73=0,0.09*F17-G73,0)</f>
        <v>0</v>
      </c>
      <c r="K73" s="129">
        <f t="shared" ca="1" si="11"/>
        <v>5027071.0333210491</v>
      </c>
      <c r="L73" s="149">
        <f ca="1">K73/F17</f>
        <v>0.11</v>
      </c>
      <c r="M73" s="128"/>
      <c r="P73" s="52" cm="1">
        <f t="array" aca="1" ref="P73" ca="1">INDIRECT("'Allocation by Rate'!"&amp;$A73&amp;P$1)</f>
        <v>111712514.18810904</v>
      </c>
      <c r="Q73" s="134">
        <f t="shared" ca="1" si="12"/>
        <v>4231.534821858073</v>
      </c>
      <c r="S73" s="134">
        <f ca="1">($F$65-K17)*J17</f>
        <v>5864909.1515436806</v>
      </c>
    </row>
    <row r="74" spans="1:19" ht="13" x14ac:dyDescent="0.3">
      <c r="A74" s="118" t="s">
        <v>945</v>
      </c>
      <c r="C74" s="67" t="s">
        <v>847</v>
      </c>
      <c r="E74" s="131"/>
      <c r="F74" s="52">
        <f ca="1">($F$65-K18)*J18+Q74</f>
        <v>16760936.549477594</v>
      </c>
      <c r="G74" s="52">
        <f ca="1">($G$65-K18)*J18</f>
        <v>16388529.613586236</v>
      </c>
      <c r="H74" s="127">
        <f ca="1">G74/F18</f>
        <v>0.19889238845714075</v>
      </c>
      <c r="I74" s="129">
        <f ca="1">IF(G74&lt;0,-G74,IF(H74&gt;$I$65,F18*$I$65-G74,0))</f>
        <v>-7324641.993357081</v>
      </c>
      <c r="J74" s="129">
        <f t="shared" ref="J74" ca="1" si="14">IF(I74=0,-$I$75/SUMIFS($G$70:$G$74,$I$70:$I$74,"=0")*G74,0)</f>
        <v>0</v>
      </c>
      <c r="K74" s="129">
        <f t="shared" ca="1" si="11"/>
        <v>9063887.6202291548</v>
      </c>
      <c r="L74" s="149">
        <f ca="1">K74/F18</f>
        <v>0.11</v>
      </c>
      <c r="M74" s="128"/>
      <c r="P74" s="52" cm="1">
        <f t="array" aca="1" ref="P74" ca="1">INDIRECT("'Allocation by Rate'!"&amp;$A74&amp;P$1)</f>
        <v>305006030.35787356</v>
      </c>
      <c r="Q74" s="134">
        <f t="shared" ca="1" si="12"/>
        <v>11553.259254041765</v>
      </c>
      <c r="S74" s="134">
        <f ca="1">($F$65-K18)*J18</f>
        <v>16749383.290223552</v>
      </c>
    </row>
    <row r="75" spans="1:19" ht="13" x14ac:dyDescent="0.3">
      <c r="C75" s="139" t="s">
        <v>946</v>
      </c>
      <c r="D75" s="140"/>
      <c r="E75" s="147"/>
      <c r="F75" s="141">
        <f ca="1">SUM(F70:F74)</f>
        <v>83487458.19525598</v>
      </c>
      <c r="G75" s="141">
        <f ca="1">SUM(G70:G74)</f>
        <v>79383378.117291123</v>
      </c>
      <c r="H75" s="148">
        <f ca="1">G75/F19</f>
        <v>7.6536242214620756E-2</v>
      </c>
      <c r="I75" s="141">
        <f ca="1">SUM(I70:I74)</f>
        <v>-8028877.4970783368</v>
      </c>
      <c r="J75" s="141">
        <f ca="1">SUM(J70:J74)</f>
        <v>8028877.4970783368</v>
      </c>
      <c r="K75" s="141">
        <f ca="1">SUM(K70:K74)</f>
        <v>79383378.117291138</v>
      </c>
      <c r="L75" s="149">
        <f ca="1">K75/F19</f>
        <v>7.653624221462077E-2</v>
      </c>
      <c r="M75" s="128"/>
      <c r="P75" s="52">
        <f t="shared" ref="P75" ca="1" si="15">SUM(P70:P74)</f>
        <v>3238708428.1544757</v>
      </c>
      <c r="Q75" s="134"/>
    </row>
    <row r="76" spans="1:19" ht="13" x14ac:dyDescent="0.3">
      <c r="A76" s="118" t="s">
        <v>947</v>
      </c>
      <c r="C76" s="67" t="s">
        <v>848</v>
      </c>
      <c r="E76" s="131"/>
      <c r="F76" s="52">
        <f ca="1">($F$65-K20)*J20+Q76</f>
        <v>367373.41495551198</v>
      </c>
      <c r="G76" s="52" cm="1">
        <f t="array" aca="1" ref="G76" ca="1">INDIRECT("'Allocation by Rate'!"&amp;$A76&amp;G$2)</f>
        <v>0</v>
      </c>
      <c r="H76" s="127">
        <f ca="1">G76/F20</f>
        <v>0</v>
      </c>
      <c r="I76" s="52"/>
      <c r="J76" s="52"/>
      <c r="K76" s="129">
        <f t="shared" ref="K76:K77" ca="1" si="16">G76+J76</f>
        <v>0</v>
      </c>
      <c r="L76" s="149">
        <f ca="1">K76/F20</f>
        <v>0</v>
      </c>
      <c r="M76" s="128"/>
      <c r="P76" s="52" cm="1">
        <f t="array" aca="1" ref="P76" ca="1">INDIRECT("'Allocation by Rate'!"&amp;$A76&amp;P$1)</f>
        <v>10622874.072768502</v>
      </c>
      <c r="Q76" s="134">
        <f t="shared" ref="Q76:Q77" ca="1" si="17">($Q$64*$Q$65)*(P76/$P$79)</f>
        <v>402.38161206757542</v>
      </c>
      <c r="S76" s="134">
        <f ca="1">($F$65-K20)*J20</f>
        <v>366971.0333434444</v>
      </c>
    </row>
    <row r="77" spans="1:19" ht="13" x14ac:dyDescent="0.3">
      <c r="A77" s="118" t="s">
        <v>948</v>
      </c>
      <c r="C77" s="67" t="s">
        <v>529</v>
      </c>
      <c r="E77" s="131"/>
      <c r="F77" s="52">
        <f ca="1">($F$65-K21)*J21+Q77</f>
        <v>-4122956.2429203675</v>
      </c>
      <c r="G77" s="52" cm="1">
        <f t="array" aca="1" ref="G77" ca="1">INDIRECT("'Allocation by Rate'!"&amp;$A77&amp;G$2)</f>
        <v>348497.25</v>
      </c>
      <c r="H77" s="127">
        <f ca="1">G77/F21</f>
        <v>2.4988142923832113E-2</v>
      </c>
      <c r="I77" s="52"/>
      <c r="J77" s="52"/>
      <c r="K77" s="129">
        <f t="shared" ca="1" si="16"/>
        <v>348497.25</v>
      </c>
      <c r="L77" s="149">
        <f ca="1">K77/F21</f>
        <v>2.4988142923832113E-2</v>
      </c>
      <c r="M77" s="128"/>
      <c r="P77" s="52" cm="1">
        <f t="array" aca="1" ref="P77" ca="1">INDIRECT("'Allocation by Rate'!"&amp;$A77&amp;P$1)</f>
        <v>16641252.895726735</v>
      </c>
      <c r="Q77" s="134">
        <f t="shared" ca="1" si="17"/>
        <v>630.35051730229213</v>
      </c>
      <c r="S77" s="134">
        <f ca="1">($F$65-K21)*J21</f>
        <v>-4123586.5934376698</v>
      </c>
    </row>
    <row r="78" spans="1:19" ht="13" x14ac:dyDescent="0.3">
      <c r="C78" s="67"/>
      <c r="L78" s="150" t="s">
        <v>964</v>
      </c>
    </row>
    <row r="79" spans="1:19" ht="13" x14ac:dyDescent="0.3">
      <c r="C79" s="139" t="s">
        <v>1</v>
      </c>
      <c r="D79" s="140"/>
      <c r="E79" s="144"/>
      <c r="F79" s="144">
        <f ca="1">SUM(F75:F77)</f>
        <v>79731875.367291123</v>
      </c>
      <c r="G79" s="144">
        <f ca="1">SUM(G75:G77)</f>
        <v>79731875.367291123</v>
      </c>
      <c r="H79" s="148">
        <f ca="1">G79/F23</f>
        <v>7.4913759681252801E-2</v>
      </c>
      <c r="I79" s="144"/>
      <c r="J79" s="144"/>
      <c r="K79" s="144">
        <f ca="1">SUM(K75:K77)</f>
        <v>79731875.367291138</v>
      </c>
      <c r="L79" s="149">
        <f ca="1">K79/F23</f>
        <v>7.4913759681252814E-2</v>
      </c>
      <c r="P79" s="123">
        <f t="shared" ref="P79" ca="1" si="18">SUM(P75:P77)</f>
        <v>3265972555.1229711</v>
      </c>
      <c r="Q79" s="144">
        <f ca="1">SUM(Q70:Q74,Q76:Q77)</f>
        <v>123711.08729112</v>
      </c>
      <c r="S79" s="123">
        <f ca="1">SUM(S70:S74,S76:S77)</f>
        <v>79608164.279999986</v>
      </c>
    </row>
    <row r="80" spans="1:19" x14ac:dyDescent="0.25">
      <c r="F80" s="123"/>
      <c r="K80" s="51"/>
    </row>
    <row r="81" spans="1:19" x14ac:dyDescent="0.25">
      <c r="C81" s="118" t="s">
        <v>961</v>
      </c>
      <c r="K81" s="51"/>
      <c r="Q81" s="140" t="s">
        <v>1045</v>
      </c>
      <c r="R81" s="140"/>
      <c r="S81" s="227">
        <f>'Allocation by Rate'!F385</f>
        <v>123751</v>
      </c>
    </row>
    <row r="82" spans="1:19" ht="13" x14ac:dyDescent="0.3">
      <c r="B82" s="120"/>
      <c r="C82" s="120"/>
      <c r="D82" s="120"/>
      <c r="E82" s="120"/>
      <c r="F82" s="120"/>
      <c r="G82" s="120"/>
      <c r="H82" s="120"/>
      <c r="I82" s="120" t="s">
        <v>890</v>
      </c>
      <c r="J82" s="120" t="s">
        <v>890</v>
      </c>
      <c r="K82" s="120"/>
      <c r="L82" s="120"/>
      <c r="M82" s="120"/>
      <c r="Q82" s="140" t="s">
        <v>1046</v>
      </c>
      <c r="R82" s="144">
        <f ca="1">S81-Q79</f>
        <v>39.912708880001446</v>
      </c>
    </row>
    <row r="83" spans="1:19" ht="13" x14ac:dyDescent="0.3">
      <c r="B83" s="120"/>
      <c r="C83" s="120"/>
      <c r="D83" s="120"/>
      <c r="E83" s="120"/>
      <c r="F83" s="120" t="s">
        <v>949</v>
      </c>
      <c r="G83" s="120" t="s">
        <v>884</v>
      </c>
      <c r="H83" s="120" t="s">
        <v>884</v>
      </c>
      <c r="I83" s="120" t="s">
        <v>934</v>
      </c>
      <c r="J83" s="120" t="s">
        <v>882</v>
      </c>
      <c r="K83" s="120" t="s">
        <v>935</v>
      </c>
      <c r="L83" s="120" t="s">
        <v>953</v>
      </c>
      <c r="M83" s="120" t="s">
        <v>940</v>
      </c>
    </row>
    <row r="84" spans="1:19" ht="13.5" thickBot="1" x14ac:dyDescent="0.35">
      <c r="B84" s="120"/>
      <c r="C84" s="121" t="s">
        <v>840</v>
      </c>
      <c r="D84" s="121"/>
      <c r="E84" s="121"/>
      <c r="F84" s="121" t="s">
        <v>951</v>
      </c>
      <c r="G84" s="121" t="s">
        <v>951</v>
      </c>
      <c r="H84" s="125" t="s">
        <v>952</v>
      </c>
      <c r="I84" s="121" t="s">
        <v>938</v>
      </c>
      <c r="J84" s="121" t="s">
        <v>883</v>
      </c>
      <c r="K84" s="121" t="s">
        <v>939</v>
      </c>
      <c r="L84" s="121" t="s">
        <v>940</v>
      </c>
      <c r="M84" s="121" t="s">
        <v>954</v>
      </c>
    </row>
    <row r="85" spans="1:19" ht="13" x14ac:dyDescent="0.3">
      <c r="B85" s="120"/>
      <c r="C85" s="120"/>
      <c r="D85" s="120"/>
      <c r="E85" s="120"/>
      <c r="F85" s="120"/>
      <c r="G85" s="120"/>
      <c r="H85" s="126"/>
      <c r="I85" s="120"/>
      <c r="J85" s="120"/>
      <c r="K85" s="120"/>
      <c r="L85" s="120"/>
      <c r="M85" s="120"/>
    </row>
    <row r="86" spans="1:19" ht="13" x14ac:dyDescent="0.3">
      <c r="A86" s="118" t="s">
        <v>941</v>
      </c>
      <c r="C86" s="66" t="s">
        <v>843</v>
      </c>
      <c r="F86" s="49">
        <f ca="1">F70</f>
        <v>53107667.065421365</v>
      </c>
      <c r="G86" s="49">
        <f ca="1">K70</f>
        <v>56739348.921978295</v>
      </c>
      <c r="H86" s="127">
        <f ca="1">G86/F14</f>
        <v>7.0730840456283653E-2</v>
      </c>
      <c r="I86" s="49">
        <f ca="1">I14+G86-Q70</f>
        <v>95150183.772006571</v>
      </c>
      <c r="J86" s="127">
        <f ca="1">I86/J14</f>
        <v>4.8194292301241844E-2</v>
      </c>
      <c r="K86" s="122">
        <f ca="1">J86/$J$95</f>
        <v>1.0396824880275257</v>
      </c>
      <c r="L86" s="130">
        <f ca="1">(J86-$J$95)*J14</f>
        <v>3631681.8565569185</v>
      </c>
      <c r="M86" s="128">
        <f ca="1">L86/M14-1</f>
        <v>-0.62906236029249829</v>
      </c>
      <c r="N86" s="123"/>
      <c r="P86" s="151"/>
    </row>
    <row r="87" spans="1:19" ht="13" x14ac:dyDescent="0.3">
      <c r="A87" s="118" t="s">
        <v>942</v>
      </c>
      <c r="C87" s="66" t="s">
        <v>844</v>
      </c>
      <c r="F87" s="52">
        <f t="shared" ref="F87:F90" ca="1" si="19">F71</f>
        <v>6041052.7332701664</v>
      </c>
      <c r="G87" s="52">
        <f t="shared" ref="G87:G90" ca="1" si="20">K71</f>
        <v>6132137.4616369428</v>
      </c>
      <c r="H87" s="127">
        <f ca="1">G87/F15</f>
        <v>0.08</v>
      </c>
      <c r="I87" s="129">
        <f ca="1">I15+G87-Q71</f>
        <v>6709857.6130867805</v>
      </c>
      <c r="J87" s="127">
        <f ca="1">I87/J15</f>
        <v>4.6992733022970197E-2</v>
      </c>
      <c r="K87" s="122">
        <f ca="1">J87/$J$95</f>
        <v>1.0137615733238186</v>
      </c>
      <c r="L87" s="130">
        <f ca="1">(J87-$J$95)*J15</f>
        <v>91084.728366775831</v>
      </c>
      <c r="M87" s="128">
        <f ca="1">L87/M15-1</f>
        <v>-1.0610532606264444</v>
      </c>
      <c r="P87" s="151"/>
    </row>
    <row r="88" spans="1:19" ht="13" x14ac:dyDescent="0.3">
      <c r="A88" s="118" t="s">
        <v>943</v>
      </c>
      <c r="C88" s="66" t="s">
        <v>845</v>
      </c>
      <c r="F88" s="52">
        <f t="shared" ca="1" si="19"/>
        <v>1708661.1607213062</v>
      </c>
      <c r="G88" s="52">
        <f t="shared" ca="1" si="20"/>
        <v>2420933.0801256881</v>
      </c>
      <c r="H88" s="127">
        <f ca="1">G88/F16</f>
        <v>0.08</v>
      </c>
      <c r="I88" s="129">
        <f ca="1">I16+G88-Q72</f>
        <v>3084473.8039960908</v>
      </c>
      <c r="J88" s="127">
        <f ca="1">I88/J16</f>
        <v>6.0273209509899589E-2</v>
      </c>
      <c r="K88" s="122">
        <f ca="1">J88/$J$95</f>
        <v>1.3002577158507629</v>
      </c>
      <c r="L88" s="130">
        <f ca="1">(J88-$J$95)*J16</f>
        <v>712271.91940438165</v>
      </c>
      <c r="M88" s="128">
        <f ca="1">L88/M16-1</f>
        <v>-10.106643039383378</v>
      </c>
      <c r="P88" s="151"/>
    </row>
    <row r="89" spans="1:19" ht="13" x14ac:dyDescent="0.3">
      <c r="A89" s="118" t="s">
        <v>944</v>
      </c>
      <c r="C89" s="67" t="s">
        <v>846</v>
      </c>
      <c r="F89" s="52">
        <f t="shared" ca="1" si="19"/>
        <v>5869140.6863655383</v>
      </c>
      <c r="G89" s="52">
        <f t="shared" ca="1" si="20"/>
        <v>5027071.0333210491</v>
      </c>
      <c r="H89" s="127">
        <f ca="1">G89/F17</f>
        <v>0.11</v>
      </c>
      <c r="I89" s="129">
        <f ca="1">I17+G89-Q73</f>
        <v>3008959.6017607995</v>
      </c>
      <c r="J89" s="127">
        <f ca="1">I89/J17</f>
        <v>3.6218830051702462E-2</v>
      </c>
      <c r="K89" s="122">
        <f ca="1">J89/$J$95</f>
        <v>0.78133906617464388</v>
      </c>
      <c r="L89" s="130">
        <f ca="1">(J89-$J$95)*J17</f>
        <v>-842069.65304448968</v>
      </c>
      <c r="M89" s="128">
        <f ca="1">L89/M17-1</f>
        <v>-0.7386728930436639</v>
      </c>
      <c r="P89" s="151"/>
    </row>
    <row r="90" spans="1:19" ht="13" x14ac:dyDescent="0.3">
      <c r="A90" s="118" t="s">
        <v>945</v>
      </c>
      <c r="C90" s="67" t="s">
        <v>847</v>
      </c>
      <c r="F90" s="52">
        <f t="shared" ca="1" si="19"/>
        <v>16760936.549477594</v>
      </c>
      <c r="G90" s="52">
        <f t="shared" ca="1" si="20"/>
        <v>9063887.6202291548</v>
      </c>
      <c r="H90" s="127">
        <f ca="1">G90/F18</f>
        <v>0.11</v>
      </c>
      <c r="I90" s="129">
        <f ca="1">I18+G90-Q74</f>
        <v>2704379.7450387185</v>
      </c>
      <c r="J90" s="127">
        <f ca="1">I90/J18</f>
        <v>1.2052289571552138E-2</v>
      </c>
      <c r="K90" s="122">
        <f ca="1">J90/$J$95</f>
        <v>0.26000079697936862</v>
      </c>
      <c r="L90" s="130">
        <f ca="1">(J90-$J$95)*J18</f>
        <v>-7697048.9292484391</v>
      </c>
      <c r="M90" s="128">
        <f ca="1">L90/M18-1</f>
        <v>-0.19920718708489238</v>
      </c>
      <c r="P90" s="151"/>
    </row>
    <row r="91" spans="1:19" ht="13" x14ac:dyDescent="0.3">
      <c r="C91" s="67" t="s">
        <v>946</v>
      </c>
      <c r="F91" s="52">
        <f t="shared" ref="F91:G91" ca="1" si="21">SUM(F86:F90)</f>
        <v>83487458.19525598</v>
      </c>
      <c r="G91" s="52">
        <f t="shared" ca="1" si="21"/>
        <v>79383378.117291138</v>
      </c>
      <c r="H91" s="127"/>
      <c r="I91" s="52">
        <f ca="1">SUM(I86:I90)</f>
        <v>110657854.53588895</v>
      </c>
      <c r="J91" s="127"/>
      <c r="K91" s="122"/>
      <c r="L91" s="52"/>
      <c r="M91" s="128"/>
      <c r="P91" s="151"/>
    </row>
    <row r="92" spans="1:19" ht="13" x14ac:dyDescent="0.3">
      <c r="A92" s="118" t="s">
        <v>947</v>
      </c>
      <c r="C92" s="67" t="s">
        <v>848</v>
      </c>
      <c r="F92" s="52">
        <f t="shared" ref="F92:F93" ca="1" si="22">F76</f>
        <v>367373.41495551198</v>
      </c>
      <c r="G92" s="52" cm="1">
        <f t="array" aca="1" ref="G92" ca="1">INDIRECT("'Allocation by Rate'!"&amp;$A92&amp;G$2)</f>
        <v>0</v>
      </c>
      <c r="H92" s="127">
        <f ca="1">G92/F20</f>
        <v>0</v>
      </c>
      <c r="I92" s="129">
        <f ca="1">I20+G92-Q76</f>
        <v>112741.7340466273</v>
      </c>
      <c r="J92" s="127">
        <f ca="1">I92/J20</f>
        <v>1.0885144013737851E-2</v>
      </c>
      <c r="K92" s="122">
        <f ca="1">J92/$J$95</f>
        <v>0.23482228019871315</v>
      </c>
      <c r="L92" s="130">
        <f ca="1">(J92-$J$95)*J20</f>
        <v>-367373.41495551215</v>
      </c>
      <c r="M92" s="128">
        <f ca="1">L92/M20-1</f>
        <v>8.7940949603570839</v>
      </c>
      <c r="P92" s="151"/>
    </row>
    <row r="93" spans="1:19" ht="13" x14ac:dyDescent="0.3">
      <c r="A93" s="118" t="s">
        <v>948</v>
      </c>
      <c r="C93" s="67" t="s">
        <v>529</v>
      </c>
      <c r="F93" s="52">
        <f t="shared" ca="1" si="22"/>
        <v>-4122956.2429203675</v>
      </c>
      <c r="G93" s="52" cm="1">
        <f t="array" aca="1" ref="G93" ca="1">INDIRECT("'Allocation by Rate'!"&amp;$A93&amp;G$2)</f>
        <v>348497.25</v>
      </c>
      <c r="H93" s="127">
        <f ca="1">G93/F21</f>
        <v>2.4988142923832113E-2</v>
      </c>
      <c r="I93" s="129">
        <f ca="1">I21+G93-Q77</f>
        <v>5240237.2470643912</v>
      </c>
      <c r="J93" s="127">
        <f ca="1">I93/J21</f>
        <v>0.31596693023415184</v>
      </c>
      <c r="K93" s="122">
        <f ca="1">J93/$J$95</f>
        <v>6.8162694890697226</v>
      </c>
      <c r="L93" s="130">
        <f ca="1">(J93-$J$95)*J21</f>
        <v>4471453.492920367</v>
      </c>
      <c r="M93" s="128">
        <f ca="1">L93/M21-1</f>
        <v>-3.8631991864793713E-2</v>
      </c>
      <c r="P93" s="151"/>
    </row>
    <row r="94" spans="1:19" ht="13" x14ac:dyDescent="0.3">
      <c r="C94" s="67"/>
      <c r="L94" s="51"/>
    </row>
    <row r="95" spans="1:19" ht="13" x14ac:dyDescent="0.3">
      <c r="C95" s="67" t="s">
        <v>1</v>
      </c>
      <c r="F95" s="123">
        <f t="shared" ref="F95:G95" ca="1" si="23">SUM(F91:F93)</f>
        <v>79731875.367291123</v>
      </c>
      <c r="G95" s="123">
        <f t="shared" ca="1" si="23"/>
        <v>79731875.367291138</v>
      </c>
      <c r="H95" s="127">
        <f ca="1">G95/F23</f>
        <v>7.4913759681252814E-2</v>
      </c>
      <c r="I95" s="123">
        <f ca="1">SUM(I91:I93)</f>
        <v>116010833.51699997</v>
      </c>
      <c r="J95" s="127">
        <f ca="1">I95/J23</f>
        <v>4.635481779891814E-2</v>
      </c>
      <c r="K95" s="122">
        <f ca="1">J95/$J$95</f>
        <v>1</v>
      </c>
      <c r="L95" s="123">
        <f ca="1">SUM(L86:L90,L92:L93)</f>
        <v>0</v>
      </c>
      <c r="P95" s="152"/>
    </row>
  </sheetData>
  <pageMargins left="0.5" right="0.5" top="0.5" bottom="0.5" header="0.5" footer="0.5"/>
  <pageSetup scale="82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471D8-B957-461D-A438-383C24AA1070}">
  <sheetPr>
    <tabColor rgb="FFFFFF00"/>
  </sheetPr>
  <dimension ref="B1:D31"/>
  <sheetViews>
    <sheetView topLeftCell="A18" workbookViewId="0">
      <selection activeCell="B26" sqref="B26"/>
    </sheetView>
  </sheetViews>
  <sheetFormatPr defaultRowHeight="14.5" x14ac:dyDescent="0.35"/>
  <cols>
    <col min="1" max="1" width="3.6328125" style="172" customWidth="1"/>
    <col min="2" max="2" width="10.6328125" style="171" customWidth="1"/>
    <col min="3" max="3" width="5.6328125" style="171" customWidth="1"/>
    <col min="4" max="4" width="5.7265625" style="172" customWidth="1"/>
    <col min="5" max="16384" width="8.7265625" style="172"/>
  </cols>
  <sheetData>
    <row r="1" spans="2:4" x14ac:dyDescent="0.35">
      <c r="B1" s="171">
        <v>0</v>
      </c>
    </row>
    <row r="2" spans="2:4" x14ac:dyDescent="0.35">
      <c r="B2" s="171">
        <v>1</v>
      </c>
    </row>
    <row r="3" spans="2:4" x14ac:dyDescent="0.35">
      <c r="B3" s="171" t="s">
        <v>1014</v>
      </c>
    </row>
    <row r="4" spans="2:4" ht="15" thickBot="1" x14ac:dyDescent="0.4">
      <c r="B4" s="170" t="s">
        <v>1015</v>
      </c>
    </row>
    <row r="5" spans="2:4" ht="15" thickBot="1" x14ac:dyDescent="0.4">
      <c r="B5" s="175">
        <v>1</v>
      </c>
      <c r="D5" s="173" t="s">
        <v>1033</v>
      </c>
    </row>
    <row r="6" spans="2:4" x14ac:dyDescent="0.35">
      <c r="D6" s="174" t="s">
        <v>999</v>
      </c>
    </row>
    <row r="7" spans="2:4" x14ac:dyDescent="0.35">
      <c r="B7" s="170"/>
      <c r="D7" s="174" t="s">
        <v>1000</v>
      </c>
    </row>
    <row r="8" spans="2:4" ht="15" thickBot="1" x14ac:dyDescent="0.4">
      <c r="B8" s="170"/>
    </row>
    <row r="9" spans="2:4" ht="15" thickBot="1" x14ac:dyDescent="0.4">
      <c r="B9" s="175">
        <v>0</v>
      </c>
      <c r="C9" s="171">
        <v>1</v>
      </c>
      <c r="D9" s="173" t="s">
        <v>997</v>
      </c>
    </row>
    <row r="10" spans="2:4" x14ac:dyDescent="0.35">
      <c r="D10" s="174" t="s">
        <v>998</v>
      </c>
    </row>
    <row r="11" spans="2:4" ht="15" thickBot="1" x14ac:dyDescent="0.4"/>
    <row r="12" spans="2:4" ht="15" thickBot="1" x14ac:dyDescent="0.4">
      <c r="B12" s="175">
        <v>0</v>
      </c>
      <c r="C12" s="171">
        <v>2</v>
      </c>
      <c r="D12" s="173" t="s">
        <v>1001</v>
      </c>
    </row>
    <row r="13" spans="2:4" x14ac:dyDescent="0.35">
      <c r="D13" s="174" t="s">
        <v>1002</v>
      </c>
    </row>
    <row r="14" spans="2:4" x14ac:dyDescent="0.35">
      <c r="D14" s="172" t="s">
        <v>1003</v>
      </c>
    </row>
    <row r="15" spans="2:4" ht="15" thickBot="1" x14ac:dyDescent="0.4"/>
    <row r="16" spans="2:4" ht="15" thickBot="1" x14ac:dyDescent="0.4">
      <c r="B16" s="175">
        <v>0</v>
      </c>
      <c r="C16" s="171">
        <v>3</v>
      </c>
      <c r="D16" s="173" t="s">
        <v>1004</v>
      </c>
    </row>
    <row r="17" spans="2:4" x14ac:dyDescent="0.35">
      <c r="D17" s="174" t="s">
        <v>1005</v>
      </c>
    </row>
    <row r="18" spans="2:4" x14ac:dyDescent="0.35">
      <c r="D18" s="174" t="s">
        <v>1006</v>
      </c>
    </row>
    <row r="19" spans="2:4" x14ac:dyDescent="0.35">
      <c r="D19" s="174" t="s">
        <v>1007</v>
      </c>
    </row>
    <row r="20" spans="2:4" ht="15" thickBot="1" x14ac:dyDescent="0.4"/>
    <row r="21" spans="2:4" ht="15" thickBot="1" x14ac:dyDescent="0.4">
      <c r="B21" s="175">
        <v>1</v>
      </c>
      <c r="C21" s="171">
        <v>4</v>
      </c>
      <c r="D21" s="173" t="s">
        <v>1018</v>
      </c>
    </row>
    <row r="22" spans="2:4" x14ac:dyDescent="0.35">
      <c r="D22" s="172" t="s">
        <v>1028</v>
      </c>
    </row>
    <row r="23" spans="2:4" x14ac:dyDescent="0.35">
      <c r="D23" s="172" t="s">
        <v>1029</v>
      </c>
    </row>
    <row r="24" spans="2:4" x14ac:dyDescent="0.35">
      <c r="D24" s="172" t="s">
        <v>1030</v>
      </c>
    </row>
    <row r="25" spans="2:4" ht="15" thickBot="1" x14ac:dyDescent="0.4"/>
    <row r="26" spans="2:4" ht="15" thickBot="1" x14ac:dyDescent="0.4">
      <c r="B26" s="175">
        <v>1</v>
      </c>
      <c r="C26" s="171">
        <v>5</v>
      </c>
      <c r="D26" s="173" t="s">
        <v>1016</v>
      </c>
    </row>
    <row r="27" spans="2:4" x14ac:dyDescent="0.35">
      <c r="D27" s="174" t="s">
        <v>1013</v>
      </c>
    </row>
    <row r="28" spans="2:4" x14ac:dyDescent="0.35">
      <c r="D28" s="174" t="s">
        <v>1021</v>
      </c>
    </row>
    <row r="29" spans="2:4" ht="15" thickBot="1" x14ac:dyDescent="0.4"/>
    <row r="30" spans="2:4" ht="15" thickBot="1" x14ac:dyDescent="0.4">
      <c r="B30" s="175">
        <v>0</v>
      </c>
      <c r="C30" s="171">
        <v>6</v>
      </c>
      <c r="D30" s="173" t="s">
        <v>1017</v>
      </c>
    </row>
    <row r="31" spans="2:4" x14ac:dyDescent="0.35">
      <c r="D31" s="172" t="s">
        <v>1020</v>
      </c>
    </row>
  </sheetData>
  <dataValidations count="1">
    <dataValidation type="list" allowBlank="1" showInputMessage="1" showErrorMessage="1" sqref="B5:B6 B9:B37" xr:uid="{106EB6F5-55A2-4BDD-B05D-D94ABC989806}">
      <formula1>$B$1:$B$2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9E9AB-716D-48DE-8273-7EEFE3135AC8}">
  <sheetPr>
    <tabColor rgb="FF002060"/>
  </sheetPr>
  <dimension ref="A4:O29"/>
  <sheetViews>
    <sheetView workbookViewId="0">
      <selection activeCell="H23" sqref="H23"/>
    </sheetView>
  </sheetViews>
  <sheetFormatPr defaultColWidth="8.7265625" defaultRowHeight="14" x14ac:dyDescent="0.3"/>
  <cols>
    <col min="1" max="1" width="23.1796875" style="2" bestFit="1" customWidth="1"/>
    <col min="2" max="2" width="13.7265625" style="2" customWidth="1"/>
    <col min="3" max="3" width="12.54296875" style="2" customWidth="1"/>
    <col min="4" max="5" width="15.54296875" style="2" bestFit="1" customWidth="1"/>
    <col min="6" max="6" width="21.26953125" style="2" customWidth="1"/>
    <col min="7" max="10" width="22.54296875" style="2" customWidth="1"/>
    <col min="11" max="11" width="25.54296875" style="2" customWidth="1"/>
    <col min="12" max="12" width="24.453125" style="2" customWidth="1"/>
    <col min="13" max="13" width="22.453125" style="2" customWidth="1"/>
    <col min="14" max="16384" width="8.7265625" style="2"/>
  </cols>
  <sheetData>
    <row r="4" spans="1:15" x14ac:dyDescent="0.3">
      <c r="A4" s="1"/>
      <c r="B4" s="1"/>
      <c r="C4" s="1"/>
      <c r="D4" s="1"/>
      <c r="E4" s="1"/>
      <c r="G4" s="73">
        <f>G7/$F7</f>
        <v>0.69797508222941729</v>
      </c>
      <c r="H4" s="73">
        <f>H7/$F7</f>
        <v>8.0537839261392699E-2</v>
      </c>
      <c r="I4" s="73">
        <f>I7/$F7</f>
        <v>3.2731481867702174E-2</v>
      </c>
      <c r="J4" s="73">
        <f>J7/$F7</f>
        <v>4.8583445188323117E-2</v>
      </c>
      <c r="K4" s="73">
        <f>K7/$F7</f>
        <v>0.10457600363143491</v>
      </c>
    </row>
    <row r="5" spans="1:15" x14ac:dyDescent="0.3">
      <c r="A5" s="3"/>
      <c r="B5" s="3"/>
      <c r="C5" s="3"/>
      <c r="D5" s="4"/>
      <c r="E5" s="5"/>
      <c r="F5" s="4" t="s">
        <v>1</v>
      </c>
      <c r="G5" s="61"/>
      <c r="H5" s="62"/>
      <c r="I5" s="61"/>
      <c r="J5" s="62"/>
      <c r="K5" s="4" t="s">
        <v>521</v>
      </c>
      <c r="L5" s="7" t="s">
        <v>522</v>
      </c>
    </row>
    <row r="6" spans="1:15" ht="14.5" thickBot="1" x14ac:dyDescent="0.35">
      <c r="A6" s="8" t="s">
        <v>7</v>
      </c>
      <c r="B6" s="8"/>
      <c r="C6" s="12"/>
      <c r="D6" s="9"/>
      <c r="E6" s="9"/>
      <c r="F6" s="10" t="s">
        <v>10</v>
      </c>
      <c r="G6" s="10" t="s">
        <v>524</v>
      </c>
      <c r="H6" s="10" t="s">
        <v>525</v>
      </c>
      <c r="I6" s="10" t="s">
        <v>526</v>
      </c>
      <c r="J6" s="10" t="s">
        <v>527</v>
      </c>
      <c r="K6" s="10" t="s">
        <v>522</v>
      </c>
      <c r="L6" s="10" t="s">
        <v>528</v>
      </c>
      <c r="M6" s="10" t="s">
        <v>529</v>
      </c>
    </row>
    <row r="7" spans="1:15" x14ac:dyDescent="0.3">
      <c r="A7" s="2" t="s">
        <v>122</v>
      </c>
      <c r="B7" s="2" t="s">
        <v>888</v>
      </c>
      <c r="F7" s="43">
        <v>13292869958</v>
      </c>
      <c r="G7" s="43">
        <v>9278092002</v>
      </c>
      <c r="H7" s="43">
        <v>1070579024</v>
      </c>
      <c r="I7" s="43">
        <v>435095332</v>
      </c>
      <c r="J7" s="43">
        <v>645813419</v>
      </c>
      <c r="K7" s="43">
        <v>1390115217</v>
      </c>
      <c r="L7" s="43">
        <v>277431452</v>
      </c>
      <c r="M7" s="43">
        <v>195743512</v>
      </c>
      <c r="O7" s="22">
        <f>F7-SUM(G7:M7)</f>
        <v>0</v>
      </c>
    </row>
    <row r="8" spans="1:15" x14ac:dyDescent="0.3">
      <c r="B8" s="2" t="s">
        <v>889</v>
      </c>
      <c r="F8" s="22">
        <f>SUM(G8:M8)</f>
        <v>0</v>
      </c>
      <c r="G8" s="102">
        <f>'T-8,9 Weather Normalization'!$G116</f>
        <v>0</v>
      </c>
      <c r="H8" s="102">
        <f>'T-8,9 Weather Normalization'!$G117</f>
        <v>0</v>
      </c>
      <c r="I8" s="102">
        <f>'T-8,9 Weather Normalization'!$G118</f>
        <v>0</v>
      </c>
      <c r="J8" s="102">
        <f>'T-8,9 Weather Normalization'!$G119</f>
        <v>0</v>
      </c>
    </row>
    <row r="9" spans="1:15" x14ac:dyDescent="0.3">
      <c r="A9" s="2" t="s">
        <v>122</v>
      </c>
      <c r="B9" s="2" t="s">
        <v>890</v>
      </c>
      <c r="F9" s="22">
        <f>F7+F8</f>
        <v>13292869958</v>
      </c>
      <c r="G9" s="22">
        <f>G7+G8</f>
        <v>9278092002</v>
      </c>
      <c r="H9" s="22">
        <f t="shared" ref="H9:M9" si="0">H7+H8</f>
        <v>1070579024</v>
      </c>
      <c r="I9" s="22">
        <f t="shared" si="0"/>
        <v>435095332</v>
      </c>
      <c r="J9" s="22">
        <f t="shared" si="0"/>
        <v>645813419</v>
      </c>
      <c r="K9" s="22">
        <f t="shared" si="0"/>
        <v>1390115217</v>
      </c>
      <c r="L9" s="22">
        <f t="shared" si="0"/>
        <v>277431452</v>
      </c>
      <c r="M9" s="22">
        <f t="shared" si="0"/>
        <v>195743512</v>
      </c>
      <c r="O9" s="22">
        <f>F9-SUM(G9:M9)</f>
        <v>0</v>
      </c>
    </row>
    <row r="11" spans="1:15" x14ac:dyDescent="0.3">
      <c r="F11" s="22"/>
    </row>
    <row r="12" spans="1:15" x14ac:dyDescent="0.3">
      <c r="A12" s="2" t="s">
        <v>774</v>
      </c>
      <c r="B12" s="2" t="s">
        <v>888</v>
      </c>
      <c r="F12" s="43">
        <v>2799963.5109000001</v>
      </c>
      <c r="G12" s="43">
        <v>2170713.25</v>
      </c>
      <c r="H12" s="43">
        <v>177628.52739999999</v>
      </c>
      <c r="I12" s="43">
        <v>63217.178699999997</v>
      </c>
      <c r="J12" s="43">
        <v>90837.554799999984</v>
      </c>
      <c r="K12" s="43">
        <v>297567</v>
      </c>
      <c r="L12" s="43"/>
      <c r="M12" s="43"/>
      <c r="O12" s="22">
        <f>F12-SUM(G12:M12)</f>
        <v>0</v>
      </c>
    </row>
    <row r="13" spans="1:15" x14ac:dyDescent="0.3">
      <c r="A13" s="2" t="s">
        <v>891</v>
      </c>
      <c r="B13" s="2" t="s">
        <v>888</v>
      </c>
      <c r="F13" s="38">
        <f>F7/8760/F12</f>
        <v>0.54195381566230849</v>
      </c>
      <c r="G13" s="38">
        <f t="shared" ref="G13:K13" si="1">G7/8760/G12</f>
        <v>0.48792392205775664</v>
      </c>
      <c r="H13" s="38">
        <f t="shared" si="1"/>
        <v>0.68802133947994537</v>
      </c>
      <c r="I13" s="38">
        <f t="shared" si="1"/>
        <v>0.78567911312019956</v>
      </c>
      <c r="J13" s="38">
        <f t="shared" si="1"/>
        <v>0.81159156252992504</v>
      </c>
      <c r="K13" s="38">
        <f t="shared" si="1"/>
        <v>0.53328813918320506</v>
      </c>
    </row>
    <row r="14" spans="1:15" s="19" customFormat="1" x14ac:dyDescent="0.3">
      <c r="A14" s="19" t="s">
        <v>774</v>
      </c>
      <c r="B14" s="19" t="s">
        <v>890</v>
      </c>
      <c r="F14" s="19">
        <f>SUM(G14:K14)</f>
        <v>2812139.5646000002</v>
      </c>
      <c r="G14" s="102">
        <f>'T-8,9 Weather Normalization'!D98*10^3</f>
        <v>2170713.25</v>
      </c>
      <c r="H14" s="102">
        <f>'T-8,9 Weather Normalization'!E98*10^3</f>
        <v>177628.52739999999</v>
      </c>
      <c r="I14" s="102">
        <f>'T-8,9 Weather Normalization'!F98*10^3</f>
        <v>63217.178699999997</v>
      </c>
      <c r="J14" s="102">
        <f>IF(G_NCP,'T-8,9 Weather Normalization'!G98*10^3,'T-8,9 Weather Normalization'!H98*10^3)</f>
        <v>103013.6085</v>
      </c>
      <c r="K14" s="19">
        <f t="shared" ref="K14" si="2">K12</f>
        <v>297567</v>
      </c>
    </row>
    <row r="15" spans="1:15" ht="14.5" thickBot="1" x14ac:dyDescent="0.35">
      <c r="A15" s="2" t="s">
        <v>891</v>
      </c>
      <c r="B15" s="2" t="s">
        <v>890</v>
      </c>
      <c r="F15" s="101">
        <f>F9/8760/F14</f>
        <v>0.53960725404584653</v>
      </c>
      <c r="G15" s="101">
        <f>G9/8760/G14</f>
        <v>0.48792392205775664</v>
      </c>
      <c r="H15" s="101">
        <f t="shared" ref="H15:K15" si="3">H9/8760/H14</f>
        <v>0.68802133947994537</v>
      </c>
      <c r="I15" s="101">
        <f t="shared" si="3"/>
        <v>0.78567911312019956</v>
      </c>
      <c r="J15" s="101">
        <f t="shared" si="3"/>
        <v>0.71566265962355524</v>
      </c>
      <c r="K15" s="101">
        <f t="shared" si="3"/>
        <v>0.53328813918320506</v>
      </c>
    </row>
    <row r="16" spans="1:15" ht="20.149999999999999" customHeight="1" x14ac:dyDescent="0.3">
      <c r="A16" s="2" t="s">
        <v>774</v>
      </c>
      <c r="B16" s="2" t="s">
        <v>890</v>
      </c>
      <c r="C16" s="181" t="s">
        <v>1031</v>
      </c>
      <c r="D16" s="182"/>
      <c r="E16" s="183"/>
      <c r="F16" s="184">
        <f>F9/8760/F15</f>
        <v>2812139.5646000006</v>
      </c>
      <c r="G16" s="184">
        <f t="shared" ref="G16:K16" si="4">G9/8760/G15</f>
        <v>2170713.25</v>
      </c>
      <c r="H16" s="184">
        <f t="shared" si="4"/>
        <v>177628.52739999999</v>
      </c>
      <c r="I16" s="184">
        <f t="shared" si="4"/>
        <v>63217.178699999997</v>
      </c>
      <c r="J16" s="184">
        <f t="shared" si="4"/>
        <v>103013.6085</v>
      </c>
      <c r="K16" s="185">
        <f t="shared" si="4"/>
        <v>297567</v>
      </c>
      <c r="O16" s="22">
        <f>F16-SUM(G16:M16)</f>
        <v>0</v>
      </c>
    </row>
    <row r="17" spans="1:15" ht="14.5" thickBot="1" x14ac:dyDescent="0.35">
      <c r="A17" s="2" t="s">
        <v>12</v>
      </c>
      <c r="B17" s="2" t="s">
        <v>890</v>
      </c>
      <c r="C17" s="186" t="s">
        <v>1032</v>
      </c>
      <c r="D17" s="187"/>
      <c r="E17" s="188"/>
      <c r="F17" s="189">
        <f>SUM(G9:K9)/8760</f>
        <v>1463435.5015981735</v>
      </c>
      <c r="G17" s="189">
        <f t="shared" ref="G17:K17" si="5">G9/8760</f>
        <v>1059142.9226027397</v>
      </c>
      <c r="H17" s="189">
        <f t="shared" si="5"/>
        <v>122212.21735159817</v>
      </c>
      <c r="I17" s="189">
        <f t="shared" si="5"/>
        <v>49668.41689497717</v>
      </c>
      <c r="J17" s="189">
        <f t="shared" si="5"/>
        <v>73722.993036529675</v>
      </c>
      <c r="K17" s="190">
        <f t="shared" si="5"/>
        <v>158688.95171232877</v>
      </c>
      <c r="O17" s="22">
        <f>F17-SUM(G17:M17)</f>
        <v>0</v>
      </c>
    </row>
    <row r="21" spans="1:15" s="63" customFormat="1" x14ac:dyDescent="0.3">
      <c r="F21" s="262" t="s">
        <v>895</v>
      </c>
      <c r="G21" s="262"/>
      <c r="H21" s="262"/>
    </row>
    <row r="22" spans="1:15" s="63" customFormat="1" x14ac:dyDescent="0.3">
      <c r="F22" s="63" t="s">
        <v>888</v>
      </c>
      <c r="G22" s="63" t="s">
        <v>901</v>
      </c>
      <c r="H22" s="63" t="s">
        <v>890</v>
      </c>
    </row>
    <row r="23" spans="1:15" x14ac:dyDescent="0.3">
      <c r="E23" s="104" t="s">
        <v>892</v>
      </c>
      <c r="F23" s="52">
        <v>2707000</v>
      </c>
      <c r="G23" s="102">
        <f>'T-8,9 Weather Normalization'!F25*10^3</f>
        <v>0</v>
      </c>
      <c r="H23" s="22">
        <f>F23+G23</f>
        <v>2707000</v>
      </c>
    </row>
    <row r="24" spans="1:15" x14ac:dyDescent="0.3">
      <c r="E24" s="104" t="s">
        <v>893</v>
      </c>
      <c r="F24" s="52">
        <v>13097325794</v>
      </c>
      <c r="G24" s="102">
        <f>'T-8,9 Weather Normalization'!F8*10^3</f>
        <v>0</v>
      </c>
      <c r="H24" s="22">
        <f>F24+G24</f>
        <v>13097325794</v>
      </c>
    </row>
    <row r="25" spans="1:15" x14ac:dyDescent="0.3">
      <c r="E25" s="104" t="s">
        <v>894</v>
      </c>
      <c r="F25" s="103">
        <f>ROUND(F24/(F23*8760),6)</f>
        <v>0.552319</v>
      </c>
      <c r="H25" s="103">
        <f>ROUND(H24/(H23*8760),6)</f>
        <v>0.552319</v>
      </c>
    </row>
    <row r="28" spans="1:15" x14ac:dyDescent="0.3">
      <c r="E28" s="2" t="s">
        <v>930</v>
      </c>
      <c r="G28" s="38">
        <f>G17/$F17</f>
        <v>0.72373734369986364</v>
      </c>
      <c r="H28" s="38">
        <f t="shared" ref="H28:K28" si="6">H17/$F17</f>
        <v>8.3510491045306681E-2</v>
      </c>
      <c r="I28" s="38">
        <f t="shared" si="6"/>
        <v>3.3939600919026355E-2</v>
      </c>
      <c r="J28" s="38">
        <f t="shared" si="6"/>
        <v>5.0376660232732517E-2</v>
      </c>
      <c r="K28" s="38">
        <f t="shared" si="6"/>
        <v>0.10843590410307073</v>
      </c>
    </row>
    <row r="29" spans="1:15" x14ac:dyDescent="0.3">
      <c r="E29" s="2" t="s">
        <v>931</v>
      </c>
      <c r="G29" s="38">
        <f>(G16-G17)/($F$16-$F$17)</f>
        <v>0.82417659877380711</v>
      </c>
      <c r="H29" s="38">
        <f t="shared" ref="H29:K29" si="7">(H16-H17)/($F$16-$F$17)</f>
        <v>4.1088561656039697E-2</v>
      </c>
      <c r="I29" s="38">
        <f t="shared" si="7"/>
        <v>1.0045763319543341E-2</v>
      </c>
      <c r="J29" s="38">
        <f t="shared" si="7"/>
        <v>2.171760007772042E-2</v>
      </c>
      <c r="K29" s="38">
        <f t="shared" si="7"/>
        <v>0.102971476172889</v>
      </c>
    </row>
  </sheetData>
  <mergeCells count="1">
    <mergeCell ref="F21:H2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15BC6-5995-4718-B1CD-9DF6D26BF925}">
  <sheetPr>
    <tabColor rgb="FF002060"/>
    <pageSetUpPr fitToPage="1"/>
  </sheetPr>
  <dimension ref="B1:Y139"/>
  <sheetViews>
    <sheetView showGridLines="0" topLeftCell="A12" workbookViewId="0">
      <selection activeCell="I23" sqref="I23"/>
    </sheetView>
  </sheetViews>
  <sheetFormatPr defaultColWidth="8.7265625" defaultRowHeight="14.5" x14ac:dyDescent="0.35"/>
  <cols>
    <col min="1" max="1" width="3.54296875" style="98" customWidth="1"/>
    <col min="2" max="2" width="5.54296875" style="110" customWidth="1"/>
    <col min="3" max="3" width="8.7265625" style="98"/>
    <col min="4" max="4" width="13.54296875" style="98" bestFit="1" customWidth="1"/>
    <col min="5" max="5" width="14.453125" style="98" bestFit="1" customWidth="1"/>
    <col min="6" max="6" width="13.7265625" style="98" customWidth="1"/>
    <col min="7" max="7" width="14.26953125" style="98" bestFit="1" customWidth="1"/>
    <col min="8" max="8" width="13.26953125" style="98" customWidth="1"/>
    <col min="9" max="9" width="14.81640625" style="98" customWidth="1"/>
    <col min="10" max="10" width="12.54296875" style="98" customWidth="1"/>
    <col min="11" max="11" width="12.7265625" style="98" customWidth="1"/>
    <col min="12" max="12" width="13.81640625" style="98" customWidth="1"/>
    <col min="13" max="18" width="8.7265625" style="98"/>
    <col min="19" max="19" width="14.36328125" style="98" customWidth="1"/>
    <col min="20" max="20" width="13.08984375" style="98" customWidth="1"/>
    <col min="21" max="21" width="4.1796875" style="98" customWidth="1"/>
    <col min="22" max="22" width="11.81640625" style="98" customWidth="1"/>
    <col min="23" max="16384" width="8.7265625" style="98"/>
  </cols>
  <sheetData>
    <row r="1" spans="2:16" x14ac:dyDescent="0.35">
      <c r="C1" s="98" t="s">
        <v>835</v>
      </c>
    </row>
    <row r="2" spans="2:16" x14ac:dyDescent="0.35">
      <c r="C2" s="98" t="s">
        <v>896</v>
      </c>
    </row>
    <row r="3" spans="2:16" x14ac:dyDescent="0.35">
      <c r="C3" s="98" t="s">
        <v>897</v>
      </c>
    </row>
    <row r="5" spans="2:16" x14ac:dyDescent="0.35">
      <c r="B5" s="110" t="s">
        <v>922</v>
      </c>
      <c r="C5" s="111" t="s">
        <v>898</v>
      </c>
    </row>
    <row r="6" spans="2:16" ht="20.149999999999999" customHeight="1" x14ac:dyDescent="0.35">
      <c r="D6" s="107"/>
      <c r="E6" s="107" t="s">
        <v>902</v>
      </c>
      <c r="F6" s="107"/>
    </row>
    <row r="7" spans="2:16" x14ac:dyDescent="0.35">
      <c r="D7" s="107" t="s">
        <v>900</v>
      </c>
      <c r="E7" s="107" t="s">
        <v>903</v>
      </c>
      <c r="F7" s="107" t="s">
        <v>901</v>
      </c>
    </row>
    <row r="8" spans="2:16" x14ac:dyDescent="0.35">
      <c r="C8" s="98" t="s">
        <v>899</v>
      </c>
      <c r="D8" s="98">
        <v>13465331.261000007</v>
      </c>
      <c r="E8" s="98">
        <v>14221993.300000001</v>
      </c>
      <c r="F8" s="98">
        <f>IF(WN,E8-D8,0)</f>
        <v>0</v>
      </c>
      <c r="H8" s="99">
        <f>F8/D8</f>
        <v>0</v>
      </c>
    </row>
    <row r="10" spans="2:16" x14ac:dyDescent="0.35">
      <c r="B10" s="110" t="s">
        <v>923</v>
      </c>
      <c r="C10" s="111" t="s">
        <v>904</v>
      </c>
    </row>
    <row r="11" spans="2:16" s="107" customFormat="1" ht="28" customHeight="1" x14ac:dyDescent="0.35">
      <c r="B11" s="110"/>
      <c r="E11" s="107" t="s">
        <v>902</v>
      </c>
      <c r="F11" s="107" t="s">
        <v>927</v>
      </c>
      <c r="H11" s="235" t="s">
        <v>1062</v>
      </c>
      <c r="I11" s="236"/>
      <c r="J11" s="236"/>
      <c r="K11" s="236"/>
    </row>
    <row r="12" spans="2:16" s="107" customFormat="1" x14ac:dyDescent="0.35">
      <c r="B12" s="110"/>
      <c r="D12" s="107" t="s">
        <v>905</v>
      </c>
      <c r="E12" s="107" t="s">
        <v>907</v>
      </c>
      <c r="F12" s="107" t="s">
        <v>901</v>
      </c>
    </row>
    <row r="13" spans="2:16" x14ac:dyDescent="0.35">
      <c r="C13" s="98" t="s">
        <v>908</v>
      </c>
      <c r="D13" s="109">
        <v>2546</v>
      </c>
      <c r="E13" s="109">
        <v>3433</v>
      </c>
      <c r="F13" s="106">
        <f t="shared" ref="F13:F25" si="0">IF(WN,E13-D13,0)</f>
        <v>0</v>
      </c>
      <c r="H13" s="98" t="s">
        <v>906</v>
      </c>
    </row>
    <row r="14" spans="2:16" x14ac:dyDescent="0.35">
      <c r="C14" s="98" t="s">
        <v>909</v>
      </c>
      <c r="D14" s="109">
        <v>2561.8069999999998</v>
      </c>
      <c r="E14" s="237">
        <v>3250.3029999999994</v>
      </c>
      <c r="F14" s="106">
        <f t="shared" si="0"/>
        <v>0</v>
      </c>
      <c r="H14" s="108" t="s">
        <v>920</v>
      </c>
      <c r="P14" s="242"/>
    </row>
    <row r="15" spans="2:16" x14ac:dyDescent="0.35">
      <c r="C15" s="98" t="s">
        <v>910</v>
      </c>
      <c r="D15" s="217">
        <v>2706.8910000000001</v>
      </c>
      <c r="E15" s="109">
        <v>2970</v>
      </c>
      <c r="F15" s="106">
        <f t="shared" si="0"/>
        <v>0</v>
      </c>
    </row>
    <row r="16" spans="2:16" x14ac:dyDescent="0.35">
      <c r="C16" s="98" t="s">
        <v>911</v>
      </c>
      <c r="D16" s="109">
        <v>1961.855</v>
      </c>
      <c r="E16" s="109">
        <v>2347</v>
      </c>
      <c r="F16" s="106">
        <f t="shared" si="0"/>
        <v>0</v>
      </c>
    </row>
    <row r="17" spans="2:16" x14ac:dyDescent="0.35">
      <c r="C17" s="98" t="s">
        <v>912</v>
      </c>
      <c r="D17" s="109">
        <v>2017.3109999999999</v>
      </c>
      <c r="E17" s="109">
        <v>2050</v>
      </c>
      <c r="F17" s="106">
        <f t="shared" si="0"/>
        <v>0</v>
      </c>
    </row>
    <row r="18" spans="2:16" x14ac:dyDescent="0.35">
      <c r="C18" s="98" t="s">
        <v>913</v>
      </c>
      <c r="D18" s="109">
        <v>2093.5329999999999</v>
      </c>
      <c r="E18" s="109">
        <v>2319</v>
      </c>
      <c r="F18" s="106">
        <f t="shared" si="0"/>
        <v>0</v>
      </c>
    </row>
    <row r="19" spans="2:16" x14ac:dyDescent="0.35">
      <c r="C19" s="98" t="s">
        <v>914</v>
      </c>
      <c r="D19" s="109">
        <v>2497.174</v>
      </c>
      <c r="E19" s="109">
        <v>2636</v>
      </c>
      <c r="F19" s="106">
        <f t="shared" si="0"/>
        <v>0</v>
      </c>
    </row>
    <row r="20" spans="2:16" x14ac:dyDescent="0.35">
      <c r="C20" s="98" t="s">
        <v>915</v>
      </c>
      <c r="D20" s="109">
        <v>2498.42</v>
      </c>
      <c r="E20" s="109">
        <v>2414</v>
      </c>
      <c r="F20" s="106">
        <f t="shared" si="0"/>
        <v>0</v>
      </c>
    </row>
    <row r="21" spans="2:16" x14ac:dyDescent="0.35">
      <c r="C21" s="98" t="s">
        <v>916</v>
      </c>
      <c r="D21" s="109">
        <v>2281.06</v>
      </c>
      <c r="E21" s="109">
        <v>2288</v>
      </c>
      <c r="F21" s="106">
        <f t="shared" si="0"/>
        <v>0</v>
      </c>
    </row>
    <row r="22" spans="2:16" x14ac:dyDescent="0.35">
      <c r="C22" s="98" t="s">
        <v>917</v>
      </c>
      <c r="D22" s="109">
        <v>2023.9849999999999</v>
      </c>
      <c r="E22" s="109">
        <v>1938</v>
      </c>
      <c r="F22" s="106">
        <f t="shared" si="0"/>
        <v>0</v>
      </c>
    </row>
    <row r="23" spans="2:16" x14ac:dyDescent="0.35">
      <c r="C23" s="98" t="s">
        <v>918</v>
      </c>
      <c r="D23" s="109">
        <v>2668.54</v>
      </c>
      <c r="E23" s="109">
        <v>2629</v>
      </c>
      <c r="F23" s="106">
        <f t="shared" si="0"/>
        <v>0</v>
      </c>
    </row>
    <row r="24" spans="2:16" ht="16" x14ac:dyDescent="0.5">
      <c r="C24" s="98" t="s">
        <v>919</v>
      </c>
      <c r="D24" s="109">
        <v>2677.4450000000002</v>
      </c>
      <c r="E24" s="109">
        <v>3186</v>
      </c>
      <c r="F24" s="106">
        <f t="shared" si="0"/>
        <v>0</v>
      </c>
      <c r="O24" s="241"/>
      <c r="P24" s="241"/>
    </row>
    <row r="25" spans="2:16" ht="16" x14ac:dyDescent="0.5">
      <c r="C25" s="98" t="s">
        <v>921</v>
      </c>
      <c r="D25" s="106">
        <f>ROUND(MAX(D13:D24),0)</f>
        <v>2707</v>
      </c>
      <c r="E25" s="238">
        <f>ROUND(MAX(E13:E24),0)</f>
        <v>3433</v>
      </c>
      <c r="F25" s="180">
        <f t="shared" si="0"/>
        <v>0</v>
      </c>
    </row>
    <row r="26" spans="2:16" x14ac:dyDescent="0.35">
      <c r="C26" s="98" t="s">
        <v>1</v>
      </c>
      <c r="E26" s="98">
        <f>SUM(E13:E24)</f>
        <v>31460.303</v>
      </c>
      <c r="F26" s="156">
        <f>SUM(F13:F24)</f>
        <v>0</v>
      </c>
    </row>
    <row r="27" spans="2:16" x14ac:dyDescent="0.35">
      <c r="C27" s="116" t="s">
        <v>970</v>
      </c>
      <c r="D27" s="117">
        <f>D8/8760/D25</f>
        <v>0.56783829767405014</v>
      </c>
      <c r="E27" s="117">
        <f>E8/8760/E25</f>
        <v>0.47291442379696397</v>
      </c>
    </row>
    <row r="29" spans="2:16" x14ac:dyDescent="0.35">
      <c r="C29" s="153"/>
      <c r="D29" s="135"/>
      <c r="E29" s="136"/>
      <c r="F29" s="157" t="s">
        <v>971</v>
      </c>
      <c r="H29" s="137" t="s">
        <v>960</v>
      </c>
    </row>
    <row r="30" spans="2:16" x14ac:dyDescent="0.35">
      <c r="C30" s="153"/>
      <c r="D30" s="153"/>
      <c r="E30" s="153"/>
      <c r="F30" s="154"/>
      <c r="G30" s="155"/>
      <c r="H30" s="216" t="s">
        <v>1042</v>
      </c>
      <c r="I30" s="167"/>
      <c r="J30" s="167"/>
      <c r="K30" s="167"/>
    </row>
    <row r="32" spans="2:16" x14ac:dyDescent="0.35">
      <c r="B32" s="110" t="s">
        <v>924</v>
      </c>
      <c r="C32" s="111" t="s">
        <v>985</v>
      </c>
    </row>
    <row r="33" spans="3:16" x14ac:dyDescent="0.35">
      <c r="C33" s="98" t="s">
        <v>925</v>
      </c>
    </row>
    <row r="35" spans="3:16" s="107" customFormat="1" x14ac:dyDescent="0.35">
      <c r="D35" s="264" t="s">
        <v>1010</v>
      </c>
      <c r="E35" s="264"/>
      <c r="F35" s="264"/>
      <c r="G35" s="264"/>
      <c r="K35" s="98"/>
      <c r="L35" s="169" t="s">
        <v>974</v>
      </c>
      <c r="M35" s="169"/>
      <c r="N35" s="169"/>
      <c r="O35" s="169"/>
      <c r="P35" s="98"/>
    </row>
    <row r="36" spans="3:16" s="107" customFormat="1" x14ac:dyDescent="0.35">
      <c r="D36" s="158" t="s">
        <v>524</v>
      </c>
      <c r="E36" s="158" t="s">
        <v>525</v>
      </c>
      <c r="F36" s="158" t="s">
        <v>526</v>
      </c>
      <c r="G36" s="158" t="s">
        <v>527</v>
      </c>
      <c r="H36" s="158" t="s">
        <v>1008</v>
      </c>
      <c r="I36" s="158" t="s">
        <v>1009</v>
      </c>
      <c r="J36" s="107" t="s">
        <v>1</v>
      </c>
      <c r="K36" s="98"/>
      <c r="L36" s="158" t="s">
        <v>524</v>
      </c>
      <c r="M36" s="158" t="s">
        <v>525</v>
      </c>
      <c r="N36" s="158" t="s">
        <v>526</v>
      </c>
      <c r="O36" s="158" t="s">
        <v>527</v>
      </c>
      <c r="P36" s="98"/>
    </row>
    <row r="37" spans="3:16" x14ac:dyDescent="0.35">
      <c r="C37" s="98" t="s">
        <v>908</v>
      </c>
      <c r="D37" s="106">
        <v>1967.2470937999999</v>
      </c>
      <c r="E37" s="112">
        <v>143.38350009999999</v>
      </c>
      <c r="F37" s="112">
        <v>51.369315499999999</v>
      </c>
      <c r="G37" s="112">
        <v>76.00225189999901</v>
      </c>
      <c r="H37" s="112">
        <v>185.59502939999999</v>
      </c>
      <c r="I37" s="112">
        <v>18.7171644999999</v>
      </c>
      <c r="J37" s="106">
        <f>SUM(D37:I37)</f>
        <v>2442.3143551999988</v>
      </c>
      <c r="L37" s="159">
        <f t="shared" ref="L37:L48" si="1">D37/SUM($D37:$G37)</f>
        <v>0.87901930025718822</v>
      </c>
      <c r="M37" s="159">
        <f t="shared" ref="M37:M48" si="2">E37/SUM($D37:$G37)</f>
        <v>6.4067632542728264E-2</v>
      </c>
      <c r="N37" s="159">
        <f t="shared" ref="N37:N48" si="3">F37/SUM($D37:$G37)</f>
        <v>2.2953201917446254E-2</v>
      </c>
      <c r="O37" s="159">
        <f t="shared" ref="O37:O48" si="4">G37/SUM($D37:$G37)</f>
        <v>3.3959865282637267E-2</v>
      </c>
    </row>
    <row r="38" spans="3:16" x14ac:dyDescent="0.35">
      <c r="C38" s="98" t="s">
        <v>909</v>
      </c>
      <c r="D38" s="106">
        <v>2137.2093749999999</v>
      </c>
      <c r="E38" s="112">
        <v>124.18392</v>
      </c>
      <c r="F38" s="112">
        <v>28.036381800000001</v>
      </c>
      <c r="G38" s="112">
        <v>75.447642700001012</v>
      </c>
      <c r="H38" s="112">
        <v>112.879978499999</v>
      </c>
      <c r="I38" s="112">
        <v>5.4704571</v>
      </c>
      <c r="J38" s="106">
        <f t="shared" ref="J38:J48" si="5">SUM(D38:I38)</f>
        <v>2483.2277551000002</v>
      </c>
      <c r="L38" s="159">
        <f t="shared" si="1"/>
        <v>0.9037294904802351</v>
      </c>
      <c r="M38" s="159">
        <f t="shared" si="2"/>
        <v>5.2511781045054738E-2</v>
      </c>
      <c r="N38" s="159">
        <f t="shared" si="3"/>
        <v>1.1855321867574785E-2</v>
      </c>
      <c r="O38" s="159">
        <f t="shared" si="4"/>
        <v>3.1903406607135414E-2</v>
      </c>
    </row>
    <row r="39" spans="3:16" x14ac:dyDescent="0.35">
      <c r="C39" s="98" t="s">
        <v>910</v>
      </c>
      <c r="D39" s="106">
        <v>2170.7132499999998</v>
      </c>
      <c r="E39" s="112">
        <v>141.77548049999999</v>
      </c>
      <c r="F39" s="112">
        <v>51.7409745</v>
      </c>
      <c r="G39" s="112">
        <v>64.577984199999008</v>
      </c>
      <c r="H39" s="112">
        <v>160.1435372</v>
      </c>
      <c r="I39" s="112">
        <v>19.081817100000002</v>
      </c>
      <c r="J39" s="106">
        <f t="shared" si="5"/>
        <v>2608.0330434999987</v>
      </c>
      <c r="L39" s="159">
        <f t="shared" si="1"/>
        <v>0.89373615690215058</v>
      </c>
      <c r="M39" s="159">
        <f t="shared" si="2"/>
        <v>5.8372460335341755E-2</v>
      </c>
      <c r="N39" s="159">
        <f t="shared" si="3"/>
        <v>2.1303034707141618E-2</v>
      </c>
      <c r="O39" s="159">
        <f t="shared" si="4"/>
        <v>2.6588348055366098E-2</v>
      </c>
    </row>
    <row r="40" spans="3:16" x14ac:dyDescent="0.35">
      <c r="C40" s="98" t="s">
        <v>911</v>
      </c>
      <c r="D40" s="106">
        <v>1346.9400000999999</v>
      </c>
      <c r="E40" s="112">
        <v>122.72972849999999</v>
      </c>
      <c r="F40" s="112">
        <v>53.866878</v>
      </c>
      <c r="G40" s="112">
        <v>78.745496000000003</v>
      </c>
      <c r="H40" s="112">
        <v>253.74268369999999</v>
      </c>
      <c r="I40" s="112">
        <v>32.562268899999999</v>
      </c>
      <c r="J40" s="106">
        <f t="shared" si="5"/>
        <v>1888.5870551999999</v>
      </c>
      <c r="L40" s="159">
        <f t="shared" si="1"/>
        <v>0.84063848551658904</v>
      </c>
      <c r="M40" s="159">
        <f t="shared" si="2"/>
        <v>7.6596829173120162E-2</v>
      </c>
      <c r="N40" s="159">
        <f t="shared" si="3"/>
        <v>3.3618847712641238E-2</v>
      </c>
      <c r="O40" s="159">
        <f t="shared" si="4"/>
        <v>4.9145837597649518E-2</v>
      </c>
    </row>
    <row r="41" spans="3:16" x14ac:dyDescent="0.35">
      <c r="C41" s="98" t="s">
        <v>912</v>
      </c>
      <c r="D41" s="106">
        <v>1467.5441251</v>
      </c>
      <c r="E41" s="112">
        <v>134.16333989999899</v>
      </c>
      <c r="F41" s="112">
        <v>52.058084000000001</v>
      </c>
      <c r="G41" s="112">
        <v>52.433626899999012</v>
      </c>
      <c r="H41" s="112">
        <v>232.18474029999999</v>
      </c>
      <c r="I41" s="112">
        <v>26.424085199999901</v>
      </c>
      <c r="J41" s="106">
        <f t="shared" si="5"/>
        <v>1964.8080013999977</v>
      </c>
      <c r="L41" s="159">
        <f t="shared" si="1"/>
        <v>0.86012474148915785</v>
      </c>
      <c r="M41" s="159">
        <f t="shared" si="2"/>
        <v>7.8632871117892536E-2</v>
      </c>
      <c r="N41" s="159">
        <f t="shared" si="3"/>
        <v>3.0511141216874656E-2</v>
      </c>
      <c r="O41" s="159">
        <f t="shared" si="4"/>
        <v>3.0731246176074933E-2</v>
      </c>
    </row>
    <row r="42" spans="3:16" x14ac:dyDescent="0.35">
      <c r="C42" s="98" t="s">
        <v>913</v>
      </c>
      <c r="D42" s="106">
        <v>1525.9377502</v>
      </c>
      <c r="E42" s="112">
        <v>127.8979179</v>
      </c>
      <c r="F42" s="112">
        <v>48.492415100000002</v>
      </c>
      <c r="G42" s="112">
        <v>55.466398499999968</v>
      </c>
      <c r="H42" s="112">
        <v>236.40364840000001</v>
      </c>
      <c r="I42" s="112">
        <v>34.516774400000003</v>
      </c>
      <c r="J42" s="106">
        <f t="shared" si="5"/>
        <v>2028.7149045000001</v>
      </c>
      <c r="L42" s="159">
        <f t="shared" si="1"/>
        <v>0.86809792958516596</v>
      </c>
      <c r="M42" s="159">
        <f t="shared" si="2"/>
        <v>7.276045022982848E-2</v>
      </c>
      <c r="N42" s="159">
        <f t="shared" si="3"/>
        <v>2.7587078924665852E-2</v>
      </c>
      <c r="O42" s="159">
        <f t="shared" si="4"/>
        <v>3.155454126033963E-2</v>
      </c>
    </row>
    <row r="43" spans="3:16" x14ac:dyDescent="0.35">
      <c r="C43" s="98" t="s">
        <v>914</v>
      </c>
      <c r="D43" s="106">
        <v>1916.3869688999901</v>
      </c>
      <c r="E43" s="112">
        <v>136.36313670000001</v>
      </c>
      <c r="F43" s="112">
        <v>32.230034199999999</v>
      </c>
      <c r="G43" s="112">
        <v>73.817183599998998</v>
      </c>
      <c r="H43" s="112">
        <v>217.40538290000001</v>
      </c>
      <c r="I43" s="112">
        <v>41.278063000000003</v>
      </c>
      <c r="J43" s="106">
        <f t="shared" si="5"/>
        <v>2417.4807692999893</v>
      </c>
      <c r="L43" s="159">
        <f t="shared" si="1"/>
        <v>0.88771046180555013</v>
      </c>
      <c r="M43" s="159">
        <f t="shared" si="2"/>
        <v>6.3166252441537882E-2</v>
      </c>
      <c r="N43" s="159">
        <f t="shared" si="3"/>
        <v>1.4929624865959827E-2</v>
      </c>
      <c r="O43" s="159">
        <f t="shared" si="4"/>
        <v>3.4193660886952054E-2</v>
      </c>
    </row>
    <row r="44" spans="3:16" x14ac:dyDescent="0.35">
      <c r="C44" s="98" t="s">
        <v>915</v>
      </c>
      <c r="D44" s="106">
        <v>1910.6142500000001</v>
      </c>
      <c r="E44" s="112">
        <v>136.94644930000001</v>
      </c>
      <c r="F44" s="112">
        <v>34.437273500000003</v>
      </c>
      <c r="G44" s="112">
        <v>73.916300799999988</v>
      </c>
      <c r="H44" s="112">
        <v>238.069457</v>
      </c>
      <c r="I44" s="112">
        <v>23.991790000000002</v>
      </c>
      <c r="J44" s="106">
        <f t="shared" si="5"/>
        <v>2417.9755206000004</v>
      </c>
      <c r="L44" s="159">
        <f t="shared" si="1"/>
        <v>0.88621995475247162</v>
      </c>
      <c r="M44" s="159">
        <f t="shared" si="2"/>
        <v>6.3521286990378956E-2</v>
      </c>
      <c r="N44" s="159">
        <f t="shared" si="3"/>
        <v>1.5973396494330813E-2</v>
      </c>
      <c r="O44" s="159">
        <f t="shared" si="4"/>
        <v>3.4285361762818461E-2</v>
      </c>
    </row>
    <row r="45" spans="3:16" x14ac:dyDescent="0.35">
      <c r="C45" s="98" t="s">
        <v>916</v>
      </c>
      <c r="D45" s="106">
        <v>1783.9127501</v>
      </c>
      <c r="E45" s="112">
        <v>101.186166</v>
      </c>
      <c r="F45" s="112">
        <v>32.179173800000001</v>
      </c>
      <c r="G45" s="112">
        <v>72.05018360000102</v>
      </c>
      <c r="H45" s="112">
        <v>206.16478519999899</v>
      </c>
      <c r="I45" s="112">
        <v>27.362274999999897</v>
      </c>
      <c r="J45" s="106">
        <f t="shared" si="5"/>
        <v>2222.8553336999998</v>
      </c>
      <c r="L45" s="159">
        <f t="shared" si="1"/>
        <v>0.89674126380429142</v>
      </c>
      <c r="M45" s="159">
        <f t="shared" si="2"/>
        <v>5.0864488957357575E-2</v>
      </c>
      <c r="N45" s="159">
        <f t="shared" si="3"/>
        <v>1.6175899286538738E-2</v>
      </c>
      <c r="O45" s="159">
        <f t="shared" si="4"/>
        <v>3.621834795181228E-2</v>
      </c>
    </row>
    <row r="46" spans="3:16" x14ac:dyDescent="0.35">
      <c r="C46" s="98" t="s">
        <v>917</v>
      </c>
      <c r="D46" s="106">
        <v>1398.0080937999901</v>
      </c>
      <c r="E46" s="112">
        <v>144.6064806</v>
      </c>
      <c r="F46" s="112">
        <v>54.288058599999999</v>
      </c>
      <c r="G46" s="112">
        <v>83.918468899999993</v>
      </c>
      <c r="H46" s="112">
        <v>216.1395546</v>
      </c>
      <c r="I46" s="112">
        <v>41.615803</v>
      </c>
      <c r="J46" s="106">
        <f t="shared" si="5"/>
        <v>1938.5764594999898</v>
      </c>
      <c r="L46" s="159">
        <f t="shared" si="1"/>
        <v>0.83174116044812274</v>
      </c>
      <c r="M46" s="159">
        <f t="shared" si="2"/>
        <v>8.6033237229433707E-2</v>
      </c>
      <c r="N46" s="159">
        <f t="shared" si="3"/>
        <v>3.229853464990004E-2</v>
      </c>
      <c r="O46" s="159">
        <f t="shared" si="4"/>
        <v>4.9927067672543533E-2</v>
      </c>
    </row>
    <row r="47" spans="3:16" x14ac:dyDescent="0.35">
      <c r="C47" s="98" t="s">
        <v>918</v>
      </c>
      <c r="D47" s="106">
        <v>2110.8469375</v>
      </c>
      <c r="E47" s="112">
        <v>168.77785940000001</v>
      </c>
      <c r="F47" s="112">
        <v>55.871887700000002</v>
      </c>
      <c r="G47" s="112">
        <v>97.607095599999994</v>
      </c>
      <c r="H47" s="112">
        <v>86.804775399999997</v>
      </c>
      <c r="I47" s="112">
        <v>39.399630000000002</v>
      </c>
      <c r="J47" s="106">
        <f t="shared" si="5"/>
        <v>2559.3081855999999</v>
      </c>
      <c r="L47" s="159">
        <f t="shared" si="1"/>
        <v>0.86755318645984314</v>
      </c>
      <c r="M47" s="159">
        <f t="shared" si="2"/>
        <v>6.936730803407265E-2</v>
      </c>
      <c r="N47" s="159">
        <f t="shared" si="3"/>
        <v>2.2963216018433607E-2</v>
      </c>
      <c r="O47" s="159">
        <f t="shared" si="4"/>
        <v>4.0116289487650517E-2</v>
      </c>
    </row>
    <row r="48" spans="3:16" x14ac:dyDescent="0.35">
      <c r="C48" s="98" t="s">
        <v>919</v>
      </c>
      <c r="D48" s="106">
        <v>2027.4413751</v>
      </c>
      <c r="E48" s="112">
        <v>147.05082429999999</v>
      </c>
      <c r="F48" s="112">
        <v>57.789562599999996</v>
      </c>
      <c r="G48" s="112">
        <v>85.792242200000999</v>
      </c>
      <c r="H48" s="112">
        <v>246.06455469999901</v>
      </c>
      <c r="I48" s="112">
        <v>41.075490599999995</v>
      </c>
      <c r="J48" s="106">
        <f t="shared" si="5"/>
        <v>2605.2140495000003</v>
      </c>
      <c r="L48" s="159">
        <f t="shared" si="1"/>
        <v>0.87462323093507</v>
      </c>
      <c r="M48" s="159">
        <f t="shared" si="2"/>
        <v>6.3436639224444966E-2</v>
      </c>
      <c r="N48" s="159">
        <f t="shared" si="3"/>
        <v>2.492999036928675E-2</v>
      </c>
      <c r="O48" s="159">
        <f t="shared" si="4"/>
        <v>3.7010139471198231E-2</v>
      </c>
    </row>
    <row r="49" spans="3:17" x14ac:dyDescent="0.35">
      <c r="C49" s="98" t="s">
        <v>1</v>
      </c>
      <c r="D49" s="106">
        <f>SUM(D37:D48)</f>
        <v>21762.801969599979</v>
      </c>
      <c r="E49" s="106">
        <f t="shared" ref="E49:J49" si="6">SUM(E37:E48)</f>
        <v>1629.064803199999</v>
      </c>
      <c r="F49" s="106">
        <f t="shared" si="6"/>
        <v>552.36003930000004</v>
      </c>
      <c r="G49" s="106">
        <f t="shared" si="6"/>
        <v>889.77487489999908</v>
      </c>
      <c r="H49" s="106">
        <f t="shared" si="6"/>
        <v>2391.598127299997</v>
      </c>
      <c r="I49" s="106">
        <f t="shared" si="6"/>
        <v>351.49561879999965</v>
      </c>
      <c r="J49" s="106">
        <f t="shared" si="6"/>
        <v>27577.095433099974</v>
      </c>
      <c r="K49" s="159"/>
      <c r="L49" s="159"/>
      <c r="M49" s="159"/>
    </row>
    <row r="50" spans="3:17" x14ac:dyDescent="0.35">
      <c r="D50" s="106"/>
      <c r="E50" s="112"/>
      <c r="F50" s="112"/>
      <c r="G50" s="112"/>
      <c r="J50" s="159"/>
      <c r="K50" s="159"/>
      <c r="L50" s="159"/>
      <c r="M50" s="159"/>
    </row>
    <row r="51" spans="3:17" x14ac:dyDescent="0.35">
      <c r="C51" s="107"/>
      <c r="D51" s="264" t="s">
        <v>975</v>
      </c>
      <c r="E51" s="264"/>
      <c r="F51" s="264"/>
      <c r="G51" s="264"/>
    </row>
    <row r="52" spans="3:17" x14ac:dyDescent="0.35">
      <c r="C52" s="107"/>
      <c r="D52" s="158" t="s">
        <v>524</v>
      </c>
      <c r="E52" s="158" t="s">
        <v>525</v>
      </c>
      <c r="F52" s="158" t="s">
        <v>526</v>
      </c>
      <c r="G52" s="158" t="s">
        <v>527</v>
      </c>
      <c r="I52" s="107"/>
      <c r="J52" s="107" t="s">
        <v>1</v>
      </c>
      <c r="K52" s="107"/>
      <c r="L52" s="159"/>
      <c r="M52" s="159"/>
      <c r="N52" s="159"/>
      <c r="O52" s="159"/>
    </row>
    <row r="53" spans="3:17" x14ac:dyDescent="0.35">
      <c r="C53" s="98" t="s">
        <v>908</v>
      </c>
      <c r="D53" s="106">
        <f>D37/SUM($D37:$G37)*$F13</f>
        <v>0</v>
      </c>
      <c r="E53" s="106">
        <f t="shared" ref="E53:G53" si="7">E37/SUM($D37:$G37)*$F13</f>
        <v>0</v>
      </c>
      <c r="F53" s="106">
        <f t="shared" si="7"/>
        <v>0</v>
      </c>
      <c r="G53" s="106">
        <f t="shared" si="7"/>
        <v>0</v>
      </c>
      <c r="I53" s="106"/>
      <c r="J53" s="106">
        <f t="shared" ref="J53:J64" si="8">SUM(D53:G53)</f>
        <v>0</v>
      </c>
      <c r="K53" s="106"/>
      <c r="M53" s="265" t="s">
        <v>994</v>
      </c>
      <c r="N53" s="265"/>
      <c r="O53" s="265"/>
      <c r="P53" s="265"/>
      <c r="Q53" s="265"/>
    </row>
    <row r="54" spans="3:17" x14ac:dyDescent="0.35">
      <c r="C54" s="98" t="s">
        <v>909</v>
      </c>
      <c r="D54" s="106">
        <f t="shared" ref="D54:G54" si="9">D38/SUM($D38:$G38)*$F14</f>
        <v>0</v>
      </c>
      <c r="E54" s="106">
        <f t="shared" si="9"/>
        <v>0</v>
      </c>
      <c r="F54" s="106">
        <f t="shared" si="9"/>
        <v>0</v>
      </c>
      <c r="G54" s="106">
        <f t="shared" si="9"/>
        <v>0</v>
      </c>
      <c r="I54" s="106"/>
      <c r="J54" s="106">
        <f t="shared" si="8"/>
        <v>0</v>
      </c>
      <c r="K54" s="106"/>
      <c r="M54" s="265"/>
      <c r="N54" s="265"/>
      <c r="O54" s="265"/>
      <c r="P54" s="265"/>
      <c r="Q54" s="265"/>
    </row>
    <row r="55" spans="3:17" x14ac:dyDescent="0.35">
      <c r="C55" s="98" t="s">
        <v>910</v>
      </c>
      <c r="D55" s="106">
        <f t="shared" ref="D55:G55" si="10">D39/SUM($D39:$G39)*$F15</f>
        <v>0</v>
      </c>
      <c r="E55" s="106">
        <f t="shared" si="10"/>
        <v>0</v>
      </c>
      <c r="F55" s="106">
        <f t="shared" si="10"/>
        <v>0</v>
      </c>
      <c r="G55" s="106">
        <f t="shared" si="10"/>
        <v>0</v>
      </c>
      <c r="I55" s="106"/>
      <c r="J55" s="106">
        <f t="shared" si="8"/>
        <v>0</v>
      </c>
      <c r="K55" s="106"/>
      <c r="M55" s="265"/>
      <c r="N55" s="265"/>
      <c r="O55" s="265"/>
      <c r="P55" s="265"/>
      <c r="Q55" s="265"/>
    </row>
    <row r="56" spans="3:17" x14ac:dyDescent="0.35">
      <c r="C56" s="98" t="s">
        <v>911</v>
      </c>
      <c r="D56" s="106">
        <f t="shared" ref="D56:G56" si="11">D40/SUM($D40:$G40)*$F16</f>
        <v>0</v>
      </c>
      <c r="E56" s="106">
        <f t="shared" si="11"/>
        <v>0</v>
      </c>
      <c r="F56" s="106">
        <f t="shared" si="11"/>
        <v>0</v>
      </c>
      <c r="G56" s="106">
        <f t="shared" si="11"/>
        <v>0</v>
      </c>
      <c r="I56" s="106"/>
      <c r="J56" s="106">
        <f t="shared" si="8"/>
        <v>0</v>
      </c>
      <c r="K56" s="106"/>
      <c r="M56" s="265"/>
      <c r="N56" s="265"/>
      <c r="O56" s="265"/>
      <c r="P56" s="265"/>
      <c r="Q56" s="265"/>
    </row>
    <row r="57" spans="3:17" x14ac:dyDescent="0.35">
      <c r="C57" s="98" t="s">
        <v>912</v>
      </c>
      <c r="D57" s="106">
        <f t="shared" ref="D57:G57" si="12">D41/SUM($D41:$G41)*$F17</f>
        <v>0</v>
      </c>
      <c r="E57" s="106">
        <f t="shared" si="12"/>
        <v>0</v>
      </c>
      <c r="F57" s="106">
        <f t="shared" si="12"/>
        <v>0</v>
      </c>
      <c r="G57" s="106">
        <f t="shared" si="12"/>
        <v>0</v>
      </c>
      <c r="I57" s="106"/>
      <c r="J57" s="106">
        <f t="shared" si="8"/>
        <v>0</v>
      </c>
      <c r="K57" s="106"/>
      <c r="M57" s="265"/>
      <c r="N57" s="265"/>
      <c r="O57" s="265"/>
      <c r="P57" s="265"/>
      <c r="Q57" s="265"/>
    </row>
    <row r="58" spans="3:17" x14ac:dyDescent="0.35">
      <c r="C58" s="98" t="s">
        <v>913</v>
      </c>
      <c r="D58" s="106">
        <f t="shared" ref="D58:G58" si="13">D42/SUM($D42:$G42)*$F18</f>
        <v>0</v>
      </c>
      <c r="E58" s="106">
        <f t="shared" si="13"/>
        <v>0</v>
      </c>
      <c r="F58" s="106">
        <f t="shared" si="13"/>
        <v>0</v>
      </c>
      <c r="G58" s="106">
        <f t="shared" si="13"/>
        <v>0</v>
      </c>
      <c r="I58" s="106"/>
      <c r="J58" s="106">
        <f t="shared" si="8"/>
        <v>0</v>
      </c>
      <c r="K58" s="106"/>
    </row>
    <row r="59" spans="3:17" x14ac:dyDescent="0.35">
      <c r="C59" s="98" t="s">
        <v>914</v>
      </c>
      <c r="D59" s="106">
        <f t="shared" ref="D59:G59" si="14">D43/SUM($D43:$G43)*$F19</f>
        <v>0</v>
      </c>
      <c r="E59" s="106">
        <f t="shared" si="14"/>
        <v>0</v>
      </c>
      <c r="F59" s="106">
        <f t="shared" si="14"/>
        <v>0</v>
      </c>
      <c r="G59" s="106">
        <f t="shared" si="14"/>
        <v>0</v>
      </c>
      <c r="I59" s="106"/>
      <c r="J59" s="106">
        <f t="shared" si="8"/>
        <v>0</v>
      </c>
      <c r="K59" s="106"/>
    </row>
    <row r="60" spans="3:17" x14ac:dyDescent="0.35">
      <c r="C60" s="98" t="s">
        <v>915</v>
      </c>
      <c r="D60" s="106">
        <f t="shared" ref="D60:G60" si="15">D44/SUM($D44:$G44)*$F20</f>
        <v>0</v>
      </c>
      <c r="E60" s="106">
        <f t="shared" si="15"/>
        <v>0</v>
      </c>
      <c r="F60" s="106">
        <f t="shared" si="15"/>
        <v>0</v>
      </c>
      <c r="G60" s="106">
        <f t="shared" si="15"/>
        <v>0</v>
      </c>
      <c r="I60" s="106"/>
      <c r="J60" s="106">
        <f t="shared" si="8"/>
        <v>0</v>
      </c>
      <c r="K60" s="106"/>
    </row>
    <row r="61" spans="3:17" x14ac:dyDescent="0.35">
      <c r="C61" s="98" t="s">
        <v>916</v>
      </c>
      <c r="D61" s="106">
        <f t="shared" ref="D61:G61" si="16">D45/SUM($D45:$G45)*$F21</f>
        <v>0</v>
      </c>
      <c r="E61" s="106">
        <f t="shared" si="16"/>
        <v>0</v>
      </c>
      <c r="F61" s="106">
        <f t="shared" si="16"/>
        <v>0</v>
      </c>
      <c r="G61" s="106">
        <f t="shared" si="16"/>
        <v>0</v>
      </c>
      <c r="I61" s="106"/>
      <c r="J61" s="106">
        <f t="shared" si="8"/>
        <v>0</v>
      </c>
      <c r="K61" s="106"/>
    </row>
    <row r="62" spans="3:17" x14ac:dyDescent="0.35">
      <c r="C62" s="98" t="s">
        <v>917</v>
      </c>
      <c r="D62" s="106">
        <f t="shared" ref="D62:G62" si="17">D46/SUM($D46:$G46)*$F22</f>
        <v>0</v>
      </c>
      <c r="E62" s="106">
        <f t="shared" si="17"/>
        <v>0</v>
      </c>
      <c r="F62" s="106">
        <f t="shared" si="17"/>
        <v>0</v>
      </c>
      <c r="G62" s="106">
        <f t="shared" si="17"/>
        <v>0</v>
      </c>
      <c r="I62" s="106"/>
      <c r="J62" s="106">
        <f t="shared" si="8"/>
        <v>0</v>
      </c>
      <c r="K62" s="106"/>
    </row>
    <row r="63" spans="3:17" x14ac:dyDescent="0.35">
      <c r="C63" s="98" t="s">
        <v>918</v>
      </c>
      <c r="D63" s="106">
        <f t="shared" ref="D63:G63" si="18">D47/SUM($D47:$G47)*$F23</f>
        <v>0</v>
      </c>
      <c r="E63" s="106">
        <f t="shared" si="18"/>
        <v>0</v>
      </c>
      <c r="F63" s="106">
        <f t="shared" si="18"/>
        <v>0</v>
      </c>
      <c r="G63" s="106">
        <f t="shared" si="18"/>
        <v>0</v>
      </c>
      <c r="I63" s="106"/>
      <c r="J63" s="106">
        <f t="shared" si="8"/>
        <v>0</v>
      </c>
      <c r="K63" s="106"/>
    </row>
    <row r="64" spans="3:17" x14ac:dyDescent="0.35">
      <c r="C64" s="98" t="s">
        <v>919</v>
      </c>
      <c r="D64" s="106">
        <f t="shared" ref="D64:G64" si="19">D48/SUM($D48:$G48)*$F24</f>
        <v>0</v>
      </c>
      <c r="E64" s="106">
        <f t="shared" si="19"/>
        <v>0</v>
      </c>
      <c r="F64" s="106">
        <f t="shared" si="19"/>
        <v>0</v>
      </c>
      <c r="G64" s="106">
        <f t="shared" si="19"/>
        <v>0</v>
      </c>
      <c r="I64" s="106"/>
      <c r="J64" s="106">
        <f t="shared" si="8"/>
        <v>0</v>
      </c>
      <c r="K64" s="106"/>
    </row>
    <row r="65" spans="3:16" x14ac:dyDescent="0.35">
      <c r="C65" s="98" t="s">
        <v>1011</v>
      </c>
      <c r="D65" s="106">
        <f>SUM(D53:D64)</f>
        <v>0</v>
      </c>
      <c r="E65" s="106">
        <f t="shared" ref="E65:G65" si="20">SUM(E53:E64)</f>
        <v>0</v>
      </c>
      <c r="F65" s="106">
        <f t="shared" si="20"/>
        <v>0</v>
      </c>
      <c r="G65" s="106">
        <f t="shared" si="20"/>
        <v>0</v>
      </c>
      <c r="I65" s="106"/>
      <c r="J65" s="106">
        <f>SUM(J53:J64)</f>
        <v>0</v>
      </c>
      <c r="K65" s="106"/>
    </row>
    <row r="66" spans="3:16" x14ac:dyDescent="0.35">
      <c r="C66" s="98" t="s">
        <v>1012</v>
      </c>
      <c r="D66" s="106">
        <f>D49+D65</f>
        <v>21762.801969599979</v>
      </c>
      <c r="E66" s="106">
        <f t="shared" ref="E66:I66" si="21">E49+E65</f>
        <v>1629.064803199999</v>
      </c>
      <c r="F66" s="106">
        <f t="shared" si="21"/>
        <v>552.36003930000004</v>
      </c>
      <c r="G66" s="106">
        <f t="shared" si="21"/>
        <v>889.77487489999908</v>
      </c>
      <c r="H66" s="106">
        <f t="shared" si="21"/>
        <v>2391.598127299997</v>
      </c>
      <c r="I66" s="106">
        <f t="shared" si="21"/>
        <v>351.49561879999965</v>
      </c>
      <c r="J66" s="106">
        <f>J49+J65</f>
        <v>27577.095433099974</v>
      </c>
      <c r="K66" s="106">
        <f>J66-SUM(D66:I66)</f>
        <v>0</v>
      </c>
    </row>
    <row r="68" spans="3:16" x14ac:dyDescent="0.35">
      <c r="C68" s="107"/>
      <c r="D68" s="264" t="s">
        <v>972</v>
      </c>
      <c r="E68" s="264"/>
      <c r="F68" s="264"/>
      <c r="G68" s="264"/>
      <c r="I68" s="264" t="s">
        <v>973</v>
      </c>
      <c r="J68" s="264"/>
      <c r="K68" s="264"/>
      <c r="L68" s="264"/>
      <c r="O68" s="107" t="s">
        <v>1026</v>
      </c>
    </row>
    <row r="69" spans="3:16" x14ac:dyDescent="0.35">
      <c r="C69" s="107"/>
      <c r="D69" s="158" t="s">
        <v>524</v>
      </c>
      <c r="E69" s="158" t="s">
        <v>525</v>
      </c>
      <c r="F69" s="158" t="s">
        <v>526</v>
      </c>
      <c r="G69" s="158" t="s">
        <v>527</v>
      </c>
      <c r="H69" s="107" t="s">
        <v>1027</v>
      </c>
      <c r="I69" s="158" t="s">
        <v>524</v>
      </c>
      <c r="J69" s="158" t="s">
        <v>525</v>
      </c>
      <c r="K69" s="158" t="s">
        <v>526</v>
      </c>
      <c r="L69" s="158" t="s">
        <v>527</v>
      </c>
      <c r="M69" s="158" t="s">
        <v>1027</v>
      </c>
      <c r="O69" s="107" t="s">
        <v>527</v>
      </c>
      <c r="P69" s="107" t="s">
        <v>1008</v>
      </c>
    </row>
    <row r="70" spans="3:16" x14ac:dyDescent="0.35">
      <c r="C70" s="98" t="s">
        <v>908</v>
      </c>
      <c r="D70" s="112">
        <v>1971.1587188999999</v>
      </c>
      <c r="E70" s="112">
        <v>168.61235160000001</v>
      </c>
      <c r="F70" s="112">
        <v>54.654433599999997</v>
      </c>
      <c r="G70" s="112">
        <v>81.325609399999991</v>
      </c>
      <c r="H70" s="106">
        <f>O70-P70</f>
        <v>79.467507800000021</v>
      </c>
      <c r="I70" s="114">
        <f t="shared" ref="I70:I81" si="22">D70/D37</f>
        <v>1.0019883750812635</v>
      </c>
      <c r="J70" s="114">
        <f t="shared" ref="J70:J81" si="23">E70/E37</f>
        <v>1.1759536591198056</v>
      </c>
      <c r="K70" s="114">
        <f t="shared" ref="K70:K81" si="24">F70/F37</f>
        <v>1.0639509806199383</v>
      </c>
      <c r="L70" s="114">
        <f t="shared" ref="L70:L81" si="25">G70/G37</f>
        <v>1.0700421022656705</v>
      </c>
      <c r="M70" s="114">
        <f>H70/G37</f>
        <v>1.0455941214026194</v>
      </c>
      <c r="O70" s="106">
        <v>338.3377188</v>
      </c>
      <c r="P70" s="106">
        <v>258.87021099999998</v>
      </c>
    </row>
    <row r="71" spans="3:16" x14ac:dyDescent="0.35">
      <c r="C71" s="98" t="s">
        <v>909</v>
      </c>
      <c r="D71" s="112">
        <v>2137.2093749999999</v>
      </c>
      <c r="E71" s="112">
        <v>167.32906639999999</v>
      </c>
      <c r="F71" s="112">
        <v>55.050328100000002</v>
      </c>
      <c r="G71" s="112">
        <v>83.045275300000981</v>
      </c>
      <c r="H71" s="106">
        <f t="shared" ref="H71:H81" si="26">O71-P71</f>
        <v>77.920328100000006</v>
      </c>
      <c r="I71" s="114">
        <f t="shared" si="22"/>
        <v>1</v>
      </c>
      <c r="J71" s="114">
        <f t="shared" si="23"/>
        <v>1.34742941276133</v>
      </c>
      <c r="K71" s="114">
        <f t="shared" si="24"/>
        <v>1.9635318313435153</v>
      </c>
      <c r="L71" s="114">
        <f t="shared" si="25"/>
        <v>1.1007007287187234</v>
      </c>
      <c r="M71" s="114">
        <f t="shared" ref="M71:M81" si="27">H71/G38</f>
        <v>1.0327735275949048</v>
      </c>
      <c r="O71" s="106">
        <v>347.6038203</v>
      </c>
      <c r="P71" s="106">
        <v>269.68349219999999</v>
      </c>
    </row>
    <row r="72" spans="3:16" x14ac:dyDescent="0.35">
      <c r="C72" s="98" t="s">
        <v>910</v>
      </c>
      <c r="D72" s="112">
        <v>2170.7132499999998</v>
      </c>
      <c r="E72" s="112">
        <v>164.15650389999999</v>
      </c>
      <c r="F72" s="112">
        <v>55.948559599999903</v>
      </c>
      <c r="G72" s="112">
        <v>80.65447069999999</v>
      </c>
      <c r="H72" s="106">
        <f t="shared" si="26"/>
        <v>64.343855499999961</v>
      </c>
      <c r="I72" s="114">
        <f t="shared" si="22"/>
        <v>1</v>
      </c>
      <c r="J72" s="114">
        <f t="shared" si="23"/>
        <v>1.1578624408188833</v>
      </c>
      <c r="K72" s="114">
        <f t="shared" si="24"/>
        <v>1.0813201749804675</v>
      </c>
      <c r="L72" s="114">
        <f t="shared" si="25"/>
        <v>1.2489468616767574</v>
      </c>
      <c r="M72" s="114">
        <f t="shared" si="27"/>
        <v>0.99637448113471694</v>
      </c>
      <c r="O72" s="106">
        <v>330.59070709999997</v>
      </c>
      <c r="P72" s="106">
        <v>266.24685160000001</v>
      </c>
    </row>
    <row r="73" spans="3:16" x14ac:dyDescent="0.35">
      <c r="C73" s="98" t="s">
        <v>911</v>
      </c>
      <c r="D73" s="112">
        <v>1432.6531250999999</v>
      </c>
      <c r="E73" s="112">
        <v>136.95335940000001</v>
      </c>
      <c r="F73" s="112">
        <v>57.260776300000003</v>
      </c>
      <c r="G73" s="112">
        <v>82.231835999999987</v>
      </c>
      <c r="H73" s="106">
        <f t="shared" si="26"/>
        <v>78.184023400000001</v>
      </c>
      <c r="I73" s="114">
        <f t="shared" si="22"/>
        <v>1.0636354440388112</v>
      </c>
      <c r="J73" s="114">
        <f t="shared" si="23"/>
        <v>1.1158939327401838</v>
      </c>
      <c r="K73" s="114">
        <f t="shared" si="24"/>
        <v>1.0630052905609269</v>
      </c>
      <c r="L73" s="114">
        <f t="shared" si="25"/>
        <v>1.0442735162910142</v>
      </c>
      <c r="M73" s="114">
        <f t="shared" si="27"/>
        <v>0.99286978140311666</v>
      </c>
      <c r="O73" s="106">
        <v>345.83507809999998</v>
      </c>
      <c r="P73" s="106">
        <v>267.65105469999997</v>
      </c>
    </row>
    <row r="74" spans="3:16" x14ac:dyDescent="0.35">
      <c r="C74" s="98" t="s">
        <v>912</v>
      </c>
      <c r="D74" s="112">
        <v>1486.5158125</v>
      </c>
      <c r="E74" s="112">
        <v>138.7073048</v>
      </c>
      <c r="F74" s="112">
        <v>59.654049899999997</v>
      </c>
      <c r="G74" s="112">
        <v>80.934763700000005</v>
      </c>
      <c r="H74" s="106">
        <f t="shared" si="26"/>
        <v>67.734613400001024</v>
      </c>
      <c r="I74" s="114">
        <f t="shared" si="22"/>
        <v>1.0129275073066082</v>
      </c>
      <c r="J74" s="114">
        <f t="shared" si="23"/>
        <v>1.0338689011721678</v>
      </c>
      <c r="K74" s="114">
        <f t="shared" si="24"/>
        <v>1.1459132821715066</v>
      </c>
      <c r="L74" s="114">
        <f t="shared" si="25"/>
        <v>1.5435659992462114</v>
      </c>
      <c r="M74" s="114">
        <f t="shared" si="27"/>
        <v>1.2918162905111243</v>
      </c>
      <c r="O74" s="106">
        <v>352.18130480000002</v>
      </c>
      <c r="P74" s="106">
        <v>284.446691399999</v>
      </c>
    </row>
    <row r="75" spans="3:16" x14ac:dyDescent="0.35">
      <c r="C75" s="98" t="s">
        <v>913</v>
      </c>
      <c r="D75" s="112">
        <v>1580.6386562999901</v>
      </c>
      <c r="E75" s="112">
        <v>137.88093359999999</v>
      </c>
      <c r="F75" s="112">
        <v>57.202102400000001</v>
      </c>
      <c r="G75" s="112">
        <v>68.396166100000102</v>
      </c>
      <c r="H75" s="106">
        <f t="shared" si="26"/>
        <v>66.234074300000032</v>
      </c>
      <c r="I75" s="114">
        <f t="shared" si="22"/>
        <v>1.0358474034034617</v>
      </c>
      <c r="J75" s="114">
        <f t="shared" si="23"/>
        <v>1.0780545599483915</v>
      </c>
      <c r="K75" s="114">
        <f t="shared" si="24"/>
        <v>1.1796092704815604</v>
      </c>
      <c r="L75" s="114">
        <f t="shared" si="25"/>
        <v>1.2331099178902005</v>
      </c>
      <c r="M75" s="114">
        <f t="shared" si="27"/>
        <v>1.1941297089985041</v>
      </c>
      <c r="O75" s="106">
        <v>331.22125010000002</v>
      </c>
      <c r="P75" s="106">
        <v>264.98717579999999</v>
      </c>
    </row>
    <row r="76" spans="3:16" x14ac:dyDescent="0.35">
      <c r="C76" s="98" t="s">
        <v>914</v>
      </c>
      <c r="D76" s="112">
        <v>1940.7432188</v>
      </c>
      <c r="E76" s="112">
        <v>144.7904805</v>
      </c>
      <c r="F76" s="112">
        <v>56.4389082</v>
      </c>
      <c r="G76" s="112">
        <v>88.516835900000984</v>
      </c>
      <c r="H76" s="106">
        <f t="shared" si="26"/>
        <v>81.592710900001009</v>
      </c>
      <c r="I76" s="114">
        <f t="shared" si="22"/>
        <v>1.0127094633261833</v>
      </c>
      <c r="J76" s="114">
        <f t="shared" si="23"/>
        <v>1.0618007476502995</v>
      </c>
      <c r="K76" s="114">
        <f t="shared" si="24"/>
        <v>1.751127778821904</v>
      </c>
      <c r="L76" s="114">
        <f t="shared" si="25"/>
        <v>1.1991359136601114</v>
      </c>
      <c r="M76" s="114">
        <f t="shared" si="27"/>
        <v>1.1053349223147835</v>
      </c>
      <c r="O76" s="106">
        <v>368.7219063</v>
      </c>
      <c r="P76" s="106">
        <v>287.12919539999899</v>
      </c>
    </row>
    <row r="77" spans="3:16" x14ac:dyDescent="0.35">
      <c r="C77" s="98" t="s">
        <v>915</v>
      </c>
      <c r="D77" s="112">
        <v>1957.2179375999999</v>
      </c>
      <c r="E77" s="112">
        <v>141.3112812</v>
      </c>
      <c r="F77" s="112">
        <v>61.754542000000001</v>
      </c>
      <c r="G77" s="112">
        <v>90.66279099999899</v>
      </c>
      <c r="H77" s="106">
        <f t="shared" si="26"/>
        <v>71.567113199999994</v>
      </c>
      <c r="I77" s="114">
        <f t="shared" si="22"/>
        <v>1.0243919920517708</v>
      </c>
      <c r="J77" s="114">
        <f t="shared" si="23"/>
        <v>1.0318725452343653</v>
      </c>
      <c r="K77" s="114">
        <f t="shared" si="24"/>
        <v>1.7932471338069198</v>
      </c>
      <c r="L77" s="114">
        <f t="shared" si="25"/>
        <v>1.2265601771023558</v>
      </c>
      <c r="M77" s="114">
        <f t="shared" si="27"/>
        <v>0.96821827425649531</v>
      </c>
      <c r="O77" s="106">
        <v>352.7484609</v>
      </c>
      <c r="P77" s="106">
        <v>281.1813477</v>
      </c>
    </row>
    <row r="78" spans="3:16" x14ac:dyDescent="0.35">
      <c r="C78" s="98" t="s">
        <v>916</v>
      </c>
      <c r="D78" s="112">
        <v>1811.2859375</v>
      </c>
      <c r="E78" s="112">
        <v>145.4419844</v>
      </c>
      <c r="F78" s="112">
        <v>62.758994099999903</v>
      </c>
      <c r="G78" s="112">
        <v>101.93179480000001</v>
      </c>
      <c r="H78" s="106">
        <f t="shared" si="26"/>
        <v>91.769695400000018</v>
      </c>
      <c r="I78" s="114">
        <f t="shared" si="22"/>
        <v>1.0153444653604642</v>
      </c>
      <c r="J78" s="114">
        <f t="shared" si="23"/>
        <v>1.4373702468378928</v>
      </c>
      <c r="K78" s="114">
        <f t="shared" si="24"/>
        <v>1.9502984908829419</v>
      </c>
      <c r="L78" s="114">
        <f t="shared" si="25"/>
        <v>1.4147333109640898</v>
      </c>
      <c r="M78" s="114">
        <f t="shared" si="27"/>
        <v>1.2736913469849744</v>
      </c>
      <c r="O78" s="106">
        <v>340.23931260000001</v>
      </c>
      <c r="P78" s="106">
        <v>248.46961719999999</v>
      </c>
    </row>
    <row r="79" spans="3:16" x14ac:dyDescent="0.35">
      <c r="C79" s="98" t="s">
        <v>917</v>
      </c>
      <c r="D79" s="112">
        <v>1457.6160001999999</v>
      </c>
      <c r="E79" s="112">
        <v>177.6285274</v>
      </c>
      <c r="F79" s="112">
        <v>63.217178699999998</v>
      </c>
      <c r="G79" s="112">
        <v>101.72749610000099</v>
      </c>
      <c r="H79" s="106">
        <f t="shared" si="26"/>
        <v>95.333453200000008</v>
      </c>
      <c r="I79" s="114">
        <f t="shared" si="22"/>
        <v>1.0426377405569855</v>
      </c>
      <c r="J79" s="114">
        <f t="shared" si="23"/>
        <v>1.2283580007132819</v>
      </c>
      <c r="K79" s="114">
        <f t="shared" si="24"/>
        <v>1.1644766884332829</v>
      </c>
      <c r="L79" s="114">
        <f t="shared" si="25"/>
        <v>1.2122182093339051</v>
      </c>
      <c r="M79" s="114">
        <f t="shared" si="27"/>
        <v>1.136024696942487</v>
      </c>
      <c r="O79" s="106">
        <v>366.65787510000001</v>
      </c>
      <c r="P79" s="106">
        <v>271.3244219</v>
      </c>
    </row>
    <row r="80" spans="3:16" x14ac:dyDescent="0.35">
      <c r="C80" s="98" t="s">
        <v>918</v>
      </c>
      <c r="D80" s="112">
        <v>2123.3474375000001</v>
      </c>
      <c r="E80" s="112">
        <v>175.83376569999999</v>
      </c>
      <c r="F80" s="112">
        <v>59.149382799999998</v>
      </c>
      <c r="G80" s="112">
        <v>100.41964060000001</v>
      </c>
      <c r="H80" s="106">
        <f t="shared" si="26"/>
        <v>90.837906400000008</v>
      </c>
      <c r="I80" s="114">
        <f t="shared" si="22"/>
        <v>1.0059220305261949</v>
      </c>
      <c r="J80" s="114">
        <f t="shared" si="23"/>
        <v>1.0418058762273885</v>
      </c>
      <c r="K80" s="114">
        <f t="shared" si="24"/>
        <v>1.0586608979026852</v>
      </c>
      <c r="L80" s="114">
        <f t="shared" si="25"/>
        <v>1.0288149645546878</v>
      </c>
      <c r="M80" s="114">
        <f t="shared" si="27"/>
        <v>0.9306485951826643</v>
      </c>
      <c r="O80" s="180">
        <v>388.40455480000003</v>
      </c>
      <c r="P80" s="106">
        <v>297.56664840000002</v>
      </c>
    </row>
    <row r="81" spans="3:25" x14ac:dyDescent="0.35">
      <c r="C81" s="98" t="s">
        <v>919</v>
      </c>
      <c r="D81" s="112">
        <v>2027.4413751</v>
      </c>
      <c r="E81" s="112">
        <v>175.17563279999999</v>
      </c>
      <c r="F81" s="112">
        <v>60.4291768</v>
      </c>
      <c r="G81" s="112">
        <v>103.0136085</v>
      </c>
      <c r="H81" s="106">
        <f t="shared" si="26"/>
        <v>95.94300770000001</v>
      </c>
      <c r="I81" s="114">
        <f t="shared" si="22"/>
        <v>1</v>
      </c>
      <c r="J81" s="114">
        <f t="shared" si="23"/>
        <v>1.1912591012929126</v>
      </c>
      <c r="K81" s="114">
        <f t="shared" si="24"/>
        <v>1.0456763138747136</v>
      </c>
      <c r="L81" s="114">
        <f t="shared" si="25"/>
        <v>1.2007333747013178</v>
      </c>
      <c r="M81" s="114">
        <f t="shared" si="27"/>
        <v>1.1183179881968266</v>
      </c>
      <c r="O81" s="106">
        <v>364.13901559999999</v>
      </c>
      <c r="P81" s="106">
        <v>268.19600789999998</v>
      </c>
    </row>
    <row r="82" spans="3:25" x14ac:dyDescent="0.35">
      <c r="C82" s="98" t="s">
        <v>921</v>
      </c>
      <c r="D82" s="113">
        <f>MAX(D70:D81)</f>
        <v>2170.7132499999998</v>
      </c>
      <c r="E82" s="113">
        <f t="shared" ref="E82:G82" si="28">MAX(E70:E81)</f>
        <v>177.6285274</v>
      </c>
      <c r="F82" s="113">
        <f t="shared" si="28"/>
        <v>63.217178699999998</v>
      </c>
      <c r="G82" s="113">
        <f t="shared" si="28"/>
        <v>103.0136085</v>
      </c>
      <c r="H82" s="106">
        <f>H80</f>
        <v>90.837906400000008</v>
      </c>
    </row>
    <row r="83" spans="3:25" x14ac:dyDescent="0.35">
      <c r="D83" s="113"/>
      <c r="H83" s="106"/>
      <c r="L83" s="167" t="s">
        <v>1025</v>
      </c>
      <c r="M83" s="167"/>
      <c r="N83" s="167"/>
      <c r="O83" s="167"/>
      <c r="P83" s="167"/>
    </row>
    <row r="84" spans="3:25" x14ac:dyDescent="0.35">
      <c r="C84" s="107"/>
      <c r="D84" s="264" t="s">
        <v>976</v>
      </c>
      <c r="E84" s="264"/>
      <c r="F84" s="264"/>
      <c r="G84" s="264"/>
      <c r="O84" s="107" t="s">
        <v>1026</v>
      </c>
    </row>
    <row r="85" spans="3:25" x14ac:dyDescent="0.35">
      <c r="C85" s="107"/>
      <c r="D85" s="158" t="s">
        <v>524</v>
      </c>
      <c r="E85" s="158" t="s">
        <v>525</v>
      </c>
      <c r="F85" s="158" t="s">
        <v>526</v>
      </c>
      <c r="G85" s="158" t="s">
        <v>527</v>
      </c>
      <c r="H85" s="107" t="s">
        <v>1027</v>
      </c>
      <c r="I85" s="265" t="s">
        <v>993</v>
      </c>
      <c r="J85" s="265"/>
      <c r="K85" s="265"/>
      <c r="O85" s="107" t="s">
        <v>527</v>
      </c>
      <c r="P85" s="107" t="s">
        <v>1008</v>
      </c>
    </row>
    <row r="86" spans="3:25" x14ac:dyDescent="0.35">
      <c r="C86" s="98" t="s">
        <v>908</v>
      </c>
      <c r="D86" s="112">
        <f t="shared" ref="D86:D97" si="29">D70+D53*I70</f>
        <v>1971.1587188999999</v>
      </c>
      <c r="E86" s="112">
        <f t="shared" ref="E86:E97" si="30">E70+E53*J70</f>
        <v>168.61235160000001</v>
      </c>
      <c r="F86" s="112">
        <f t="shared" ref="F86:F97" si="31">F70+F53*K70</f>
        <v>54.654433599999997</v>
      </c>
      <c r="G86" s="112">
        <f t="shared" ref="G86:G97" si="32">G70+G53*L70</f>
        <v>81.325609399999991</v>
      </c>
      <c r="H86" s="106">
        <f>O86-P86</f>
        <v>79.467507800000021</v>
      </c>
      <c r="I86" s="265"/>
      <c r="J86" s="265"/>
      <c r="K86" s="265"/>
      <c r="O86" s="106">
        <f>O70+G53*M70</f>
        <v>338.3377188</v>
      </c>
      <c r="P86" s="106">
        <f>P70</f>
        <v>258.87021099999998</v>
      </c>
      <c r="S86" s="195" t="s">
        <v>1034</v>
      </c>
      <c r="T86" s="196"/>
      <c r="U86" s="196"/>
      <c r="V86" s="197"/>
    </row>
    <row r="87" spans="3:25" x14ac:dyDescent="0.35">
      <c r="C87" s="98" t="s">
        <v>909</v>
      </c>
      <c r="D87" s="112">
        <f t="shared" si="29"/>
        <v>2137.2093749999999</v>
      </c>
      <c r="E87" s="112">
        <f t="shared" si="30"/>
        <v>167.32906639999999</v>
      </c>
      <c r="F87" s="112">
        <f t="shared" si="31"/>
        <v>55.050328100000002</v>
      </c>
      <c r="G87" s="112">
        <f t="shared" si="32"/>
        <v>83.045275300000981</v>
      </c>
      <c r="H87" s="106">
        <f t="shared" ref="H87:H97" si="33">O87-P87</f>
        <v>77.920328100000006</v>
      </c>
      <c r="I87" s="265"/>
      <c r="J87" s="265"/>
      <c r="K87" s="265"/>
      <c r="O87" s="106">
        <f t="shared" ref="O87:O97" si="34">O71+G54*M71</f>
        <v>347.6038203</v>
      </c>
      <c r="P87" s="106">
        <f t="shared" ref="P87:P97" si="35">P71</f>
        <v>269.68349219999999</v>
      </c>
      <c r="S87" s="198" t="s">
        <v>1035</v>
      </c>
      <c r="T87" s="199"/>
      <c r="U87" s="199"/>
      <c r="V87" s="200"/>
    </row>
    <row r="88" spans="3:25" x14ac:dyDescent="0.35">
      <c r="C88" s="98" t="s">
        <v>910</v>
      </c>
      <c r="D88" s="112">
        <f t="shared" si="29"/>
        <v>2170.7132499999998</v>
      </c>
      <c r="E88" s="112">
        <f t="shared" si="30"/>
        <v>164.15650389999999</v>
      </c>
      <c r="F88" s="112">
        <f t="shared" si="31"/>
        <v>55.948559599999903</v>
      </c>
      <c r="G88" s="112">
        <f t="shared" si="32"/>
        <v>80.65447069999999</v>
      </c>
      <c r="H88" s="106">
        <f t="shared" si="33"/>
        <v>64.343855499999961</v>
      </c>
      <c r="O88" s="106">
        <f t="shared" si="34"/>
        <v>330.59070709999997</v>
      </c>
      <c r="P88" s="106">
        <f t="shared" si="35"/>
        <v>266.24685160000001</v>
      </c>
      <c r="S88" s="201"/>
      <c r="T88" s="116"/>
      <c r="U88" s="116"/>
      <c r="V88" s="202"/>
    </row>
    <row r="89" spans="3:25" x14ac:dyDescent="0.35">
      <c r="C89" s="98" t="s">
        <v>911</v>
      </c>
      <c r="D89" s="112">
        <f t="shared" si="29"/>
        <v>1432.6531250999999</v>
      </c>
      <c r="E89" s="112">
        <f t="shared" si="30"/>
        <v>136.95335940000001</v>
      </c>
      <c r="F89" s="112">
        <f t="shared" si="31"/>
        <v>57.260776300000003</v>
      </c>
      <c r="G89" s="112">
        <f t="shared" si="32"/>
        <v>82.231835999999987</v>
      </c>
      <c r="H89" s="106">
        <f t="shared" si="33"/>
        <v>78.184023400000001</v>
      </c>
      <c r="O89" s="106">
        <f t="shared" si="34"/>
        <v>345.83507809999998</v>
      </c>
      <c r="P89" s="106">
        <f t="shared" si="35"/>
        <v>267.65105469999997</v>
      </c>
      <c r="S89" s="203" t="s">
        <v>953</v>
      </c>
      <c r="T89" s="204" t="s">
        <v>1038</v>
      </c>
      <c r="U89" s="204"/>
      <c r="V89" s="205" t="s">
        <v>1039</v>
      </c>
    </row>
    <row r="90" spans="3:25" x14ac:dyDescent="0.35">
      <c r="C90" s="98" t="s">
        <v>912</v>
      </c>
      <c r="D90" s="112">
        <f t="shared" si="29"/>
        <v>1486.5158125</v>
      </c>
      <c r="E90" s="112">
        <f t="shared" si="30"/>
        <v>138.7073048</v>
      </c>
      <c r="F90" s="112">
        <f t="shared" si="31"/>
        <v>59.654049899999997</v>
      </c>
      <c r="G90" s="112">
        <f t="shared" si="32"/>
        <v>80.934763700000005</v>
      </c>
      <c r="H90" s="106">
        <f t="shared" si="33"/>
        <v>67.734613400001024</v>
      </c>
      <c r="O90" s="106">
        <f t="shared" si="34"/>
        <v>352.18130480000002</v>
      </c>
      <c r="P90" s="106">
        <f t="shared" si="35"/>
        <v>284.446691399999</v>
      </c>
      <c r="S90" s="203"/>
      <c r="T90" s="204" t="s">
        <v>1040</v>
      </c>
      <c r="U90" s="204"/>
      <c r="V90" s="205" t="s">
        <v>16</v>
      </c>
    </row>
    <row r="91" spans="3:25" x14ac:dyDescent="0.35">
      <c r="C91" s="98" t="s">
        <v>913</v>
      </c>
      <c r="D91" s="112">
        <f t="shared" si="29"/>
        <v>1580.6386562999901</v>
      </c>
      <c r="E91" s="112">
        <f t="shared" si="30"/>
        <v>137.88093359999999</v>
      </c>
      <c r="F91" s="112">
        <f t="shared" si="31"/>
        <v>57.202102400000001</v>
      </c>
      <c r="G91" s="112">
        <f t="shared" si="32"/>
        <v>68.396166100000102</v>
      </c>
      <c r="H91" s="106">
        <f t="shared" si="33"/>
        <v>66.234074300000032</v>
      </c>
      <c r="O91" s="106">
        <f t="shared" si="34"/>
        <v>331.22125010000002</v>
      </c>
      <c r="P91" s="106">
        <f t="shared" si="35"/>
        <v>264.98717579999999</v>
      </c>
      <c r="S91" s="201"/>
      <c r="T91" s="206"/>
      <c r="U91" s="206"/>
      <c r="V91" s="207"/>
    </row>
    <row r="92" spans="3:25" x14ac:dyDescent="0.35">
      <c r="C92" s="98" t="s">
        <v>914</v>
      </c>
      <c r="D92" s="112">
        <f t="shared" si="29"/>
        <v>1940.7432188</v>
      </c>
      <c r="E92" s="112">
        <f t="shared" si="30"/>
        <v>144.7904805</v>
      </c>
      <c r="F92" s="112">
        <f t="shared" si="31"/>
        <v>56.4389082</v>
      </c>
      <c r="G92" s="112">
        <f t="shared" si="32"/>
        <v>88.516835900000984</v>
      </c>
      <c r="H92" s="106">
        <f t="shared" si="33"/>
        <v>81.592710900001009</v>
      </c>
      <c r="O92" s="106">
        <f t="shared" si="34"/>
        <v>368.7219063</v>
      </c>
      <c r="P92" s="106">
        <f t="shared" si="35"/>
        <v>287.12919539999899</v>
      </c>
      <c r="S92" s="208" t="s">
        <v>1036</v>
      </c>
      <c r="T92" s="98">
        <f>W92*1000</f>
        <v>2170713.25</v>
      </c>
      <c r="V92" s="202">
        <f>Y92*1000</f>
        <v>2137209.375</v>
      </c>
      <c r="W92" s="212">
        <f>D72</f>
        <v>2170.7132499999998</v>
      </c>
      <c r="X92" s="212"/>
      <c r="Y92" s="213">
        <f>D87</f>
        <v>2137.2093749999999</v>
      </c>
    </row>
    <row r="93" spans="3:25" x14ac:dyDescent="0.35">
      <c r="C93" s="98" t="s">
        <v>915</v>
      </c>
      <c r="D93" s="112">
        <f t="shared" si="29"/>
        <v>1957.2179375999999</v>
      </c>
      <c r="E93" s="112">
        <f t="shared" si="30"/>
        <v>141.3112812</v>
      </c>
      <c r="F93" s="112">
        <f t="shared" si="31"/>
        <v>61.754542000000001</v>
      </c>
      <c r="G93" s="112">
        <f t="shared" si="32"/>
        <v>90.66279099999899</v>
      </c>
      <c r="H93" s="106">
        <f t="shared" si="33"/>
        <v>71.567113199999994</v>
      </c>
      <c r="O93" s="106">
        <f t="shared" si="34"/>
        <v>352.7484609</v>
      </c>
      <c r="P93" s="106">
        <f t="shared" si="35"/>
        <v>281.1813477</v>
      </c>
      <c r="S93" s="208" t="s">
        <v>867</v>
      </c>
      <c r="T93" s="98">
        <f t="shared" ref="T93:T96" si="36">W93*1000</f>
        <v>177628.52739999999</v>
      </c>
      <c r="V93" s="202">
        <f t="shared" ref="V93:V96" si="37">Y93*1000</f>
        <v>168612.35160000002</v>
      </c>
      <c r="W93" s="212">
        <f>E79</f>
        <v>177.6285274</v>
      </c>
      <c r="X93" s="212"/>
      <c r="Y93" s="213">
        <f>E86</f>
        <v>168.61235160000001</v>
      </c>
    </row>
    <row r="94" spans="3:25" x14ac:dyDescent="0.35">
      <c r="C94" s="98" t="s">
        <v>916</v>
      </c>
      <c r="D94" s="112">
        <f t="shared" si="29"/>
        <v>1811.2859375</v>
      </c>
      <c r="E94" s="112">
        <f t="shared" si="30"/>
        <v>145.4419844</v>
      </c>
      <c r="F94" s="112">
        <f t="shared" si="31"/>
        <v>62.758994099999903</v>
      </c>
      <c r="G94" s="112">
        <f t="shared" si="32"/>
        <v>101.93179480000001</v>
      </c>
      <c r="H94" s="106">
        <f t="shared" si="33"/>
        <v>91.769695400000018</v>
      </c>
      <c r="O94" s="106">
        <f t="shared" si="34"/>
        <v>340.23931260000001</v>
      </c>
      <c r="P94" s="106">
        <f t="shared" si="35"/>
        <v>248.46961719999999</v>
      </c>
      <c r="S94" s="208" t="s">
        <v>869</v>
      </c>
      <c r="T94" s="98">
        <f t="shared" si="36"/>
        <v>63217.178699999997</v>
      </c>
      <c r="V94" s="202">
        <f t="shared" si="37"/>
        <v>54654.433599999997</v>
      </c>
      <c r="W94" s="212">
        <f>F79</f>
        <v>63.217178699999998</v>
      </c>
      <c r="X94" s="212"/>
      <c r="Y94" s="213">
        <f>F86</f>
        <v>54.654433599999997</v>
      </c>
    </row>
    <row r="95" spans="3:25" x14ac:dyDescent="0.35">
      <c r="C95" s="98" t="s">
        <v>917</v>
      </c>
      <c r="D95" s="112">
        <f t="shared" si="29"/>
        <v>1457.6160001999999</v>
      </c>
      <c r="E95" s="112">
        <f t="shared" si="30"/>
        <v>177.6285274</v>
      </c>
      <c r="F95" s="112">
        <f t="shared" si="31"/>
        <v>63.217178699999998</v>
      </c>
      <c r="G95" s="112">
        <f t="shared" si="32"/>
        <v>101.72749610000099</v>
      </c>
      <c r="H95" s="106">
        <f t="shared" si="33"/>
        <v>95.333453200000008</v>
      </c>
      <c r="O95" s="106">
        <f t="shared" si="34"/>
        <v>366.65787510000001</v>
      </c>
      <c r="P95" s="106">
        <f t="shared" si="35"/>
        <v>271.3244219</v>
      </c>
      <c r="S95" s="208" t="s">
        <v>941</v>
      </c>
      <c r="T95" s="98">
        <f t="shared" si="36"/>
        <v>103013.6085</v>
      </c>
      <c r="V95" s="202">
        <f t="shared" si="37"/>
        <v>103013.6085</v>
      </c>
      <c r="W95" s="212">
        <f>G81</f>
        <v>103.0136085</v>
      </c>
      <c r="X95" s="212"/>
      <c r="Y95" s="213">
        <f>G97</f>
        <v>103.0136085</v>
      </c>
    </row>
    <row r="96" spans="3:25" x14ac:dyDescent="0.35">
      <c r="C96" s="98" t="s">
        <v>918</v>
      </c>
      <c r="D96" s="112">
        <f t="shared" si="29"/>
        <v>2123.3474375000001</v>
      </c>
      <c r="E96" s="112">
        <f t="shared" si="30"/>
        <v>175.83376569999999</v>
      </c>
      <c r="F96" s="112">
        <f t="shared" si="31"/>
        <v>59.149382799999998</v>
      </c>
      <c r="G96" s="112">
        <f t="shared" si="32"/>
        <v>100.41964060000001</v>
      </c>
      <c r="H96" s="106">
        <f t="shared" si="33"/>
        <v>90.837906400000008</v>
      </c>
      <c r="O96" s="180">
        <f t="shared" si="34"/>
        <v>388.40455480000003</v>
      </c>
      <c r="P96" s="106">
        <f t="shared" si="35"/>
        <v>297.56664840000002</v>
      </c>
      <c r="S96" s="208" t="s">
        <v>1037</v>
      </c>
      <c r="T96" s="98">
        <f t="shared" si="36"/>
        <v>297566.64840000001</v>
      </c>
      <c r="V96" s="202">
        <f t="shared" si="37"/>
        <v>297566.64840000001</v>
      </c>
      <c r="W96" s="212">
        <f>P80</f>
        <v>297.56664840000002</v>
      </c>
      <c r="X96" s="212"/>
      <c r="Y96" s="213">
        <f>W96</f>
        <v>297.56664840000002</v>
      </c>
    </row>
    <row r="97" spans="2:22" x14ac:dyDescent="0.35">
      <c r="C97" s="98" t="s">
        <v>919</v>
      </c>
      <c r="D97" s="112">
        <f t="shared" si="29"/>
        <v>2027.4413751</v>
      </c>
      <c r="E97" s="112">
        <f t="shared" si="30"/>
        <v>175.17563279999999</v>
      </c>
      <c r="F97" s="112">
        <f t="shared" si="31"/>
        <v>60.4291768</v>
      </c>
      <c r="G97" s="112">
        <f t="shared" si="32"/>
        <v>103.0136085</v>
      </c>
      <c r="H97" s="106">
        <f t="shared" si="33"/>
        <v>95.94300770000001</v>
      </c>
      <c r="O97" s="106">
        <f t="shared" si="34"/>
        <v>364.13901559999999</v>
      </c>
      <c r="P97" s="106">
        <f t="shared" si="35"/>
        <v>268.19600789999998</v>
      </c>
      <c r="S97" s="201"/>
      <c r="T97" s="116"/>
      <c r="U97" s="116"/>
      <c r="V97" s="202"/>
    </row>
    <row r="98" spans="2:22" x14ac:dyDescent="0.35">
      <c r="C98" s="98" t="s">
        <v>921</v>
      </c>
      <c r="D98" s="113">
        <f>MAX(D86:D97)</f>
        <v>2170.7132499999998</v>
      </c>
      <c r="E98" s="113">
        <f t="shared" ref="E98:G98" si="38">MAX(E86:E97)</f>
        <v>177.6285274</v>
      </c>
      <c r="F98" s="113">
        <f t="shared" si="38"/>
        <v>63.217178699999998</v>
      </c>
      <c r="G98" s="113">
        <f t="shared" si="38"/>
        <v>103.0136085</v>
      </c>
      <c r="H98" s="106">
        <f>H96</f>
        <v>90.837906400000008</v>
      </c>
      <c r="I98" s="167" t="s">
        <v>995</v>
      </c>
      <c r="J98" s="167"/>
      <c r="O98" s="106">
        <f>MAX(O86:O97)</f>
        <v>388.40455480000003</v>
      </c>
      <c r="S98" s="209" t="s">
        <v>1041</v>
      </c>
      <c r="T98" s="210"/>
      <c r="U98" s="210"/>
      <c r="V98" s="211"/>
    </row>
    <row r="99" spans="2:22" x14ac:dyDescent="0.35">
      <c r="C99" s="98" t="s">
        <v>977</v>
      </c>
      <c r="D99" s="160">
        <f>D98/D82-1</f>
        <v>0</v>
      </c>
      <c r="E99" s="160">
        <f t="shared" ref="E99:H99" si="39">E98/E82-1</f>
        <v>0</v>
      </c>
      <c r="F99" s="160">
        <f t="shared" si="39"/>
        <v>0</v>
      </c>
      <c r="G99" s="160">
        <f t="shared" si="39"/>
        <v>0</v>
      </c>
      <c r="H99" s="160">
        <f t="shared" si="39"/>
        <v>0</v>
      </c>
    </row>
    <row r="100" spans="2:22" x14ac:dyDescent="0.35">
      <c r="T100" s="98">
        <f>SUM(T92:T99)</f>
        <v>2812139.213</v>
      </c>
    </row>
    <row r="101" spans="2:22" x14ac:dyDescent="0.35">
      <c r="C101" s="98">
        <v>-1</v>
      </c>
      <c r="D101" s="98" t="s">
        <v>926</v>
      </c>
      <c r="T101" s="98">
        <f>T100-(G81-H82)</f>
        <v>2812127.0372978998</v>
      </c>
    </row>
    <row r="102" spans="2:22" x14ac:dyDescent="0.35">
      <c r="C102" s="179">
        <v>-2</v>
      </c>
      <c r="D102" s="98" t="s">
        <v>1024</v>
      </c>
    </row>
    <row r="105" spans="2:22" x14ac:dyDescent="0.35">
      <c r="B105" s="110" t="s">
        <v>928</v>
      </c>
      <c r="C105" s="111" t="s">
        <v>984</v>
      </c>
    </row>
    <row r="106" spans="2:22" x14ac:dyDescent="0.35">
      <c r="C106" s="111"/>
    </row>
    <row r="107" spans="2:22" x14ac:dyDescent="0.35">
      <c r="C107" s="111"/>
      <c r="D107" s="263" t="s">
        <v>1022</v>
      </c>
      <c r="E107" s="263"/>
      <c r="F107" s="263"/>
      <c r="G107" s="263"/>
      <c r="H107" s="263"/>
      <c r="I107" s="263"/>
      <c r="J107" s="138">
        <v>3.7490000000000002E-2</v>
      </c>
    </row>
    <row r="108" spans="2:22" ht="29" x14ac:dyDescent="0.35">
      <c r="C108" s="111"/>
      <c r="D108" s="161" t="s">
        <v>978</v>
      </c>
      <c r="E108" s="161" t="s">
        <v>979</v>
      </c>
      <c r="F108" s="161" t="s">
        <v>980</v>
      </c>
      <c r="G108" s="161" t="s">
        <v>981</v>
      </c>
      <c r="H108" s="161" t="s">
        <v>982</v>
      </c>
      <c r="I108" s="161" t="s">
        <v>980</v>
      </c>
      <c r="J108" s="161" t="s">
        <v>1023</v>
      </c>
    </row>
    <row r="109" spans="2:22" x14ac:dyDescent="0.35">
      <c r="C109" s="111" t="s">
        <v>524</v>
      </c>
      <c r="D109" s="98">
        <v>22130348</v>
      </c>
      <c r="E109" s="98">
        <v>148987003</v>
      </c>
      <c r="F109" s="162">
        <f>E109/D109</f>
        <v>6.7322485394264922</v>
      </c>
      <c r="G109" s="98">
        <v>9283544065</v>
      </c>
      <c r="H109" s="98">
        <v>536826418.12749797</v>
      </c>
      <c r="I109" s="163">
        <f>H109/G109</f>
        <v>5.7825590568519367E-2</v>
      </c>
      <c r="J109" s="163">
        <f>I109-$J$107</f>
        <v>2.0335590568519364E-2</v>
      </c>
    </row>
    <row r="110" spans="2:22" x14ac:dyDescent="0.35">
      <c r="C110" s="111" t="s">
        <v>525</v>
      </c>
      <c r="D110" s="98">
        <v>1898312</v>
      </c>
      <c r="E110" s="98">
        <v>14560194.040000001</v>
      </c>
      <c r="F110" s="162">
        <f>E110/D110</f>
        <v>7.6700742765151357</v>
      </c>
      <c r="G110" s="98">
        <v>1078053184</v>
      </c>
      <c r="H110" s="98">
        <v>55125171.510655999</v>
      </c>
      <c r="I110" s="163">
        <f>H110/G110</f>
        <v>5.1133999999999999E-2</v>
      </c>
      <c r="J110" s="163">
        <f>I110-$J$107</f>
        <v>1.3643999999999996E-2</v>
      </c>
    </row>
    <row r="111" spans="2:22" x14ac:dyDescent="0.35">
      <c r="C111" s="111" t="s">
        <v>526</v>
      </c>
      <c r="D111" s="98">
        <v>796143</v>
      </c>
      <c r="E111" s="98">
        <v>5963111.0700000003</v>
      </c>
      <c r="F111" s="162">
        <f>E111/D111</f>
        <v>7.49</v>
      </c>
      <c r="G111" s="98">
        <v>439070610</v>
      </c>
      <c r="H111" s="98">
        <v>22451436.571739998</v>
      </c>
      <c r="I111" s="163">
        <f>H111/G111</f>
        <v>5.1133999999999992E-2</v>
      </c>
      <c r="J111" s="163">
        <f>I111-$J$107</f>
        <v>1.3643999999999989E-2</v>
      </c>
    </row>
    <row r="112" spans="2:22" x14ac:dyDescent="0.35">
      <c r="C112" s="111" t="s">
        <v>527</v>
      </c>
      <c r="D112" s="98">
        <v>1367257</v>
      </c>
      <c r="E112" s="98">
        <v>9980976.0999999996</v>
      </c>
      <c r="F112" s="162">
        <f>E112/D112</f>
        <v>7.3</v>
      </c>
      <c r="G112" s="98">
        <v>730102181</v>
      </c>
      <c r="H112" s="98">
        <v>35796909.934429996</v>
      </c>
      <c r="I112" s="163">
        <f>H112/G112</f>
        <v>4.9029999999999997E-2</v>
      </c>
      <c r="J112" s="163">
        <f>I112-$J$107</f>
        <v>1.1539999999999995E-2</v>
      </c>
    </row>
    <row r="113" spans="3:14" x14ac:dyDescent="0.35">
      <c r="C113" s="111"/>
    </row>
    <row r="114" spans="3:14" x14ac:dyDescent="0.35">
      <c r="C114" s="164" t="s">
        <v>990</v>
      </c>
      <c r="D114" s="165"/>
      <c r="E114" s="165"/>
      <c r="F114" s="165"/>
      <c r="G114" s="165"/>
      <c r="H114" s="165"/>
      <c r="I114" s="165"/>
      <c r="J114" s="165"/>
    </row>
    <row r="115" spans="3:14" ht="29" x14ac:dyDescent="0.35">
      <c r="C115" s="111"/>
      <c r="D115" s="161" t="s">
        <v>987</v>
      </c>
      <c r="E115" s="161" t="s">
        <v>980</v>
      </c>
      <c r="F115" s="161" t="s">
        <v>979</v>
      </c>
      <c r="G115" s="161" t="s">
        <v>988</v>
      </c>
      <c r="H115" s="161" t="s">
        <v>983</v>
      </c>
      <c r="I115" s="161" t="s">
        <v>982</v>
      </c>
      <c r="J115" s="161" t="s">
        <v>989</v>
      </c>
    </row>
    <row r="116" spans="3:14" x14ac:dyDescent="0.35">
      <c r="C116" s="111" t="s">
        <v>524</v>
      </c>
      <c r="D116" s="106">
        <f>D65*10^3</f>
        <v>0</v>
      </c>
      <c r="E116" s="162">
        <f>F109</f>
        <v>6.7322485394264922</v>
      </c>
      <c r="F116" s="98">
        <f>D116*E116</f>
        <v>0</v>
      </c>
      <c r="G116" s="98">
        <f>$F$8*10^3*(G109/SUM(G$109:G$112))</f>
        <v>0</v>
      </c>
      <c r="H116" s="163">
        <f>J109</f>
        <v>2.0335590568519364E-2</v>
      </c>
      <c r="I116" s="98">
        <f>G116*H116</f>
        <v>0</v>
      </c>
      <c r="J116" s="98">
        <f>F116+I116</f>
        <v>0</v>
      </c>
    </row>
    <row r="117" spans="3:14" x14ac:dyDescent="0.35">
      <c r="C117" s="111" t="s">
        <v>525</v>
      </c>
      <c r="D117" s="106">
        <f>E65*10^3</f>
        <v>0</v>
      </c>
      <c r="E117" s="162">
        <f t="shared" ref="E117:E119" si="40">F110</f>
        <v>7.6700742765151357</v>
      </c>
      <c r="F117" s="98">
        <f t="shared" ref="F117:F119" si="41">D117*E117</f>
        <v>0</v>
      </c>
      <c r="G117" s="98">
        <f>$F$8*10^3*(G110/SUM(G$109:G$112))</f>
        <v>0</v>
      </c>
      <c r="H117" s="163">
        <f t="shared" ref="H117:H119" si="42">J110</f>
        <v>1.3643999999999996E-2</v>
      </c>
      <c r="I117" s="98">
        <f t="shared" ref="I117:I119" si="43">G117*H117</f>
        <v>0</v>
      </c>
      <c r="J117" s="98">
        <f t="shared" ref="J117:J119" si="44">F117+I117</f>
        <v>0</v>
      </c>
    </row>
    <row r="118" spans="3:14" x14ac:dyDescent="0.35">
      <c r="C118" s="111" t="s">
        <v>526</v>
      </c>
      <c r="D118" s="106">
        <f>F65*10^3</f>
        <v>0</v>
      </c>
      <c r="E118" s="162">
        <f t="shared" si="40"/>
        <v>7.49</v>
      </c>
      <c r="F118" s="98">
        <f t="shared" si="41"/>
        <v>0</v>
      </c>
      <c r="G118" s="98">
        <f>$F$8*10^3*(G111/SUM(G$109:G$112))</f>
        <v>0</v>
      </c>
      <c r="H118" s="163">
        <f t="shared" si="42"/>
        <v>1.3643999999999989E-2</v>
      </c>
      <c r="I118" s="98">
        <f t="shared" si="43"/>
        <v>0</v>
      </c>
      <c r="J118" s="98">
        <f t="shared" si="44"/>
        <v>0</v>
      </c>
      <c r="L118" s="167" t="s">
        <v>992</v>
      </c>
      <c r="M118" s="167"/>
      <c r="N118" s="167"/>
    </row>
    <row r="119" spans="3:14" x14ac:dyDescent="0.35">
      <c r="C119" s="111" t="s">
        <v>527</v>
      </c>
      <c r="D119" s="106">
        <f>G65*10^3</f>
        <v>0</v>
      </c>
      <c r="E119" s="162">
        <f t="shared" si="40"/>
        <v>7.3</v>
      </c>
      <c r="F119" s="98">
        <f t="shared" si="41"/>
        <v>0</v>
      </c>
      <c r="G119" s="98">
        <f>$F$8*10^3*(G112/SUM(G$109:G$112))</f>
        <v>0</v>
      </c>
      <c r="H119" s="163">
        <f t="shared" si="42"/>
        <v>1.1539999999999995E-2</v>
      </c>
      <c r="I119" s="98">
        <f t="shared" si="43"/>
        <v>0</v>
      </c>
      <c r="J119" s="98">
        <f t="shared" si="44"/>
        <v>0</v>
      </c>
    </row>
    <row r="120" spans="3:14" x14ac:dyDescent="0.35">
      <c r="C120" s="111"/>
      <c r="D120" s="106">
        <f>SUM(D116:D119)</f>
        <v>0</v>
      </c>
      <c r="F120" s="98">
        <f>SUM(F116:F119)</f>
        <v>0</v>
      </c>
      <c r="G120" s="98">
        <f>SUM(G116:G119)</f>
        <v>0</v>
      </c>
      <c r="I120" s="98">
        <f>SUM(I116:I119)</f>
        <v>0</v>
      </c>
      <c r="J120" s="98">
        <f>SUM(J116:J119)</f>
        <v>0</v>
      </c>
    </row>
    <row r="121" spans="3:14" x14ac:dyDescent="0.35">
      <c r="C121" s="111"/>
      <c r="D121" s="106"/>
    </row>
    <row r="122" spans="3:14" x14ac:dyDescent="0.35">
      <c r="C122" s="111"/>
      <c r="D122" s="106"/>
      <c r="I122" s="167" t="s">
        <v>996</v>
      </c>
      <c r="J122" s="167"/>
    </row>
    <row r="124" spans="3:14" x14ac:dyDescent="0.35">
      <c r="C124" s="98">
        <v>-3</v>
      </c>
      <c r="D124" s="98" t="s">
        <v>986</v>
      </c>
    </row>
    <row r="125" spans="3:14" x14ac:dyDescent="0.35">
      <c r="C125" s="98">
        <v>-4</v>
      </c>
    </row>
    <row r="131" spans="4:12" x14ac:dyDescent="0.35">
      <c r="E131" s="195" t="s">
        <v>1043</v>
      </c>
      <c r="F131" s="196"/>
      <c r="G131" s="196"/>
      <c r="H131" s="196"/>
      <c r="I131" s="196"/>
      <c r="J131" s="196"/>
      <c r="K131" s="196"/>
      <c r="L131" s="218"/>
    </row>
    <row r="132" spans="4:12" x14ac:dyDescent="0.35">
      <c r="E132" s="198" t="s">
        <v>1044</v>
      </c>
      <c r="F132" s="199"/>
      <c r="G132" s="199"/>
      <c r="H132" s="199"/>
      <c r="I132" s="199"/>
      <c r="J132" s="199"/>
      <c r="K132" s="199"/>
      <c r="L132" s="200"/>
    </row>
    <row r="133" spans="4:12" x14ac:dyDescent="0.35">
      <c r="E133" s="201"/>
      <c r="F133" s="116"/>
      <c r="G133" s="116"/>
      <c r="H133" s="116"/>
      <c r="I133" s="116"/>
      <c r="J133" s="116"/>
      <c r="K133" s="116"/>
      <c r="L133" s="202"/>
    </row>
    <row r="134" spans="4:12" ht="29" x14ac:dyDescent="0.35">
      <c r="D134" s="110"/>
      <c r="E134" s="203"/>
      <c r="F134" s="219" t="s">
        <v>987</v>
      </c>
      <c r="G134" s="219" t="s">
        <v>980</v>
      </c>
      <c r="H134" s="219" t="s">
        <v>979</v>
      </c>
      <c r="I134" s="219" t="s">
        <v>988</v>
      </c>
      <c r="J134" s="219" t="s">
        <v>983</v>
      </c>
      <c r="K134" s="219" t="s">
        <v>982</v>
      </c>
      <c r="L134" s="220" t="s">
        <v>989</v>
      </c>
    </row>
    <row r="135" spans="4:12" x14ac:dyDescent="0.35">
      <c r="D135" s="110"/>
      <c r="E135" s="203" t="s">
        <v>524</v>
      </c>
      <c r="F135" s="221">
        <f>D116</f>
        <v>0</v>
      </c>
      <c r="G135" s="222">
        <f>E116</f>
        <v>6.7322485394264922</v>
      </c>
      <c r="H135" s="116">
        <f>F116</f>
        <v>0</v>
      </c>
      <c r="I135" s="116">
        <f>G116</f>
        <v>0</v>
      </c>
      <c r="J135" s="223">
        <f>H116</f>
        <v>2.0335590568519364E-2</v>
      </c>
      <c r="K135" s="221">
        <f>I135*J135</f>
        <v>0</v>
      </c>
      <c r="L135" s="202">
        <f>H135+K135</f>
        <v>0</v>
      </c>
    </row>
    <row r="136" spans="4:12" x14ac:dyDescent="0.35">
      <c r="D136" s="110"/>
      <c r="E136" s="203" t="s">
        <v>525</v>
      </c>
      <c r="F136" s="221">
        <f t="shared" ref="F136:H136" si="45">D117</f>
        <v>0</v>
      </c>
      <c r="G136" s="222">
        <f t="shared" si="45"/>
        <v>7.6700742765151357</v>
      </c>
      <c r="H136" s="116">
        <f t="shared" si="45"/>
        <v>0</v>
      </c>
      <c r="I136" s="116">
        <f t="shared" ref="I136:I137" si="46">G117</f>
        <v>0</v>
      </c>
      <c r="J136" s="223">
        <f t="shared" ref="J136:J138" si="47">H117</f>
        <v>1.3643999999999996E-2</v>
      </c>
      <c r="K136" s="116">
        <f>I136*J136</f>
        <v>0</v>
      </c>
      <c r="L136" s="202">
        <f t="shared" ref="L136:L138" si="48">H136+K136</f>
        <v>0</v>
      </c>
    </row>
    <row r="137" spans="4:12" x14ac:dyDescent="0.35">
      <c r="D137" s="110"/>
      <c r="E137" s="203" t="s">
        <v>526</v>
      </c>
      <c r="F137" s="221">
        <f t="shared" ref="F137:H137" si="49">D118</f>
        <v>0</v>
      </c>
      <c r="G137" s="222">
        <f t="shared" si="49"/>
        <v>7.49</v>
      </c>
      <c r="H137" s="116">
        <f t="shared" si="49"/>
        <v>0</v>
      </c>
      <c r="I137" s="116">
        <f t="shared" si="46"/>
        <v>0</v>
      </c>
      <c r="J137" s="223">
        <f t="shared" si="47"/>
        <v>1.3643999999999989E-2</v>
      </c>
      <c r="K137" s="116">
        <f t="shared" ref="K137:K138" si="50">I137*J137</f>
        <v>0</v>
      </c>
      <c r="L137" s="202">
        <f t="shared" si="48"/>
        <v>0</v>
      </c>
    </row>
    <row r="138" spans="4:12" x14ac:dyDescent="0.35">
      <c r="D138" s="110"/>
      <c r="E138" s="203" t="s">
        <v>527</v>
      </c>
      <c r="F138" s="221">
        <f t="shared" ref="F138:H138" si="51">D119</f>
        <v>0</v>
      </c>
      <c r="G138" s="222">
        <f t="shared" si="51"/>
        <v>7.3</v>
      </c>
      <c r="H138" s="116">
        <f t="shared" si="51"/>
        <v>0</v>
      </c>
      <c r="I138" s="116">
        <f>G119</f>
        <v>0</v>
      </c>
      <c r="J138" s="223">
        <f t="shared" si="47"/>
        <v>1.1539999999999995E-2</v>
      </c>
      <c r="K138" s="116">
        <f t="shared" si="50"/>
        <v>0</v>
      </c>
      <c r="L138" s="202">
        <f t="shared" si="48"/>
        <v>0</v>
      </c>
    </row>
    <row r="139" spans="4:12" x14ac:dyDescent="0.35">
      <c r="D139" s="110"/>
      <c r="E139" s="224"/>
      <c r="F139" s="225">
        <f>SUM(F135:F138)</f>
        <v>0</v>
      </c>
      <c r="G139" s="210"/>
      <c r="H139" s="210">
        <f>SUM(H135:H138)</f>
        <v>0</v>
      </c>
      <c r="I139" s="210">
        <f>G120</f>
        <v>0</v>
      </c>
      <c r="J139" s="226" t="s">
        <v>964</v>
      </c>
      <c r="K139" s="210">
        <f>SUM(K135:K138)</f>
        <v>0</v>
      </c>
      <c r="L139" s="211">
        <f>SUM(L135:L138)</f>
        <v>0</v>
      </c>
    </row>
  </sheetData>
  <mergeCells count="8">
    <mergeCell ref="M53:Q57"/>
    <mergeCell ref="D84:G84"/>
    <mergeCell ref="D107:I107"/>
    <mergeCell ref="D68:G68"/>
    <mergeCell ref="I68:L68"/>
    <mergeCell ref="D35:G35"/>
    <mergeCell ref="D51:G51"/>
    <mergeCell ref="I85:K87"/>
  </mergeCells>
  <conditionalFormatting sqref="D13:E24">
    <cfRule type="cellIs" dxfId="3" priority="6" operator="equal">
      <formula>D$25</formula>
    </cfRule>
  </conditionalFormatting>
  <conditionalFormatting sqref="D70:G81">
    <cfRule type="cellIs" dxfId="2" priority="7" operator="equal">
      <formula>D$82</formula>
    </cfRule>
  </conditionalFormatting>
  <conditionalFormatting sqref="D86:G97">
    <cfRule type="cellIs" dxfId="1" priority="2" operator="equal">
      <formula>D$98</formula>
    </cfRule>
  </conditionalFormatting>
  <conditionalFormatting sqref="P14">
    <cfRule type="cellIs" dxfId="0" priority="1" operator="equal">
      <formula>P$25</formula>
    </cfRule>
  </conditionalFormatting>
  <pageMargins left="0.7" right="0.7" top="0.75" bottom="0.75" header="0.3" footer="0.3"/>
  <pageSetup scale="1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68781-75AD-4953-B496-06AD2D5CDECE}">
  <sheetPr>
    <tabColor rgb="FF002060"/>
  </sheetPr>
  <dimension ref="F4:K21"/>
  <sheetViews>
    <sheetView showGridLines="0" workbookViewId="0">
      <selection activeCell="E10" sqref="E10"/>
    </sheetView>
  </sheetViews>
  <sheetFormatPr defaultRowHeight="12.5" x14ac:dyDescent="0.25"/>
  <cols>
    <col min="6" max="6" width="22.36328125" customWidth="1"/>
    <col min="7" max="7" width="10.90625" customWidth="1"/>
    <col min="8" max="8" width="6.81640625" customWidth="1"/>
    <col min="9" max="9" width="11.81640625" customWidth="1"/>
    <col min="10" max="10" width="7" customWidth="1"/>
    <col min="11" max="11" width="10.453125" customWidth="1"/>
  </cols>
  <sheetData>
    <row r="4" spans="6:11" ht="13" x14ac:dyDescent="0.3">
      <c r="F4" s="245" t="s">
        <v>1063</v>
      </c>
      <c r="G4" s="246"/>
      <c r="H4" s="246"/>
      <c r="I4" s="246"/>
      <c r="J4" s="246"/>
      <c r="K4" s="247"/>
    </row>
    <row r="5" spans="6:11" ht="14.5" x14ac:dyDescent="0.35">
      <c r="F5" s="248" t="s">
        <v>1064</v>
      </c>
      <c r="G5" s="249"/>
      <c r="H5" s="249"/>
      <c r="I5" s="249"/>
      <c r="J5" s="249"/>
      <c r="K5" s="250"/>
    </row>
    <row r="6" spans="6:11" ht="14.5" x14ac:dyDescent="0.35">
      <c r="F6" s="248"/>
      <c r="G6" s="249"/>
      <c r="H6" s="249"/>
      <c r="I6" s="249"/>
      <c r="J6" s="249"/>
      <c r="K6" s="250"/>
    </row>
    <row r="7" spans="6:11" ht="39.5" x14ac:dyDescent="0.35">
      <c r="F7" s="251"/>
      <c r="G7" s="252" t="s">
        <v>1065</v>
      </c>
      <c r="I7" s="252" t="s">
        <v>1066</v>
      </c>
      <c r="K7" s="253" t="s">
        <v>1067</v>
      </c>
    </row>
    <row r="8" spans="6:11" ht="14.5" x14ac:dyDescent="0.35">
      <c r="F8" s="203"/>
      <c r="K8" s="254"/>
    </row>
    <row r="9" spans="6:11" ht="14.5" x14ac:dyDescent="0.35">
      <c r="F9" s="208" t="s">
        <v>908</v>
      </c>
      <c r="G9" s="255">
        <f>'T-8,9 Weather Normalization'!D13</f>
        <v>2546</v>
      </c>
      <c r="H9" s="255"/>
      <c r="I9" s="255">
        <f>'T-8,9 Weather Normalization'!E13</f>
        <v>3433</v>
      </c>
      <c r="J9" s="255"/>
      <c r="K9" s="256">
        <f>'T-8,9 Weather Normalization'!F13</f>
        <v>0</v>
      </c>
    </row>
    <row r="10" spans="6:11" ht="14.5" x14ac:dyDescent="0.35">
      <c r="F10" s="208" t="s">
        <v>909</v>
      </c>
      <c r="G10" s="255">
        <f>'T-8,9 Weather Normalization'!D14</f>
        <v>2561.8069999999998</v>
      </c>
      <c r="H10" s="255"/>
      <c r="I10" s="255">
        <f>'T-8,9 Weather Normalization'!E14</f>
        <v>3250.3029999999994</v>
      </c>
      <c r="J10" s="255"/>
      <c r="K10" s="256">
        <f>'T-8,9 Weather Normalization'!F14</f>
        <v>0</v>
      </c>
    </row>
    <row r="11" spans="6:11" ht="14.5" x14ac:dyDescent="0.35">
      <c r="F11" s="208" t="s">
        <v>910</v>
      </c>
      <c r="G11" s="255">
        <f>'T-8,9 Weather Normalization'!D15</f>
        <v>2706.8910000000001</v>
      </c>
      <c r="H11" s="255"/>
      <c r="I11" s="255">
        <f>'T-8,9 Weather Normalization'!E15</f>
        <v>2970</v>
      </c>
      <c r="J11" s="255"/>
      <c r="K11" s="256">
        <f>'T-8,9 Weather Normalization'!F15</f>
        <v>0</v>
      </c>
    </row>
    <row r="12" spans="6:11" ht="14.5" x14ac:dyDescent="0.35">
      <c r="F12" s="208" t="s">
        <v>911</v>
      </c>
      <c r="G12" s="255">
        <f>'T-8,9 Weather Normalization'!D16</f>
        <v>1961.855</v>
      </c>
      <c r="H12" s="255"/>
      <c r="I12" s="255">
        <f>'T-8,9 Weather Normalization'!E16</f>
        <v>2347</v>
      </c>
      <c r="J12" s="255"/>
      <c r="K12" s="256">
        <f>'T-8,9 Weather Normalization'!F16</f>
        <v>0</v>
      </c>
    </row>
    <row r="13" spans="6:11" ht="14.5" x14ac:dyDescent="0.35">
      <c r="F13" s="208" t="s">
        <v>912</v>
      </c>
      <c r="G13" s="255">
        <f>'T-8,9 Weather Normalization'!D17</f>
        <v>2017.3109999999999</v>
      </c>
      <c r="H13" s="255"/>
      <c r="I13" s="255">
        <f>'T-8,9 Weather Normalization'!E17</f>
        <v>2050</v>
      </c>
      <c r="J13" s="255"/>
      <c r="K13" s="256">
        <f>'T-8,9 Weather Normalization'!F17</f>
        <v>0</v>
      </c>
    </row>
    <row r="14" spans="6:11" ht="14.5" x14ac:dyDescent="0.35">
      <c r="F14" s="208" t="s">
        <v>913</v>
      </c>
      <c r="G14" s="255">
        <f>'T-8,9 Weather Normalization'!D18</f>
        <v>2093.5329999999999</v>
      </c>
      <c r="H14" s="255"/>
      <c r="I14" s="255">
        <f>'T-8,9 Weather Normalization'!E18</f>
        <v>2319</v>
      </c>
      <c r="J14" s="255"/>
      <c r="K14" s="256">
        <f>'T-8,9 Weather Normalization'!F18</f>
        <v>0</v>
      </c>
    </row>
    <row r="15" spans="6:11" ht="14.5" x14ac:dyDescent="0.35">
      <c r="F15" s="208" t="s">
        <v>914</v>
      </c>
      <c r="G15" s="255">
        <f>'T-8,9 Weather Normalization'!D19</f>
        <v>2497.174</v>
      </c>
      <c r="H15" s="255"/>
      <c r="I15" s="255">
        <f>'T-8,9 Weather Normalization'!E19</f>
        <v>2636</v>
      </c>
      <c r="J15" s="255"/>
      <c r="K15" s="256">
        <f>'T-8,9 Weather Normalization'!F19</f>
        <v>0</v>
      </c>
    </row>
    <row r="16" spans="6:11" ht="14.5" x14ac:dyDescent="0.35">
      <c r="F16" s="208" t="s">
        <v>915</v>
      </c>
      <c r="G16" s="255">
        <f>'T-8,9 Weather Normalization'!D20</f>
        <v>2498.42</v>
      </c>
      <c r="H16" s="255"/>
      <c r="I16" s="255">
        <f>'T-8,9 Weather Normalization'!E20</f>
        <v>2414</v>
      </c>
      <c r="J16" s="255"/>
      <c r="K16" s="256">
        <f>'T-8,9 Weather Normalization'!F20</f>
        <v>0</v>
      </c>
    </row>
    <row r="17" spans="6:11" ht="14.5" x14ac:dyDescent="0.35">
      <c r="F17" s="208" t="s">
        <v>916</v>
      </c>
      <c r="G17" s="255">
        <f>'T-8,9 Weather Normalization'!D21</f>
        <v>2281.06</v>
      </c>
      <c r="H17" s="255"/>
      <c r="I17" s="255">
        <f>'T-8,9 Weather Normalization'!E21</f>
        <v>2288</v>
      </c>
      <c r="J17" s="255"/>
      <c r="K17" s="256">
        <f>'T-8,9 Weather Normalization'!F21</f>
        <v>0</v>
      </c>
    </row>
    <row r="18" spans="6:11" ht="14.5" x14ac:dyDescent="0.35">
      <c r="F18" s="208" t="s">
        <v>917</v>
      </c>
      <c r="G18" s="255">
        <f>'T-8,9 Weather Normalization'!D22</f>
        <v>2023.9849999999999</v>
      </c>
      <c r="H18" s="255"/>
      <c r="I18" s="255">
        <f>'T-8,9 Weather Normalization'!E22</f>
        <v>1938</v>
      </c>
      <c r="J18" s="255"/>
      <c r="K18" s="256">
        <f>'T-8,9 Weather Normalization'!F22</f>
        <v>0</v>
      </c>
    </row>
    <row r="19" spans="6:11" ht="14.5" x14ac:dyDescent="0.35">
      <c r="F19" s="208" t="s">
        <v>918</v>
      </c>
      <c r="G19" s="255">
        <f>'T-8,9 Weather Normalization'!D23</f>
        <v>2668.54</v>
      </c>
      <c r="H19" s="255"/>
      <c r="I19" s="255">
        <f>'T-8,9 Weather Normalization'!E23</f>
        <v>2629</v>
      </c>
      <c r="J19" s="255"/>
      <c r="K19" s="256">
        <f>'T-8,9 Weather Normalization'!F23</f>
        <v>0</v>
      </c>
    </row>
    <row r="20" spans="6:11" ht="14.5" x14ac:dyDescent="0.35">
      <c r="F20" s="208" t="s">
        <v>919</v>
      </c>
      <c r="G20" s="255">
        <f>'T-8,9 Weather Normalization'!D24</f>
        <v>2677.4450000000002</v>
      </c>
      <c r="H20" s="255"/>
      <c r="I20" s="255">
        <f>'T-8,9 Weather Normalization'!E24</f>
        <v>3186</v>
      </c>
      <c r="J20" s="255"/>
      <c r="K20" s="256">
        <f>'T-8,9 Weather Normalization'!F24</f>
        <v>0</v>
      </c>
    </row>
    <row r="21" spans="6:11" ht="14.5" x14ac:dyDescent="0.35">
      <c r="F21" s="257" t="s">
        <v>921</v>
      </c>
      <c r="G21" s="258">
        <f>'T-8,9 Weather Normalization'!D25</f>
        <v>2707</v>
      </c>
      <c r="H21" s="258"/>
      <c r="I21" s="258">
        <f>'T-8,9 Weather Normalization'!E25</f>
        <v>3433</v>
      </c>
      <c r="J21" s="258"/>
      <c r="K21" s="259">
        <f>'T-8,9 Weather Normalization'!F25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A2EA-1F46-4193-AFFD-904F219B6683}">
  <sheetPr>
    <tabColor rgb="FF002060"/>
  </sheetPr>
  <dimension ref="A1:O14"/>
  <sheetViews>
    <sheetView topLeftCell="F1" workbookViewId="0">
      <selection activeCell="L16" sqref="L16"/>
    </sheetView>
  </sheetViews>
  <sheetFormatPr defaultRowHeight="12.5" x14ac:dyDescent="0.25"/>
  <cols>
    <col min="1" max="1" width="10.7265625" bestFit="1" customWidth="1"/>
    <col min="2" max="2" width="20.81640625" bestFit="1" customWidth="1"/>
    <col min="3" max="3" width="11.453125" bestFit="1" customWidth="1"/>
    <col min="4" max="4" width="11.7265625" bestFit="1" customWidth="1"/>
    <col min="5" max="5" width="12.1796875" bestFit="1" customWidth="1"/>
    <col min="6" max="6" width="15.26953125" bestFit="1" customWidth="1"/>
    <col min="7" max="7" width="16.26953125" bestFit="1" customWidth="1"/>
    <col min="8" max="8" width="4.453125" bestFit="1" customWidth="1"/>
    <col min="9" max="9" width="4.7265625" bestFit="1" customWidth="1"/>
    <col min="10" max="10" width="16.1796875" customWidth="1"/>
    <col min="11" max="11" width="15.1796875" customWidth="1"/>
    <col min="12" max="12" width="20.54296875" bestFit="1" customWidth="1"/>
    <col min="13" max="13" width="21.54296875" bestFit="1" customWidth="1"/>
    <col min="14" max="14" width="13.81640625" bestFit="1" customWidth="1"/>
    <col min="15" max="15" width="33.453125" bestFit="1" customWidth="1"/>
  </cols>
  <sheetData>
    <row r="1" spans="1:15" x14ac:dyDescent="0.25">
      <c r="A1" t="s">
        <v>1047</v>
      </c>
      <c r="B1" t="s">
        <v>1048</v>
      </c>
      <c r="C1" t="s">
        <v>1049</v>
      </c>
      <c r="D1" t="s">
        <v>1050</v>
      </c>
      <c r="E1" t="s">
        <v>1051</v>
      </c>
      <c r="F1" t="s">
        <v>522</v>
      </c>
      <c r="G1" t="s">
        <v>1052</v>
      </c>
      <c r="H1" t="s">
        <v>1053</v>
      </c>
      <c r="I1" t="s">
        <v>921</v>
      </c>
      <c r="J1" t="s">
        <v>1054</v>
      </c>
      <c r="K1" t="s">
        <v>1055</v>
      </c>
      <c r="L1" t="s">
        <v>1056</v>
      </c>
      <c r="M1" t="s">
        <v>1057</v>
      </c>
      <c r="N1" t="s">
        <v>1058</v>
      </c>
      <c r="O1" t="s">
        <v>1059</v>
      </c>
    </row>
    <row r="2" spans="1:15" ht="14.5" x14ac:dyDescent="0.35">
      <c r="A2" s="228">
        <v>44950</v>
      </c>
      <c r="B2" s="229">
        <v>549942</v>
      </c>
      <c r="C2" s="230">
        <f>VLOOKUP(MONTH($A2),'[1]Normal DBT'!$A$2:$C$13,3)</f>
        <v>-2</v>
      </c>
      <c r="D2" s="230">
        <f>VLOOKUP(MONTH($A2),'[1]Normal DBT'!$A$2:$C$13,2)</f>
        <v>21</v>
      </c>
      <c r="E2" s="229">
        <v>2546</v>
      </c>
      <c r="F2" s="231">
        <v>193</v>
      </c>
      <c r="G2" s="229">
        <f>E2-F2</f>
        <v>2353</v>
      </c>
      <c r="H2" s="231">
        <v>27</v>
      </c>
      <c r="I2" s="231">
        <v>48</v>
      </c>
      <c r="J2" s="232">
        <f>(
VLOOKUP(MONTH('[1]2023'!A2),[1]Coefficients!$I$2:$R$13,2,FALSE)*'[1]2023'!B2
+
VLOOKUP(MONTH('[1]2023'!A2),[1]Coefficients!$I$2:$R$13,3,FALSE)
+
VLOOKUP(MONTH('[1]2023'!A2),[1]Coefficients!$I$2:$R$13,4,FALSE)*'[1]2023'!C2
+
VLOOKUP(MONTH('[1]2023'!A2),[1]Coefficients!$I$2:$R$13,5,FALSE)*'[1]2023'!C2*'[1]2023'!C2
+
VLOOKUP(MONTH('[1]2023'!A2),[1]Coefficients!$I$2:$R$13,6,FALSE)*'[1]2023'!C2*'[1]2023'!C2*'[1]2023'!C2
+
VLOOKUP(MONTH('[1]2023'!A2),[1]Coefficients!$I$2:$R$13,7,FALSE)*'[1]2023'!D2
+
VLOOKUP(MONTH('[1]2023'!A2),[1]Coefficients!$I$2:$R$13,8,FALSE)*'[1]2023'!D2*'[1]2023'!D2
+
VLOOKUP(MONTH('[1]2023'!A2),[1]Coefficients!$I$2:$R$13,9,FALSE)*'[1]2023'!D2*'[1]2023'!D2*'[1]2023'!D2
)</f>
        <v>3073.7989999999995</v>
      </c>
      <c r="K2" s="232">
        <f>(
VLOOKUP(MONTH('[1]2023'!A2),[1]Coefficients!$I$2:$R$13,2,FALSE)*'[1]2023'!B2
+
VLOOKUP(MONTH('[1]2023'!A2),[1]Coefficients!$I$2:$R$13,3,FALSE)
+
VLOOKUP(MONTH('[1]2023'!A2),[1]Coefficients!$I$2:$R$13,4,FALSE)*'[1]2023'!H2
+
VLOOKUP(MONTH('[1]2023'!A2),[1]Coefficients!$I$2:$R$13,5,FALSE)*'[1]2023'!H2*'[1]2023'!H2
+
VLOOKUP(MONTH('[1]2023'!A2),[1]Coefficients!$I$2:$R$13,6,FALSE)*'[1]2023'!H2*'[1]2023'!H2*'[1]2023'!H2
+
VLOOKUP(MONTH('[1]2023'!A2),[1]Coefficients!$I$2:$R$13,7,FALSE)*'[1]2023'!I2
+
VLOOKUP(MONTH('[1]2023'!A2),[1]Coefficients!$I$2:$R$13,8,FALSE)*'[1]2023'!I2*'[1]2023'!I2
+
VLOOKUP(MONTH('[1]2023'!A2),[1]Coefficients!$I$2:$R$13,9,FALSE)*'[1]2023'!I2*'[1]2023'!I2*'[1]2023'!I2
)</f>
        <v>1936.1869999999999</v>
      </c>
      <c r="L2" s="233">
        <f>J2-K2-[1]Coefficients!$B$88</f>
        <v>886.76999999999964</v>
      </c>
      <c r="M2" s="232">
        <f>IF(OR(WEEKDAY(A2)=1,WEEKDAY(A2)=7),ABS([1]Coefficients!$B$87),0)</f>
        <v>0</v>
      </c>
      <c r="N2" s="234">
        <f>G2+L2+M2</f>
        <v>3239.7699999999995</v>
      </c>
      <c r="O2" s="234">
        <f>N2+F2</f>
        <v>3432.7699999999995</v>
      </c>
    </row>
    <row r="3" spans="1:15" ht="14.5" x14ac:dyDescent="0.35">
      <c r="A3" s="228">
        <v>44961</v>
      </c>
      <c r="B3" s="229">
        <v>549942</v>
      </c>
      <c r="C3" s="230">
        <f>VLOOKUP(MONTH($A3),'[1]Normal DBT'!$A$2:$C$13,3)</f>
        <v>4</v>
      </c>
      <c r="D3" s="230">
        <f>VLOOKUP(MONTH($A3),'[1]Normal DBT'!$A$2:$C$13,2)</f>
        <v>24</v>
      </c>
      <c r="E3" s="229">
        <v>2561.8069999999998</v>
      </c>
      <c r="F3" s="231">
        <v>120</v>
      </c>
      <c r="G3" s="229">
        <f t="shared" ref="G3:G13" si="0">E3-F3</f>
        <v>2441.8069999999998</v>
      </c>
      <c r="H3" s="231">
        <v>17</v>
      </c>
      <c r="I3" s="231">
        <v>51</v>
      </c>
      <c r="J3" s="232">
        <f>(
VLOOKUP(MONTH('[1]2023'!A3),[1]Coefficients!$I$2:$R$13,2,FALSE)*'[1]2023'!B3
+
VLOOKUP(MONTH('[1]2023'!A3),[1]Coefficients!$I$2:$R$13,3,FALSE)
+
VLOOKUP(MONTH('[1]2023'!A3),[1]Coefficients!$I$2:$R$13,4,FALSE)*'[1]2023'!C3
+
VLOOKUP(MONTH('[1]2023'!A3),[1]Coefficients!$I$2:$R$13,5,FALSE)*'[1]2023'!C3*'[1]2023'!C3
+
VLOOKUP(MONTH('[1]2023'!A3),[1]Coefficients!$I$2:$R$13,6,FALSE)*'[1]2023'!C3*'[1]2023'!C3*'[1]2023'!C3
+
VLOOKUP(MONTH('[1]2023'!A3),[1]Coefficients!$I$2:$R$13,7,FALSE)*'[1]2023'!D3
+
VLOOKUP(MONTH('[1]2023'!A3),[1]Coefficients!$I$2:$R$13,8,FALSE)*'[1]2023'!D3*'[1]2023'!D3
+
VLOOKUP(MONTH('[1]2023'!A3),[1]Coefficients!$I$2:$R$13,9,FALSE)*'[1]2023'!D3*'[1]2023'!D3*'[1]2023'!D3
)</f>
        <v>2737.3440000000001</v>
      </c>
      <c r="K3" s="232">
        <f>(
VLOOKUP(MONTH('[1]2023'!A3),[1]Coefficients!$I$2:$R$13,2,FALSE)*'[1]2023'!B3
+
VLOOKUP(MONTH('[1]2023'!A3),[1]Coefficients!$I$2:$R$13,3,FALSE)
+
VLOOKUP(MONTH('[1]2023'!A3),[1]Coefficients!$I$2:$R$13,4,FALSE)*'[1]2023'!H3
+
VLOOKUP(MONTH('[1]2023'!A3),[1]Coefficients!$I$2:$R$13,5,FALSE)*'[1]2023'!H3*'[1]2023'!H3
+
VLOOKUP(MONTH('[1]2023'!A3),[1]Coefficients!$I$2:$R$13,6,FALSE)*'[1]2023'!H3*'[1]2023'!H3*'[1]2023'!H3
+
VLOOKUP(MONTH('[1]2023'!A3),[1]Coefficients!$I$2:$R$13,7,FALSE)*'[1]2023'!I3
+
VLOOKUP(MONTH('[1]2023'!A3),[1]Coefficients!$I$2:$R$13,8,FALSE)*'[1]2023'!I3*'[1]2023'!I3
+
VLOOKUP(MONTH('[1]2023'!A3),[1]Coefficients!$I$2:$R$13,9,FALSE)*'[1]2023'!I3*'[1]2023'!I3*'[1]2023'!I3
)</f>
        <v>2151.6430000000005</v>
      </c>
      <c r="L3" s="232">
        <f>J3-K3</f>
        <v>585.70099999999957</v>
      </c>
      <c r="M3" s="232">
        <f>IF(OR(WEEKDAY(A3)=1,WEEKDAY(A3)=7),ABS([1]Coefficients!$B$87),0)</f>
        <v>102.795</v>
      </c>
      <c r="N3" s="234">
        <f t="shared" ref="N3:N13" si="1">G3+L3+M3</f>
        <v>3130.3029999999994</v>
      </c>
      <c r="O3" s="234">
        <f t="shared" ref="O3:O13" si="2">N3+F3</f>
        <v>3250.3029999999994</v>
      </c>
    </row>
    <row r="4" spans="1:15" ht="14.5" x14ac:dyDescent="0.35">
      <c r="A4" s="228">
        <v>45005</v>
      </c>
      <c r="B4" s="229">
        <v>549942</v>
      </c>
      <c r="C4" s="230">
        <f>VLOOKUP(MONTH($A4),'[1]Normal DBT'!$A$2:$C$13,3)</f>
        <v>16</v>
      </c>
      <c r="D4" s="230">
        <f>VLOOKUP(MONTH($A4),'[1]Normal DBT'!$A$2:$C$13,2)</f>
        <v>35</v>
      </c>
      <c r="E4" s="229">
        <v>2706.8910000000001</v>
      </c>
      <c r="F4" s="231">
        <v>167</v>
      </c>
      <c r="G4" s="229">
        <f t="shared" si="0"/>
        <v>2539.8910000000001</v>
      </c>
      <c r="H4" s="231">
        <v>21</v>
      </c>
      <c r="I4" s="231">
        <v>51</v>
      </c>
      <c r="J4" s="232">
        <f>(
VLOOKUP(MONTH('[1]2023'!A4),[1]Coefficients!$I$2:$R$13,2,FALSE)*'[1]2023'!B4
+
VLOOKUP(MONTH('[1]2023'!A4),[1]Coefficients!$I$2:$R$13,3,FALSE)
+
VLOOKUP(MONTH('[1]2023'!A4),[1]Coefficients!$I$2:$R$13,4,FALSE)*'[1]2023'!C4
+
VLOOKUP(MONTH('[1]2023'!A4),[1]Coefficients!$I$2:$R$13,5,FALSE)*'[1]2023'!C4*'[1]2023'!C4
+
VLOOKUP(MONTH('[1]2023'!A4),[1]Coefficients!$I$2:$R$13,6,FALSE)*'[1]2023'!C4*'[1]2023'!C4*'[1]2023'!C4
+
VLOOKUP(MONTH('[1]2023'!A4),[1]Coefficients!$I$2:$R$13,7,FALSE)*'[1]2023'!D4
+
VLOOKUP(MONTH('[1]2023'!A4),[1]Coefficients!$I$2:$R$13,8,FALSE)*'[1]2023'!D4*'[1]2023'!D4
+
VLOOKUP(MONTH('[1]2023'!A4),[1]Coefficients!$I$2:$R$13,9,FALSE)*'[1]2023'!D4*'[1]2023'!D4*'[1]2023'!D4
)</f>
        <v>2244.7800000000002</v>
      </c>
      <c r="K4" s="232">
        <f>(
VLOOKUP(MONTH('[1]2023'!A4),[1]Coefficients!$I$2:$R$13,2,FALSE)*'[1]2023'!B4
+
VLOOKUP(MONTH('[1]2023'!A4),[1]Coefficients!$I$2:$R$13,3,FALSE)
+
VLOOKUP(MONTH('[1]2023'!A4),[1]Coefficients!$I$2:$R$13,4,FALSE)*'[1]2023'!H4
+
VLOOKUP(MONTH('[1]2023'!A4),[1]Coefficients!$I$2:$R$13,5,FALSE)*'[1]2023'!H4*'[1]2023'!H4
+
VLOOKUP(MONTH('[1]2023'!A4),[1]Coefficients!$I$2:$R$13,6,FALSE)*'[1]2023'!H4*'[1]2023'!H4*'[1]2023'!H4
+
VLOOKUP(MONTH('[1]2023'!A4),[1]Coefficients!$I$2:$R$13,7,FALSE)*'[1]2023'!I4
+
VLOOKUP(MONTH('[1]2023'!A4),[1]Coefficients!$I$2:$R$13,8,FALSE)*'[1]2023'!I4*'[1]2023'!I4
+
VLOOKUP(MONTH('[1]2023'!A4),[1]Coefficients!$I$2:$R$13,9,FALSE)*'[1]2023'!I4*'[1]2023'!I4*'[1]2023'!I4
)</f>
        <v>1981.6269999999995</v>
      </c>
      <c r="L4" s="232">
        <f t="shared" ref="L4:L13" si="3">J4-K4</f>
        <v>263.1530000000007</v>
      </c>
      <c r="M4" s="232">
        <f>IF(OR(WEEKDAY(A4)=1,WEEKDAY(A4)=7),ABS([1]Coefficients!$B$87),0)</f>
        <v>0</v>
      </c>
      <c r="N4" s="234">
        <f t="shared" si="1"/>
        <v>2803.0440000000008</v>
      </c>
      <c r="O4" s="234">
        <f t="shared" si="2"/>
        <v>2970.0440000000008</v>
      </c>
    </row>
    <row r="5" spans="1:15" ht="14.5" x14ac:dyDescent="0.35">
      <c r="A5" s="228">
        <v>45041</v>
      </c>
      <c r="B5" s="229">
        <v>549942</v>
      </c>
      <c r="C5" s="230">
        <f>VLOOKUP(MONTH($A5),'[1]Normal DBT'!$A$2:$C$13,3)</f>
        <v>27</v>
      </c>
      <c r="D5" s="230">
        <f>VLOOKUP(MONTH($A5),'[1]Normal DBT'!$A$2:$C$13,2)</f>
        <v>47</v>
      </c>
      <c r="E5" s="229">
        <v>1961.855</v>
      </c>
      <c r="F5" s="231">
        <v>261</v>
      </c>
      <c r="G5" s="229">
        <f t="shared" si="0"/>
        <v>1700.855</v>
      </c>
      <c r="H5" s="231">
        <v>37</v>
      </c>
      <c r="I5" s="231">
        <v>66</v>
      </c>
      <c r="J5" s="232">
        <f>(
VLOOKUP(MONTH('[1]2023'!A5),[1]Coefficients!$I$2:$R$13,2,FALSE)*'[1]2023'!B5
+
VLOOKUP(MONTH('[1]2023'!A5),[1]Coefficients!$I$2:$R$13,3,FALSE)
+
VLOOKUP(MONTH('[1]2023'!A5),[1]Coefficients!$I$2:$R$13,4,FALSE)*'[1]2023'!C5
+
VLOOKUP(MONTH('[1]2023'!A5),[1]Coefficients!$I$2:$R$13,5,FALSE)*'[1]2023'!C5*'[1]2023'!C5
+
VLOOKUP(MONTH('[1]2023'!A5),[1]Coefficients!$I$2:$R$13,6,FALSE)*'[1]2023'!C5*'[1]2023'!C5*'[1]2023'!C5
+
VLOOKUP(MONTH('[1]2023'!A5),[1]Coefficients!$I$2:$R$13,7,FALSE)*'[1]2023'!D5
+
VLOOKUP(MONTH('[1]2023'!A5),[1]Coefficients!$I$2:$R$13,8,FALSE)*'[1]2023'!D5*'[1]2023'!D5
+
VLOOKUP(MONTH('[1]2023'!A5),[1]Coefficients!$I$2:$R$13,9,FALSE)*'[1]2023'!D5*'[1]2023'!D5*'[1]2023'!D5
)</f>
        <v>1795.7729999999997</v>
      </c>
      <c r="K5" s="232">
        <f>(
VLOOKUP(MONTH('[1]2023'!A5),[1]Coefficients!$I$2:$R$13,2,FALSE)*'[1]2023'!B5
+
VLOOKUP(MONTH('[1]2023'!A5),[1]Coefficients!$I$2:$R$13,3,FALSE)
+
VLOOKUP(MONTH('[1]2023'!A5),[1]Coefficients!$I$2:$R$13,4,FALSE)*'[1]2023'!H5
+
VLOOKUP(MONTH('[1]2023'!A5),[1]Coefficients!$I$2:$R$13,5,FALSE)*'[1]2023'!H5*'[1]2023'!H5
+
VLOOKUP(MONTH('[1]2023'!A5),[1]Coefficients!$I$2:$R$13,6,FALSE)*'[1]2023'!H5*'[1]2023'!H5*'[1]2023'!H5
+
VLOOKUP(MONTH('[1]2023'!A5),[1]Coefficients!$I$2:$R$13,7,FALSE)*'[1]2023'!I5
+
VLOOKUP(MONTH('[1]2023'!A5),[1]Coefficients!$I$2:$R$13,8,FALSE)*'[1]2023'!I5*'[1]2023'!I5
+
VLOOKUP(MONTH('[1]2023'!A5),[1]Coefficients!$I$2:$R$13,9,FALSE)*'[1]2023'!I5*'[1]2023'!I5*'[1]2023'!I5
)</f>
        <v>1410.8109999999997</v>
      </c>
      <c r="L5" s="232">
        <f t="shared" si="3"/>
        <v>384.96199999999999</v>
      </c>
      <c r="M5" s="232">
        <f>IF(OR(WEEKDAY(A5)=1,WEEKDAY(A5)=7),ABS([1]Coefficients!$B$87),0)</f>
        <v>0</v>
      </c>
      <c r="N5" s="234">
        <f t="shared" si="1"/>
        <v>2085.817</v>
      </c>
      <c r="O5" s="234">
        <f t="shared" si="2"/>
        <v>2346.817</v>
      </c>
    </row>
    <row r="6" spans="1:15" ht="14.5" x14ac:dyDescent="0.35">
      <c r="A6" s="228">
        <v>45077</v>
      </c>
      <c r="B6" s="229">
        <v>549942</v>
      </c>
      <c r="C6" s="230">
        <f>VLOOKUP(MONTH($A6),'[1]Normal DBT'!$A$2:$C$13,3)</f>
        <v>65</v>
      </c>
      <c r="D6" s="230">
        <f>VLOOKUP(MONTH($A6),'[1]Normal DBT'!$A$2:$C$13,2)</f>
        <v>88</v>
      </c>
      <c r="E6" s="229">
        <v>2017.3109999999999</v>
      </c>
      <c r="F6" s="231">
        <v>240</v>
      </c>
      <c r="G6" s="229">
        <f t="shared" si="0"/>
        <v>1777.3109999999999</v>
      </c>
      <c r="H6" s="231">
        <v>66</v>
      </c>
      <c r="I6" s="231">
        <v>87</v>
      </c>
      <c r="J6" s="232">
        <f>(
VLOOKUP(MONTH('[1]2023'!A6),[1]Coefficients!$I$2:$R$13,2,FALSE)*'[1]2023'!B6
+
VLOOKUP(MONTH('[1]2023'!A6),[1]Coefficients!$I$2:$R$13,3,FALSE)
+
VLOOKUP(MONTH('[1]2023'!A6),[1]Coefficients!$I$2:$R$13,4,FALSE)*'[1]2023'!C6
+
VLOOKUP(MONTH('[1]2023'!A6),[1]Coefficients!$I$2:$R$13,5,FALSE)*'[1]2023'!C6*'[1]2023'!C6
+
VLOOKUP(MONTH('[1]2023'!A6),[1]Coefficients!$I$2:$R$13,6,FALSE)*'[1]2023'!C6*'[1]2023'!C6*'[1]2023'!C6
+
VLOOKUP(MONTH('[1]2023'!A6),[1]Coefficients!$I$2:$R$13,7,FALSE)*'[1]2023'!D6
+
VLOOKUP(MONTH('[1]2023'!A6),[1]Coefficients!$I$2:$R$13,8,FALSE)*'[1]2023'!D6*'[1]2023'!D6
+
VLOOKUP(MONTH('[1]2023'!A6),[1]Coefficients!$I$2:$R$13,9,FALSE)*'[1]2023'!D6*'[1]2023'!D6*'[1]2023'!D6
)</f>
        <v>2077.2000000000007</v>
      </c>
      <c r="K6" s="232">
        <f>(
VLOOKUP(MONTH('[1]2023'!A6),[1]Coefficients!$I$2:$R$13,2,FALSE)*'[1]2023'!B6
+
VLOOKUP(MONTH('[1]2023'!A6),[1]Coefficients!$I$2:$R$13,3,FALSE)
+
VLOOKUP(MONTH('[1]2023'!A6),[1]Coefficients!$I$2:$R$13,4,FALSE)*'[1]2023'!H6
+
VLOOKUP(MONTH('[1]2023'!A6),[1]Coefficients!$I$2:$R$13,5,FALSE)*'[1]2023'!H6*'[1]2023'!H6
+
VLOOKUP(MONTH('[1]2023'!A6),[1]Coefficients!$I$2:$R$13,6,FALSE)*'[1]2023'!H6*'[1]2023'!H6*'[1]2023'!H6
+
VLOOKUP(MONTH('[1]2023'!A6),[1]Coefficients!$I$2:$R$13,7,FALSE)*'[1]2023'!I6
+
VLOOKUP(MONTH('[1]2023'!A6),[1]Coefficients!$I$2:$R$13,8,FALSE)*'[1]2023'!I6*'[1]2023'!I6
+
VLOOKUP(MONTH('[1]2023'!A6),[1]Coefficients!$I$2:$R$13,9,FALSE)*'[1]2023'!I6*'[1]2023'!I6*'[1]2023'!I6
)</f>
        <v>2044.6749999999988</v>
      </c>
      <c r="L6" s="232">
        <f t="shared" si="3"/>
        <v>32.52500000000191</v>
      </c>
      <c r="M6" s="232">
        <f>IF(OR(WEEKDAY(A6)=1,WEEKDAY(A6)=7),ABS([1]Coefficients!$B$87),0)</f>
        <v>0</v>
      </c>
      <c r="N6" s="234">
        <f t="shared" si="1"/>
        <v>1809.8360000000018</v>
      </c>
      <c r="O6" s="234">
        <f t="shared" si="2"/>
        <v>2049.8360000000021</v>
      </c>
    </row>
    <row r="7" spans="1:15" ht="14.5" x14ac:dyDescent="0.35">
      <c r="A7" s="228">
        <v>45107</v>
      </c>
      <c r="B7" s="229">
        <v>549942</v>
      </c>
      <c r="C7" s="230">
        <f>VLOOKUP(MONTH($A7),'[1]Normal DBT'!$A$2:$C$13,3)</f>
        <v>70</v>
      </c>
      <c r="D7" s="230">
        <f>VLOOKUP(MONTH($A7),'[1]Normal DBT'!$A$2:$C$13,2)</f>
        <v>93</v>
      </c>
      <c r="E7" s="229">
        <v>2093.5329999999999</v>
      </c>
      <c r="F7" s="231">
        <v>244</v>
      </c>
      <c r="G7" s="229">
        <f t="shared" si="0"/>
        <v>1849.5329999999999</v>
      </c>
      <c r="H7" s="231">
        <v>69</v>
      </c>
      <c r="I7" s="231">
        <v>85</v>
      </c>
      <c r="J7" s="232">
        <f>(
VLOOKUP(MONTH('[1]2023'!A7),[1]Coefficients!$I$2:$R$13,2,FALSE)*'[1]2023'!B7
+
VLOOKUP(MONTH('[1]2023'!A7),[1]Coefficients!$I$2:$R$13,3,FALSE)
+
VLOOKUP(MONTH('[1]2023'!A7),[1]Coefficients!$I$2:$R$13,4,FALSE)*'[1]2023'!C7
+
VLOOKUP(MONTH('[1]2023'!A7),[1]Coefficients!$I$2:$R$13,5,FALSE)*'[1]2023'!C7*'[1]2023'!C7
+
VLOOKUP(MONTH('[1]2023'!A7),[1]Coefficients!$I$2:$R$13,6,FALSE)*'[1]2023'!C7*'[1]2023'!C7*'[1]2023'!C7
+
VLOOKUP(MONTH('[1]2023'!A7),[1]Coefficients!$I$2:$R$13,7,FALSE)*'[1]2023'!D7
+
VLOOKUP(MONTH('[1]2023'!A7),[1]Coefficients!$I$2:$R$13,8,FALSE)*'[1]2023'!D7*'[1]2023'!D7
+
VLOOKUP(MONTH('[1]2023'!A7),[1]Coefficients!$I$2:$R$13,9,FALSE)*'[1]2023'!D7*'[1]2023'!D7*'[1]2023'!D7
)</f>
        <v>1636.4940000000001</v>
      </c>
      <c r="K7" s="232">
        <f>(
VLOOKUP(MONTH('[1]2023'!A7),[1]Coefficients!$I$2:$R$13,2,FALSE)*'[1]2023'!B7
+
VLOOKUP(MONTH('[1]2023'!A7),[1]Coefficients!$I$2:$R$13,3,FALSE)
+
VLOOKUP(MONTH('[1]2023'!A7),[1]Coefficients!$I$2:$R$13,4,FALSE)*'[1]2023'!H7
+
VLOOKUP(MONTH('[1]2023'!A7),[1]Coefficients!$I$2:$R$13,5,FALSE)*'[1]2023'!H7*'[1]2023'!H7
+
VLOOKUP(MONTH('[1]2023'!A7),[1]Coefficients!$I$2:$R$13,6,FALSE)*'[1]2023'!H7*'[1]2023'!H7*'[1]2023'!H7
+
VLOOKUP(MONTH('[1]2023'!A7),[1]Coefficients!$I$2:$R$13,7,FALSE)*'[1]2023'!I7
+
VLOOKUP(MONTH('[1]2023'!A7),[1]Coefficients!$I$2:$R$13,8,FALSE)*'[1]2023'!I7*'[1]2023'!I7
+
VLOOKUP(MONTH('[1]2023'!A7),[1]Coefficients!$I$2:$R$13,9,FALSE)*'[1]2023'!I7*'[1]2023'!I7*'[1]2023'!I7
)</f>
        <v>1411.1240000000003</v>
      </c>
      <c r="L7" s="232">
        <f t="shared" si="3"/>
        <v>225.36999999999989</v>
      </c>
      <c r="M7" s="232">
        <f>IF(OR(WEEKDAY(A7)=1,WEEKDAY(A7)=7),ABS([1]Coefficients!$B$87),0)</f>
        <v>0</v>
      </c>
      <c r="N7" s="234">
        <f t="shared" si="1"/>
        <v>2074.9029999999998</v>
      </c>
      <c r="O7" s="234">
        <f t="shared" si="2"/>
        <v>2318.9029999999998</v>
      </c>
    </row>
    <row r="8" spans="1:15" ht="14.5" x14ac:dyDescent="0.35">
      <c r="A8" s="228">
        <v>45134</v>
      </c>
      <c r="B8" s="229">
        <v>549942</v>
      </c>
      <c r="C8" s="230">
        <f>VLOOKUP(MONTH($A8),'[1]Normal DBT'!$A$2:$C$13,3)</f>
        <v>71</v>
      </c>
      <c r="D8" s="230">
        <f>VLOOKUP(MONTH($A8),'[1]Normal DBT'!$A$2:$C$13,2)</f>
        <v>97</v>
      </c>
      <c r="E8" s="229">
        <v>2497.174</v>
      </c>
      <c r="F8" s="231">
        <v>225</v>
      </c>
      <c r="G8" s="229">
        <f t="shared" si="0"/>
        <v>2272.174</v>
      </c>
      <c r="H8" s="231">
        <v>78</v>
      </c>
      <c r="I8" s="231">
        <v>92</v>
      </c>
      <c r="J8" s="232">
        <f>(
VLOOKUP(MONTH('[1]2023'!A8),[1]Coefficients!$I$2:$R$13,2,FALSE)*'[1]2023'!B8
+
VLOOKUP(MONTH('[1]2023'!A8),[1]Coefficients!$I$2:$R$13,3,FALSE)
+
VLOOKUP(MONTH('[1]2023'!A8),[1]Coefficients!$I$2:$R$13,4,FALSE)*'[1]2023'!C8
+
VLOOKUP(MONTH('[1]2023'!A8),[1]Coefficients!$I$2:$R$13,5,FALSE)*'[1]2023'!C8*'[1]2023'!C8
+
VLOOKUP(MONTH('[1]2023'!A8),[1]Coefficients!$I$2:$R$13,6,FALSE)*'[1]2023'!C8*'[1]2023'!C8*'[1]2023'!C8
+
VLOOKUP(MONTH('[1]2023'!A8),[1]Coefficients!$I$2:$R$13,7,FALSE)*'[1]2023'!D8
+
VLOOKUP(MONTH('[1]2023'!A8),[1]Coefficients!$I$2:$R$13,8,FALSE)*'[1]2023'!D8*'[1]2023'!D8
+
VLOOKUP(MONTH('[1]2023'!A8),[1]Coefficients!$I$2:$R$13,9,FALSE)*'[1]2023'!D8*'[1]2023'!D8*'[1]2023'!D8
)</f>
        <v>2310.5680000000007</v>
      </c>
      <c r="K8" s="232">
        <f>(
VLOOKUP(MONTH('[1]2023'!A8),[1]Coefficients!$I$2:$R$13,2,FALSE)*'[1]2023'!B8
+
VLOOKUP(MONTH('[1]2023'!A8),[1]Coefficients!$I$2:$R$13,3,FALSE)
+
VLOOKUP(MONTH('[1]2023'!A8),[1]Coefficients!$I$2:$R$13,4,FALSE)*'[1]2023'!H8
+
VLOOKUP(MONTH('[1]2023'!A8),[1]Coefficients!$I$2:$R$13,5,FALSE)*'[1]2023'!H8*'[1]2023'!H8
+
VLOOKUP(MONTH('[1]2023'!A8),[1]Coefficients!$I$2:$R$13,6,FALSE)*'[1]2023'!H8*'[1]2023'!H8*'[1]2023'!H8
+
VLOOKUP(MONTH('[1]2023'!A8),[1]Coefficients!$I$2:$R$13,7,FALSE)*'[1]2023'!I8
+
VLOOKUP(MONTH('[1]2023'!A8),[1]Coefficients!$I$2:$R$13,8,FALSE)*'[1]2023'!I8*'[1]2023'!I8
+
VLOOKUP(MONTH('[1]2023'!A8),[1]Coefficients!$I$2:$R$13,9,FALSE)*'[1]2023'!I8*'[1]2023'!I8*'[1]2023'!I8
)</f>
        <v>2171.3180000000002</v>
      </c>
      <c r="L8" s="232">
        <f t="shared" si="3"/>
        <v>139.25000000000045</v>
      </c>
      <c r="M8" s="232">
        <f>IF(OR(WEEKDAY(A8)=1,WEEKDAY(A8)=7),ABS([1]Coefficients!$B$87),0)</f>
        <v>0</v>
      </c>
      <c r="N8" s="234">
        <f t="shared" si="1"/>
        <v>2411.4240000000004</v>
      </c>
      <c r="O8" s="234">
        <f t="shared" si="2"/>
        <v>2636.4240000000004</v>
      </c>
    </row>
    <row r="9" spans="1:15" ht="14.5" x14ac:dyDescent="0.35">
      <c r="A9" s="228">
        <v>45163</v>
      </c>
      <c r="B9" s="229">
        <v>549942</v>
      </c>
      <c r="C9" s="230">
        <f>VLOOKUP(MONTH($A9),'[1]Normal DBT'!$A$2:$C$13,3)</f>
        <v>70</v>
      </c>
      <c r="D9" s="230">
        <f>VLOOKUP(MONTH($A9),'[1]Normal DBT'!$A$2:$C$13,2)</f>
        <v>95</v>
      </c>
      <c r="E9" s="229">
        <v>2498.42</v>
      </c>
      <c r="F9" s="231">
        <v>246</v>
      </c>
      <c r="G9" s="229">
        <f t="shared" si="0"/>
        <v>2252.42</v>
      </c>
      <c r="H9" s="231">
        <v>71</v>
      </c>
      <c r="I9" s="231">
        <v>98</v>
      </c>
      <c r="J9" s="232">
        <f>(
VLOOKUP(MONTH('[1]2023'!A9),[1]Coefficients!$I$2:$R$13,2,FALSE)*'[1]2023'!B9
+
VLOOKUP(MONTH('[1]2023'!A9),[1]Coefficients!$I$2:$R$13,3,FALSE)
+
VLOOKUP(MONTH('[1]2023'!A9),[1]Coefficients!$I$2:$R$13,4,FALSE)*'[1]2023'!C9
+
VLOOKUP(MONTH('[1]2023'!A9),[1]Coefficients!$I$2:$R$13,5,FALSE)*'[1]2023'!C9*'[1]2023'!C9
+
VLOOKUP(MONTH('[1]2023'!A9),[1]Coefficients!$I$2:$R$13,6,FALSE)*'[1]2023'!C9*'[1]2023'!C9*'[1]2023'!C9
+
VLOOKUP(MONTH('[1]2023'!A9),[1]Coefficients!$I$2:$R$13,7,FALSE)*'[1]2023'!D9
+
VLOOKUP(MONTH('[1]2023'!A9),[1]Coefficients!$I$2:$R$13,8,FALSE)*'[1]2023'!D9*'[1]2023'!D9
+
VLOOKUP(MONTH('[1]2023'!A9),[1]Coefficients!$I$2:$R$13,9,FALSE)*'[1]2023'!D9*'[1]2023'!D9*'[1]2023'!D9
)</f>
        <v>1957.9449999999997</v>
      </c>
      <c r="K9" s="232">
        <f>(
VLOOKUP(MONTH('[1]2023'!A9),[1]Coefficients!$I$2:$R$13,2,FALSE)*'[1]2023'!B9
+
VLOOKUP(MONTH('[1]2023'!A9),[1]Coefficients!$I$2:$R$13,3,FALSE)
+
VLOOKUP(MONTH('[1]2023'!A9),[1]Coefficients!$I$2:$R$13,4,FALSE)*'[1]2023'!H9
+
VLOOKUP(MONTH('[1]2023'!A9),[1]Coefficients!$I$2:$R$13,5,FALSE)*'[1]2023'!H9*'[1]2023'!H9
+
VLOOKUP(MONTH('[1]2023'!A9),[1]Coefficients!$I$2:$R$13,6,FALSE)*'[1]2023'!H9*'[1]2023'!H9*'[1]2023'!H9
+
VLOOKUP(MONTH('[1]2023'!A9),[1]Coefficients!$I$2:$R$13,7,FALSE)*'[1]2023'!I9
+
VLOOKUP(MONTH('[1]2023'!A9),[1]Coefficients!$I$2:$R$13,8,FALSE)*'[1]2023'!I9*'[1]2023'!I9
+
VLOOKUP(MONTH('[1]2023'!A9),[1]Coefficients!$I$2:$R$13,9,FALSE)*'[1]2023'!I9*'[1]2023'!I9*'[1]2023'!I9
)</f>
        <v>2042.1859999999999</v>
      </c>
      <c r="L9" s="232">
        <f t="shared" si="3"/>
        <v>-84.241000000000213</v>
      </c>
      <c r="M9" s="232">
        <f>IF(OR(WEEKDAY(A9)=1,WEEKDAY(A9)=7),ABS([1]Coefficients!$B$87),0)</f>
        <v>0</v>
      </c>
      <c r="N9" s="234">
        <f t="shared" si="1"/>
        <v>2168.1790000000001</v>
      </c>
      <c r="O9" s="234">
        <f t="shared" si="2"/>
        <v>2414.1790000000001</v>
      </c>
    </row>
    <row r="10" spans="1:15" ht="14.5" x14ac:dyDescent="0.35">
      <c r="A10" s="228">
        <v>45173</v>
      </c>
      <c r="B10" s="229">
        <v>549942</v>
      </c>
      <c r="C10" s="230">
        <f>VLOOKUP(MONTH($A10),'[1]Normal DBT'!$A$2:$C$13,3)</f>
        <v>68</v>
      </c>
      <c r="D10" s="230">
        <f>VLOOKUP(MONTH($A10),'[1]Normal DBT'!$A$2:$C$13,2)</f>
        <v>92</v>
      </c>
      <c r="E10" s="229">
        <v>2281.06</v>
      </c>
      <c r="F10" s="231">
        <v>214</v>
      </c>
      <c r="G10" s="229">
        <f t="shared" si="0"/>
        <v>2067.06</v>
      </c>
      <c r="H10" s="231">
        <v>65</v>
      </c>
      <c r="I10" s="231">
        <v>93</v>
      </c>
      <c r="J10" s="232">
        <f>(
VLOOKUP(MONTH('[1]2023'!A10),[1]Coefficients!$I$2:$R$13,2,FALSE)*'[1]2023'!B10
+
VLOOKUP(MONTH('[1]2023'!A10),[1]Coefficients!$I$2:$R$13,3,FALSE)
+
VLOOKUP(MONTH('[1]2023'!A10),[1]Coefficients!$I$2:$R$13,4,FALSE)*'[1]2023'!C10
+
VLOOKUP(MONTH('[1]2023'!A10),[1]Coefficients!$I$2:$R$13,5,FALSE)*'[1]2023'!C10*'[1]2023'!C10
+
VLOOKUP(MONTH('[1]2023'!A10),[1]Coefficients!$I$2:$R$13,6,FALSE)*'[1]2023'!C10*'[1]2023'!C10*'[1]2023'!C10
+
VLOOKUP(MONTH('[1]2023'!A10),[1]Coefficients!$I$2:$R$13,7,FALSE)*'[1]2023'!D10
+
VLOOKUP(MONTH('[1]2023'!A10),[1]Coefficients!$I$2:$R$13,8,FALSE)*'[1]2023'!D10*'[1]2023'!D10
+
VLOOKUP(MONTH('[1]2023'!A10),[1]Coefficients!$I$2:$R$13,9,FALSE)*'[1]2023'!D10*'[1]2023'!D10*'[1]2023'!D10
)</f>
        <v>1625.0439999999999</v>
      </c>
      <c r="K10" s="232">
        <f>(
VLOOKUP(MONTH('[1]2023'!A10),[1]Coefficients!$I$2:$R$13,2,FALSE)*'[1]2023'!B10
+
VLOOKUP(MONTH('[1]2023'!A10),[1]Coefficients!$I$2:$R$13,3,FALSE)
+
VLOOKUP(MONTH('[1]2023'!A10),[1]Coefficients!$I$2:$R$13,4,FALSE)*'[1]2023'!H10
+
VLOOKUP(MONTH('[1]2023'!A10),[1]Coefficients!$I$2:$R$13,5,FALSE)*'[1]2023'!H10*'[1]2023'!H10
+
VLOOKUP(MONTH('[1]2023'!A10),[1]Coefficients!$I$2:$R$13,6,FALSE)*'[1]2023'!H10*'[1]2023'!H10*'[1]2023'!H10
+
VLOOKUP(MONTH('[1]2023'!A10),[1]Coefficients!$I$2:$R$13,7,FALSE)*'[1]2023'!I10
+
VLOOKUP(MONTH('[1]2023'!A10),[1]Coefficients!$I$2:$R$13,8,FALSE)*'[1]2023'!I10*'[1]2023'!I10
+
VLOOKUP(MONTH('[1]2023'!A10),[1]Coefficients!$I$2:$R$13,9,FALSE)*'[1]2023'!I10*'[1]2023'!I10*'[1]2023'!I10
)</f>
        <v>1617.8920000000001</v>
      </c>
      <c r="L10" s="232">
        <f t="shared" si="3"/>
        <v>7.1519999999998163</v>
      </c>
      <c r="M10" s="232">
        <f>IF(OR(WEEKDAY(A10)=1,WEEKDAY(A10)=7),ABS([1]Coefficients!$B$87),0)</f>
        <v>0</v>
      </c>
      <c r="N10" s="234">
        <f t="shared" si="1"/>
        <v>2074.2119999999995</v>
      </c>
      <c r="O10" s="234">
        <f t="shared" si="2"/>
        <v>2288.2119999999995</v>
      </c>
    </row>
    <row r="11" spans="1:15" ht="14.5" x14ac:dyDescent="0.35">
      <c r="A11" s="228">
        <v>45230</v>
      </c>
      <c r="B11" s="229">
        <v>549942</v>
      </c>
      <c r="C11" s="230">
        <f>VLOOKUP(MONTH($A11),'[1]Normal DBT'!$A$2:$C$13,3)</f>
        <v>30</v>
      </c>
      <c r="D11" s="230">
        <f>VLOOKUP(MONTH($A11),'[1]Normal DBT'!$A$2:$C$13,2)</f>
        <v>57</v>
      </c>
      <c r="E11" s="229">
        <v>2023.9849999999999</v>
      </c>
      <c r="F11" s="231">
        <v>221</v>
      </c>
      <c r="G11" s="229">
        <f t="shared" si="0"/>
        <v>1802.9849999999999</v>
      </c>
      <c r="H11" s="231">
        <v>31</v>
      </c>
      <c r="I11" s="231">
        <v>49</v>
      </c>
      <c r="J11" s="232">
        <f>(
VLOOKUP(MONTH('[1]2023'!A11),[1]Coefficients!$I$2:$R$13,2,FALSE)*'[1]2023'!B11
+
VLOOKUP(MONTH('[1]2023'!A11),[1]Coefficients!$I$2:$R$13,3,FALSE)
+
VLOOKUP(MONTH('[1]2023'!A11),[1]Coefficients!$I$2:$R$13,4,FALSE)*'[1]2023'!C11
+
VLOOKUP(MONTH('[1]2023'!A11),[1]Coefficients!$I$2:$R$13,5,FALSE)*'[1]2023'!C11*'[1]2023'!C11
+
VLOOKUP(MONTH('[1]2023'!A11),[1]Coefficients!$I$2:$R$13,6,FALSE)*'[1]2023'!C11*'[1]2023'!C11*'[1]2023'!C11
+
VLOOKUP(MONTH('[1]2023'!A11),[1]Coefficients!$I$2:$R$13,7,FALSE)*'[1]2023'!D11
+
VLOOKUP(MONTH('[1]2023'!A11),[1]Coefficients!$I$2:$R$13,8,FALSE)*'[1]2023'!D11*'[1]2023'!D11
+
VLOOKUP(MONTH('[1]2023'!A11),[1]Coefficients!$I$2:$R$13,9,FALSE)*'[1]2023'!D11*'[1]2023'!D11*'[1]2023'!D11
)</f>
        <v>1389.2830000000004</v>
      </c>
      <c r="K11" s="232">
        <f>(
VLOOKUP(MONTH('[1]2023'!A11),[1]Coefficients!$I$2:$R$13,2,FALSE)*'[1]2023'!B11
+
VLOOKUP(MONTH('[1]2023'!A11),[1]Coefficients!$I$2:$R$13,3,FALSE)
+
VLOOKUP(MONTH('[1]2023'!A11),[1]Coefficients!$I$2:$R$13,4,FALSE)*'[1]2023'!H11
+
VLOOKUP(MONTH('[1]2023'!A11),[1]Coefficients!$I$2:$R$13,5,FALSE)*'[1]2023'!H11*'[1]2023'!H11
+
VLOOKUP(MONTH('[1]2023'!A11),[1]Coefficients!$I$2:$R$13,6,FALSE)*'[1]2023'!H11*'[1]2023'!H11*'[1]2023'!H11
+
VLOOKUP(MONTH('[1]2023'!A11),[1]Coefficients!$I$2:$R$13,7,FALSE)*'[1]2023'!I11
+
VLOOKUP(MONTH('[1]2023'!A11),[1]Coefficients!$I$2:$R$13,8,FALSE)*'[1]2023'!I11*'[1]2023'!I11
+
VLOOKUP(MONTH('[1]2023'!A11),[1]Coefficients!$I$2:$R$13,9,FALSE)*'[1]2023'!I11*'[1]2023'!I11*'[1]2023'!I11
)</f>
        <v>1475.1219999999998</v>
      </c>
      <c r="L11" s="232">
        <f t="shared" si="3"/>
        <v>-85.838999999999487</v>
      </c>
      <c r="M11" s="232">
        <f>IF(OR(WEEKDAY(A11)=1,WEEKDAY(A11)=7),ABS([1]Coefficients!$B$87),0)</f>
        <v>0</v>
      </c>
      <c r="N11" s="234">
        <f t="shared" si="1"/>
        <v>1717.1460000000004</v>
      </c>
      <c r="O11" s="234">
        <f t="shared" si="2"/>
        <v>1938.1460000000004</v>
      </c>
    </row>
    <row r="12" spans="1:15" ht="14.5" x14ac:dyDescent="0.35">
      <c r="A12" s="228">
        <v>45259</v>
      </c>
      <c r="B12" s="229">
        <v>549942</v>
      </c>
      <c r="C12" s="230">
        <f>VLOOKUP(MONTH($A12),'[1]Normal DBT'!$A$2:$C$13,3)</f>
        <v>20</v>
      </c>
      <c r="D12" s="230">
        <f>VLOOKUP(MONTH($A12),'[1]Normal DBT'!$A$2:$C$13,2)</f>
        <v>39</v>
      </c>
      <c r="E12" s="229">
        <v>2668.54</v>
      </c>
      <c r="F12" s="231">
        <v>87</v>
      </c>
      <c r="G12" s="229">
        <f t="shared" si="0"/>
        <v>2581.54</v>
      </c>
      <c r="H12" s="231">
        <v>16</v>
      </c>
      <c r="I12" s="231">
        <v>51</v>
      </c>
      <c r="J12" s="232">
        <f>(
VLOOKUP(MONTH('[1]2023'!A12),[1]Coefficients!$I$2:$R$13,2,FALSE)*'[1]2023'!B12
+
VLOOKUP(MONTH('[1]2023'!A12),[1]Coefficients!$I$2:$R$13,3,FALSE)
+
VLOOKUP(MONTH('[1]2023'!A12),[1]Coefficients!$I$2:$R$13,4,FALSE)*'[1]2023'!C12
+
VLOOKUP(MONTH('[1]2023'!A12),[1]Coefficients!$I$2:$R$13,5,FALSE)*'[1]2023'!C12*'[1]2023'!C12
+
VLOOKUP(MONTH('[1]2023'!A12),[1]Coefficients!$I$2:$R$13,6,FALSE)*'[1]2023'!C12*'[1]2023'!C12*'[1]2023'!C12
+
VLOOKUP(MONTH('[1]2023'!A12),[1]Coefficients!$I$2:$R$13,7,FALSE)*'[1]2023'!D12
+
VLOOKUP(MONTH('[1]2023'!A12),[1]Coefficients!$I$2:$R$13,8,FALSE)*'[1]2023'!D12*'[1]2023'!D12
+
VLOOKUP(MONTH('[1]2023'!A12),[1]Coefficients!$I$2:$R$13,9,FALSE)*'[1]2023'!D12*'[1]2023'!D12*'[1]2023'!D12
)</f>
        <v>2092.8369999999995</v>
      </c>
      <c r="K12" s="232">
        <f>(
VLOOKUP(MONTH('[1]2023'!A12),[1]Coefficients!$I$2:$R$13,2,FALSE)*'[1]2023'!B12
+
VLOOKUP(MONTH('[1]2023'!A12),[1]Coefficients!$I$2:$R$13,3,FALSE)
+
VLOOKUP(MONTH('[1]2023'!A12),[1]Coefficients!$I$2:$R$13,4,FALSE)*'[1]2023'!H12
+
VLOOKUP(MONTH('[1]2023'!A12),[1]Coefficients!$I$2:$R$13,5,FALSE)*'[1]2023'!H12*'[1]2023'!H12
+
VLOOKUP(MONTH('[1]2023'!A12),[1]Coefficients!$I$2:$R$13,6,FALSE)*'[1]2023'!H12*'[1]2023'!H12*'[1]2023'!H12
+
VLOOKUP(MONTH('[1]2023'!A12),[1]Coefficients!$I$2:$R$13,7,FALSE)*'[1]2023'!I12
+
VLOOKUP(MONTH('[1]2023'!A12),[1]Coefficients!$I$2:$R$13,8,FALSE)*'[1]2023'!I12*'[1]2023'!I12
+
VLOOKUP(MONTH('[1]2023'!A12),[1]Coefficients!$I$2:$R$13,9,FALSE)*'[1]2023'!I12*'[1]2023'!I12*'[1]2023'!I12
)</f>
        <v>2132.3529999999996</v>
      </c>
      <c r="L12" s="232">
        <f t="shared" si="3"/>
        <v>-39.516000000000076</v>
      </c>
      <c r="M12" s="232">
        <f>IF(OR(WEEKDAY(A12)=1,WEEKDAY(A12)=7),ABS([1]Coefficients!$B$87),0)</f>
        <v>0</v>
      </c>
      <c r="N12" s="234">
        <f t="shared" si="1"/>
        <v>2542.0239999999999</v>
      </c>
      <c r="O12" s="234">
        <f t="shared" si="2"/>
        <v>2629.0239999999999</v>
      </c>
    </row>
    <row r="13" spans="1:15" ht="14.5" x14ac:dyDescent="0.35">
      <c r="A13" s="228">
        <v>45279</v>
      </c>
      <c r="B13" s="229">
        <v>549942</v>
      </c>
      <c r="C13" s="230">
        <f>VLOOKUP(MONTH($A13),'[1]Normal DBT'!$A$2:$C$13,3)</f>
        <v>7</v>
      </c>
      <c r="D13" s="230">
        <f>VLOOKUP(MONTH($A13),'[1]Normal DBT'!$A$2:$C$13,2)</f>
        <v>27</v>
      </c>
      <c r="E13" s="229">
        <v>2677.4450000000002</v>
      </c>
      <c r="F13" s="231">
        <v>245</v>
      </c>
      <c r="G13" s="229">
        <f t="shared" si="0"/>
        <v>2432.4450000000002</v>
      </c>
      <c r="H13" s="231">
        <v>22</v>
      </c>
      <c r="I13" s="231">
        <v>37</v>
      </c>
      <c r="J13" s="232">
        <f>(
VLOOKUP(MONTH('[1]2023'!A13),[1]Coefficients!$I$2:$R$13,2,FALSE)*'[1]2023'!B13
+
VLOOKUP(MONTH('[1]2023'!A13),[1]Coefficients!$I$2:$R$13,3,FALSE)
+
VLOOKUP(MONTH('[1]2023'!A13),[1]Coefficients!$I$2:$R$13,4,FALSE)*'[1]2023'!C13
+
VLOOKUP(MONTH('[1]2023'!A13),[1]Coefficients!$I$2:$R$13,5,FALSE)*'[1]2023'!C13*'[1]2023'!C13
+
VLOOKUP(MONTH('[1]2023'!A13),[1]Coefficients!$I$2:$R$13,6,FALSE)*'[1]2023'!C13*'[1]2023'!C13*'[1]2023'!C13
+
VLOOKUP(MONTH('[1]2023'!A13),[1]Coefficients!$I$2:$R$13,7,FALSE)*'[1]2023'!D13
+
VLOOKUP(MONTH('[1]2023'!A13),[1]Coefficients!$I$2:$R$13,8,FALSE)*'[1]2023'!D13*'[1]2023'!D13
+
VLOOKUP(MONTH('[1]2023'!A13),[1]Coefficients!$I$2:$R$13,9,FALSE)*'[1]2023'!D13*'[1]2023'!D13*'[1]2023'!D13
)</f>
        <v>2626.3229999999994</v>
      </c>
      <c r="K13" s="232">
        <f>(
VLOOKUP(MONTH('[1]2023'!A13),[1]Coefficients!$I$2:$R$13,2,FALSE)*'[1]2023'!B13
+
VLOOKUP(MONTH('[1]2023'!A13),[1]Coefficients!$I$2:$R$13,3,FALSE)
+
VLOOKUP(MONTH('[1]2023'!A13),[1]Coefficients!$I$2:$R$13,4,FALSE)*'[1]2023'!H13
+
VLOOKUP(MONTH('[1]2023'!A13),[1]Coefficients!$I$2:$R$13,5,FALSE)*'[1]2023'!H13*'[1]2023'!H13
+
VLOOKUP(MONTH('[1]2023'!A13),[1]Coefficients!$I$2:$R$13,6,FALSE)*'[1]2023'!H13*'[1]2023'!H13*'[1]2023'!H13
+
VLOOKUP(MONTH('[1]2023'!A13),[1]Coefficients!$I$2:$R$13,7,FALSE)*'[1]2023'!I13
+
VLOOKUP(MONTH('[1]2023'!A13),[1]Coefficients!$I$2:$R$13,8,FALSE)*'[1]2023'!I13*'[1]2023'!I13
+
VLOOKUP(MONTH('[1]2023'!A13),[1]Coefficients!$I$2:$R$13,9,FALSE)*'[1]2023'!I13*'[1]2023'!I13*'[1]2023'!I13
)</f>
        <v>2117.8179999999998</v>
      </c>
      <c r="L13" s="232">
        <f t="shared" si="3"/>
        <v>508.50499999999965</v>
      </c>
      <c r="M13" s="232">
        <f>IF(OR(WEEKDAY(A13)=1,WEEKDAY(A13)=7),ABS([1]Coefficients!$B$87),0)</f>
        <v>0</v>
      </c>
      <c r="N13" s="234">
        <f t="shared" si="1"/>
        <v>2940.95</v>
      </c>
      <c r="O13" s="239">
        <f t="shared" si="2"/>
        <v>3185.95</v>
      </c>
    </row>
    <row r="14" spans="1:15" x14ac:dyDescent="0.25">
      <c r="O14" s="240">
        <f>SUM(O2:O13)</f>
        <v>31460.608000000004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EADD0-C164-44D7-8EC0-E92E725007FF}">
  <sheetPr>
    <tabColor rgb="FF002060"/>
  </sheetPr>
  <dimension ref="A1:K20"/>
  <sheetViews>
    <sheetView workbookViewId="0">
      <selection activeCell="C6" sqref="C6"/>
    </sheetView>
  </sheetViews>
  <sheetFormatPr defaultColWidth="8.7265625" defaultRowHeight="15.5" x14ac:dyDescent="0.35"/>
  <cols>
    <col min="1" max="1" width="8.7265625" style="91" bestFit="1" customWidth="1"/>
    <col min="2" max="2" width="3.54296875" style="88" customWidth="1"/>
    <col min="3" max="3" width="33.1796875" style="88" bestFit="1" customWidth="1"/>
    <col min="4" max="4" width="15.81640625" style="88" bestFit="1" customWidth="1"/>
    <col min="5" max="5" width="14.453125" style="88" customWidth="1"/>
    <col min="6" max="6" width="15" style="88" customWidth="1"/>
    <col min="7" max="7" width="14.81640625" style="88" customWidth="1"/>
    <col min="8" max="8" width="17.81640625" style="88" customWidth="1"/>
    <col min="9" max="9" width="15.54296875" style="88" customWidth="1"/>
    <col min="10" max="10" width="14.26953125" style="88" customWidth="1"/>
    <col min="11" max="11" width="3.54296875" style="88" customWidth="1"/>
    <col min="12" max="16384" width="8.7265625" style="88"/>
  </cols>
  <sheetData>
    <row r="1" spans="1:11" s="91" customFormat="1" x14ac:dyDescent="0.35">
      <c r="D1" s="91">
        <v>286</v>
      </c>
      <c r="E1" s="91">
        <v>287</v>
      </c>
      <c r="G1" s="91">
        <v>307</v>
      </c>
      <c r="H1" s="91">
        <v>308</v>
      </c>
    </row>
    <row r="3" spans="1:11" x14ac:dyDescent="0.35">
      <c r="B3" s="92"/>
      <c r="C3" s="92"/>
      <c r="D3" s="92"/>
      <c r="E3" s="92"/>
      <c r="F3" s="92"/>
      <c r="G3" s="92"/>
      <c r="H3" s="92"/>
      <c r="I3" s="92"/>
      <c r="J3" s="92"/>
      <c r="K3" s="92"/>
    </row>
    <row r="4" spans="1:11" x14ac:dyDescent="0.35">
      <c r="B4" s="92"/>
      <c r="C4" s="97" t="s">
        <v>887</v>
      </c>
      <c r="D4" s="96" t="str" cm="1">
        <f t="array" aca="1" ref="D4" ca="1">INDIRECT("'Allocation by Rate'!E"&amp;D$1)</f>
        <v>BSFL</v>
      </c>
      <c r="E4" s="96" t="str" cm="1">
        <f t="array" aca="1" ref="E4" ca="1">INDIRECT("'Allocation by Rate'!E"&amp;E$1)</f>
        <v>FACA</v>
      </c>
      <c r="F4" s="92"/>
      <c r="G4" s="96" t="str" cm="1">
        <f t="array" aca="1" ref="G4" ca="1">INDIRECT("'Allocation by Rate'!E"&amp;G$1)</f>
        <v>FACA</v>
      </c>
      <c r="H4" s="96" t="str" cm="1">
        <f t="array" aca="1" ref="H4" ca="1">INDIRECT("'Allocation by Rate'!E"&amp;H$1)</f>
        <v>FACEX</v>
      </c>
      <c r="I4" s="92"/>
      <c r="J4" s="92"/>
      <c r="K4" s="92"/>
    </row>
    <row r="5" spans="1:11" ht="8.15" customHeight="1" x14ac:dyDescent="0.35">
      <c r="B5" s="92"/>
      <c r="C5" s="92"/>
      <c r="D5" s="92"/>
      <c r="E5" s="92"/>
      <c r="F5" s="92"/>
      <c r="G5" s="92"/>
      <c r="H5" s="92"/>
      <c r="I5" s="92"/>
      <c r="J5" s="92"/>
      <c r="K5" s="92"/>
    </row>
    <row r="6" spans="1:11" s="89" customFormat="1" ht="77.5" x14ac:dyDescent="0.35">
      <c r="A6" s="90"/>
      <c r="B6" s="93"/>
      <c r="C6" s="93"/>
      <c r="D6" s="93" t="s">
        <v>692</v>
      </c>
      <c r="E6" s="93" t="s">
        <v>694</v>
      </c>
      <c r="F6" s="93" t="s">
        <v>872</v>
      </c>
      <c r="G6" s="93" t="s">
        <v>702</v>
      </c>
      <c r="H6" s="93" t="s">
        <v>703</v>
      </c>
      <c r="I6" s="93" t="s">
        <v>873</v>
      </c>
      <c r="J6" s="93" t="s">
        <v>874</v>
      </c>
      <c r="K6" s="93"/>
    </row>
    <row r="7" spans="1:11" x14ac:dyDescent="0.35">
      <c r="A7" s="91">
        <v>1</v>
      </c>
      <c r="B7" s="92"/>
      <c r="C7" s="92" t="s">
        <v>875</v>
      </c>
      <c r="D7" s="92" cm="1">
        <f t="array" aca="1" ref="D7" ca="1">OFFSET(INDIRECT("'Allocation by Rate'!E"&amp;D$1),0,$A7)</f>
        <v>341554580</v>
      </c>
      <c r="E7" s="92" cm="1">
        <f t="array" aca="1" ref="E7" ca="1">OFFSET(INDIRECT("'Allocation by Rate'!E"&amp;E$1),0,$A7)</f>
        <v>117760035</v>
      </c>
      <c r="F7" s="92">
        <f ca="1">D7+E7</f>
        <v>459314615</v>
      </c>
      <c r="G7" s="92" cm="1">
        <f t="array" aca="1" ref="G7" ca="1">OFFSET(INDIRECT("'Allocation by Rate'!E"&amp;G$1),0,$A7)</f>
        <v>-327966613</v>
      </c>
      <c r="H7" s="92" cm="1">
        <f t="array" aca="1" ref="H7" ca="1">OFFSET(INDIRECT("'Allocation by Rate'!E"&amp;H$1),0,$A7)</f>
        <v>-131357321</v>
      </c>
      <c r="I7" s="92">
        <f ca="1">G7+H7</f>
        <v>-459323934</v>
      </c>
      <c r="J7" s="92">
        <f ca="1">F7+I7</f>
        <v>-9319</v>
      </c>
      <c r="K7" s="92"/>
    </row>
    <row r="8" spans="1:11" x14ac:dyDescent="0.35">
      <c r="A8" s="91">
        <v>2</v>
      </c>
      <c r="B8" s="92"/>
      <c r="C8" s="92" t="s">
        <v>876</v>
      </c>
      <c r="D8" s="92" cm="1">
        <f t="array" aca="1" ref="D8" ca="1">OFFSET(INDIRECT("'Allocation by Rate'!E"&amp;D$1),0,$A8)</f>
        <v>243478144.47308868</v>
      </c>
      <c r="E8" s="92" cm="1">
        <f t="array" aca="1" ref="E8" ca="1">OFFSET(INDIRECT("'Allocation by Rate'!E"&amp;E$1),0,$A8)</f>
        <v>88531604.822699174</v>
      </c>
      <c r="F8" s="92">
        <f t="shared" ref="F8:F14" ca="1" si="0">D8+E8</f>
        <v>332009749.29578787</v>
      </c>
      <c r="G8" s="92" cm="1">
        <f t="array" aca="1" ref="G8" ca="1">OFFSET(INDIRECT("'Allocation by Rate'!E"&amp;G$1),0,$A8)</f>
        <v>-246564214.90665415</v>
      </c>
      <c r="H8" s="92" cm="1">
        <f t="array" aca="1" ref="H8" ca="1">OFFSET(INDIRECT("'Allocation by Rate'!E"&amp;H$1),0,$A8)</f>
        <v>-94949975.004336268</v>
      </c>
      <c r="I8" s="92">
        <f t="shared" ref="I8:I14" ca="1" si="1">G8+H8</f>
        <v>-341514189.91099042</v>
      </c>
      <c r="J8" s="92">
        <f t="shared" ref="J8:J14" ca="1" si="2">F8+I8</f>
        <v>-9504440.6152025461</v>
      </c>
      <c r="K8" s="92"/>
    </row>
    <row r="9" spans="1:11" x14ac:dyDescent="0.35">
      <c r="A9" s="91">
        <v>3</v>
      </c>
      <c r="B9" s="92"/>
      <c r="C9" s="92" t="s">
        <v>877</v>
      </c>
      <c r="D9" s="92" cm="1">
        <f t="array" aca="1" ref="D9" ca="1">OFFSET(INDIRECT("'Allocation by Rate'!E"&amp;D$1),0,$A9)</f>
        <v>28094417.927645188</v>
      </c>
      <c r="E9" s="92" cm="1">
        <f t="array" aca="1" ref="E9" ca="1">OFFSET(INDIRECT("'Allocation by Rate'!E"&amp;E$1),0,$A9)</f>
        <v>8938456.4729577582</v>
      </c>
      <c r="F9" s="92">
        <f t="shared" ca="1" si="0"/>
        <v>37032874.400602944</v>
      </c>
      <c r="G9" s="92" cm="1">
        <f t="array" aca="1" ref="G9" ca="1">OFFSET(INDIRECT("'Allocation by Rate'!E"&amp;G$1),0,$A9)</f>
        <v>-24893974.38514588</v>
      </c>
      <c r="H9" s="92" cm="1">
        <f t="array" aca="1" ref="H9" ca="1">OFFSET(INDIRECT("'Allocation by Rate'!E"&amp;H$1),0,$A9)</f>
        <v>-10590865.1963811</v>
      </c>
      <c r="I9" s="92">
        <f t="shared" ca="1" si="1"/>
        <v>-35484839.58152698</v>
      </c>
      <c r="J9" s="92">
        <f t="shared" ca="1" si="2"/>
        <v>1548034.8190759644</v>
      </c>
      <c r="K9" s="92"/>
    </row>
    <row r="10" spans="1:11" x14ac:dyDescent="0.35">
      <c r="A10" s="91">
        <v>4</v>
      </c>
      <c r="B10" s="92"/>
      <c r="C10" s="92" t="s">
        <v>878</v>
      </c>
      <c r="D10" s="92" cm="1">
        <f t="array" aca="1" ref="D10" ca="1">OFFSET(INDIRECT("'Allocation by Rate'!E"&amp;D$1),0,$A10)</f>
        <v>11417886.789808366</v>
      </c>
      <c r="E10" s="92" cm="1">
        <f t="array" aca="1" ref="E10" ca="1">OFFSET(INDIRECT("'Allocation by Rate'!E"&amp;E$1),0,$A10)</f>
        <v>3441963.1260251789</v>
      </c>
      <c r="F10" s="92">
        <f t="shared" ca="1" si="0"/>
        <v>14859849.915833546</v>
      </c>
      <c r="G10" s="92" cm="1">
        <f t="array" aca="1" ref="G10" ca="1">OFFSET(INDIRECT("'Allocation by Rate'!E"&amp;G$1),0,$A10)</f>
        <v>-9586010.9799845945</v>
      </c>
      <c r="H10" s="92" cm="1">
        <f t="array" aca="1" ref="H10" ca="1">OFFSET(INDIRECT("'Allocation by Rate'!E"&amp;H$1),0,$A10)</f>
        <v>-4249701.6460187528</v>
      </c>
      <c r="I10" s="92">
        <f t="shared" ca="1" si="1"/>
        <v>-13835712.626003347</v>
      </c>
      <c r="J10" s="92">
        <f t="shared" ca="1" si="2"/>
        <v>1024137.2898301985</v>
      </c>
      <c r="K10" s="92"/>
    </row>
    <row r="11" spans="1:11" x14ac:dyDescent="0.35">
      <c r="A11" s="91">
        <v>5</v>
      </c>
      <c r="B11" s="92"/>
      <c r="C11" s="92" t="s">
        <v>879</v>
      </c>
      <c r="D11" s="92" cm="1">
        <f t="array" aca="1" ref="D11" ca="1">OFFSET(INDIRECT("'Allocation by Rate'!E"&amp;D$1),0,$A11)</f>
        <v>16947606.566096362</v>
      </c>
      <c r="E11" s="92" cm="1">
        <f t="array" aca="1" ref="E11" ca="1">OFFSET(INDIRECT("'Allocation by Rate'!E"&amp;E$1),0,$A11)</f>
        <v>3638370.7242447897</v>
      </c>
      <c r="F11" s="92">
        <f t="shared" ca="1" si="0"/>
        <v>20585977.29034115</v>
      </c>
      <c r="G11" s="92" cm="1">
        <f t="array" aca="1" ref="G11" ca="1">OFFSET(INDIRECT("'Allocation by Rate'!E"&amp;G$1),0,$A11)</f>
        <v>-10133014.339448189</v>
      </c>
      <c r="H11" s="92" cm="1">
        <f t="array" aca="1" ref="H11" ca="1">OFFSET(INDIRECT("'Allocation by Rate'!E"&amp;H$1),0,$A11)</f>
        <v>-5887291.0608909158</v>
      </c>
      <c r="I11" s="92">
        <f t="shared" ca="1" si="1"/>
        <v>-16020305.400339104</v>
      </c>
      <c r="J11" s="92">
        <f t="shared" ca="1" si="2"/>
        <v>4565671.8900020458</v>
      </c>
      <c r="K11" s="92"/>
    </row>
    <row r="12" spans="1:11" x14ac:dyDescent="0.35">
      <c r="A12" s="91">
        <v>6</v>
      </c>
      <c r="B12" s="92"/>
      <c r="C12" s="92" t="s">
        <v>847</v>
      </c>
      <c r="D12" s="92" cm="1">
        <f t="array" aca="1" ref="D12" ca="1">OFFSET(INDIRECT("'Allocation by Rate'!E"&amp;D$1),0,$A12)</f>
        <v>36479771.225161962</v>
      </c>
      <c r="E12" s="92" cm="1">
        <f t="array" aca="1" ref="E12" ca="1">OFFSET(INDIRECT("'Allocation by Rate'!E"&amp;E$1),0,$A12)</f>
        <v>11490400.434460299</v>
      </c>
      <c r="F12" s="92">
        <f t="shared" ca="1" si="0"/>
        <v>47970171.659622259</v>
      </c>
      <c r="G12" s="92" cm="1">
        <f t="array" aca="1" ref="G12" ca="1">OFFSET(INDIRECT("'Allocation by Rate'!E"&amp;G$1),0,$A12)</f>
        <v>-32001244.840863649</v>
      </c>
      <c r="H12" s="92" cm="1">
        <f t="array" aca="1" ref="H12" ca="1">OFFSET(INDIRECT("'Allocation by Rate'!E"&amp;H$1),0,$A12)</f>
        <v>-13718773.649556315</v>
      </c>
      <c r="I12" s="92">
        <f t="shared" ca="1" si="1"/>
        <v>-45720018.490419962</v>
      </c>
      <c r="J12" s="92">
        <f t="shared" ca="1" si="2"/>
        <v>2250153.1692022979</v>
      </c>
      <c r="K12" s="92"/>
    </row>
    <row r="13" spans="1:11" x14ac:dyDescent="0.35">
      <c r="A13" s="91">
        <v>7</v>
      </c>
      <c r="B13" s="92"/>
      <c r="C13" s="92" t="s">
        <v>880</v>
      </c>
      <c r="D13" s="92" cm="1">
        <f t="array" aca="1" ref="D13" ca="1">OFFSET(INDIRECT("'Allocation by Rate'!E"&amp;D$1),0,$A13)</f>
        <v>0</v>
      </c>
      <c r="E13" s="92" cm="1">
        <f t="array" aca="1" ref="E13" ca="1">OFFSET(INDIRECT("'Allocation by Rate'!E"&amp;E$1),0,$A13)</f>
        <v>0</v>
      </c>
      <c r="F13" s="92">
        <f t="shared" ca="1" si="0"/>
        <v>0</v>
      </c>
      <c r="G13" s="92" cm="1">
        <f t="array" aca="1" ref="G13" ca="1">OFFSET(INDIRECT("'Allocation by Rate'!E"&amp;G$1),0,$A13)</f>
        <v>0</v>
      </c>
      <c r="H13" s="92" cm="1">
        <f t="array" aca="1" ref="H13" ca="1">OFFSET(INDIRECT("'Allocation by Rate'!E"&amp;H$1),0,$A13)</f>
        <v>0</v>
      </c>
      <c r="I13" s="92">
        <f t="shared" ca="1" si="1"/>
        <v>0</v>
      </c>
      <c r="J13" s="92">
        <f t="shared" ca="1" si="2"/>
        <v>0</v>
      </c>
      <c r="K13" s="92"/>
    </row>
    <row r="14" spans="1:11" x14ac:dyDescent="0.35">
      <c r="A14" s="91">
        <v>8</v>
      </c>
      <c r="B14" s="92"/>
      <c r="C14" s="92" t="s">
        <v>881</v>
      </c>
      <c r="D14" s="92" cm="1">
        <f t="array" aca="1" ref="D14" ca="1">OFFSET(INDIRECT("'Allocation by Rate'!E"&amp;D$1),0,$A14)</f>
        <v>5136753.0181994596</v>
      </c>
      <c r="E14" s="92" cm="1">
        <f t="array" aca="1" ref="E14" ca="1">OFFSET(INDIRECT("'Allocation by Rate'!E"&amp;E$1),0,$A14)</f>
        <v>1719239.4196127974</v>
      </c>
      <c r="F14" s="92">
        <f t="shared" ca="1" si="0"/>
        <v>6855992.4378122576</v>
      </c>
      <c r="G14" s="92" cm="1">
        <f t="array" aca="1" ref="G14" ca="1">OFFSET(INDIRECT("'Allocation by Rate'!E"&amp;G$1),0,$A14)</f>
        <v>-4788153.5479035387</v>
      </c>
      <c r="H14" s="92" cm="1">
        <f t="array" aca="1" ref="H14" ca="1">OFFSET(INDIRECT("'Allocation by Rate'!E"&amp;H$1),0,$A14)</f>
        <v>-1960714.4428166677</v>
      </c>
      <c r="I14" s="92">
        <f t="shared" ca="1" si="1"/>
        <v>-6748867.9907202069</v>
      </c>
      <c r="J14" s="92">
        <f t="shared" ca="1" si="2"/>
        <v>107124.44709205069</v>
      </c>
      <c r="K14" s="92"/>
    </row>
    <row r="15" spans="1:11" x14ac:dyDescent="0.35">
      <c r="B15" s="92"/>
      <c r="C15" s="92"/>
      <c r="D15" s="92"/>
      <c r="E15" s="92"/>
      <c r="F15" s="92"/>
      <c r="G15" s="92"/>
      <c r="H15" s="92"/>
      <c r="I15" s="92"/>
      <c r="J15" s="92"/>
      <c r="K15" s="92"/>
    </row>
    <row r="20" spans="4:10" x14ac:dyDescent="0.35">
      <c r="D20" s="88">
        <f ca="1">D7-SUM(D8:D14)</f>
        <v>0</v>
      </c>
      <c r="E20" s="88">
        <f t="shared" ref="E20:J20" ca="1" si="3">E7-SUM(E8:E14)</f>
        <v>0</v>
      </c>
      <c r="F20" s="88">
        <f t="shared" ca="1" si="3"/>
        <v>0</v>
      </c>
      <c r="G20" s="88">
        <f t="shared" ca="1" si="3"/>
        <v>0</v>
      </c>
      <c r="H20" s="88">
        <f t="shared" ca="1" si="3"/>
        <v>0</v>
      </c>
      <c r="I20" s="88">
        <f t="shared" ca="1" si="3"/>
        <v>0</v>
      </c>
      <c r="J20" s="88">
        <f t="shared" ca="1" si="3"/>
        <v>-1.1175870895385742E-8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F1761B99A93040A03A8E42C6E42200" ma:contentTypeVersion="17" ma:contentTypeDescription="Create a new document." ma:contentTypeScope="" ma:versionID="980b554da23a07fc20832a1dd7bf2e0e">
  <xsd:schema xmlns:xsd="http://www.w3.org/2001/XMLSchema" xmlns:xs="http://www.w3.org/2001/XMLSchema" xmlns:p="http://schemas.microsoft.com/office/2006/metadata/properties" xmlns:ns2="ae06fcea-541a-49e3-952a-5eaf56d381f3" xmlns:ns3="daea435f-7073-4c60-9060-e78a3a9f8d50" targetNamespace="http://schemas.microsoft.com/office/2006/metadata/properties" ma:root="true" ma:fieldsID="8e4adc7ef244004100da516e020dff9c" ns2:_="" ns3:_="">
    <xsd:import namespace="ae06fcea-541a-49e3-952a-5eaf56d381f3"/>
    <xsd:import namespace="daea435f-7073-4c60-9060-e78a3a9f8d50"/>
    <xsd:element name="properties">
      <xsd:complexType>
        <xsd:sequence>
          <xsd:element name="documentManagement">
            <xsd:complexType>
              <xsd:all>
                <xsd:element ref="ns2:Comment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06fcea-541a-49e3-952a-5eaf56d381f3" elementFormDefault="qualified">
    <xsd:import namespace="http://schemas.microsoft.com/office/2006/documentManagement/types"/>
    <xsd:import namespace="http://schemas.microsoft.com/office/infopath/2007/PartnerControls"/>
    <xsd:element name="Comment" ma:index="3" nillable="true" ma:displayName="Comment" ma:internalName="Comment" ma:readOnly="false">
      <xsd:simpleType>
        <xsd:restriction base="dms:Text">
          <xsd:maxLength value="255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2f345f3-6a94-45cd-9be3-ab551ccca9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ea435f-7073-4c60-9060-e78a3a9f8d5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fc3f6179-9671-476d-b47b-6bb1899845eb}" ma:internalName="TaxCatchAll" ma:readOnly="false" ma:showField="CatchAllData" ma:web="daea435f-7073-4c60-9060-e78a3a9f8d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e06fcea-541a-49e3-952a-5eaf56d381f3">
      <Terms xmlns="http://schemas.microsoft.com/office/infopath/2007/PartnerControls"/>
    </lcf76f155ced4ddcb4097134ff3c332f>
    <TaxCatchAll xmlns="daea435f-7073-4c60-9060-e78a3a9f8d50" xsi:nil="true"/>
    <Comment xmlns="ae06fcea-541a-49e3-952a-5eaf56d381f3" xsi:nil="true"/>
  </documentManagement>
</p:properties>
</file>

<file path=customXml/itemProps1.xml><?xml version="1.0" encoding="utf-8"?>
<ds:datastoreItem xmlns:ds="http://schemas.openxmlformats.org/officeDocument/2006/customXml" ds:itemID="{8F1BF1C7-C386-4589-BE29-2C3F70634F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693046-0FF6-4C64-920B-F7BF6DCFA638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ae06fcea-541a-49e3-952a-5eaf56d381f3"/>
    <ds:schemaRef ds:uri="daea435f-7073-4c60-9060-e78a3a9f8d50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E720AE3-9830-4FDC-9806-0498CA06D23C}">
  <ds:schemaRefs>
    <ds:schemaRef ds:uri="http://schemas.microsoft.com/office/2006/metadata/properties"/>
    <ds:schemaRef ds:uri="http://www.w3.org/2000/xmlns/"/>
    <ds:schemaRef ds:uri="ae06fcea-541a-49e3-952a-5eaf56d381f3"/>
    <ds:schemaRef ds:uri="http://schemas.microsoft.com/office/infopath/2007/PartnerControls"/>
    <ds:schemaRef ds:uri="daea435f-7073-4c60-9060-e78a3a9f8d50"/>
    <ds:schemaRef ds:uri="http://www.w3.org/2001/XMLSchema-instan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13</vt:i4>
      </vt:variant>
    </vt:vector>
  </HeadingPairs>
  <TitlesOfParts>
    <vt:vector size="24" baseType="lpstr">
      <vt:lpstr>Functional Assignment</vt:lpstr>
      <vt:lpstr>Allocation by Rate</vt:lpstr>
      <vt:lpstr>Response to AG 2a</vt:lpstr>
      <vt:lpstr>Control + Change Log</vt:lpstr>
      <vt:lpstr>A&amp;E Adjustments</vt:lpstr>
      <vt:lpstr>T-8,9 Weather Normalization</vt:lpstr>
      <vt:lpstr>T-7</vt:lpstr>
      <vt:lpstr>AG-Nucor 2-14 WN Peaks</vt:lpstr>
      <vt:lpstr>FAC</vt:lpstr>
      <vt:lpstr>ROR Summary</vt:lpstr>
      <vt:lpstr>Substation Allocation</vt:lpstr>
      <vt:lpstr>B_Int</vt:lpstr>
      <vt:lpstr>EDR</vt:lpstr>
      <vt:lpstr>FAC</vt:lpstr>
      <vt:lpstr>G_NCP</vt:lpstr>
      <vt:lpstr>LSC_Int</vt:lpstr>
      <vt:lpstr>'Allocation by Rate'!Print_Area</vt:lpstr>
      <vt:lpstr>'Functional Assignment'!Print_Area</vt:lpstr>
      <vt:lpstr>'Response to AG 2a'!Print_Area</vt:lpstr>
      <vt:lpstr>'T-8,9 Weather Normalization'!Print_Area</vt:lpstr>
      <vt:lpstr>'Allocation by Rate'!Print_Titles</vt:lpstr>
      <vt:lpstr>'Functional Assignment'!Print_Titles</vt:lpstr>
      <vt:lpstr>Trans_12CP</vt:lpstr>
      <vt:lpstr>WN</vt:lpstr>
    </vt:vector>
  </TitlesOfParts>
  <Manager/>
  <Company>The Prime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 Seelye</dc:creator>
  <cp:keywords/>
  <dc:description/>
  <cp:lastModifiedBy>Stephen Baron</cp:lastModifiedBy>
  <cp:revision/>
  <cp:lastPrinted>2025-10-15T20:09:17Z</cp:lastPrinted>
  <dcterms:created xsi:type="dcterms:W3CDTF">2002-01-10T15:58:51Z</dcterms:created>
  <dcterms:modified xsi:type="dcterms:W3CDTF">2026-06-17T19:45:39Z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0x0101002BF1761B99A93040A03A8E42C6E42200</vt:lpwstr>
  </property>
</Properties>
</file>