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Pricing\Share\000 - PSC Cases\PSC Case 2025-00208 - Rate Case\Data Requests\DR3\Staff\Archive\"/>
    </mc:Choice>
  </mc:AlternateContent>
  <xr:revisionPtr revIDLastSave="0" documentId="13_ncr:1_{04071F05-1B8A-4487-A20F-9E81623E6387}" xr6:coauthVersionLast="47" xr6:coauthVersionMax="47" xr10:uidLastSave="{00000000-0000-0000-0000-000000000000}"/>
  <bookViews>
    <workbookView xWindow="3510" yWindow="3510" windowWidth="38700" windowHeight="15285" xr2:uid="{9EB424C0-9669-4BA9-A74C-38B3F99A1B80}"/>
  </bookViews>
  <sheets>
    <sheet name="1.06 - Wages Salaries" sheetId="1" r:id="rId1"/>
    <sheet name="1.07 - Payroll Taxes" sheetId="2" r:id="rId2"/>
    <sheet name="1.08 - Med In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7" i="3" l="1"/>
  <c r="A58" i="2"/>
  <c r="A60" i="1"/>
  <c r="F30" i="2"/>
  <c r="E31" i="2"/>
  <c r="D31" i="2"/>
  <c r="E30" i="3" l="1"/>
  <c r="E31" i="3" s="1"/>
  <c r="E39" i="3" s="1"/>
  <c r="E29" i="3"/>
  <c r="D30" i="3"/>
  <c r="D29" i="3"/>
  <c r="F42" i="1"/>
  <c r="D42" i="1"/>
  <c r="D31" i="3"/>
  <c r="D39" i="3" s="1"/>
  <c r="A29" i="3"/>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F30" i="3" l="1"/>
  <c r="F31" i="3"/>
  <c r="F39" i="3" s="1"/>
  <c r="F31" i="2" l="1"/>
  <c r="A31" i="2" l="1"/>
  <c r="A32" i="2"/>
  <c r="A33" i="2"/>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D32" i="2"/>
  <c r="D40" i="2" s="1"/>
  <c r="E32" i="2"/>
  <c r="F34" i="1"/>
  <c r="F33" i="1"/>
  <c r="E33" i="1"/>
  <c r="E34" i="1"/>
  <c r="E42" i="1" s="1"/>
  <c r="D33" i="1"/>
  <c r="D32" i="1"/>
  <c r="D34" i="1" s="1"/>
  <c r="E40" i="2" l="1"/>
  <c r="F32" i="2"/>
  <c r="F40" i="2" s="1"/>
  <c r="F42" i="2" s="1"/>
  <c r="F16" i="1"/>
  <c r="F19" i="1"/>
  <c r="F20" i="1"/>
  <c r="F21" i="1"/>
  <c r="F22" i="1"/>
  <c r="F23" i="1"/>
  <c r="F24" i="1"/>
  <c r="F25" i="1"/>
  <c r="F26" i="1"/>
  <c r="F27" i="1"/>
  <c r="F28" i="1"/>
  <c r="F29" i="1"/>
  <c r="F30" i="1"/>
  <c r="F31" i="1"/>
  <c r="F32" i="1"/>
  <c r="F35" i="1"/>
  <c r="E49" i="1" s="1"/>
  <c r="F36" i="1"/>
  <c r="E50" i="1" s="1"/>
  <c r="F37" i="1"/>
  <c r="E51" i="1" s="1"/>
  <c r="F38" i="1"/>
  <c r="E52" i="1" s="1"/>
  <c r="F39" i="1"/>
  <c r="E53" i="1" s="1"/>
  <c r="F40" i="1"/>
  <c r="F37" i="3"/>
  <c r="F36" i="3"/>
  <c r="E50" i="3" s="1"/>
  <c r="F35" i="3"/>
  <c r="E49" i="3" s="1"/>
  <c r="F34" i="3"/>
  <c r="E48" i="3" s="1"/>
  <c r="F33" i="3"/>
  <c r="E47" i="3" s="1"/>
  <c r="F32" i="3"/>
  <c r="E46" i="3" s="1"/>
  <c r="F29" i="3"/>
  <c r="E45" i="3" s="1"/>
  <c r="F28" i="3"/>
  <c r="F27" i="3"/>
  <c r="F26" i="3"/>
  <c r="F25" i="3"/>
  <c r="F24" i="3"/>
  <c r="F23" i="3"/>
  <c r="F22" i="3"/>
  <c r="F21" i="3"/>
  <c r="F20" i="3"/>
  <c r="F19" i="3"/>
  <c r="F16" i="3"/>
  <c r="A2" i="3"/>
  <c r="A3" i="3" s="1"/>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E48" i="2"/>
  <c r="E47" i="2"/>
  <c r="F38" i="2"/>
  <c r="F37" i="2"/>
  <c r="E51" i="2" s="1"/>
  <c r="D36" i="2"/>
  <c r="F36" i="2" s="1"/>
  <c r="E50" i="2" s="1"/>
  <c r="D35" i="2"/>
  <c r="F35" i="2" s="1"/>
  <c r="E49" i="2" s="1"/>
  <c r="F34" i="2"/>
  <c r="F33" i="2"/>
  <c r="E46" i="2"/>
  <c r="E29" i="2"/>
  <c r="F29" i="2" s="1"/>
  <c r="F28" i="2"/>
  <c r="E27" i="2"/>
  <c r="F27" i="2" s="1"/>
  <c r="F26" i="2"/>
  <c r="E25" i="2"/>
  <c r="F25" i="2" s="1"/>
  <c r="F24" i="2"/>
  <c r="E23" i="2"/>
  <c r="F23" i="2" s="1"/>
  <c r="E22" i="2"/>
  <c r="F22" i="2" s="1"/>
  <c r="D22" i="2"/>
  <c r="E21" i="2"/>
  <c r="F21" i="2" s="1"/>
  <c r="E20" i="2"/>
  <c r="F20" i="2" s="1"/>
  <c r="E19" i="2"/>
  <c r="F19" i="2" s="1"/>
  <c r="F16" i="2"/>
  <c r="A2" i="2"/>
  <c r="A3" i="2" s="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2" i="1"/>
  <c r="A3" i="1" s="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F41" i="3" l="1"/>
  <c r="E48" i="1"/>
  <c r="F44" i="1"/>
  <c r="E53" i="2"/>
  <c r="F53" i="2" s="1"/>
  <c r="E55" i="1"/>
  <c r="F55" i="1" s="1"/>
  <c r="E52" i="3"/>
</calcChain>
</file>

<file path=xl/sharedStrings.xml><?xml version="1.0" encoding="utf-8"?>
<sst xmlns="http://schemas.openxmlformats.org/spreadsheetml/2006/main" count="129" uniqueCount="54">
  <si>
    <t>Schedule 1.06</t>
  </si>
  <si>
    <t>East Kentucky Power Cooperative, Inc.</t>
  </si>
  <si>
    <t>Adjustment to Normalize Wages and Salaries</t>
  </si>
  <si>
    <t>2024 Merit</t>
  </si>
  <si>
    <t>Test Year</t>
  </si>
  <si>
    <t>Increase</t>
  </si>
  <si>
    <t>Increase/</t>
  </si>
  <si>
    <t>Actual</t>
  </si>
  <si>
    <t>Annualized</t>
  </si>
  <si>
    <t>(Decrease)</t>
  </si>
  <si>
    <t>Total Wages and Salaries</t>
  </si>
  <si>
    <t>Account Allocation:</t>
  </si>
  <si>
    <t xml:space="preserve">  CWIP (107)</t>
  </si>
  <si>
    <t xml:space="preserve">  RWIP (108)</t>
  </si>
  <si>
    <t xml:space="preserve">  Accounts Receivable (143)</t>
  </si>
  <si>
    <t xml:space="preserve">  Fuel Stock Undistributed (152)</t>
  </si>
  <si>
    <t xml:space="preserve">  Prelim. Survey &amp; Invest. (183)</t>
  </si>
  <si>
    <t xml:space="preserve">  Miscellaneous Defer Debt (186)</t>
  </si>
  <si>
    <t xml:space="preserve">  Other Long-Term Debt (224)</t>
  </si>
  <si>
    <t xml:space="preserve">  Asset Retirement Obl (230)</t>
  </si>
  <si>
    <t xml:space="preserve">  Maint. Exp. Plant Lease (413)</t>
  </si>
  <si>
    <t xml:space="preserve">  Expenses Non-Utility Oper. (417.1)</t>
  </si>
  <si>
    <t xml:space="preserve">  Misc. Non-Oper. Income (421)</t>
  </si>
  <si>
    <t xml:space="preserve">  Civic &amp; Political (426.4)</t>
  </si>
  <si>
    <t xml:space="preserve">  Misc. Service Revenues (451)</t>
  </si>
  <si>
    <t xml:space="preserve">  Production</t>
  </si>
  <si>
    <t xml:space="preserve">  Transmission</t>
  </si>
  <si>
    <t xml:space="preserve">  Distribution</t>
  </si>
  <si>
    <t xml:space="preserve">  Customer Service &amp; Information</t>
  </si>
  <si>
    <t xml:space="preserve">  Sales</t>
  </si>
  <si>
    <t xml:space="preserve">  Administrative &amp; General</t>
  </si>
  <si>
    <t xml:space="preserve">  (Rounding Adjustment)</t>
  </si>
  <si>
    <t>Total Allocations</t>
  </si>
  <si>
    <t>Percentage Increase</t>
  </si>
  <si>
    <t>Proposed Expense Adjustment:</t>
  </si>
  <si>
    <t>Schedule 1.07</t>
  </si>
  <si>
    <t>Adjustment to Normalize Payroll Taxes</t>
  </si>
  <si>
    <t>Payroll Taxes</t>
  </si>
  <si>
    <t>Total Payroll Taxes</t>
  </si>
  <si>
    <t>Schedule 1.08</t>
  </si>
  <si>
    <t>Adjustment to Normalize Employee Medical Insurance Expense</t>
  </si>
  <si>
    <t>June 2024</t>
  </si>
  <si>
    <t>Total Employer Medical Premiums</t>
  </si>
  <si>
    <t xml:space="preserve">  RWIP (108.8)</t>
  </si>
  <si>
    <t xml:space="preserve">  Prelim Survey/Investigation (183)</t>
  </si>
  <si>
    <t xml:space="preserve">  Asset Retirement Obligations (230)</t>
  </si>
  <si>
    <t xml:space="preserve">  Net Production</t>
  </si>
  <si>
    <t xml:space="preserve">  ES Production Removal</t>
  </si>
  <si>
    <t>Adjustment to normalize wages and salaries.  Normalization reflects 2023 and 2024 Merit increase authorized by the Board of Directors to become effective in June 2023 and 2024.  The proposed adjustment reflects only the expensed portion of the total normalized wages and salaries.</t>
  </si>
  <si>
    <t>Adjustment to normalize payroll taxes.  Normalization reflects 2023 Merit increase authorized by the Board of Directors to become effective in June 2024.  The proposed adjustment reflects only the expensed portion of the total normalization for payroll taxes.</t>
  </si>
  <si>
    <t>Adjustment to recognize documented changes in employee medical insurance costs occurring in the first 6 months after test-year end.  The adjustment also recognizes changes in employee head count through June 30, 2024.  The proposed adjustment reflects only the expensed portion of the total normalized medical insurance premiums.</t>
  </si>
  <si>
    <t xml:space="preserve">Note:  Total Wages and Salaries for the test year and annualization have been adjusted to remove amounts recovered through the environmental surcharge.  Lines 32 and 33 were added to detail the ES removal and subtotal.  The "Net Production" matches the Production line in the original filing.  ES adjustment was included in Scheduel 1.02 on line 17. </t>
  </si>
  <si>
    <t xml:space="preserve">Note:  Total Wages and Salaries for the test year and annualization have been adjusted to remove amounts recovered through the environmental surcharge.  Lines 30 and 31 were added to detail the ES removal and subtotal.  The "Net Production" matches the Production line in the original filing. ES adjustment was included in Scheduel 1.02 on line 17. </t>
  </si>
  <si>
    <t xml:space="preserve">Note:  Total Wages and Salaries for the test year and annualization have been adjusted to remove amounts recovered through the environmental surcharge.  Lines 29 and 30 were added to detail the ES removal and subtotal.  The "Net Production" will matches the Production line in the original filing. ES adjustment was included in Scheduel 1.02 on line 17.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</si>
</sst>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3" x14ac:knownFonts="1">
    <font>
      <sz val="11"/>
      <color theme="1"/>
      <name val="Arial"/>
      <family val="2"/>
    </font>
    <font>
      <sz val="11"/>
      <color theme="1"/>
      <name val="Arial"/>
      <family val="2"/>
    </font>
    <font>
      <b/>
      <sz val="11"/>
      <color theme="1"/>
      <name val="Arial"/>
      <family val="2"/>
    </font>
  </fonts>
  <fills count="3">
    <fill>
      <patternFill patternType="none"/>
    </fill>
    <fill>
      <patternFill patternType="gray125"/>
    </fill>
    <fill>
      <patternFill patternType="solid">
        <fgColor theme="2"/>
        <bgColor indexed="64"/>
      </patternFill>
    </fill>
  </fills>
  <borders count="4">
    <border>
      <left/>
      <right/>
      <top/>
      <bottom/>
      <diagonal/>
    </border>
    <border>
      <left/>
      <right/>
      <top/>
      <bottom style="medium">
        <color indexed="64"/>
      </bottom>
      <diagonal/>
    </border>
    <border>
      <left/>
      <right/>
      <top/>
      <bottom style="double">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17">
    <xf numFmtId="0" fontId="0" fillId="0" borderId="0" xfId="0"/>
    <xf numFmtId="38" fontId="0" fillId="0" borderId="0" xfId="0" applyNumberFormat="1"/>
    <xf numFmtId="0" fontId="2" fillId="0" borderId="0" xfId="0" applyFont="1" applyAlignment="1">
      <alignment horizontal="right"/>
    </xf>
    <xf numFmtId="0" fontId="0" fillId="0" borderId="0" xfId="0" applyAlignment="1">
      <alignment horizontal="center"/>
    </xf>
    <xf numFmtId="17" fontId="0" fillId="0" borderId="0" xfId="0" quotePrefix="1" applyNumberFormat="1" applyAlignment="1">
      <alignment horizontal="center"/>
    </xf>
    <xf numFmtId="0" fontId="0" fillId="0" borderId="1" xfId="0" applyBorder="1" applyAlignment="1">
      <alignment horizontal="center"/>
    </xf>
    <xf numFmtId="6" fontId="0" fillId="0" borderId="2" xfId="0" applyNumberFormat="1" applyBorder="1"/>
    <xf numFmtId="6" fontId="0" fillId="0" borderId="0" xfId="0" applyNumberFormat="1"/>
    <xf numFmtId="6" fontId="0" fillId="0" borderId="3" xfId="0" applyNumberFormat="1" applyBorder="1"/>
    <xf numFmtId="10" fontId="0" fillId="0" borderId="0" xfId="0" applyNumberFormat="1"/>
    <xf numFmtId="10" fontId="0" fillId="0" borderId="0" xfId="1" applyNumberFormat="1" applyFont="1"/>
    <xf numFmtId="0" fontId="2" fillId="0" borderId="0" xfId="0" applyFont="1" applyAlignment="1">
      <alignment horizontal="center"/>
    </xf>
    <xf numFmtId="0" fontId="0" fillId="0" borderId="0" xfId="0" applyAlignment="1">
      <alignment horizontal="left" wrapText="1"/>
    </xf>
    <xf numFmtId="0" fontId="0" fillId="0" borderId="0" xfId="0" applyAlignment="1">
      <alignment horizontal="left" vertical="top" wrapText="1"/>
    </xf>
    <xf numFmtId="0" fontId="0" fillId="2" borderId="0" xfId="0" applyFill="1"/>
    <xf numFmtId="6" fontId="0" fillId="2" borderId="0" xfId="0" applyNumberFormat="1" applyFill="1"/>
    <xf numFmtId="8" fontId="0" fillId="0" borderId="0" xfId="0" applyNumberForma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EEC21-F1F6-45E3-9B24-33CB387422BD}">
  <sheetPr>
    <tabColor rgb="FF92D050"/>
  </sheetPr>
  <dimension ref="A1:G63"/>
  <sheetViews>
    <sheetView tabSelected="1" zoomScale="80" zoomScaleNormal="80" workbookViewId="0">
      <selection activeCell="H62" sqref="H62"/>
    </sheetView>
  </sheetViews>
  <sheetFormatPr defaultColWidth="15.625" defaultRowHeight="14.25" x14ac:dyDescent="0.2"/>
  <cols>
    <col min="1" max="1" width="4.625" customWidth="1"/>
    <col min="7" max="7" width="16.375" customWidth="1"/>
  </cols>
  <sheetData>
    <row r="1" spans="1:7" x14ac:dyDescent="0.2">
      <c r="A1" s="1">
        <v>0</v>
      </c>
    </row>
    <row r="2" spans="1:7" ht="15" x14ac:dyDescent="0.25">
      <c r="A2" s="1">
        <f>A1+1</f>
        <v>1</v>
      </c>
      <c r="G2" s="2" t="s">
        <v>0</v>
      </c>
    </row>
    <row r="3" spans="1:7" ht="15" x14ac:dyDescent="0.25">
      <c r="A3" s="1">
        <f t="shared" ref="A3:A60" si="0">A2+1</f>
        <v>2</v>
      </c>
      <c r="B3" s="11" t="s">
        <v>1</v>
      </c>
      <c r="C3" s="11"/>
      <c r="D3" s="11"/>
      <c r="E3" s="11"/>
      <c r="F3" s="11"/>
      <c r="G3" s="11"/>
    </row>
    <row r="4" spans="1:7" ht="15" x14ac:dyDescent="0.25">
      <c r="A4" s="1">
        <f t="shared" si="0"/>
        <v>3</v>
      </c>
      <c r="B4" s="11" t="s">
        <v>2</v>
      </c>
      <c r="C4" s="11"/>
      <c r="D4" s="11"/>
      <c r="E4" s="11"/>
      <c r="F4" s="11"/>
      <c r="G4" s="11"/>
    </row>
    <row r="5" spans="1:7" x14ac:dyDescent="0.2">
      <c r="A5" s="1">
        <f t="shared" si="0"/>
        <v>4</v>
      </c>
    </row>
    <row r="6" spans="1:7" x14ac:dyDescent="0.2">
      <c r="A6" s="1">
        <f t="shared" si="0"/>
        <v>5</v>
      </c>
    </row>
    <row r="7" spans="1:7" x14ac:dyDescent="0.2">
      <c r="A7" s="1">
        <f t="shared" si="0"/>
        <v>6</v>
      </c>
      <c r="B7" s="13" t="s">
        <v>48</v>
      </c>
      <c r="C7" s="13"/>
      <c r="D7" s="13"/>
      <c r="E7" s="13"/>
      <c r="F7" s="13"/>
      <c r="G7" s="13"/>
    </row>
    <row r="8" spans="1:7" x14ac:dyDescent="0.2">
      <c r="A8" s="1">
        <f t="shared" si="0"/>
        <v>7</v>
      </c>
      <c r="B8" s="13"/>
      <c r="C8" s="13"/>
      <c r="D8" s="13"/>
      <c r="E8" s="13"/>
      <c r="F8" s="13"/>
      <c r="G8" s="13"/>
    </row>
    <row r="9" spans="1:7" x14ac:dyDescent="0.2">
      <c r="A9" s="1">
        <f t="shared" si="0"/>
        <v>8</v>
      </c>
      <c r="B9" s="13"/>
      <c r="C9" s="13"/>
      <c r="D9" s="13"/>
      <c r="E9" s="13"/>
      <c r="F9" s="13"/>
      <c r="G9" s="13"/>
    </row>
    <row r="10" spans="1:7" x14ac:dyDescent="0.2">
      <c r="A10" s="1">
        <f t="shared" si="0"/>
        <v>9</v>
      </c>
      <c r="B10" s="13"/>
      <c r="C10" s="13"/>
      <c r="D10" s="13"/>
      <c r="E10" s="13"/>
      <c r="F10" s="13"/>
      <c r="G10" s="13"/>
    </row>
    <row r="11" spans="1:7" x14ac:dyDescent="0.2">
      <c r="A11" s="1">
        <f t="shared" si="0"/>
        <v>10</v>
      </c>
    </row>
    <row r="12" spans="1:7" x14ac:dyDescent="0.2">
      <c r="A12" s="1">
        <f t="shared" si="0"/>
        <v>11</v>
      </c>
      <c r="E12" s="3" t="s">
        <v>3</v>
      </c>
    </row>
    <row r="13" spans="1:7" x14ac:dyDescent="0.2">
      <c r="A13" s="1">
        <f t="shared" si="0"/>
        <v>12</v>
      </c>
      <c r="D13" s="3" t="s">
        <v>4</v>
      </c>
      <c r="E13" s="4" t="s">
        <v>5</v>
      </c>
      <c r="F13" s="3" t="s">
        <v>6</v>
      </c>
    </row>
    <row r="14" spans="1:7" ht="15" thickBot="1" x14ac:dyDescent="0.25">
      <c r="A14" s="1">
        <f t="shared" si="0"/>
        <v>13</v>
      </c>
      <c r="D14" s="5" t="s">
        <v>7</v>
      </c>
      <c r="E14" s="5" t="s">
        <v>8</v>
      </c>
      <c r="F14" s="5" t="s">
        <v>9</v>
      </c>
    </row>
    <row r="15" spans="1:7" x14ac:dyDescent="0.2">
      <c r="A15" s="1">
        <f t="shared" si="0"/>
        <v>14</v>
      </c>
    </row>
    <row r="16" spans="1:7" ht="15" thickBot="1" x14ac:dyDescent="0.25">
      <c r="A16" s="1">
        <f t="shared" si="0"/>
        <v>15</v>
      </c>
      <c r="B16" t="s">
        <v>10</v>
      </c>
      <c r="D16" s="6">
        <v>79829258.650000006</v>
      </c>
      <c r="E16" s="6">
        <v>83642295.140000001</v>
      </c>
      <c r="F16" s="6">
        <f>E16-D16</f>
        <v>3813036.4899999946</v>
      </c>
    </row>
    <row r="17" spans="1:6" ht="15" thickTop="1" x14ac:dyDescent="0.2">
      <c r="A17" s="1">
        <f t="shared" si="0"/>
        <v>16</v>
      </c>
      <c r="D17" s="7"/>
      <c r="E17" s="7"/>
      <c r="F17" s="7"/>
    </row>
    <row r="18" spans="1:6" x14ac:dyDescent="0.2">
      <c r="A18" s="1">
        <f t="shared" si="0"/>
        <v>17</v>
      </c>
      <c r="B18" t="s">
        <v>11</v>
      </c>
      <c r="D18" s="7"/>
      <c r="E18" s="7"/>
      <c r="F18" s="7"/>
    </row>
    <row r="19" spans="1:6" x14ac:dyDescent="0.2">
      <c r="A19" s="1">
        <f t="shared" si="0"/>
        <v>18</v>
      </c>
      <c r="B19" t="s">
        <v>12</v>
      </c>
      <c r="D19" s="7">
        <v>3626930.4</v>
      </c>
      <c r="E19" s="7">
        <v>4935914.88</v>
      </c>
      <c r="F19" s="7">
        <f>ROUND(E19-D19,0)</f>
        <v>1308984</v>
      </c>
    </row>
    <row r="20" spans="1:6" x14ac:dyDescent="0.2">
      <c r="A20" s="1">
        <f t="shared" si="0"/>
        <v>19</v>
      </c>
      <c r="B20" t="s">
        <v>13</v>
      </c>
      <c r="D20" s="7">
        <v>1380496.31</v>
      </c>
      <c r="E20" s="7">
        <v>12478.96</v>
      </c>
      <c r="F20" s="7">
        <f t="shared" ref="F20:F40" si="1">ROUND(E20-D20,0)</f>
        <v>-1368017</v>
      </c>
    </row>
    <row r="21" spans="1:6" x14ac:dyDescent="0.2">
      <c r="A21" s="1">
        <f t="shared" si="0"/>
        <v>20</v>
      </c>
      <c r="B21" t="s">
        <v>14</v>
      </c>
      <c r="D21" s="7">
        <v>28103.08</v>
      </c>
      <c r="E21" s="7">
        <v>122357.56</v>
      </c>
      <c r="F21" s="7">
        <f t="shared" si="1"/>
        <v>94254</v>
      </c>
    </row>
    <row r="22" spans="1:6" x14ac:dyDescent="0.2">
      <c r="A22" s="1">
        <f t="shared" si="0"/>
        <v>21</v>
      </c>
      <c r="B22" t="s">
        <v>15</v>
      </c>
      <c r="D22" s="7">
        <v>893121.24</v>
      </c>
      <c r="E22" s="7">
        <v>2660649.16</v>
      </c>
      <c r="F22" s="7">
        <f t="shared" si="1"/>
        <v>1767528</v>
      </c>
    </row>
    <row r="23" spans="1:6" x14ac:dyDescent="0.2">
      <c r="A23" s="1">
        <f t="shared" si="0"/>
        <v>22</v>
      </c>
      <c r="B23" t="s">
        <v>16</v>
      </c>
      <c r="D23" s="7">
        <v>54469.22</v>
      </c>
      <c r="E23" s="7">
        <v>567250.06000000006</v>
      </c>
      <c r="F23" s="7">
        <f t="shared" si="1"/>
        <v>512781</v>
      </c>
    </row>
    <row r="24" spans="1:6" x14ac:dyDescent="0.2">
      <c r="A24" s="1">
        <f t="shared" si="0"/>
        <v>23</v>
      </c>
      <c r="B24" t="s">
        <v>17</v>
      </c>
      <c r="D24" s="7">
        <v>0</v>
      </c>
      <c r="E24" s="7">
        <v>0</v>
      </c>
      <c r="F24" s="7">
        <f t="shared" si="1"/>
        <v>0</v>
      </c>
    </row>
    <row r="25" spans="1:6" x14ac:dyDescent="0.2">
      <c r="A25" s="1">
        <f t="shared" si="0"/>
        <v>24</v>
      </c>
      <c r="B25" t="s">
        <v>18</v>
      </c>
      <c r="D25" s="7">
        <v>0</v>
      </c>
      <c r="E25" s="7">
        <v>0</v>
      </c>
      <c r="F25" s="7">
        <f t="shared" si="1"/>
        <v>0</v>
      </c>
    </row>
    <row r="26" spans="1:6" x14ac:dyDescent="0.2">
      <c r="A26" s="1">
        <f t="shared" si="0"/>
        <v>25</v>
      </c>
      <c r="B26" t="s">
        <v>19</v>
      </c>
      <c r="D26" s="7">
        <v>137956.29</v>
      </c>
      <c r="E26" s="7">
        <v>154315.72</v>
      </c>
      <c r="F26" s="7">
        <f t="shared" si="1"/>
        <v>16359</v>
      </c>
    </row>
    <row r="27" spans="1:6" x14ac:dyDescent="0.2">
      <c r="A27" s="1">
        <f t="shared" si="0"/>
        <v>26</v>
      </c>
      <c r="B27" t="s">
        <v>20</v>
      </c>
      <c r="D27" s="7">
        <v>60707.7</v>
      </c>
      <c r="E27" s="7">
        <v>0</v>
      </c>
      <c r="F27" s="7">
        <f t="shared" si="1"/>
        <v>-60708</v>
      </c>
    </row>
    <row r="28" spans="1:6" x14ac:dyDescent="0.2">
      <c r="A28" s="1">
        <f t="shared" si="0"/>
        <v>27</v>
      </c>
      <c r="B28" t="s">
        <v>21</v>
      </c>
      <c r="D28" s="7">
        <v>36461.879999999997</v>
      </c>
      <c r="E28" s="7">
        <v>41122.9</v>
      </c>
      <c r="F28" s="7">
        <f t="shared" si="1"/>
        <v>4661</v>
      </c>
    </row>
    <row r="29" spans="1:6" x14ac:dyDescent="0.2">
      <c r="A29" s="1">
        <f t="shared" si="0"/>
        <v>28</v>
      </c>
      <c r="B29" t="s">
        <v>22</v>
      </c>
      <c r="D29" s="7">
        <v>0</v>
      </c>
      <c r="E29" s="7">
        <v>0</v>
      </c>
      <c r="F29" s="7">
        <f t="shared" si="1"/>
        <v>0</v>
      </c>
    </row>
    <row r="30" spans="1:6" x14ac:dyDescent="0.2">
      <c r="A30" s="1">
        <f t="shared" si="0"/>
        <v>29</v>
      </c>
      <c r="B30" t="s">
        <v>23</v>
      </c>
      <c r="D30" s="7">
        <v>56890.49</v>
      </c>
      <c r="E30" s="7">
        <v>59371</v>
      </c>
      <c r="F30" s="7">
        <f t="shared" si="1"/>
        <v>2481</v>
      </c>
    </row>
    <row r="31" spans="1:6" x14ac:dyDescent="0.2">
      <c r="A31" s="1">
        <f t="shared" si="0"/>
        <v>30</v>
      </c>
      <c r="B31" t="s">
        <v>24</v>
      </c>
      <c r="D31" s="7">
        <v>3378.67</v>
      </c>
      <c r="E31" s="7">
        <v>0</v>
      </c>
      <c r="F31" s="7">
        <f t="shared" si="1"/>
        <v>-3379</v>
      </c>
    </row>
    <row r="32" spans="1:6" x14ac:dyDescent="0.2">
      <c r="A32" s="1">
        <f t="shared" si="0"/>
        <v>31</v>
      </c>
      <c r="B32" t="s">
        <v>25</v>
      </c>
      <c r="D32" s="7">
        <f>42259949+3891779</f>
        <v>46151728</v>
      </c>
      <c r="E32" s="7">
        <v>46310204.720000006</v>
      </c>
      <c r="F32" s="7">
        <f t="shared" si="1"/>
        <v>158477</v>
      </c>
    </row>
    <row r="33" spans="1:7" x14ac:dyDescent="0.2">
      <c r="A33" s="1">
        <f t="shared" si="0"/>
        <v>32</v>
      </c>
      <c r="B33" s="14" t="s">
        <v>47</v>
      </c>
      <c r="C33" s="14"/>
      <c r="D33" s="15">
        <f>-2862.49-2572256.53-2501407.46</f>
        <v>-5076526.4800000004</v>
      </c>
      <c r="E33" s="15">
        <f>-855.79-4312043.88-2218109.45</f>
        <v>-6531009.1200000001</v>
      </c>
      <c r="F33" s="15">
        <f>ROUND(E33-D33,0)</f>
        <v>-1454483</v>
      </c>
    </row>
    <row r="34" spans="1:7" x14ac:dyDescent="0.2">
      <c r="A34" s="1">
        <f t="shared" si="0"/>
        <v>33</v>
      </c>
      <c r="B34" s="14" t="s">
        <v>46</v>
      </c>
      <c r="C34" s="14"/>
      <c r="D34" s="15">
        <f>D32+D33</f>
        <v>41075201.519999996</v>
      </c>
      <c r="E34" s="15">
        <f t="shared" ref="E34:F34" si="2">E32+E33</f>
        <v>39779195.600000009</v>
      </c>
      <c r="F34" s="15">
        <f>ROUND(E34-D34,0)</f>
        <v>-1296006</v>
      </c>
    </row>
    <row r="35" spans="1:7" x14ac:dyDescent="0.2">
      <c r="A35" s="1">
        <f t="shared" si="0"/>
        <v>34</v>
      </c>
      <c r="B35" t="s">
        <v>26</v>
      </c>
      <c r="D35" s="7">
        <v>13849132.029999999</v>
      </c>
      <c r="E35" s="7">
        <v>14329508.439999999</v>
      </c>
      <c r="F35" s="7">
        <f t="shared" si="1"/>
        <v>480376</v>
      </c>
    </row>
    <row r="36" spans="1:7" x14ac:dyDescent="0.2">
      <c r="A36" s="1">
        <f t="shared" si="0"/>
        <v>35</v>
      </c>
      <c r="B36" t="s">
        <v>27</v>
      </c>
      <c r="D36" s="7">
        <v>1230899</v>
      </c>
      <c r="E36" s="7">
        <v>1878727.24</v>
      </c>
      <c r="F36" s="7">
        <f t="shared" si="1"/>
        <v>647828</v>
      </c>
    </row>
    <row r="37" spans="1:7" x14ac:dyDescent="0.2">
      <c r="A37" s="1">
        <f t="shared" si="0"/>
        <v>36</v>
      </c>
      <c r="B37" t="s">
        <v>28</v>
      </c>
      <c r="D37" s="7">
        <v>1892380.5</v>
      </c>
      <c r="E37" s="7">
        <v>2083752.58</v>
      </c>
      <c r="F37" s="7">
        <f t="shared" si="1"/>
        <v>191372</v>
      </c>
    </row>
    <row r="38" spans="1:7" x14ac:dyDescent="0.2">
      <c r="A38" s="1">
        <f t="shared" si="0"/>
        <v>37</v>
      </c>
      <c r="B38" t="s">
        <v>29</v>
      </c>
      <c r="D38" s="7">
        <v>23610.92</v>
      </c>
      <c r="E38" s="7">
        <v>25061.4</v>
      </c>
      <c r="F38" s="7">
        <f t="shared" si="1"/>
        <v>1450</v>
      </c>
    </row>
    <row r="39" spans="1:7" x14ac:dyDescent="0.2">
      <c r="A39" s="1">
        <f t="shared" si="0"/>
        <v>38</v>
      </c>
      <c r="B39" t="s">
        <v>30</v>
      </c>
      <c r="D39" s="7">
        <v>15479519</v>
      </c>
      <c r="E39" s="7">
        <v>16992589.640000001</v>
      </c>
      <c r="F39" s="7">
        <f t="shared" si="1"/>
        <v>1513071</v>
      </c>
    </row>
    <row r="40" spans="1:7" x14ac:dyDescent="0.2">
      <c r="A40" s="1">
        <f t="shared" si="0"/>
        <v>39</v>
      </c>
      <c r="B40" t="s">
        <v>31</v>
      </c>
      <c r="D40" s="8">
        <v>0</v>
      </c>
      <c r="E40" s="8">
        <v>0</v>
      </c>
      <c r="F40" s="8">
        <f t="shared" si="1"/>
        <v>0</v>
      </c>
    </row>
    <row r="41" spans="1:7" x14ac:dyDescent="0.2">
      <c r="A41" s="1">
        <f t="shared" si="0"/>
        <v>40</v>
      </c>
      <c r="D41" s="7"/>
      <c r="E41" s="7"/>
      <c r="F41" s="7"/>
    </row>
    <row r="42" spans="1:7" ht="15" thickBot="1" x14ac:dyDescent="0.25">
      <c r="A42" s="1">
        <f t="shared" si="0"/>
        <v>41</v>
      </c>
      <c r="B42" t="s">
        <v>32</v>
      </c>
      <c r="D42" s="6">
        <f>SUM(D19:D31,D34:D40)</f>
        <v>79829258.25</v>
      </c>
      <c r="E42" s="6">
        <f t="shared" ref="E42:F42" si="3">SUM(E19:E31,E34:E40)</f>
        <v>83642295.140000015</v>
      </c>
      <c r="F42" s="6">
        <f>SUM(F19:F31,F34:F40)</f>
        <v>3813035</v>
      </c>
    </row>
    <row r="43" spans="1:7" ht="15" thickTop="1" x14ac:dyDescent="0.2">
      <c r="A43" s="1">
        <f t="shared" si="0"/>
        <v>42</v>
      </c>
      <c r="D43" s="7"/>
      <c r="E43" s="7"/>
      <c r="F43" s="7"/>
    </row>
    <row r="44" spans="1:7" x14ac:dyDescent="0.2">
      <c r="A44" s="1">
        <f t="shared" si="0"/>
        <v>43</v>
      </c>
      <c r="D44" s="7" t="s">
        <v>33</v>
      </c>
      <c r="E44" s="7"/>
      <c r="F44" s="9">
        <f>ROUND(F42/D42,4)</f>
        <v>4.7800000000000002E-2</v>
      </c>
    </row>
    <row r="45" spans="1:7" x14ac:dyDescent="0.2">
      <c r="A45" s="1">
        <f t="shared" si="0"/>
        <v>44</v>
      </c>
      <c r="D45" s="7"/>
      <c r="E45" s="7"/>
      <c r="F45" s="7"/>
    </row>
    <row r="46" spans="1:7" x14ac:dyDescent="0.2">
      <c r="A46" s="1">
        <f t="shared" si="0"/>
        <v>45</v>
      </c>
      <c r="B46" t="s">
        <v>34</v>
      </c>
      <c r="D46" s="7"/>
      <c r="E46" s="7"/>
      <c r="F46" s="7"/>
    </row>
    <row r="47" spans="1:7" x14ac:dyDescent="0.2">
      <c r="A47" s="1">
        <f t="shared" si="0"/>
        <v>46</v>
      </c>
      <c r="D47" s="7"/>
      <c r="E47" s="7"/>
      <c r="F47" s="7"/>
      <c r="G47" s="7"/>
    </row>
    <row r="48" spans="1:7" x14ac:dyDescent="0.2">
      <c r="A48" s="1">
        <f t="shared" si="0"/>
        <v>47</v>
      </c>
      <c r="C48" t="s">
        <v>25</v>
      </c>
      <c r="E48" s="7">
        <f>F32</f>
        <v>158477</v>
      </c>
    </row>
    <row r="49" spans="1:7" x14ac:dyDescent="0.2">
      <c r="A49" s="1">
        <f t="shared" si="0"/>
        <v>48</v>
      </c>
      <c r="C49" t="s">
        <v>26</v>
      </c>
      <c r="E49" s="7">
        <f t="shared" ref="E49:E53" si="4">F35</f>
        <v>480376</v>
      </c>
    </row>
    <row r="50" spans="1:7" x14ac:dyDescent="0.2">
      <c r="A50" s="1">
        <f t="shared" si="0"/>
        <v>49</v>
      </c>
      <c r="C50" t="s">
        <v>27</v>
      </c>
      <c r="E50" s="7">
        <f t="shared" si="4"/>
        <v>647828</v>
      </c>
    </row>
    <row r="51" spans="1:7" x14ac:dyDescent="0.2">
      <c r="A51" s="1">
        <f t="shared" si="0"/>
        <v>50</v>
      </c>
      <c r="C51" t="s">
        <v>28</v>
      </c>
      <c r="E51" s="7">
        <f t="shared" si="4"/>
        <v>191372</v>
      </c>
    </row>
    <row r="52" spans="1:7" x14ac:dyDescent="0.2">
      <c r="A52" s="1">
        <f t="shared" si="0"/>
        <v>51</v>
      </c>
      <c r="C52" t="s">
        <v>29</v>
      </c>
      <c r="E52" s="7">
        <f t="shared" si="4"/>
        <v>1450</v>
      </c>
    </row>
    <row r="53" spans="1:7" x14ac:dyDescent="0.2">
      <c r="A53" s="1">
        <f t="shared" si="0"/>
        <v>52</v>
      </c>
      <c r="C53" t="s">
        <v>30</v>
      </c>
      <c r="E53" s="8">
        <f t="shared" si="4"/>
        <v>1513071</v>
      </c>
    </row>
    <row r="54" spans="1:7" x14ac:dyDescent="0.2">
      <c r="A54" s="1">
        <f t="shared" si="0"/>
        <v>53</v>
      </c>
    </row>
    <row r="55" spans="1:7" ht="15" thickBot="1" x14ac:dyDescent="0.25">
      <c r="A55" s="1">
        <f t="shared" si="0"/>
        <v>54</v>
      </c>
      <c r="E55" s="6">
        <f>SUM(E48:E53)</f>
        <v>2992574</v>
      </c>
      <c r="F55" s="10">
        <f>E55/SUM(D32:D39)</f>
        <v>2.6107300692829391E-2</v>
      </c>
    </row>
    <row r="56" spans="1:7" ht="15" thickTop="1" x14ac:dyDescent="0.2">
      <c r="A56" s="1">
        <f t="shared" si="0"/>
        <v>55</v>
      </c>
    </row>
    <row r="57" spans="1:7" ht="14.25" customHeight="1" x14ac:dyDescent="0.2">
      <c r="A57" s="1">
        <f t="shared" si="0"/>
        <v>56</v>
      </c>
      <c r="B57" s="12" t="s">
        <v>51</v>
      </c>
      <c r="C57" s="12"/>
      <c r="D57" s="12"/>
      <c r="E57" s="12"/>
      <c r="F57" s="12"/>
      <c r="G57" s="12"/>
    </row>
    <row r="58" spans="1:7" x14ac:dyDescent="0.2">
      <c r="A58" s="1">
        <f t="shared" si="0"/>
        <v>57</v>
      </c>
      <c r="B58" s="12"/>
      <c r="C58" s="12"/>
      <c r="D58" s="12"/>
      <c r="E58" s="12"/>
      <c r="F58" s="12"/>
      <c r="G58" s="12"/>
    </row>
    <row r="59" spans="1:7" x14ac:dyDescent="0.2">
      <c r="A59" s="1">
        <f t="shared" si="0"/>
        <v>58</v>
      </c>
      <c r="B59" s="12"/>
      <c r="C59" s="12"/>
      <c r="D59" s="12"/>
      <c r="E59" s="12"/>
      <c r="F59" s="12"/>
      <c r="G59" s="12"/>
    </row>
    <row r="60" spans="1:7" x14ac:dyDescent="0.2">
      <c r="A60" s="1">
        <f t="shared" si="0"/>
        <v>59</v>
      </c>
      <c r="B60" s="12"/>
      <c r="C60" s="12"/>
      <c r="D60" s="12"/>
      <c r="E60" s="12"/>
      <c r="F60" s="12"/>
      <c r="G60" s="12"/>
    </row>
    <row r="61" spans="1:7" x14ac:dyDescent="0.2">
      <c r="A61" s="1"/>
    </row>
    <row r="62" spans="1:7" x14ac:dyDescent="0.2">
      <c r="A62" s="1"/>
    </row>
    <row r="63" spans="1:7" x14ac:dyDescent="0.2">
      <c r="D63" s="7"/>
      <c r="E63" s="7"/>
      <c r="F63" s="7"/>
    </row>
  </sheetData>
  <mergeCells count="4">
    <mergeCell ref="B3:G3"/>
    <mergeCell ref="B4:G4"/>
    <mergeCell ref="B7:G10"/>
    <mergeCell ref="B57:G60"/>
  </mergeCells>
  <pageMargins left="0.7" right="0.7" top="0.75" bottom="0.75" header="0.3" footer="0.3"/>
  <pageSetup scale="84"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490CB-B6E6-4572-B823-FA3A78759104}">
  <sheetPr>
    <tabColor rgb="FF92D050"/>
  </sheetPr>
  <dimension ref="A1:G60"/>
  <sheetViews>
    <sheetView zoomScale="80" zoomScaleNormal="80" workbookViewId="0">
      <selection activeCell="C68" sqref="C68"/>
    </sheetView>
  </sheetViews>
  <sheetFormatPr defaultColWidth="15.625" defaultRowHeight="14.25" x14ac:dyDescent="0.2"/>
  <cols>
    <col min="1" max="1" width="4.625" customWidth="1"/>
  </cols>
  <sheetData>
    <row r="1" spans="1:7" x14ac:dyDescent="0.2">
      <c r="A1" s="1">
        <v>0</v>
      </c>
    </row>
    <row r="2" spans="1:7" ht="15" x14ac:dyDescent="0.25">
      <c r="A2" s="1">
        <f>A1+1</f>
        <v>1</v>
      </c>
      <c r="G2" s="2" t="s">
        <v>35</v>
      </c>
    </row>
    <row r="3" spans="1:7" ht="15" x14ac:dyDescent="0.25">
      <c r="A3" s="1">
        <f t="shared" ref="A3:A58" si="0">A2+1</f>
        <v>2</v>
      </c>
      <c r="B3" s="11" t="s">
        <v>1</v>
      </c>
      <c r="C3" s="11"/>
      <c r="D3" s="11"/>
      <c r="E3" s="11"/>
      <c r="F3" s="11"/>
      <c r="G3" s="11"/>
    </row>
    <row r="4" spans="1:7" ht="15" x14ac:dyDescent="0.25">
      <c r="A4" s="1">
        <f t="shared" si="0"/>
        <v>3</v>
      </c>
      <c r="B4" s="11" t="s">
        <v>36</v>
      </c>
      <c r="C4" s="11"/>
      <c r="D4" s="11"/>
      <c r="E4" s="11"/>
      <c r="F4" s="11"/>
      <c r="G4" s="11"/>
    </row>
    <row r="5" spans="1:7" x14ac:dyDescent="0.2">
      <c r="A5" s="1">
        <f t="shared" si="0"/>
        <v>4</v>
      </c>
    </row>
    <row r="6" spans="1:7" x14ac:dyDescent="0.2">
      <c r="A6" s="1">
        <f t="shared" si="0"/>
        <v>5</v>
      </c>
    </row>
    <row r="7" spans="1:7" x14ac:dyDescent="0.2">
      <c r="A7" s="1">
        <f t="shared" si="0"/>
        <v>6</v>
      </c>
      <c r="B7" s="13" t="s">
        <v>49</v>
      </c>
      <c r="C7" s="13"/>
      <c r="D7" s="13"/>
      <c r="E7" s="13"/>
      <c r="F7" s="13"/>
      <c r="G7" s="13"/>
    </row>
    <row r="8" spans="1:7" x14ac:dyDescent="0.2">
      <c r="A8" s="1">
        <f t="shared" si="0"/>
        <v>7</v>
      </c>
      <c r="B8" s="13"/>
      <c r="C8" s="13"/>
      <c r="D8" s="13"/>
      <c r="E8" s="13"/>
      <c r="F8" s="13"/>
      <c r="G8" s="13"/>
    </row>
    <row r="9" spans="1:7" x14ac:dyDescent="0.2">
      <c r="A9" s="1">
        <f t="shared" si="0"/>
        <v>8</v>
      </c>
      <c r="B9" s="13"/>
      <c r="C9" s="13"/>
      <c r="D9" s="13"/>
      <c r="E9" s="13"/>
      <c r="F9" s="13"/>
      <c r="G9" s="13"/>
    </row>
    <row r="10" spans="1:7" x14ac:dyDescent="0.2">
      <c r="A10" s="1">
        <f t="shared" si="0"/>
        <v>9</v>
      </c>
      <c r="B10" s="13"/>
      <c r="C10" s="13"/>
      <c r="D10" s="13"/>
      <c r="E10" s="13"/>
      <c r="F10" s="13"/>
      <c r="G10" s="13"/>
    </row>
    <row r="11" spans="1:7" x14ac:dyDescent="0.2">
      <c r="A11" s="1">
        <f t="shared" si="0"/>
        <v>10</v>
      </c>
    </row>
    <row r="12" spans="1:7" x14ac:dyDescent="0.2">
      <c r="A12" s="1">
        <f t="shared" si="0"/>
        <v>11</v>
      </c>
      <c r="E12" s="3" t="s">
        <v>3</v>
      </c>
    </row>
    <row r="13" spans="1:7" x14ac:dyDescent="0.2">
      <c r="A13" s="1">
        <f t="shared" si="0"/>
        <v>12</v>
      </c>
      <c r="D13" s="3" t="s">
        <v>4</v>
      </c>
      <c r="E13" s="4" t="s">
        <v>37</v>
      </c>
      <c r="F13" s="3" t="s">
        <v>6</v>
      </c>
    </row>
    <row r="14" spans="1:7" ht="15" thickBot="1" x14ac:dyDescent="0.25">
      <c r="A14" s="1">
        <f t="shared" si="0"/>
        <v>13</v>
      </c>
      <c r="D14" s="5" t="s">
        <v>7</v>
      </c>
      <c r="E14" s="5" t="s">
        <v>8</v>
      </c>
      <c r="F14" s="5" t="s">
        <v>9</v>
      </c>
    </row>
    <row r="15" spans="1:7" x14ac:dyDescent="0.2">
      <c r="A15" s="1">
        <f t="shared" si="0"/>
        <v>14</v>
      </c>
    </row>
    <row r="16" spans="1:7" ht="15" thickBot="1" x14ac:dyDescent="0.25">
      <c r="A16" s="1">
        <f t="shared" si="0"/>
        <v>15</v>
      </c>
      <c r="B16" t="s">
        <v>38</v>
      </c>
      <c r="D16" s="6">
        <v>6177231.4759999998</v>
      </c>
      <c r="E16" s="6">
        <v>6252293.7499999991</v>
      </c>
      <c r="F16" s="6">
        <f>E16-D16</f>
        <v>75062.273999999277</v>
      </c>
    </row>
    <row r="17" spans="1:6" ht="15" thickTop="1" x14ac:dyDescent="0.2">
      <c r="A17" s="1">
        <f t="shared" si="0"/>
        <v>16</v>
      </c>
      <c r="D17" s="7"/>
      <c r="E17" s="7"/>
      <c r="F17" s="7"/>
    </row>
    <row r="18" spans="1:6" x14ac:dyDescent="0.2">
      <c r="A18" s="1">
        <f t="shared" si="0"/>
        <v>17</v>
      </c>
      <c r="B18" t="s">
        <v>11</v>
      </c>
      <c r="D18" s="7"/>
      <c r="E18" s="7"/>
      <c r="F18" s="7"/>
    </row>
    <row r="19" spans="1:6" x14ac:dyDescent="0.2">
      <c r="A19" s="1">
        <f t="shared" si="0"/>
        <v>18</v>
      </c>
      <c r="B19" t="s">
        <v>12</v>
      </c>
      <c r="D19" s="7">
        <v>261543.08</v>
      </c>
      <c r="E19" s="7">
        <f>19603.9*13</f>
        <v>254850.7</v>
      </c>
      <c r="F19" s="7">
        <f>ROUND(E19-D19,0)</f>
        <v>-6692</v>
      </c>
    </row>
    <row r="20" spans="1:6" x14ac:dyDescent="0.2">
      <c r="A20" s="1">
        <f t="shared" si="0"/>
        <v>19</v>
      </c>
      <c r="B20" t="s">
        <v>13</v>
      </c>
      <c r="D20" s="7">
        <v>99363.29</v>
      </c>
      <c r="E20" s="7">
        <f>8526.79*13</f>
        <v>110848.27000000002</v>
      </c>
      <c r="F20" s="7">
        <f t="shared" ref="F20:F38" si="1">ROUND(E20-D20,0)</f>
        <v>11485</v>
      </c>
    </row>
    <row r="21" spans="1:6" x14ac:dyDescent="0.2">
      <c r="A21" s="1">
        <f t="shared" si="0"/>
        <v>20</v>
      </c>
      <c r="B21" t="s">
        <v>14</v>
      </c>
      <c r="D21" s="7">
        <v>1373.65</v>
      </c>
      <c r="E21" s="7">
        <f>8.08*13</f>
        <v>105.04</v>
      </c>
      <c r="F21" s="7">
        <f t="shared" si="1"/>
        <v>-1269</v>
      </c>
    </row>
    <row r="22" spans="1:6" x14ac:dyDescent="0.2">
      <c r="A22" s="1">
        <f t="shared" si="0"/>
        <v>21</v>
      </c>
      <c r="B22" t="s">
        <v>15</v>
      </c>
      <c r="D22" s="7">
        <f>61495.46-0.005-0.006</f>
        <v>61495.449000000001</v>
      </c>
      <c r="E22" s="7">
        <f>15391.4*13</f>
        <v>200088.19999999998</v>
      </c>
      <c r="F22" s="7">
        <f t="shared" si="1"/>
        <v>138593</v>
      </c>
    </row>
    <row r="23" spans="1:6" x14ac:dyDescent="0.2">
      <c r="A23" s="1">
        <f t="shared" si="0"/>
        <v>22</v>
      </c>
      <c r="B23" t="s">
        <v>16</v>
      </c>
      <c r="D23" s="7">
        <v>4079.09</v>
      </c>
      <c r="E23" s="7">
        <f>(492.01-0.01-0.02-0.01)*13</f>
        <v>6395.6100000000006</v>
      </c>
      <c r="F23" s="7">
        <f t="shared" si="1"/>
        <v>2317</v>
      </c>
    </row>
    <row r="24" spans="1:6" x14ac:dyDescent="0.2">
      <c r="A24" s="1">
        <f t="shared" si="0"/>
        <v>23</v>
      </c>
      <c r="B24" t="s">
        <v>17</v>
      </c>
      <c r="D24" s="7">
        <v>0</v>
      </c>
      <c r="E24" s="7">
        <v>0</v>
      </c>
      <c r="F24" s="7">
        <f t="shared" si="1"/>
        <v>0</v>
      </c>
    </row>
    <row r="25" spans="1:6" x14ac:dyDescent="0.2">
      <c r="A25" s="1">
        <f t="shared" si="0"/>
        <v>24</v>
      </c>
      <c r="B25" t="s">
        <v>19</v>
      </c>
      <c r="D25" s="7">
        <v>10057.98</v>
      </c>
      <c r="E25" s="7">
        <f>485.24*13</f>
        <v>6308.12</v>
      </c>
      <c r="F25" s="7">
        <f t="shared" si="1"/>
        <v>-3750</v>
      </c>
    </row>
    <row r="26" spans="1:6" x14ac:dyDescent="0.2">
      <c r="A26" s="1">
        <f t="shared" si="0"/>
        <v>25</v>
      </c>
      <c r="B26" t="s">
        <v>20</v>
      </c>
      <c r="D26" s="7">
        <v>4425.3100000000004</v>
      </c>
      <c r="E26" s="7">
        <v>0</v>
      </c>
      <c r="F26" s="7">
        <f t="shared" si="1"/>
        <v>-4425</v>
      </c>
    </row>
    <row r="27" spans="1:6" x14ac:dyDescent="0.2">
      <c r="A27" s="1">
        <f t="shared" si="0"/>
        <v>26</v>
      </c>
      <c r="B27" t="s">
        <v>21</v>
      </c>
      <c r="D27" s="7">
        <v>2647.43</v>
      </c>
      <c r="E27" s="7">
        <f>215.68*13</f>
        <v>2803.84</v>
      </c>
      <c r="F27" s="7">
        <f t="shared" si="1"/>
        <v>156</v>
      </c>
    </row>
    <row r="28" spans="1:6" x14ac:dyDescent="0.2">
      <c r="A28" s="1">
        <f t="shared" si="0"/>
        <v>27</v>
      </c>
      <c r="B28" t="s">
        <v>22</v>
      </c>
      <c r="D28" s="7">
        <v>0</v>
      </c>
      <c r="E28" s="7">
        <v>0</v>
      </c>
      <c r="F28" s="7">
        <f t="shared" si="1"/>
        <v>0</v>
      </c>
    </row>
    <row r="29" spans="1:6" x14ac:dyDescent="0.2">
      <c r="A29" s="1">
        <f t="shared" si="0"/>
        <v>28</v>
      </c>
      <c r="B29" t="s">
        <v>23</v>
      </c>
      <c r="D29" s="7">
        <v>4141.13</v>
      </c>
      <c r="E29" s="7">
        <f>307.38*13</f>
        <v>3995.94</v>
      </c>
      <c r="F29" s="7">
        <f t="shared" si="1"/>
        <v>-145</v>
      </c>
    </row>
    <row r="30" spans="1:6" x14ac:dyDescent="0.2">
      <c r="A30" s="1">
        <f t="shared" si="0"/>
        <v>29</v>
      </c>
      <c r="B30" t="s">
        <v>25</v>
      </c>
      <c r="D30" s="7">
        <v>3362326.39</v>
      </c>
      <c r="E30" s="7">
        <v>3835893.81</v>
      </c>
      <c r="F30" s="7">
        <f>ROUND(E30-D30,0)</f>
        <v>473567</v>
      </c>
    </row>
    <row r="31" spans="1:6" x14ac:dyDescent="0.2">
      <c r="A31" s="1">
        <f t="shared" si="0"/>
        <v>30</v>
      </c>
      <c r="B31" s="14" t="s">
        <v>47</v>
      </c>
      <c r="C31" s="14"/>
      <c r="D31" s="15">
        <f>-217.46-187243.7-181257.71</f>
        <v>-368718.87</v>
      </c>
      <c r="E31" s="15">
        <f>-53.58-155149.65-326951.62</f>
        <v>-482154.85</v>
      </c>
      <c r="F31" s="15">
        <f>ROUND(E31-D31,0)</f>
        <v>-113436</v>
      </c>
    </row>
    <row r="32" spans="1:6" x14ac:dyDescent="0.2">
      <c r="A32" s="1">
        <f t="shared" si="0"/>
        <v>31</v>
      </c>
      <c r="B32" s="14" t="s">
        <v>46</v>
      </c>
      <c r="C32" s="14"/>
      <c r="D32" s="15">
        <f>D30+D31</f>
        <v>2993607.52</v>
      </c>
      <c r="E32" s="15">
        <f t="shared" ref="E32" si="2">E30+E31</f>
        <v>3353738.96</v>
      </c>
      <c r="F32" s="15">
        <f>ROUND(E32-D32,0)</f>
        <v>360131</v>
      </c>
    </row>
    <row r="33" spans="1:6" x14ac:dyDescent="0.2">
      <c r="A33" s="1">
        <f t="shared" si="0"/>
        <v>32</v>
      </c>
      <c r="B33" t="s">
        <v>26</v>
      </c>
      <c r="D33" s="7">
        <v>1004533.3400000001</v>
      </c>
      <c r="E33" s="7">
        <v>1039849.7</v>
      </c>
      <c r="F33" s="7">
        <f t="shared" si="1"/>
        <v>35316</v>
      </c>
    </row>
    <row r="34" spans="1:6" x14ac:dyDescent="0.2">
      <c r="A34" s="1">
        <f t="shared" si="0"/>
        <v>33</v>
      </c>
      <c r="B34" t="s">
        <v>27</v>
      </c>
      <c r="D34" s="7">
        <v>89328.5</v>
      </c>
      <c r="E34" s="7">
        <v>149705.76</v>
      </c>
      <c r="F34" s="7">
        <f t="shared" si="1"/>
        <v>60377</v>
      </c>
    </row>
    <row r="35" spans="1:6" x14ac:dyDescent="0.2">
      <c r="A35" s="1">
        <f t="shared" si="0"/>
        <v>34</v>
      </c>
      <c r="B35" t="s">
        <v>28</v>
      </c>
      <c r="D35" s="7">
        <f>133243.83+2274.147</f>
        <v>135517.97699999998</v>
      </c>
      <c r="E35" s="7">
        <v>150217.07999999999</v>
      </c>
      <c r="F35" s="7">
        <f t="shared" si="1"/>
        <v>14699</v>
      </c>
    </row>
    <row r="36" spans="1:6" x14ac:dyDescent="0.2">
      <c r="A36" s="1">
        <f t="shared" si="0"/>
        <v>35</v>
      </c>
      <c r="B36" t="s">
        <v>29</v>
      </c>
      <c r="D36" s="7">
        <f>1715.02</f>
        <v>1715.02</v>
      </c>
      <c r="E36" s="7">
        <v>1803.36</v>
      </c>
      <c r="F36" s="7">
        <f t="shared" si="1"/>
        <v>88</v>
      </c>
    </row>
    <row r="37" spans="1:6" x14ac:dyDescent="0.2">
      <c r="A37" s="1">
        <f t="shared" si="0"/>
        <v>36</v>
      </c>
      <c r="B37" t="s">
        <v>30</v>
      </c>
      <c r="D37" s="7">
        <v>1134683.8400000001</v>
      </c>
      <c r="E37" s="7">
        <v>1241555.1200000001</v>
      </c>
      <c r="F37" s="7">
        <f t="shared" si="1"/>
        <v>106871</v>
      </c>
    </row>
    <row r="38" spans="1:6" x14ac:dyDescent="0.2">
      <c r="A38" s="1">
        <f t="shared" si="0"/>
        <v>37</v>
      </c>
      <c r="B38" t="s">
        <v>31</v>
      </c>
      <c r="D38" s="8">
        <v>0</v>
      </c>
      <c r="E38" s="8">
        <v>0</v>
      </c>
      <c r="F38" s="8">
        <f t="shared" si="1"/>
        <v>0</v>
      </c>
    </row>
    <row r="39" spans="1:6" x14ac:dyDescent="0.2">
      <c r="A39" s="1">
        <f t="shared" si="0"/>
        <v>38</v>
      </c>
      <c r="D39" s="7"/>
      <c r="E39" s="7"/>
      <c r="F39" s="7"/>
    </row>
    <row r="40" spans="1:6" ht="15" thickBot="1" x14ac:dyDescent="0.25">
      <c r="A40" s="1">
        <f t="shared" si="0"/>
        <v>39</v>
      </c>
      <c r="B40" t="s">
        <v>32</v>
      </c>
      <c r="D40" s="6">
        <f>SUM(D19:D29,D32:D38)</f>
        <v>5808512.6059999997</v>
      </c>
      <c r="E40" s="6">
        <f t="shared" ref="E40:F40" si="3">SUM(E19:E29,E32:E38)</f>
        <v>6522265.7000000002</v>
      </c>
      <c r="F40" s="6">
        <f>SUM(F19:F29,F32:F38)</f>
        <v>713752</v>
      </c>
    </row>
    <row r="41" spans="1:6" ht="15" thickTop="1" x14ac:dyDescent="0.2">
      <c r="A41" s="1">
        <f t="shared" si="0"/>
        <v>40</v>
      </c>
      <c r="D41" s="7"/>
      <c r="E41" s="7"/>
      <c r="F41" s="7"/>
    </row>
    <row r="42" spans="1:6" x14ac:dyDescent="0.2">
      <c r="A42" s="1">
        <f t="shared" si="0"/>
        <v>41</v>
      </c>
      <c r="D42" s="7" t="s">
        <v>33</v>
      </c>
      <c r="E42" s="7"/>
      <c r="F42" s="9">
        <f>ROUND(F40/D40,4)</f>
        <v>0.1229</v>
      </c>
    </row>
    <row r="43" spans="1:6" x14ac:dyDescent="0.2">
      <c r="A43" s="1">
        <f t="shared" si="0"/>
        <v>42</v>
      </c>
      <c r="D43" s="7"/>
      <c r="E43" s="7"/>
      <c r="F43" s="7"/>
    </row>
    <row r="44" spans="1:6" x14ac:dyDescent="0.2">
      <c r="A44" s="1">
        <f t="shared" si="0"/>
        <v>43</v>
      </c>
      <c r="B44" t="s">
        <v>34</v>
      </c>
      <c r="D44" s="7"/>
      <c r="E44" s="7"/>
      <c r="F44" s="7"/>
    </row>
    <row r="45" spans="1:6" x14ac:dyDescent="0.2">
      <c r="A45" s="1">
        <f t="shared" si="0"/>
        <v>44</v>
      </c>
      <c r="D45" s="7"/>
      <c r="E45" s="7"/>
      <c r="F45" s="7"/>
    </row>
    <row r="46" spans="1:6" x14ac:dyDescent="0.2">
      <c r="A46" s="1">
        <f t="shared" si="0"/>
        <v>45</v>
      </c>
      <c r="C46" t="s">
        <v>25</v>
      </c>
      <c r="E46" s="7">
        <f>F30</f>
        <v>473567</v>
      </c>
    </row>
    <row r="47" spans="1:6" x14ac:dyDescent="0.2">
      <c r="A47" s="1">
        <f t="shared" si="0"/>
        <v>46</v>
      </c>
      <c r="C47" t="s">
        <v>26</v>
      </c>
      <c r="E47" s="7">
        <f t="shared" ref="E47:E51" si="4">F33</f>
        <v>35316</v>
      </c>
    </row>
    <row r="48" spans="1:6" x14ac:dyDescent="0.2">
      <c r="A48" s="1">
        <f t="shared" si="0"/>
        <v>47</v>
      </c>
      <c r="C48" t="s">
        <v>27</v>
      </c>
      <c r="E48" s="7">
        <f t="shared" si="4"/>
        <v>60377</v>
      </c>
    </row>
    <row r="49" spans="1:7" x14ac:dyDescent="0.2">
      <c r="A49" s="1">
        <f t="shared" si="0"/>
        <v>48</v>
      </c>
      <c r="C49" t="s">
        <v>28</v>
      </c>
      <c r="E49" s="7">
        <f t="shared" si="4"/>
        <v>14699</v>
      </c>
    </row>
    <row r="50" spans="1:7" x14ac:dyDescent="0.2">
      <c r="A50" s="1">
        <f t="shared" si="0"/>
        <v>49</v>
      </c>
      <c r="C50" t="s">
        <v>29</v>
      </c>
      <c r="E50" s="7">
        <f t="shared" si="4"/>
        <v>88</v>
      </c>
    </row>
    <row r="51" spans="1:7" x14ac:dyDescent="0.2">
      <c r="A51" s="1">
        <f t="shared" si="0"/>
        <v>50</v>
      </c>
      <c r="C51" t="s">
        <v>30</v>
      </c>
      <c r="E51" s="8">
        <f t="shared" si="4"/>
        <v>106871</v>
      </c>
    </row>
    <row r="52" spans="1:7" x14ac:dyDescent="0.2">
      <c r="A52" s="1">
        <f t="shared" si="0"/>
        <v>51</v>
      </c>
    </row>
    <row r="53" spans="1:7" ht="15" thickBot="1" x14ac:dyDescent="0.25">
      <c r="A53" s="1">
        <f t="shared" si="0"/>
        <v>52</v>
      </c>
      <c r="E53" s="6">
        <f>SUM(E46:E51)</f>
        <v>690918</v>
      </c>
      <c r="F53" s="10">
        <f>E53/SUM(D30:D37)</f>
        <v>8.2715014928581215E-2</v>
      </c>
    </row>
    <row r="54" spans="1:7" ht="15" thickTop="1" x14ac:dyDescent="0.2">
      <c r="A54" s="1">
        <f t="shared" si="0"/>
        <v>53</v>
      </c>
    </row>
    <row r="55" spans="1:7" ht="14.25" customHeight="1" x14ac:dyDescent="0.2">
      <c r="A55" s="1">
        <f t="shared" si="0"/>
        <v>54</v>
      </c>
      <c r="B55" s="12" t="s">
        <v>52</v>
      </c>
      <c r="C55" s="12"/>
      <c r="D55" s="12"/>
      <c r="E55" s="12"/>
      <c r="F55" s="12"/>
      <c r="G55" s="12"/>
    </row>
    <row r="56" spans="1:7" x14ac:dyDescent="0.2">
      <c r="A56" s="1">
        <f t="shared" si="0"/>
        <v>55</v>
      </c>
      <c r="B56" s="12"/>
      <c r="C56" s="12"/>
      <c r="D56" s="12"/>
      <c r="E56" s="12"/>
      <c r="F56" s="12"/>
      <c r="G56" s="12"/>
    </row>
    <row r="57" spans="1:7" x14ac:dyDescent="0.2">
      <c r="A57" s="1">
        <f t="shared" si="0"/>
        <v>56</v>
      </c>
      <c r="B57" s="12"/>
      <c r="C57" s="12"/>
      <c r="D57" s="12"/>
      <c r="E57" s="12"/>
      <c r="F57" s="12"/>
      <c r="G57" s="12"/>
    </row>
    <row r="58" spans="1:7" x14ac:dyDescent="0.2">
      <c r="A58" s="1">
        <f t="shared" si="0"/>
        <v>57</v>
      </c>
      <c r="B58" s="12"/>
      <c r="C58" s="12"/>
      <c r="D58" s="12"/>
      <c r="E58" s="12"/>
      <c r="F58" s="12"/>
      <c r="G58" s="12"/>
    </row>
    <row r="60" spans="1:7" x14ac:dyDescent="0.2">
      <c r="D60" s="7"/>
      <c r="E60" s="7"/>
      <c r="F60" s="16"/>
    </row>
  </sheetData>
  <mergeCells count="4">
    <mergeCell ref="B3:G3"/>
    <mergeCell ref="B4:G4"/>
    <mergeCell ref="B7:G10"/>
    <mergeCell ref="B55:G58"/>
  </mergeCells>
  <pageMargins left="0.7" right="0.7" top="0.75" bottom="0.75" header="0.3" footer="0.3"/>
  <pageSetup scale="84"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76D7C-C3D6-4F15-B64B-57C5368DF463}">
  <sheetPr>
    <tabColor rgb="FF92D050"/>
  </sheetPr>
  <dimension ref="A1:G57"/>
  <sheetViews>
    <sheetView zoomScale="80" zoomScaleNormal="80" workbookViewId="0">
      <selection activeCell="C68" sqref="C68"/>
    </sheetView>
  </sheetViews>
  <sheetFormatPr defaultColWidth="15.625" defaultRowHeight="14.25" x14ac:dyDescent="0.2"/>
  <cols>
    <col min="1" max="1" width="4.625" customWidth="1"/>
    <col min="3" max="3" width="16.375" customWidth="1"/>
  </cols>
  <sheetData>
    <row r="1" spans="1:7" x14ac:dyDescent="0.2">
      <c r="A1" s="1">
        <v>0</v>
      </c>
    </row>
    <row r="2" spans="1:7" ht="15" x14ac:dyDescent="0.25">
      <c r="A2" s="1">
        <f>A1+1</f>
        <v>1</v>
      </c>
      <c r="G2" s="2" t="s">
        <v>39</v>
      </c>
    </row>
    <row r="3" spans="1:7" ht="15" x14ac:dyDescent="0.25">
      <c r="A3" s="1">
        <f t="shared" ref="A3:A57" si="0">A2+1</f>
        <v>2</v>
      </c>
      <c r="B3" s="11" t="s">
        <v>1</v>
      </c>
      <c r="C3" s="11"/>
      <c r="D3" s="11"/>
      <c r="E3" s="11"/>
      <c r="F3" s="11"/>
      <c r="G3" s="11"/>
    </row>
    <row r="4" spans="1:7" ht="15" x14ac:dyDescent="0.25">
      <c r="A4" s="1">
        <f t="shared" si="0"/>
        <v>3</v>
      </c>
      <c r="B4" s="11" t="s">
        <v>40</v>
      </c>
      <c r="C4" s="11"/>
      <c r="D4" s="11"/>
      <c r="E4" s="11"/>
      <c r="F4" s="11"/>
      <c r="G4" s="11"/>
    </row>
    <row r="5" spans="1:7" x14ac:dyDescent="0.2">
      <c r="A5" s="1">
        <f t="shared" si="0"/>
        <v>4</v>
      </c>
    </row>
    <row r="6" spans="1:7" x14ac:dyDescent="0.2">
      <c r="A6" s="1">
        <f t="shared" si="0"/>
        <v>5</v>
      </c>
    </row>
    <row r="7" spans="1:7" x14ac:dyDescent="0.2">
      <c r="A7" s="1">
        <f t="shared" si="0"/>
        <v>6</v>
      </c>
      <c r="B7" s="12" t="s">
        <v>50</v>
      </c>
      <c r="C7" s="12"/>
      <c r="D7" s="12"/>
      <c r="E7" s="12"/>
      <c r="F7" s="12"/>
      <c r="G7" s="12"/>
    </row>
    <row r="8" spans="1:7" x14ac:dyDescent="0.2">
      <c r="A8" s="1">
        <f t="shared" si="0"/>
        <v>7</v>
      </c>
      <c r="B8" s="12"/>
      <c r="C8" s="12"/>
      <c r="D8" s="12"/>
      <c r="E8" s="12"/>
      <c r="F8" s="12"/>
      <c r="G8" s="12"/>
    </row>
    <row r="9" spans="1:7" x14ac:dyDescent="0.2">
      <c r="A9" s="1">
        <f t="shared" si="0"/>
        <v>8</v>
      </c>
      <c r="B9" s="12"/>
      <c r="C9" s="12"/>
      <c r="D9" s="12"/>
      <c r="E9" s="12"/>
      <c r="F9" s="12"/>
      <c r="G9" s="12"/>
    </row>
    <row r="10" spans="1:7" x14ac:dyDescent="0.2">
      <c r="A10" s="1">
        <f t="shared" si="0"/>
        <v>9</v>
      </c>
      <c r="B10" s="12"/>
      <c r="C10" s="12"/>
      <c r="D10" s="12"/>
      <c r="E10" s="12"/>
      <c r="F10" s="12"/>
      <c r="G10" s="12"/>
    </row>
    <row r="11" spans="1:7" x14ac:dyDescent="0.2">
      <c r="A11" s="1">
        <f t="shared" si="0"/>
        <v>10</v>
      </c>
    </row>
    <row r="12" spans="1:7" x14ac:dyDescent="0.2">
      <c r="A12" s="1">
        <f t="shared" si="0"/>
        <v>11</v>
      </c>
    </row>
    <row r="13" spans="1:7" x14ac:dyDescent="0.2">
      <c r="A13" s="1">
        <f t="shared" si="0"/>
        <v>12</v>
      </c>
      <c r="D13" s="3" t="s">
        <v>4</v>
      </c>
      <c r="E13" s="4" t="s">
        <v>41</v>
      </c>
      <c r="F13" s="3" t="s">
        <v>6</v>
      </c>
    </row>
    <row r="14" spans="1:7" ht="15" thickBot="1" x14ac:dyDescent="0.25">
      <c r="A14" s="1">
        <f t="shared" si="0"/>
        <v>13</v>
      </c>
      <c r="D14" s="5" t="s">
        <v>7</v>
      </c>
      <c r="E14" s="5" t="s">
        <v>8</v>
      </c>
      <c r="F14" s="5" t="s">
        <v>9</v>
      </c>
    </row>
    <row r="15" spans="1:7" x14ac:dyDescent="0.2">
      <c r="A15" s="1">
        <f t="shared" si="0"/>
        <v>14</v>
      </c>
    </row>
    <row r="16" spans="1:7" ht="15" thickBot="1" x14ac:dyDescent="0.25">
      <c r="A16" s="1">
        <f t="shared" si="0"/>
        <v>15</v>
      </c>
      <c r="B16" t="s">
        <v>42</v>
      </c>
      <c r="D16" s="6">
        <v>9941893</v>
      </c>
      <c r="E16" s="6">
        <v>10134428</v>
      </c>
      <c r="F16" s="6">
        <f>E16-D16</f>
        <v>192535</v>
      </c>
    </row>
    <row r="17" spans="1:6" ht="15" thickTop="1" x14ac:dyDescent="0.2">
      <c r="A17" s="1">
        <f t="shared" si="0"/>
        <v>16</v>
      </c>
      <c r="D17" s="7"/>
      <c r="E17" s="7"/>
      <c r="F17" s="7"/>
    </row>
    <row r="18" spans="1:6" x14ac:dyDescent="0.2">
      <c r="A18" s="1">
        <f t="shared" si="0"/>
        <v>17</v>
      </c>
      <c r="B18" t="s">
        <v>11</v>
      </c>
      <c r="D18" s="7"/>
      <c r="E18" s="7"/>
      <c r="F18" s="7"/>
    </row>
    <row r="19" spans="1:6" x14ac:dyDescent="0.2">
      <c r="A19" s="1">
        <f t="shared" si="0"/>
        <v>18</v>
      </c>
      <c r="B19" t="s">
        <v>12</v>
      </c>
      <c r="D19" s="7">
        <v>419227</v>
      </c>
      <c r="E19" s="7">
        <v>427346</v>
      </c>
      <c r="F19" s="7">
        <f>ROUND(E19-D19,0)</f>
        <v>8119</v>
      </c>
    </row>
    <row r="20" spans="1:6" x14ac:dyDescent="0.2">
      <c r="A20" s="1">
        <f t="shared" si="0"/>
        <v>19</v>
      </c>
      <c r="B20" t="s">
        <v>43</v>
      </c>
      <c r="D20" s="7">
        <v>153846</v>
      </c>
      <c r="E20" s="7">
        <v>156826</v>
      </c>
      <c r="F20" s="7">
        <f t="shared" ref="F20:F37" si="1">ROUND(E20-D20,0)</f>
        <v>2980</v>
      </c>
    </row>
    <row r="21" spans="1:6" x14ac:dyDescent="0.2">
      <c r="A21" s="1">
        <f t="shared" si="0"/>
        <v>20</v>
      </c>
      <c r="B21" t="s">
        <v>14</v>
      </c>
      <c r="D21" s="7">
        <v>1289</v>
      </c>
      <c r="E21" s="7">
        <v>1314</v>
      </c>
      <c r="F21" s="7">
        <f t="shared" si="1"/>
        <v>25</v>
      </c>
    </row>
    <row r="22" spans="1:6" x14ac:dyDescent="0.2">
      <c r="A22" s="1">
        <f t="shared" si="0"/>
        <v>21</v>
      </c>
      <c r="B22" t="s">
        <v>15</v>
      </c>
      <c r="D22" s="7">
        <v>101051</v>
      </c>
      <c r="E22" s="7">
        <v>103008</v>
      </c>
      <c r="F22" s="7">
        <f t="shared" si="1"/>
        <v>1957</v>
      </c>
    </row>
    <row r="23" spans="1:6" x14ac:dyDescent="0.2">
      <c r="A23" s="1">
        <f t="shared" si="0"/>
        <v>22</v>
      </c>
      <c r="B23" t="s">
        <v>44</v>
      </c>
      <c r="D23" s="7">
        <v>6484</v>
      </c>
      <c r="E23" s="7">
        <v>6610</v>
      </c>
      <c r="F23" s="7">
        <f t="shared" si="1"/>
        <v>126</v>
      </c>
    </row>
    <row r="24" spans="1:6" x14ac:dyDescent="0.2">
      <c r="A24" s="1">
        <f t="shared" si="0"/>
        <v>23</v>
      </c>
      <c r="B24" t="s">
        <v>45</v>
      </c>
      <c r="D24" s="7">
        <v>13480</v>
      </c>
      <c r="E24" s="7">
        <v>13741</v>
      </c>
      <c r="F24" s="7">
        <f t="shared" si="1"/>
        <v>261</v>
      </c>
    </row>
    <row r="25" spans="1:6" x14ac:dyDescent="0.2">
      <c r="A25" s="1">
        <f t="shared" si="0"/>
        <v>24</v>
      </c>
      <c r="B25" t="s">
        <v>20</v>
      </c>
      <c r="D25" s="7">
        <v>6669</v>
      </c>
      <c r="E25" s="7">
        <v>6798</v>
      </c>
      <c r="F25" s="7">
        <f t="shared" si="1"/>
        <v>129</v>
      </c>
    </row>
    <row r="26" spans="1:6" x14ac:dyDescent="0.2">
      <c r="A26" s="1">
        <f t="shared" si="0"/>
        <v>25</v>
      </c>
      <c r="B26" t="s">
        <v>21</v>
      </c>
      <c r="D26" s="7">
        <v>3774</v>
      </c>
      <c r="E26" s="7">
        <v>3847</v>
      </c>
      <c r="F26" s="7">
        <f t="shared" si="1"/>
        <v>73</v>
      </c>
    </row>
    <row r="27" spans="1:6" x14ac:dyDescent="0.2">
      <c r="A27" s="1">
        <f t="shared" si="0"/>
        <v>26</v>
      </c>
      <c r="B27" t="s">
        <v>22</v>
      </c>
      <c r="D27" s="7">
        <v>0</v>
      </c>
      <c r="E27" s="7">
        <v>0</v>
      </c>
      <c r="F27" s="7">
        <f t="shared" si="1"/>
        <v>0</v>
      </c>
    </row>
    <row r="28" spans="1:6" x14ac:dyDescent="0.2">
      <c r="A28" s="1">
        <f t="shared" si="0"/>
        <v>27</v>
      </c>
      <c r="B28" t="s">
        <v>23</v>
      </c>
      <c r="D28" s="7">
        <v>4776</v>
      </c>
      <c r="E28" s="7">
        <v>4869</v>
      </c>
      <c r="F28" s="7">
        <f t="shared" si="1"/>
        <v>93</v>
      </c>
    </row>
    <row r="29" spans="1:6" x14ac:dyDescent="0.2">
      <c r="A29" s="1">
        <f t="shared" si="0"/>
        <v>28</v>
      </c>
      <c r="B29" t="s">
        <v>25</v>
      </c>
      <c r="D29" s="7">
        <f>4533926+154.36+128634.42+157113.62</f>
        <v>4819828.4000000004</v>
      </c>
      <c r="E29" s="7">
        <f>4621730+157.35+131125.56+160156.28</f>
        <v>4913169.1899999995</v>
      </c>
      <c r="F29" s="7">
        <f t="shared" si="1"/>
        <v>93341</v>
      </c>
    </row>
    <row r="30" spans="1:6" x14ac:dyDescent="0.2">
      <c r="A30" s="1">
        <f t="shared" si="0"/>
        <v>29</v>
      </c>
      <c r="B30" s="14" t="s">
        <v>47</v>
      </c>
      <c r="C30" s="14"/>
      <c r="D30" s="15">
        <f>-154.36-128634.42-157113.62</f>
        <v>-285902.40000000002</v>
      </c>
      <c r="E30" s="15">
        <f>-157.35-131125.56-160156.28</f>
        <v>-291439.19</v>
      </c>
      <c r="F30" s="15">
        <f>ROUND(E30-D30,0)</f>
        <v>-5537</v>
      </c>
    </row>
    <row r="31" spans="1:6" x14ac:dyDescent="0.2">
      <c r="A31" s="1">
        <f t="shared" si="0"/>
        <v>30</v>
      </c>
      <c r="B31" s="14" t="s">
        <v>46</v>
      </c>
      <c r="C31" s="14"/>
      <c r="D31" s="15">
        <f>D29+D30</f>
        <v>4533926</v>
      </c>
      <c r="E31" s="15">
        <f t="shared" ref="E31" si="2">E29+E30</f>
        <v>4621729.9999999991</v>
      </c>
      <c r="F31" s="15">
        <f>ROUND(E31-D31,0)</f>
        <v>87804</v>
      </c>
    </row>
    <row r="32" spans="1:6" x14ac:dyDescent="0.2">
      <c r="A32" s="1">
        <f t="shared" si="0"/>
        <v>31</v>
      </c>
      <c r="B32" t="s">
        <v>26</v>
      </c>
      <c r="D32" s="7">
        <v>1422533</v>
      </c>
      <c r="E32" s="7">
        <v>1450082</v>
      </c>
      <c r="F32" s="7">
        <f t="shared" si="1"/>
        <v>27549</v>
      </c>
    </row>
    <row r="33" spans="1:6" x14ac:dyDescent="0.2">
      <c r="A33" s="1">
        <f t="shared" si="0"/>
        <v>32</v>
      </c>
      <c r="B33" t="s">
        <v>27</v>
      </c>
      <c r="D33" s="7">
        <v>115666</v>
      </c>
      <c r="E33" s="7">
        <v>117906</v>
      </c>
      <c r="F33" s="7">
        <f t="shared" si="1"/>
        <v>2240</v>
      </c>
    </row>
    <row r="34" spans="1:6" x14ac:dyDescent="0.2">
      <c r="A34" s="1">
        <f t="shared" si="0"/>
        <v>33</v>
      </c>
      <c r="B34" t="s">
        <v>28</v>
      </c>
      <c r="D34" s="7">
        <v>184018</v>
      </c>
      <c r="E34" s="7">
        <v>187582</v>
      </c>
      <c r="F34" s="7">
        <f t="shared" si="1"/>
        <v>3564</v>
      </c>
    </row>
    <row r="35" spans="1:6" x14ac:dyDescent="0.2">
      <c r="A35" s="1">
        <f t="shared" si="0"/>
        <v>34</v>
      </c>
      <c r="B35" t="s">
        <v>29</v>
      </c>
      <c r="D35" s="7">
        <v>2240</v>
      </c>
      <c r="E35" s="7">
        <v>2283</v>
      </c>
      <c r="F35" s="7">
        <f t="shared" si="1"/>
        <v>43</v>
      </c>
    </row>
    <row r="36" spans="1:6" x14ac:dyDescent="0.2">
      <c r="A36" s="1">
        <f t="shared" si="0"/>
        <v>35</v>
      </c>
      <c r="B36" t="s">
        <v>30</v>
      </c>
      <c r="D36" s="7">
        <v>2972903</v>
      </c>
      <c r="E36" s="7">
        <v>3030476</v>
      </c>
      <c r="F36" s="7">
        <f t="shared" si="1"/>
        <v>57573</v>
      </c>
    </row>
    <row r="37" spans="1:6" x14ac:dyDescent="0.2">
      <c r="A37" s="1">
        <f t="shared" si="0"/>
        <v>36</v>
      </c>
      <c r="B37" t="s">
        <v>31</v>
      </c>
      <c r="D37" s="8">
        <v>11</v>
      </c>
      <c r="E37" s="8">
        <v>11</v>
      </c>
      <c r="F37" s="8">
        <f t="shared" si="1"/>
        <v>0</v>
      </c>
    </row>
    <row r="38" spans="1:6" x14ac:dyDescent="0.2">
      <c r="A38" s="1">
        <f t="shared" si="0"/>
        <v>37</v>
      </c>
      <c r="D38" s="7"/>
      <c r="E38" s="7"/>
      <c r="F38" s="7"/>
    </row>
    <row r="39" spans="1:6" ht="15" thickBot="1" x14ac:dyDescent="0.25">
      <c r="A39" s="1">
        <f t="shared" si="0"/>
        <v>38</v>
      </c>
      <c r="B39" t="s">
        <v>32</v>
      </c>
      <c r="D39" s="6">
        <f>SUM(D19:D28,D31:D37)</f>
        <v>9941893</v>
      </c>
      <c r="E39" s="6">
        <f t="shared" ref="E39:F39" si="3">SUM(E19:E28,E31:E37)</f>
        <v>10134429</v>
      </c>
      <c r="F39" s="6">
        <f t="shared" si="3"/>
        <v>192536</v>
      </c>
    </row>
    <row r="40" spans="1:6" ht="15" thickTop="1" x14ac:dyDescent="0.2">
      <c r="A40" s="1">
        <f t="shared" si="0"/>
        <v>39</v>
      </c>
      <c r="D40" s="7"/>
      <c r="E40" s="7"/>
      <c r="F40" s="7"/>
    </row>
    <row r="41" spans="1:6" x14ac:dyDescent="0.2">
      <c r="A41" s="1">
        <f t="shared" si="0"/>
        <v>40</v>
      </c>
      <c r="D41" s="7" t="s">
        <v>33</v>
      </c>
      <c r="E41" s="7"/>
      <c r="F41" s="9">
        <f>ROUND(F39/D39,4)</f>
        <v>1.9400000000000001E-2</v>
      </c>
    </row>
    <row r="42" spans="1:6" x14ac:dyDescent="0.2">
      <c r="A42" s="1">
        <f t="shared" si="0"/>
        <v>41</v>
      </c>
      <c r="D42" s="7"/>
      <c r="E42" s="7"/>
      <c r="F42" s="7"/>
    </row>
    <row r="43" spans="1:6" x14ac:dyDescent="0.2">
      <c r="A43" s="1">
        <f t="shared" si="0"/>
        <v>42</v>
      </c>
      <c r="B43" t="s">
        <v>34</v>
      </c>
      <c r="D43" s="7"/>
      <c r="E43" s="7"/>
      <c r="F43" s="7"/>
    </row>
    <row r="44" spans="1:6" x14ac:dyDescent="0.2">
      <c r="A44" s="1">
        <f t="shared" si="0"/>
        <v>43</v>
      </c>
      <c r="D44" s="7"/>
      <c r="E44" s="7"/>
      <c r="F44" s="7"/>
    </row>
    <row r="45" spans="1:6" x14ac:dyDescent="0.2">
      <c r="A45" s="1">
        <f t="shared" si="0"/>
        <v>44</v>
      </c>
      <c r="C45" t="s">
        <v>25</v>
      </c>
      <c r="E45" s="7">
        <f>F29</f>
        <v>93341</v>
      </c>
    </row>
    <row r="46" spans="1:6" x14ac:dyDescent="0.2">
      <c r="A46" s="1">
        <f t="shared" si="0"/>
        <v>45</v>
      </c>
      <c r="C46" t="s">
        <v>26</v>
      </c>
      <c r="E46" s="7">
        <f t="shared" ref="E46:E50" si="4">F32</f>
        <v>27549</v>
      </c>
    </row>
    <row r="47" spans="1:6" x14ac:dyDescent="0.2">
      <c r="A47" s="1">
        <f t="shared" si="0"/>
        <v>46</v>
      </c>
      <c r="C47" t="s">
        <v>27</v>
      </c>
      <c r="E47" s="7">
        <f t="shared" si="4"/>
        <v>2240</v>
      </c>
    </row>
    <row r="48" spans="1:6" x14ac:dyDescent="0.2">
      <c r="A48" s="1">
        <f t="shared" si="0"/>
        <v>47</v>
      </c>
      <c r="C48" t="s">
        <v>28</v>
      </c>
      <c r="E48" s="7">
        <f t="shared" si="4"/>
        <v>3564</v>
      </c>
    </row>
    <row r="49" spans="1:7" x14ac:dyDescent="0.2">
      <c r="A49" s="1">
        <f t="shared" si="0"/>
        <v>48</v>
      </c>
      <c r="C49" t="s">
        <v>29</v>
      </c>
      <c r="E49" s="7">
        <f t="shared" si="4"/>
        <v>43</v>
      </c>
    </row>
    <row r="50" spans="1:7" x14ac:dyDescent="0.2">
      <c r="A50" s="1">
        <f t="shared" si="0"/>
        <v>49</v>
      </c>
      <c r="C50" t="s">
        <v>30</v>
      </c>
      <c r="E50" s="8">
        <f t="shared" si="4"/>
        <v>57573</v>
      </c>
    </row>
    <row r="51" spans="1:7" x14ac:dyDescent="0.2">
      <c r="A51" s="1">
        <f t="shared" si="0"/>
        <v>50</v>
      </c>
    </row>
    <row r="52" spans="1:7" ht="15" thickBot="1" x14ac:dyDescent="0.25">
      <c r="A52" s="1">
        <f t="shared" si="0"/>
        <v>51</v>
      </c>
      <c r="E52" s="6">
        <f>SUM(E45:E50)</f>
        <v>184310</v>
      </c>
    </row>
    <row r="53" spans="1:7" ht="15" thickTop="1" x14ac:dyDescent="0.2">
      <c r="A53" s="1">
        <f t="shared" si="0"/>
        <v>52</v>
      </c>
    </row>
    <row r="54" spans="1:7" ht="14.25" customHeight="1" x14ac:dyDescent="0.2">
      <c r="A54" s="1">
        <f t="shared" si="0"/>
        <v>53</v>
      </c>
      <c r="B54" s="12" t="s">
        <v>53</v>
      </c>
      <c r="C54" s="12"/>
      <c r="D54" s="12"/>
      <c r="E54" s="12"/>
      <c r="F54" s="12"/>
      <c r="G54" s="12"/>
    </row>
    <row r="55" spans="1:7" x14ac:dyDescent="0.2">
      <c r="A55" s="1">
        <f t="shared" si="0"/>
        <v>54</v>
      </c>
      <c r="B55" s="12"/>
      <c r="C55" s="12"/>
      <c r="D55" s="12"/>
      <c r="E55" s="12"/>
      <c r="F55" s="12"/>
      <c r="G55" s="12"/>
    </row>
    <row r="56" spans="1:7" x14ac:dyDescent="0.2">
      <c r="A56" s="1">
        <f t="shared" si="0"/>
        <v>55</v>
      </c>
      <c r="B56" s="12"/>
      <c r="C56" s="12"/>
      <c r="D56" s="12"/>
      <c r="E56" s="12"/>
      <c r="F56" s="12"/>
      <c r="G56" s="12"/>
    </row>
    <row r="57" spans="1:7" x14ac:dyDescent="0.2">
      <c r="A57" s="1">
        <f t="shared" si="0"/>
        <v>56</v>
      </c>
      <c r="B57" s="12"/>
      <c r="C57" s="12"/>
      <c r="D57" s="12"/>
      <c r="E57" s="12"/>
      <c r="F57" s="12"/>
      <c r="G57" s="12"/>
    </row>
  </sheetData>
  <mergeCells count="4">
    <mergeCell ref="B3:G3"/>
    <mergeCell ref="B4:G4"/>
    <mergeCell ref="B7:G10"/>
    <mergeCell ref="B54:G57"/>
  </mergeCells>
  <pageMargins left="0.7" right="0.7" top="0.75" bottom="0.75" header="0.3" footer="0.3"/>
  <pageSetup scale="83"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 xmlns="ae06fcea-541a-49e3-952a-5eaf56d381f3" xsi:nil="true"/>
    <TaxCatchAll xmlns="daea435f-7073-4c60-9060-e78a3a9f8d50" xsi:nil="true"/>
    <lcf76f155ced4ddcb4097134ff3c332f xmlns="ae06fcea-541a-49e3-952a-5eaf56d381f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BF1761B99A93040A03A8E42C6E42200" ma:contentTypeVersion="17" ma:contentTypeDescription="Create a new document." ma:contentTypeScope="" ma:versionID="980b554da23a07fc20832a1dd7bf2e0e">
  <xsd:schema xmlns:xsd="http://www.w3.org/2001/XMLSchema" xmlns:xs="http://www.w3.org/2001/XMLSchema" xmlns:p="http://schemas.microsoft.com/office/2006/metadata/properties" xmlns:ns2="ae06fcea-541a-49e3-952a-5eaf56d381f3" xmlns:ns3="daea435f-7073-4c60-9060-e78a3a9f8d50" targetNamespace="http://schemas.microsoft.com/office/2006/metadata/properties" ma:root="true" ma:fieldsID="8e4adc7ef244004100da516e020dff9c" ns2:_="" ns3:_="">
    <xsd:import namespace="ae06fcea-541a-49e3-952a-5eaf56d381f3"/>
    <xsd:import namespace="daea435f-7073-4c60-9060-e78a3a9f8d50"/>
    <xsd:element name="properties">
      <xsd:complexType>
        <xsd:sequence>
          <xsd:element name="documentManagement">
            <xsd:complexType>
              <xsd:all>
                <xsd:element ref="ns2:Comment" minOccurs="0"/>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6fcea-541a-49e3-952a-5eaf56d381f3" elementFormDefault="qualified">
    <xsd:import namespace="http://schemas.microsoft.com/office/2006/documentManagement/types"/>
    <xsd:import namespace="http://schemas.microsoft.com/office/infopath/2007/PartnerControls"/>
    <xsd:element name="Comment" ma:index="3" nillable="true" ma:displayName="Comment"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2f345f3-6a94-45cd-9be3-ab551ccca9b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hidden="true" ma:internalName="MediaServiceOCR"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aea435f-7073-4c60-9060-e78a3a9f8d50" elementFormDefault="qualified">
    <xsd:import namespace="http://schemas.microsoft.com/office/2006/documentManagement/types"/>
    <xsd:import namespace="http://schemas.microsoft.com/office/infopath/2007/PartnerControls"/>
    <xsd:element name="SharedWithUsers" ma:index="1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fc3f6179-9671-476d-b47b-6bb1899845eb}" ma:internalName="TaxCatchAll" ma:readOnly="false" ma:showField="CatchAllData" ma:web="daea435f-7073-4c60-9060-e78a3a9f8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53A9AC-48B9-4125-88BC-43206CADC9D6}">
  <ds:schemaRefs>
    <ds:schemaRef ds:uri="http://schemas.microsoft.com/office/2006/metadata/properties"/>
    <ds:schemaRef ds:uri="http://schemas.microsoft.com/office/infopath/2007/PartnerControls"/>
    <ds:schemaRef ds:uri="ae06fcea-541a-49e3-952a-5eaf56d381f3"/>
    <ds:schemaRef ds:uri="daea435f-7073-4c60-9060-e78a3a9f8d50"/>
  </ds:schemaRefs>
</ds:datastoreItem>
</file>

<file path=customXml/itemProps2.xml><?xml version="1.0" encoding="utf-8"?>
<ds:datastoreItem xmlns:ds="http://schemas.openxmlformats.org/officeDocument/2006/customXml" ds:itemID="{8ACDC9DD-679E-4ECF-98D2-28D4F6AA0FBA}">
  <ds:schemaRefs>
    <ds:schemaRef ds:uri="http://schemas.microsoft.com/sharepoint/v3/contenttype/forms"/>
  </ds:schemaRefs>
</ds:datastoreItem>
</file>

<file path=customXml/itemProps3.xml><?xml version="1.0" encoding="utf-8"?>
<ds:datastoreItem xmlns:ds="http://schemas.openxmlformats.org/officeDocument/2006/customXml" ds:itemID="{683660E0-32B0-43FF-AC4D-53BCAC37B5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6fcea-541a-49e3-952a-5eaf56d381f3"/>
    <ds:schemaRef ds:uri="daea435f-7073-4c60-9060-e78a3a9f8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1.06 - Wages Salaries</vt:lpstr>
      <vt:lpstr>1.07 - Payroll Taxes</vt:lpstr>
      <vt:lpstr>1.08 - Med Ins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Watson</dc:creator>
  <cp:lastModifiedBy>Jacob Watson</cp:lastModifiedBy>
  <dcterms:created xsi:type="dcterms:W3CDTF">2025-10-08T16:39:17Z</dcterms:created>
  <dcterms:modified xsi:type="dcterms:W3CDTF">2025-10-13T20:13:02Z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0x0101002BF1761B99A93040A03A8E42C6E42200</vt:lpwstr>
  </property>
</Properties>
</file>