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DR1\PSC\Archive\Rate Case Expense\"/>
    </mc:Choice>
  </mc:AlternateContent>
  <xr:revisionPtr revIDLastSave="0" documentId="13_ncr:1_{6439E74F-FA0C-4024-8E5E-A3BA62813FC1}" xr6:coauthVersionLast="47" xr6:coauthVersionMax="47" xr10:uidLastSave="{00000000-0000-0000-0000-000000000000}"/>
  <bookViews>
    <workbookView xWindow="3465" yWindow="3465" windowWidth="38700" windowHeight="15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H17" i="1"/>
  <c r="K51" i="1"/>
  <c r="F67" i="1"/>
  <c r="F60" i="1"/>
  <c r="F17" i="1"/>
  <c r="F25" i="1"/>
  <c r="E67" i="1"/>
  <c r="E60" i="1"/>
  <c r="E17" i="1"/>
  <c r="D67" i="1"/>
  <c r="D60" i="1"/>
  <c r="D26" i="1"/>
  <c r="D17" i="1"/>
  <c r="C17" i="1"/>
  <c r="C67" i="1"/>
  <c r="C60" i="1"/>
  <c r="C26" i="1"/>
  <c r="H46" i="1"/>
  <c r="H47" i="1"/>
  <c r="I47" i="1"/>
  <c r="J47" i="1"/>
  <c r="C46" i="1"/>
  <c r="F46" i="1"/>
  <c r="C47" i="1"/>
  <c r="D47" i="1"/>
  <c r="E47" i="1"/>
  <c r="K10" i="1"/>
  <c r="K46" i="1" s="1"/>
  <c r="H11" i="1"/>
  <c r="I11" i="1"/>
  <c r="J11" i="1"/>
  <c r="F33" i="1" l="1"/>
  <c r="F34" i="1" s="1"/>
  <c r="A38" i="1"/>
  <c r="A39" i="1"/>
  <c r="A41" i="1"/>
  <c r="A42" i="1"/>
  <c r="A43" i="1"/>
  <c r="I67" i="1" l="1"/>
  <c r="I60" i="1"/>
  <c r="I26" i="1"/>
  <c r="I17" i="1"/>
  <c r="H67" i="1"/>
  <c r="H60" i="1"/>
  <c r="H26" i="1"/>
  <c r="K70" i="1"/>
  <c r="J70" i="1"/>
  <c r="I70" i="1"/>
  <c r="H70" i="1"/>
  <c r="K69" i="1"/>
  <c r="J69" i="1"/>
  <c r="I69" i="1"/>
  <c r="H69" i="1"/>
  <c r="K68" i="1"/>
  <c r="J68" i="1"/>
  <c r="I68" i="1"/>
  <c r="H68" i="1"/>
  <c r="K67" i="1"/>
  <c r="J67" i="1"/>
  <c r="K63" i="1"/>
  <c r="J63" i="1"/>
  <c r="I63" i="1"/>
  <c r="H63" i="1"/>
  <c r="K62" i="1"/>
  <c r="J62" i="1"/>
  <c r="I62" i="1"/>
  <c r="H62" i="1"/>
  <c r="K60" i="1"/>
  <c r="J60" i="1"/>
  <c r="K59" i="1"/>
  <c r="J59" i="1"/>
  <c r="I59" i="1"/>
  <c r="H59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J51" i="1"/>
  <c r="I51" i="1"/>
  <c r="H51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K14" i="1"/>
  <c r="J14" i="1"/>
  <c r="I14" i="1"/>
  <c r="H14" i="1"/>
  <c r="F71" i="1" l="1"/>
  <c r="K71" i="1" s="1"/>
  <c r="D71" i="1"/>
  <c r="I71" i="1" s="1"/>
  <c r="E71" i="1"/>
  <c r="J71" i="1" s="1"/>
  <c r="F64" i="1"/>
  <c r="K64" i="1" s="1"/>
  <c r="E64" i="1"/>
  <c r="J64" i="1" s="1"/>
  <c r="D64" i="1"/>
  <c r="I64" i="1" s="1"/>
  <c r="F57" i="1"/>
  <c r="K57" i="1" s="1"/>
  <c r="E57" i="1"/>
  <c r="J57" i="1" s="1"/>
  <c r="D57" i="1"/>
  <c r="E25" i="1"/>
  <c r="J25" i="1" s="1"/>
  <c r="D25" i="1"/>
  <c r="C71" i="1"/>
  <c r="H71" i="1" s="1"/>
  <c r="C64" i="1"/>
  <c r="H64" i="1" s="1"/>
  <c r="C57" i="1"/>
  <c r="C25" i="1"/>
  <c r="H25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I57" i="1" l="1"/>
  <c r="D65" i="1"/>
  <c r="I65" i="1" s="1"/>
  <c r="H57" i="1"/>
  <c r="C65" i="1"/>
  <c r="H65" i="1" s="1"/>
  <c r="E33" i="1"/>
  <c r="E34" i="1" s="1"/>
  <c r="J34" i="1" s="1"/>
  <c r="K33" i="1"/>
  <c r="K25" i="1"/>
  <c r="D33" i="1"/>
  <c r="I33" i="1" s="1"/>
  <c r="I25" i="1"/>
  <c r="C33" i="1"/>
  <c r="H33" i="1" s="1"/>
  <c r="F65" i="1"/>
  <c r="K65" i="1" s="1"/>
  <c r="E65" i="1"/>
  <c r="J65" i="1" s="1"/>
  <c r="J33" i="1" l="1"/>
  <c r="D34" i="1"/>
  <c r="I34" i="1" s="1"/>
  <c r="K34" i="1"/>
  <c r="C34" i="1"/>
  <c r="E72" i="1"/>
  <c r="J72" i="1" s="1"/>
  <c r="F72" i="1" l="1"/>
  <c r="K72" i="1" s="1"/>
  <c r="D72" i="1"/>
  <c r="I72" i="1" s="1"/>
  <c r="H34" i="1"/>
  <c r="C72" i="1"/>
  <c r="H72" i="1" s="1"/>
</calcChain>
</file>

<file path=xl/sharedStrings.xml><?xml version="1.0" encoding="utf-8"?>
<sst xmlns="http://schemas.openxmlformats.org/spreadsheetml/2006/main" count="118" uniqueCount="98">
  <si>
    <t>East Kentucky Power Cooperative, Inc.</t>
  </si>
  <si>
    <t>Net Income per kWh Sold</t>
  </si>
  <si>
    <t>And for the Test Period</t>
  </si>
  <si>
    <t>12 Months Ended</t>
  </si>
  <si>
    <t>(b)</t>
  </si>
  <si>
    <t>(c)</t>
  </si>
  <si>
    <t>(d)</t>
  </si>
  <si>
    <t>(e)</t>
  </si>
  <si>
    <t>Three Most Recent Calendar Years</t>
  </si>
  <si>
    <t>Item</t>
  </si>
  <si>
    <t>(a)</t>
  </si>
  <si>
    <t>Line</t>
  </si>
  <si>
    <t>No.</t>
  </si>
  <si>
    <t>Operating Income</t>
  </si>
  <si>
    <t xml:space="preserve">  Operating Revenues</t>
  </si>
  <si>
    <t>Operating Income Deductions</t>
  </si>
  <si>
    <t xml:space="preserve">  Operating and Maintenance Expenses:</t>
  </si>
  <si>
    <t xml:space="preserve">    Power Production Expenses</t>
  </si>
  <si>
    <t xml:space="preserve">    Purchased Power Expenses</t>
  </si>
  <si>
    <t xml:space="preserve">    Transmission Expenses</t>
  </si>
  <si>
    <t xml:space="preserve">    Distribution Expenses</t>
  </si>
  <si>
    <t xml:space="preserve">    Customer Accounts Expenses</t>
  </si>
  <si>
    <t xml:space="preserve">    Customer Service and Informational Expenses</t>
  </si>
  <si>
    <t xml:space="preserve">    Sales Expenses</t>
  </si>
  <si>
    <t xml:space="preserve">    Administrative and General Expenses</t>
  </si>
  <si>
    <t xml:space="preserve">      Total (L5 through L12)</t>
  </si>
  <si>
    <t xml:space="preserve">  Depreciation Expenses</t>
  </si>
  <si>
    <t xml:space="preserve">  Amortization of Utility Plant Acquisition Adjustment</t>
  </si>
  <si>
    <t xml:space="preserve">  Taxes Other Than Income Taxes</t>
  </si>
  <si>
    <t xml:space="preserve">  Income Taxes - Federal</t>
  </si>
  <si>
    <t xml:space="preserve">  Income Taxes - Other</t>
  </si>
  <si>
    <t xml:space="preserve">  Provision for Deferred Income Taxes</t>
  </si>
  <si>
    <t xml:space="preserve">  Investment Tax Credit Adjustment - Net</t>
  </si>
  <si>
    <t xml:space="preserve">    Total Utility Operating Expenses</t>
  </si>
  <si>
    <t>Net Utility Operating Income</t>
  </si>
  <si>
    <t>Other Income and Deductions</t>
  </si>
  <si>
    <t xml:space="preserve">  Other Income:</t>
  </si>
  <si>
    <t xml:space="preserve">    Non-utility Operating Income</t>
  </si>
  <si>
    <t xml:space="preserve">    Equity in Earnings of Subsidiary Company</t>
  </si>
  <si>
    <t xml:space="preserve">    Interest and Dividend Income</t>
  </si>
  <si>
    <t xml:space="preserve">    Allowance for Funds Used During Construction</t>
  </si>
  <si>
    <t xml:space="preserve">    Miscellaneous Non-operating Income</t>
  </si>
  <si>
    <t xml:space="preserve">    Gain on Disposition of Property</t>
  </si>
  <si>
    <t xml:space="preserve">      Total Other Income</t>
  </si>
  <si>
    <t xml:space="preserve">  Other Income Deductions:</t>
  </si>
  <si>
    <t xml:space="preserve">    Loss on Disposition of Property</t>
  </si>
  <si>
    <t xml:space="preserve">    Miscellaneous Income Deductions</t>
  </si>
  <si>
    <t xml:space="preserve">    Taxes Applicable to Other Income and Deductions:</t>
  </si>
  <si>
    <t xml:space="preserve">      Income Taxes and Investment Tax Credits</t>
  </si>
  <si>
    <t xml:space="preserve">      Taxes Other Than Income Taxes</t>
  </si>
  <si>
    <t xml:space="preserve">        Total Taxes on Other Income and Deductions</t>
  </si>
  <si>
    <t>Net Other Income and Deductions</t>
  </si>
  <si>
    <t>Interest Charges</t>
  </si>
  <si>
    <t xml:space="preserve">  Interest on Long-Term Debt</t>
  </si>
  <si>
    <t xml:space="preserve">  Interest on Short-Term Debt</t>
  </si>
  <si>
    <t xml:space="preserve">  Amortization of Premium on Debt - Credit</t>
  </si>
  <si>
    <t xml:space="preserve">  Other Interest Expense</t>
  </si>
  <si>
    <t xml:space="preserve">    Total Interest Charges</t>
  </si>
  <si>
    <t>Net Income</t>
  </si>
  <si>
    <t>kWh Sold</t>
  </si>
  <si>
    <t>Notes:</t>
  </si>
  <si>
    <t>Power Production Expenses include Electric and Other Operation Expenses and Maintenance Expenses.</t>
  </si>
  <si>
    <t>Depreciation Expenses includes Depreciation Expenses (403), Depreciation Expense for Asset Retirement Costs (403.1), Amortization and Depletion of Utility Plant (404-405), Amortization</t>
  </si>
  <si>
    <t>Miscellaneous Income Deductions includes Miscellaneous Amortization (425) and Miscellaneous Income Deductions (426.1-426.6).</t>
  </si>
  <si>
    <t>Interest on Long-Term Debt includes Interest on Long Term Debt (427), Amortization of Debt Discount and Expense (428), and Amortization of Loss on Reacquired Debt (428.1).</t>
  </si>
  <si>
    <t xml:space="preserve">  and Accretion Expense (411.10).</t>
  </si>
  <si>
    <t xml:space="preserve">  of Property Losses, Unrecovered Plant and Regulatory Study Costs (407), (Less) Gains from Disposal of Utility Plant (411.6),  (Less) Gains from Disposition of Allowances (411.8), </t>
  </si>
  <si>
    <t>Schedule F, Page 1 of 2</t>
  </si>
  <si>
    <t>Schedule F, Page 2 of 2</t>
  </si>
  <si>
    <t>Case No. 2025-00208</t>
  </si>
  <si>
    <t>For the Calendar Years 2020 through 2022</t>
  </si>
  <si>
    <t>Ref Page 114 Line 2</t>
  </si>
  <si>
    <t>Page 320 line 80</t>
  </si>
  <si>
    <t>- Page 320 Purchahsed Power (555)</t>
  </si>
  <si>
    <t>Page 320 Purchahsed Power (555)</t>
  </si>
  <si>
    <t>Page 321 100. Total Trans</t>
  </si>
  <si>
    <t>Page 321 126. Total Distribution Expense</t>
  </si>
  <si>
    <t>Page 321 141. Total Cust.</t>
  </si>
  <si>
    <t>Page 321 Advertising (913)</t>
  </si>
  <si>
    <t>Page 321 168. Total Admin</t>
  </si>
  <si>
    <t>Page 114 Lines 6, 7, 8, 10</t>
  </si>
  <si>
    <t>- Page 114 22. (Less) Gains from</t>
  </si>
  <si>
    <t xml:space="preserve">+ Lines 24. Accretion Expense </t>
  </si>
  <si>
    <t>Page 114 Line 14</t>
  </si>
  <si>
    <t>Page 114 Line 16</t>
  </si>
  <si>
    <t>- Page 117 Line 34</t>
  </si>
  <si>
    <t>- Page 117 Line 37</t>
  </si>
  <si>
    <t>- Page 117 Line 39</t>
  </si>
  <si>
    <t>- Page 117 Line 40</t>
  </si>
  <si>
    <t>- Page 117 Line 43</t>
  </si>
  <si>
    <t>- Page 117 Line 44 and 45</t>
  </si>
  <si>
    <t>- Page 117 Line 58 and 59</t>
  </si>
  <si>
    <t>3rd - 2020</t>
  </si>
  <si>
    <t>2nd - 2021</t>
  </si>
  <si>
    <t>1st - 2022</t>
  </si>
  <si>
    <t>Test Period - 2023</t>
  </si>
  <si>
    <t>Supplemental Electric Information</t>
  </si>
  <si>
    <t>+ page 114 Line 4 &amp; 5 "Other (i)"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</si>
</sst>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0000_);[Red]\(&quot;$&quot;#,##0.0000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6" fontId="1" fillId="0" borderId="2" xfId="0" applyNumberFormat="1" applyFont="1" applyBorder="1"/>
    <xf numFmtId="6" fontId="1" fillId="0" borderId="7" xfId="0" applyNumberFormat="1" applyFont="1" applyBorder="1"/>
    <xf numFmtId="0" fontId="1" fillId="0" borderId="0" xfId="0" applyFont="1" applyAlignment="1">
      <alignment horizontal="left"/>
    </xf>
    <xf numFmtId="164" fontId="1" fillId="0" borderId="6" xfId="0" applyNumberFormat="1" applyFont="1" applyBorder="1"/>
    <xf numFmtId="164" fontId="1" fillId="0" borderId="2" xfId="0" applyNumberFormat="1" applyFont="1" applyBorder="1"/>
    <xf numFmtId="164" fontId="1" fillId="0" borderId="7" xfId="0" applyNumberFormat="1" applyFont="1" applyBorder="1"/>
    <xf numFmtId="6" fontId="1" fillId="0" borderId="6" xfId="0" applyNumberFormat="1" applyFont="1" applyFill="1" applyBorder="1"/>
    <xf numFmtId="6" fontId="1" fillId="0" borderId="0" xfId="0" applyNumberFormat="1" applyFont="1" applyBorder="1"/>
    <xf numFmtId="164" fontId="1" fillId="0" borderId="0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9" fontId="1" fillId="0" borderId="27" xfId="0" quotePrefix="1" applyNumberFormat="1" applyFont="1" applyBorder="1" applyAlignment="1">
      <alignment horizontal="center"/>
    </xf>
    <xf numFmtId="0" fontId="1" fillId="0" borderId="15" xfId="0" applyFont="1" applyBorder="1"/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64" fontId="1" fillId="0" borderId="29" xfId="0" applyNumberFormat="1" applyFont="1" applyBorder="1"/>
    <xf numFmtId="0" fontId="3" fillId="0" borderId="0" xfId="0" applyFont="1" applyBorder="1"/>
    <xf numFmtId="164" fontId="1" fillId="0" borderId="13" xfId="0" applyNumberFormat="1" applyFont="1" applyBorder="1"/>
    <xf numFmtId="164" fontId="1" fillId="0" borderId="30" xfId="0" applyNumberFormat="1" applyFont="1" applyBorder="1"/>
    <xf numFmtId="0" fontId="1" fillId="0" borderId="14" xfId="0" applyFont="1" applyBorder="1" applyAlignment="1">
      <alignment horizontal="center"/>
    </xf>
    <xf numFmtId="6" fontId="1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0" xfId="0" applyFont="1" applyBorder="1" applyAlignment="1">
      <alignment horizontal="center"/>
    </xf>
    <xf numFmtId="6" fontId="1" fillId="0" borderId="10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31" xfId="0" applyNumberFormat="1" applyFont="1" applyBorder="1"/>
    <xf numFmtId="0" fontId="1" fillId="0" borderId="16" xfId="0" applyFont="1" applyBorder="1"/>
    <xf numFmtId="6" fontId="1" fillId="0" borderId="5" xfId="0" applyNumberFormat="1" applyFont="1" applyBorder="1"/>
    <xf numFmtId="6" fontId="1" fillId="0" borderId="33" xfId="0" applyNumberFormat="1" applyFont="1" applyBorder="1"/>
    <xf numFmtId="6" fontId="1" fillId="0" borderId="27" xfId="0" applyNumberFormat="1" applyFont="1" applyBorder="1"/>
    <xf numFmtId="0" fontId="1" fillId="0" borderId="27" xfId="0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33" xfId="0" applyNumberFormat="1" applyFont="1" applyBorder="1"/>
    <xf numFmtId="164" fontId="1" fillId="0" borderId="27" xfId="0" applyNumberFormat="1" applyFont="1" applyBorder="1"/>
    <xf numFmtId="6" fontId="1" fillId="0" borderId="18" xfId="0" applyNumberFormat="1" applyFont="1" applyBorder="1"/>
    <xf numFmtId="6" fontId="1" fillId="0" borderId="34" xfId="0" applyNumberFormat="1" applyFont="1" applyBorder="1"/>
    <xf numFmtId="164" fontId="1" fillId="0" borderId="18" xfId="0" applyNumberFormat="1" applyFont="1" applyBorder="1"/>
    <xf numFmtId="164" fontId="1" fillId="0" borderId="34" xfId="0" applyNumberFormat="1" applyFont="1" applyBorder="1"/>
    <xf numFmtId="0" fontId="0" fillId="0" borderId="0" xfId="0" quotePrefix="1"/>
    <xf numFmtId="6" fontId="1" fillId="0" borderId="5" xfId="0" applyNumberFormat="1" applyFont="1" applyFill="1" applyBorder="1"/>
    <xf numFmtId="6" fontId="1" fillId="0" borderId="0" xfId="0" applyNumberFormat="1" applyFont="1" applyFill="1" applyBorder="1"/>
    <xf numFmtId="6" fontId="1" fillId="0" borderId="4" xfId="0" applyNumberFormat="1" applyFont="1" applyFill="1" applyBorder="1"/>
    <xf numFmtId="38" fontId="1" fillId="0" borderId="32" xfId="0" applyNumberFormat="1" applyFont="1" applyFill="1" applyBorder="1"/>
    <xf numFmtId="38" fontId="1" fillId="0" borderId="8" xfId="0" applyNumberFormat="1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6" fontId="1" fillId="2" borderId="0" xfId="0" applyNumberFormat="1" applyFont="1" applyFill="1" applyBorder="1"/>
    <xf numFmtId="6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zoomScale="80" zoomScaleNormal="80" workbookViewId="0">
      <selection activeCell="F27" sqref="F27"/>
    </sheetView>
  </sheetViews>
  <sheetFormatPr defaultColWidth="15.7109375" defaultRowHeight="15" x14ac:dyDescent="0.25"/>
  <cols>
    <col min="1" max="1" width="7.5703125" customWidth="1"/>
    <col min="2" max="2" width="52.7109375" customWidth="1"/>
    <col min="3" max="6" width="17.7109375" customWidth="1"/>
    <col min="7" max="7" width="1.7109375" customWidth="1"/>
    <col min="8" max="11" width="15.7109375" customWidth="1"/>
    <col min="12" max="12" width="39.5703125" bestFit="1" customWidth="1"/>
    <col min="13" max="13" width="30.85546875" bestFit="1" customWidth="1"/>
    <col min="14" max="14" width="33.5703125" bestFit="1" customWidth="1"/>
  </cols>
  <sheetData>
    <row r="1" spans="1:12" ht="15.75" thickTop="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8" t="s">
        <v>67</v>
      </c>
    </row>
    <row r="2" spans="1:12" x14ac:dyDescent="0.2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2" x14ac:dyDescent="0.25">
      <c r="A3" s="70" t="s">
        <v>69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2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2" x14ac:dyDescent="0.25">
      <c r="A5" s="70" t="s">
        <v>1</v>
      </c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2" x14ac:dyDescent="0.25">
      <c r="A6" s="70" t="s">
        <v>70</v>
      </c>
      <c r="B6" s="71"/>
      <c r="C6" s="71"/>
      <c r="D6" s="71"/>
      <c r="E6" s="71"/>
      <c r="F6" s="71"/>
      <c r="G6" s="71"/>
      <c r="H6" s="71"/>
      <c r="I6" s="71"/>
      <c r="J6" s="71"/>
      <c r="K6" s="72"/>
    </row>
    <row r="7" spans="1:12" x14ac:dyDescent="0.25">
      <c r="A7" s="70" t="s">
        <v>2</v>
      </c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2" ht="15.75" thickBot="1" x14ac:dyDescent="0.3">
      <c r="A8" s="67"/>
      <c r="B8" s="68"/>
      <c r="C8" s="68"/>
      <c r="D8" s="68"/>
      <c r="E8" s="68"/>
      <c r="F8" s="68"/>
      <c r="G8" s="68"/>
      <c r="H8" s="68"/>
      <c r="I8" s="68"/>
      <c r="J8" s="68"/>
      <c r="K8" s="69"/>
    </row>
    <row r="9" spans="1:12" ht="15.75" thickTop="1" x14ac:dyDescent="0.25">
      <c r="A9" s="22"/>
      <c r="B9" s="23"/>
      <c r="C9" s="75" t="s">
        <v>3</v>
      </c>
      <c r="D9" s="76"/>
      <c r="E9" s="76"/>
      <c r="F9" s="77"/>
      <c r="G9" s="17"/>
      <c r="H9" s="75" t="s">
        <v>3</v>
      </c>
      <c r="I9" s="76"/>
      <c r="J9" s="76"/>
      <c r="K9" s="82"/>
    </row>
    <row r="10" spans="1:12" x14ac:dyDescent="0.25">
      <c r="A10" s="24"/>
      <c r="B10" s="5"/>
      <c r="C10" s="78" t="s">
        <v>8</v>
      </c>
      <c r="D10" s="79"/>
      <c r="E10" s="79"/>
      <c r="F10" s="80" t="s">
        <v>95</v>
      </c>
      <c r="G10" s="20"/>
      <c r="H10" s="78" t="s">
        <v>8</v>
      </c>
      <c r="I10" s="79"/>
      <c r="J10" s="79"/>
      <c r="K10" s="83" t="str">
        <f t="shared" ref="K10" si="0">$F$10</f>
        <v>Test Period - 2023</v>
      </c>
    </row>
    <row r="11" spans="1:12" x14ac:dyDescent="0.25">
      <c r="A11" s="25" t="s">
        <v>11</v>
      </c>
      <c r="B11" s="6" t="s">
        <v>9</v>
      </c>
      <c r="C11" s="4" t="s">
        <v>92</v>
      </c>
      <c r="D11" s="4" t="s">
        <v>93</v>
      </c>
      <c r="E11" s="4" t="s">
        <v>94</v>
      </c>
      <c r="F11" s="81"/>
      <c r="G11" s="20"/>
      <c r="H11" s="4" t="str">
        <f t="shared" ref="H11:J11" si="1">C11</f>
        <v>3rd - 2020</v>
      </c>
      <c r="I11" s="4" t="str">
        <f t="shared" si="1"/>
        <v>2nd - 2021</v>
      </c>
      <c r="J11" s="4" t="str">
        <f t="shared" si="1"/>
        <v>1st - 2022</v>
      </c>
      <c r="K11" s="84"/>
    </row>
    <row r="12" spans="1:12" ht="15.75" thickBot="1" x14ac:dyDescent="0.3">
      <c r="A12" s="26" t="s">
        <v>12</v>
      </c>
      <c r="B12" s="27" t="s">
        <v>10</v>
      </c>
      <c r="C12" s="27" t="s">
        <v>4</v>
      </c>
      <c r="D12" s="28" t="s">
        <v>5</v>
      </c>
      <c r="E12" s="27" t="s">
        <v>6</v>
      </c>
      <c r="F12" s="27" t="s">
        <v>7</v>
      </c>
      <c r="G12" s="29"/>
      <c r="H12" s="27" t="s">
        <v>4</v>
      </c>
      <c r="I12" s="28" t="s">
        <v>5</v>
      </c>
      <c r="J12" s="27" t="s">
        <v>6</v>
      </c>
      <c r="K12" s="30" t="s">
        <v>7</v>
      </c>
    </row>
    <row r="13" spans="1:12" ht="15.75" thickTop="1" x14ac:dyDescent="0.25">
      <c r="A13" s="31">
        <v>1</v>
      </c>
      <c r="B13" s="32" t="s">
        <v>13</v>
      </c>
      <c r="C13" s="23"/>
      <c r="D13" s="17"/>
      <c r="E13" s="23"/>
      <c r="F13" s="17"/>
      <c r="G13" s="23"/>
      <c r="H13" s="17"/>
      <c r="I13" s="23"/>
      <c r="J13" s="23"/>
      <c r="K13" s="33"/>
    </row>
    <row r="14" spans="1:12" x14ac:dyDescent="0.25">
      <c r="A14" s="34">
        <f>A13+1</f>
        <v>2</v>
      </c>
      <c r="B14" s="20" t="s">
        <v>14</v>
      </c>
      <c r="C14" s="64">
        <v>787672472</v>
      </c>
      <c r="D14" s="13">
        <v>952623146</v>
      </c>
      <c r="E14" s="64">
        <v>1263336554</v>
      </c>
      <c r="F14" s="13">
        <v>1110571328</v>
      </c>
      <c r="G14" s="5"/>
      <c r="H14" s="10">
        <f>ROUND(C14/C$73,6)</f>
        <v>5.9783000000000003E-2</v>
      </c>
      <c r="I14" s="53">
        <f>ROUND(D14/D$73,6)</f>
        <v>6.9071999999999995E-2</v>
      </c>
      <c r="J14" s="53">
        <f>ROUND(E14/E$73,6)</f>
        <v>8.6984000000000006E-2</v>
      </c>
      <c r="K14" s="35">
        <f>ROUND(F14/F$73,6)</f>
        <v>8.0765000000000003E-2</v>
      </c>
      <c r="L14" t="s">
        <v>71</v>
      </c>
    </row>
    <row r="15" spans="1:12" x14ac:dyDescent="0.25">
      <c r="A15" s="34">
        <f t="shared" ref="A15:A73" si="2">A14+1</f>
        <v>3</v>
      </c>
      <c r="B15" s="36" t="s">
        <v>15</v>
      </c>
      <c r="C15" s="49"/>
      <c r="D15" s="14"/>
      <c r="E15" s="49"/>
      <c r="F15" s="14"/>
      <c r="G15" s="5"/>
      <c r="H15" s="15"/>
      <c r="I15" s="54"/>
      <c r="J15" s="54"/>
      <c r="K15" s="37"/>
    </row>
    <row r="16" spans="1:12" x14ac:dyDescent="0.25">
      <c r="A16" s="34">
        <f t="shared" si="2"/>
        <v>4</v>
      </c>
      <c r="B16" s="20" t="s">
        <v>16</v>
      </c>
      <c r="C16" s="49"/>
      <c r="D16" s="14"/>
      <c r="E16" s="49"/>
      <c r="F16" s="14"/>
      <c r="G16" s="5"/>
      <c r="H16" s="15"/>
      <c r="I16" s="54"/>
      <c r="J16" s="54"/>
      <c r="K16" s="37"/>
    </row>
    <row r="17" spans="1:14" x14ac:dyDescent="0.25">
      <c r="A17" s="34">
        <f t="shared" si="2"/>
        <v>5</v>
      </c>
      <c r="B17" s="20" t="s">
        <v>17</v>
      </c>
      <c r="C17" s="62">
        <f>441012607+270931+73898-C18</f>
        <v>332125457</v>
      </c>
      <c r="D17" s="63">
        <f>596482253+245843+114984-D18</f>
        <v>432168482</v>
      </c>
      <c r="E17" s="62">
        <f>871637485+205837+271089-E18</f>
        <v>562671796</v>
      </c>
      <c r="F17" s="63">
        <f>721349359+234360+41449-F18</f>
        <v>456810717</v>
      </c>
      <c r="G17" s="5"/>
      <c r="H17" s="15">
        <f>ROUND(C17/C$73,6)</f>
        <v>2.5208000000000001E-2</v>
      </c>
      <c r="I17" s="54">
        <f t="shared" ref="I17:I34" si="3">ROUND(D17/D$73,6)</f>
        <v>3.1335000000000002E-2</v>
      </c>
      <c r="J17" s="54">
        <f t="shared" ref="J17:J34" si="4">ROUND(E17/E$73,6)</f>
        <v>3.8740999999999998E-2</v>
      </c>
      <c r="K17" s="37">
        <f t="shared" ref="K17:K34" si="5">ROUND(F17/F$73,6)</f>
        <v>3.3221000000000001E-2</v>
      </c>
      <c r="L17" t="s">
        <v>72</v>
      </c>
      <c r="M17" s="61" t="s">
        <v>97</v>
      </c>
      <c r="N17" s="61" t="s">
        <v>73</v>
      </c>
    </row>
    <row r="18" spans="1:14" x14ac:dyDescent="0.25">
      <c r="A18" s="34">
        <f t="shared" si="2"/>
        <v>6</v>
      </c>
      <c r="B18" s="20" t="s">
        <v>18</v>
      </c>
      <c r="C18" s="62">
        <v>109231979</v>
      </c>
      <c r="D18" s="63">
        <v>164674598</v>
      </c>
      <c r="E18" s="62">
        <v>309442615</v>
      </c>
      <c r="F18" s="63">
        <v>264814451</v>
      </c>
      <c r="G18" s="5"/>
      <c r="H18" s="15">
        <f t="shared" ref="H17:H34" si="6">ROUND(C18/C$73,6)</f>
        <v>8.2909999999999998E-3</v>
      </c>
      <c r="I18" s="54">
        <f t="shared" si="3"/>
        <v>1.1939999999999999E-2</v>
      </c>
      <c r="J18" s="54">
        <f t="shared" si="4"/>
        <v>2.1305999999999999E-2</v>
      </c>
      <c r="K18" s="37">
        <f t="shared" si="5"/>
        <v>1.9258000000000001E-2</v>
      </c>
      <c r="L18" s="61" t="s">
        <v>74</v>
      </c>
    </row>
    <row r="19" spans="1:14" x14ac:dyDescent="0.25">
      <c r="A19" s="34">
        <f t="shared" si="2"/>
        <v>7</v>
      </c>
      <c r="B19" s="20" t="s">
        <v>19</v>
      </c>
      <c r="C19" s="62">
        <v>53532627</v>
      </c>
      <c r="D19" s="63">
        <v>62512517</v>
      </c>
      <c r="E19" s="62">
        <v>64525358</v>
      </c>
      <c r="F19" s="63">
        <v>74925519</v>
      </c>
      <c r="G19" s="5"/>
      <c r="H19" s="15">
        <f t="shared" si="6"/>
        <v>4.0629999999999998E-3</v>
      </c>
      <c r="I19" s="54">
        <f t="shared" si="3"/>
        <v>4.5329999999999997E-3</v>
      </c>
      <c r="J19" s="54">
        <f t="shared" si="4"/>
        <v>4.4429999999999999E-3</v>
      </c>
      <c r="K19" s="37">
        <f t="shared" si="5"/>
        <v>5.4489999999999999E-3</v>
      </c>
      <c r="L19" s="61" t="s">
        <v>75</v>
      </c>
    </row>
    <row r="20" spans="1:14" x14ac:dyDescent="0.25">
      <c r="A20" s="34">
        <f t="shared" si="2"/>
        <v>8</v>
      </c>
      <c r="B20" s="20" t="s">
        <v>20</v>
      </c>
      <c r="C20" s="62">
        <v>4313686</v>
      </c>
      <c r="D20" s="63">
        <v>4104817</v>
      </c>
      <c r="E20" s="62">
        <v>4668461</v>
      </c>
      <c r="F20" s="63">
        <v>5019199</v>
      </c>
      <c r="G20" s="5"/>
      <c r="H20" s="15">
        <f t="shared" si="6"/>
        <v>3.2699999999999998E-4</v>
      </c>
      <c r="I20" s="54">
        <f t="shared" si="3"/>
        <v>2.9799999999999998E-4</v>
      </c>
      <c r="J20" s="54">
        <f t="shared" si="4"/>
        <v>3.21E-4</v>
      </c>
      <c r="K20" s="37">
        <f t="shared" si="5"/>
        <v>3.6499999999999998E-4</v>
      </c>
      <c r="L20" s="61" t="s">
        <v>76</v>
      </c>
    </row>
    <row r="21" spans="1:14" x14ac:dyDescent="0.25">
      <c r="A21" s="34">
        <f t="shared" si="2"/>
        <v>9</v>
      </c>
      <c r="B21" s="20" t="s">
        <v>21</v>
      </c>
      <c r="C21" s="62">
        <v>0</v>
      </c>
      <c r="D21" s="63">
        <v>0</v>
      </c>
      <c r="E21" s="62">
        <v>0</v>
      </c>
      <c r="F21" s="63">
        <v>0</v>
      </c>
      <c r="G21" s="5"/>
      <c r="H21" s="15">
        <f t="shared" si="6"/>
        <v>0</v>
      </c>
      <c r="I21" s="54">
        <f t="shared" si="3"/>
        <v>0</v>
      </c>
      <c r="J21" s="54">
        <f t="shared" si="4"/>
        <v>0</v>
      </c>
      <c r="K21" s="37">
        <f t="shared" si="5"/>
        <v>0</v>
      </c>
    </row>
    <row r="22" spans="1:14" x14ac:dyDescent="0.25">
      <c r="A22" s="34">
        <f t="shared" si="2"/>
        <v>10</v>
      </c>
      <c r="B22" s="20" t="s">
        <v>22</v>
      </c>
      <c r="C22" s="62">
        <v>4645582</v>
      </c>
      <c r="D22" s="63">
        <v>4699135</v>
      </c>
      <c r="E22" s="62">
        <v>5132524</v>
      </c>
      <c r="F22" s="63">
        <v>6181068</v>
      </c>
      <c r="G22" s="5"/>
      <c r="H22" s="15">
        <f t="shared" si="6"/>
        <v>3.5300000000000002E-4</v>
      </c>
      <c r="I22" s="54">
        <f t="shared" si="3"/>
        <v>3.4099999999999999E-4</v>
      </c>
      <c r="J22" s="54">
        <f t="shared" si="4"/>
        <v>3.5300000000000002E-4</v>
      </c>
      <c r="K22" s="37">
        <f t="shared" si="5"/>
        <v>4.4999999999999999E-4</v>
      </c>
      <c r="L22" s="61" t="s">
        <v>77</v>
      </c>
    </row>
    <row r="23" spans="1:14" x14ac:dyDescent="0.25">
      <c r="A23" s="34">
        <f t="shared" si="2"/>
        <v>11</v>
      </c>
      <c r="B23" s="20" t="s">
        <v>23</v>
      </c>
      <c r="C23" s="62">
        <v>46606</v>
      </c>
      <c r="D23" s="63">
        <v>97212</v>
      </c>
      <c r="E23" s="62">
        <v>70300</v>
      </c>
      <c r="F23" s="63">
        <v>54386</v>
      </c>
      <c r="G23" s="5"/>
      <c r="H23" s="15">
        <f t="shared" si="6"/>
        <v>3.9999999999999998E-6</v>
      </c>
      <c r="I23" s="54">
        <f t="shared" si="3"/>
        <v>6.9999999999999999E-6</v>
      </c>
      <c r="J23" s="54">
        <f t="shared" si="4"/>
        <v>5.0000000000000004E-6</v>
      </c>
      <c r="K23" s="37">
        <f t="shared" si="5"/>
        <v>3.9999999999999998E-6</v>
      </c>
      <c r="L23" s="61" t="s">
        <v>78</v>
      </c>
    </row>
    <row r="24" spans="1:14" x14ac:dyDescent="0.25">
      <c r="A24" s="34">
        <f t="shared" si="2"/>
        <v>12</v>
      </c>
      <c r="B24" s="20" t="s">
        <v>24</v>
      </c>
      <c r="C24" s="62">
        <v>39311769</v>
      </c>
      <c r="D24" s="13">
        <v>41038715</v>
      </c>
      <c r="E24" s="64">
        <v>44515665</v>
      </c>
      <c r="F24" s="13">
        <v>48716372</v>
      </c>
      <c r="G24" s="5"/>
      <c r="H24" s="10">
        <f t="shared" si="6"/>
        <v>2.9840000000000001E-3</v>
      </c>
      <c r="I24" s="53">
        <f t="shared" si="3"/>
        <v>2.9759999999999999E-3</v>
      </c>
      <c r="J24" s="53">
        <f t="shared" si="4"/>
        <v>3.065E-3</v>
      </c>
      <c r="K24" s="35">
        <f t="shared" si="5"/>
        <v>3.5430000000000001E-3</v>
      </c>
      <c r="L24" s="61" t="s">
        <v>79</v>
      </c>
    </row>
    <row r="25" spans="1:14" x14ac:dyDescent="0.25">
      <c r="A25" s="34">
        <f t="shared" si="2"/>
        <v>13</v>
      </c>
      <c r="B25" s="20" t="s">
        <v>25</v>
      </c>
      <c r="C25" s="50">
        <f>SUM(C17:C24)</f>
        <v>543207706</v>
      </c>
      <c r="D25" s="7">
        <f t="shared" ref="D25:E25" si="7">SUM(D17:D24)</f>
        <v>709295476</v>
      </c>
      <c r="E25" s="50">
        <f t="shared" si="7"/>
        <v>991026719</v>
      </c>
      <c r="F25" s="7">
        <f>SUM(F17:F24)</f>
        <v>856521712</v>
      </c>
      <c r="G25" s="5"/>
      <c r="H25" s="11">
        <f t="shared" si="6"/>
        <v>4.1229000000000002E-2</v>
      </c>
      <c r="I25" s="55">
        <f t="shared" si="3"/>
        <v>5.1429000000000002E-2</v>
      </c>
      <c r="J25" s="55">
        <f t="shared" si="4"/>
        <v>6.8235000000000004E-2</v>
      </c>
      <c r="K25" s="38">
        <f t="shared" si="5"/>
        <v>6.2288999999999997E-2</v>
      </c>
    </row>
    <row r="26" spans="1:14" x14ac:dyDescent="0.25">
      <c r="A26" s="34">
        <f t="shared" si="2"/>
        <v>14</v>
      </c>
      <c r="B26" s="20" t="s">
        <v>26</v>
      </c>
      <c r="C26" s="62">
        <f>111610962+2358893+103117+12035524-15+538256</f>
        <v>126646737</v>
      </c>
      <c r="D26" s="63">
        <f>123658221+6116393+320197+10849889-13+1603027</f>
        <v>142547714</v>
      </c>
      <c r="E26" s="86">
        <f>137400749+7429832+846954+11066799+1873869-9233641</f>
        <v>149384562</v>
      </c>
      <c r="F26" s="85">
        <f>142173323+6433292+1002085+10924750-369400+1576871-18264609</f>
        <v>143476312</v>
      </c>
      <c r="G26" s="5"/>
      <c r="H26" s="15">
        <f t="shared" si="6"/>
        <v>9.6120000000000008E-3</v>
      </c>
      <c r="I26" s="54">
        <f t="shared" si="3"/>
        <v>1.0336E-2</v>
      </c>
      <c r="J26" s="54">
        <f t="shared" si="4"/>
        <v>1.0285000000000001E-2</v>
      </c>
      <c r="K26" s="37">
        <f t="shared" si="5"/>
        <v>1.0434000000000001E-2</v>
      </c>
      <c r="L26" t="s">
        <v>80</v>
      </c>
      <c r="M26" s="61" t="s">
        <v>81</v>
      </c>
      <c r="N26" s="61" t="s">
        <v>82</v>
      </c>
    </row>
    <row r="27" spans="1:14" x14ac:dyDescent="0.25">
      <c r="A27" s="34">
        <f t="shared" si="2"/>
        <v>15</v>
      </c>
      <c r="B27" s="20" t="s">
        <v>27</v>
      </c>
      <c r="C27" s="62">
        <v>0</v>
      </c>
      <c r="D27" s="63">
        <v>0</v>
      </c>
      <c r="E27" s="62">
        <v>0</v>
      </c>
      <c r="F27" s="63">
        <v>0</v>
      </c>
      <c r="G27" s="5"/>
      <c r="H27" s="15">
        <f t="shared" si="6"/>
        <v>0</v>
      </c>
      <c r="I27" s="54">
        <f t="shared" si="3"/>
        <v>0</v>
      </c>
      <c r="J27" s="54">
        <f t="shared" si="4"/>
        <v>0</v>
      </c>
      <c r="K27" s="37">
        <f t="shared" si="5"/>
        <v>0</v>
      </c>
    </row>
    <row r="28" spans="1:14" x14ac:dyDescent="0.25">
      <c r="A28" s="34">
        <f t="shared" si="2"/>
        <v>16</v>
      </c>
      <c r="B28" s="20" t="s">
        <v>28</v>
      </c>
      <c r="C28" s="62">
        <v>266510</v>
      </c>
      <c r="D28" s="63">
        <v>2575030</v>
      </c>
      <c r="E28" s="62">
        <v>294057</v>
      </c>
      <c r="F28" s="63">
        <v>247265</v>
      </c>
      <c r="G28" s="5"/>
      <c r="H28" s="15">
        <f t="shared" si="6"/>
        <v>2.0000000000000002E-5</v>
      </c>
      <c r="I28" s="54">
        <f t="shared" si="3"/>
        <v>1.8699999999999999E-4</v>
      </c>
      <c r="J28" s="54">
        <f t="shared" si="4"/>
        <v>2.0000000000000002E-5</v>
      </c>
      <c r="K28" s="37">
        <f t="shared" si="5"/>
        <v>1.8E-5</v>
      </c>
      <c r="L28" t="s">
        <v>83</v>
      </c>
    </row>
    <row r="29" spans="1:14" x14ac:dyDescent="0.25">
      <c r="A29" s="34">
        <f t="shared" si="2"/>
        <v>17</v>
      </c>
      <c r="B29" s="20" t="s">
        <v>29</v>
      </c>
      <c r="C29" s="62">
        <v>0</v>
      </c>
      <c r="D29" s="63">
        <v>0</v>
      </c>
      <c r="E29" s="62">
        <v>0</v>
      </c>
      <c r="F29" s="63">
        <v>0</v>
      </c>
      <c r="G29" s="5"/>
      <c r="H29" s="15">
        <f t="shared" si="6"/>
        <v>0</v>
      </c>
      <c r="I29" s="54">
        <f t="shared" si="3"/>
        <v>0</v>
      </c>
      <c r="J29" s="54">
        <f t="shared" si="4"/>
        <v>0</v>
      </c>
      <c r="K29" s="37">
        <f t="shared" si="5"/>
        <v>0</v>
      </c>
    </row>
    <row r="30" spans="1:14" x14ac:dyDescent="0.25">
      <c r="A30" s="34">
        <f t="shared" si="2"/>
        <v>18</v>
      </c>
      <c r="B30" s="20" t="s">
        <v>30</v>
      </c>
      <c r="C30" s="62">
        <v>1200</v>
      </c>
      <c r="D30" s="63">
        <v>1200</v>
      </c>
      <c r="E30" s="62">
        <v>1200</v>
      </c>
      <c r="F30" s="63">
        <v>1200</v>
      </c>
      <c r="G30" s="5"/>
      <c r="H30" s="15">
        <f t="shared" si="6"/>
        <v>0</v>
      </c>
      <c r="I30" s="54">
        <f t="shared" si="3"/>
        <v>0</v>
      </c>
      <c r="J30" s="54">
        <f t="shared" si="4"/>
        <v>0</v>
      </c>
      <c r="K30" s="37">
        <f t="shared" si="5"/>
        <v>0</v>
      </c>
      <c r="L30" t="s">
        <v>84</v>
      </c>
    </row>
    <row r="31" spans="1:14" x14ac:dyDescent="0.25">
      <c r="A31" s="34">
        <f t="shared" si="2"/>
        <v>19</v>
      </c>
      <c r="B31" s="20" t="s">
        <v>31</v>
      </c>
      <c r="C31" s="62">
        <v>0</v>
      </c>
      <c r="D31" s="63">
        <v>0</v>
      </c>
      <c r="E31" s="62">
        <v>0</v>
      </c>
      <c r="F31" s="63">
        <v>0</v>
      </c>
      <c r="G31" s="5"/>
      <c r="H31" s="15">
        <f t="shared" si="6"/>
        <v>0</v>
      </c>
      <c r="I31" s="54">
        <f t="shared" si="3"/>
        <v>0</v>
      </c>
      <c r="J31" s="54">
        <f t="shared" si="4"/>
        <v>0</v>
      </c>
      <c r="K31" s="37">
        <f t="shared" si="5"/>
        <v>0</v>
      </c>
    </row>
    <row r="32" spans="1:14" x14ac:dyDescent="0.25">
      <c r="A32" s="34">
        <f t="shared" si="2"/>
        <v>20</v>
      </c>
      <c r="B32" s="20" t="s">
        <v>32</v>
      </c>
      <c r="C32" s="64">
        <v>0</v>
      </c>
      <c r="D32" s="13">
        <v>0</v>
      </c>
      <c r="E32" s="64">
        <v>0</v>
      </c>
      <c r="F32" s="13">
        <v>0</v>
      </c>
      <c r="G32" s="5"/>
      <c r="H32" s="10">
        <f t="shared" si="6"/>
        <v>0</v>
      </c>
      <c r="I32" s="53">
        <f t="shared" si="3"/>
        <v>0</v>
      </c>
      <c r="J32" s="53">
        <f t="shared" si="4"/>
        <v>0</v>
      </c>
      <c r="K32" s="35">
        <f t="shared" si="5"/>
        <v>0</v>
      </c>
    </row>
    <row r="33" spans="1:11" x14ac:dyDescent="0.25">
      <c r="A33" s="34">
        <f t="shared" si="2"/>
        <v>21</v>
      </c>
      <c r="B33" s="20" t="s">
        <v>33</v>
      </c>
      <c r="C33" s="50">
        <f>SUM(C26:C32)+C25</f>
        <v>670122153</v>
      </c>
      <c r="D33" s="7">
        <f t="shared" ref="D33:E33" si="8">SUM(D26:D32)+D25</f>
        <v>854419420</v>
      </c>
      <c r="E33" s="50">
        <f t="shared" si="8"/>
        <v>1140706538</v>
      </c>
      <c r="F33" s="7">
        <f>SUM(F26:F32)+F25</f>
        <v>1000246489</v>
      </c>
      <c r="G33" s="5"/>
      <c r="H33" s="11">
        <f t="shared" si="6"/>
        <v>5.0861000000000003E-2</v>
      </c>
      <c r="I33" s="55">
        <f t="shared" si="3"/>
        <v>6.1950999999999999E-2</v>
      </c>
      <c r="J33" s="55">
        <f t="shared" si="4"/>
        <v>7.8539999999999999E-2</v>
      </c>
      <c r="K33" s="38">
        <f t="shared" si="5"/>
        <v>7.2742000000000001E-2</v>
      </c>
    </row>
    <row r="34" spans="1:11" x14ac:dyDescent="0.25">
      <c r="A34" s="34">
        <f t="shared" si="2"/>
        <v>22</v>
      </c>
      <c r="B34" s="20" t="s">
        <v>34</v>
      </c>
      <c r="C34" s="50">
        <f>C14-C33</f>
        <v>117550319</v>
      </c>
      <c r="D34" s="7">
        <f t="shared" ref="D34:E34" si="9">D14-D33</f>
        <v>98203726</v>
      </c>
      <c r="E34" s="50">
        <f t="shared" si="9"/>
        <v>122630016</v>
      </c>
      <c r="F34" s="7">
        <f>F14-F33</f>
        <v>110324839</v>
      </c>
      <c r="G34" s="5"/>
      <c r="H34" s="11">
        <f t="shared" si="6"/>
        <v>8.9219999999999994E-3</v>
      </c>
      <c r="I34" s="55">
        <f t="shared" si="3"/>
        <v>7.1199999999999996E-3</v>
      </c>
      <c r="J34" s="55">
        <f t="shared" si="4"/>
        <v>8.4430000000000009E-3</v>
      </c>
      <c r="K34" s="38">
        <f t="shared" si="5"/>
        <v>8.0230000000000006E-3</v>
      </c>
    </row>
    <row r="35" spans="1:11" ht="15.75" thickBot="1" x14ac:dyDescent="0.3">
      <c r="A35" s="39"/>
      <c r="B35" s="29"/>
      <c r="C35" s="51"/>
      <c r="D35" s="40"/>
      <c r="E35" s="51"/>
      <c r="F35" s="40"/>
      <c r="G35" s="52"/>
      <c r="H35" s="41"/>
      <c r="I35" s="56"/>
      <c r="J35" s="56"/>
      <c r="K35" s="42"/>
    </row>
    <row r="36" spans="1:11" ht="16.5" thickTop="1" thickBot="1" x14ac:dyDescent="0.3">
      <c r="A36" s="43"/>
      <c r="B36" s="20"/>
      <c r="C36" s="14"/>
      <c r="D36" s="14"/>
      <c r="E36" s="14"/>
      <c r="F36" s="14"/>
      <c r="G36" s="20"/>
      <c r="H36" s="15"/>
      <c r="I36" s="15"/>
      <c r="J36" s="15"/>
      <c r="K36" s="15"/>
    </row>
    <row r="37" spans="1:11" ht="15.75" thickTop="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8" t="s">
        <v>68</v>
      </c>
    </row>
    <row r="38" spans="1:11" x14ac:dyDescent="0.25">
      <c r="A38" s="70" t="str">
        <f t="shared" ref="A38" si="10">A2</f>
        <v>East Kentucky Power Cooperative, Inc.</v>
      </c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1" x14ac:dyDescent="0.25">
      <c r="A39" s="70" t="str">
        <f t="shared" ref="A39" si="11">A3</f>
        <v>Case No. 2025-00208</v>
      </c>
      <c r="B39" s="73"/>
      <c r="C39" s="73"/>
      <c r="D39" s="73"/>
      <c r="E39" s="73"/>
      <c r="F39" s="73"/>
      <c r="G39" s="73"/>
      <c r="H39" s="73"/>
      <c r="I39" s="73"/>
      <c r="J39" s="73"/>
      <c r="K39" s="74"/>
    </row>
    <row r="40" spans="1:11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1"/>
    </row>
    <row r="41" spans="1:11" x14ac:dyDescent="0.25">
      <c r="A41" s="70" t="str">
        <f t="shared" ref="A41" si="12">A5</f>
        <v>Net Income per kWh Sold</v>
      </c>
      <c r="B41" s="71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70" t="str">
        <f t="shared" ref="A42" si="13">A6</f>
        <v>For the Calendar Years 2020 through 2022</v>
      </c>
      <c r="B42" s="71"/>
      <c r="C42" s="71"/>
      <c r="D42" s="71"/>
      <c r="E42" s="71"/>
      <c r="F42" s="71"/>
      <c r="G42" s="71"/>
      <c r="H42" s="71"/>
      <c r="I42" s="71"/>
      <c r="J42" s="71"/>
      <c r="K42" s="72"/>
    </row>
    <row r="43" spans="1:11" x14ac:dyDescent="0.25">
      <c r="A43" s="70" t="str">
        <f t="shared" ref="A43" si="14">A7</f>
        <v>And for the Test Period</v>
      </c>
      <c r="B43" s="71"/>
      <c r="C43" s="71"/>
      <c r="D43" s="71"/>
      <c r="E43" s="71"/>
      <c r="F43" s="71"/>
      <c r="G43" s="71"/>
      <c r="H43" s="71"/>
      <c r="I43" s="71"/>
      <c r="J43" s="71"/>
      <c r="K43" s="72"/>
    </row>
    <row r="44" spans="1:11" ht="15.75" thickBot="1" x14ac:dyDescent="0.3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9"/>
    </row>
    <row r="45" spans="1:11" ht="15.75" thickTop="1" x14ac:dyDescent="0.25">
      <c r="A45" s="22"/>
      <c r="B45" s="23"/>
      <c r="C45" s="75" t="s">
        <v>3</v>
      </c>
      <c r="D45" s="76"/>
      <c r="E45" s="76"/>
      <c r="F45" s="77"/>
      <c r="G45" s="17"/>
      <c r="H45" s="75" t="s">
        <v>3</v>
      </c>
      <c r="I45" s="76"/>
      <c r="J45" s="76"/>
      <c r="K45" s="82"/>
    </row>
    <row r="46" spans="1:11" x14ac:dyDescent="0.25">
      <c r="A46" s="24"/>
      <c r="B46" s="5"/>
      <c r="C46" s="78" t="str">
        <f t="shared" ref="C46:F47" si="15">C10</f>
        <v>Three Most Recent Calendar Years</v>
      </c>
      <c r="D46" s="79"/>
      <c r="E46" s="79"/>
      <c r="F46" s="80" t="str">
        <f t="shared" si="15"/>
        <v>Test Period - 2023</v>
      </c>
      <c r="G46" s="20"/>
      <c r="H46" s="78" t="str">
        <f t="shared" ref="H46:K47" si="16">H10</f>
        <v>Three Most Recent Calendar Years</v>
      </c>
      <c r="I46" s="79"/>
      <c r="J46" s="79"/>
      <c r="K46" s="83" t="str">
        <f t="shared" si="16"/>
        <v>Test Period - 2023</v>
      </c>
    </row>
    <row r="47" spans="1:11" x14ac:dyDescent="0.25">
      <c r="A47" s="25" t="s">
        <v>11</v>
      </c>
      <c r="B47" s="6" t="s">
        <v>9</v>
      </c>
      <c r="C47" s="4" t="str">
        <f t="shared" si="15"/>
        <v>3rd - 2020</v>
      </c>
      <c r="D47" s="4" t="str">
        <f t="shared" si="15"/>
        <v>2nd - 2021</v>
      </c>
      <c r="E47" s="4" t="str">
        <f t="shared" si="15"/>
        <v>1st - 2022</v>
      </c>
      <c r="F47" s="81"/>
      <c r="G47" s="20"/>
      <c r="H47" s="4" t="str">
        <f t="shared" si="16"/>
        <v>3rd - 2020</v>
      </c>
      <c r="I47" s="4" t="str">
        <f t="shared" si="16"/>
        <v>2nd - 2021</v>
      </c>
      <c r="J47" s="4" t="str">
        <f t="shared" si="16"/>
        <v>1st - 2022</v>
      </c>
      <c r="K47" s="84"/>
    </row>
    <row r="48" spans="1:11" ht="15.75" thickBot="1" x14ac:dyDescent="0.3">
      <c r="A48" s="26" t="s">
        <v>12</v>
      </c>
      <c r="B48" s="27" t="s">
        <v>10</v>
      </c>
      <c r="C48" s="27" t="s">
        <v>4</v>
      </c>
      <c r="D48" s="28" t="s">
        <v>5</v>
      </c>
      <c r="E48" s="27" t="s">
        <v>6</v>
      </c>
      <c r="F48" s="27" t="s">
        <v>7</v>
      </c>
      <c r="G48" s="29"/>
      <c r="H48" s="27" t="s">
        <v>4</v>
      </c>
      <c r="I48" s="28" t="s">
        <v>5</v>
      </c>
      <c r="J48" s="27" t="s">
        <v>6</v>
      </c>
      <c r="K48" s="30" t="s">
        <v>7</v>
      </c>
    </row>
    <row r="49" spans="1:12" ht="15.75" thickTop="1" x14ac:dyDescent="0.25">
      <c r="A49" s="31">
        <f>A34+1</f>
        <v>23</v>
      </c>
      <c r="B49" s="32" t="s">
        <v>35</v>
      </c>
      <c r="C49" s="57"/>
      <c r="D49" s="44"/>
      <c r="E49" s="57"/>
      <c r="F49" s="44"/>
      <c r="G49" s="23"/>
      <c r="H49" s="45"/>
      <c r="I49" s="59"/>
      <c r="J49" s="59"/>
      <c r="K49" s="46"/>
    </row>
    <row r="50" spans="1:12" x14ac:dyDescent="0.25">
      <c r="A50" s="34">
        <f t="shared" si="2"/>
        <v>24</v>
      </c>
      <c r="B50" s="20" t="s">
        <v>36</v>
      </c>
      <c r="C50" s="49"/>
      <c r="D50" s="14"/>
      <c r="E50" s="49"/>
      <c r="F50" s="14"/>
      <c r="G50" s="5"/>
      <c r="H50" s="15"/>
      <c r="I50" s="54"/>
      <c r="J50" s="54"/>
      <c r="K50" s="37"/>
    </row>
    <row r="51" spans="1:12" x14ac:dyDescent="0.25">
      <c r="A51" s="34">
        <f t="shared" si="2"/>
        <v>25</v>
      </c>
      <c r="B51" s="20" t="s">
        <v>37</v>
      </c>
      <c r="C51" s="62">
        <v>-35619</v>
      </c>
      <c r="D51" s="63">
        <v>-33956</v>
      </c>
      <c r="E51" s="62">
        <v>-17970</v>
      </c>
      <c r="F51" s="85">
        <v>2924</v>
      </c>
      <c r="G51" s="5"/>
      <c r="H51" s="15">
        <f t="shared" ref="H51:H57" si="17">ROUND(C51/C$73,6)</f>
        <v>-3.0000000000000001E-6</v>
      </c>
      <c r="I51" s="54">
        <f t="shared" ref="I51:I57" si="18">ROUND(D51/D$73,6)</f>
        <v>-1.9999999999999999E-6</v>
      </c>
      <c r="J51" s="54">
        <f t="shared" ref="J51:J57" si="19">ROUND(E51/E$73,6)</f>
        <v>-9.9999999999999995E-7</v>
      </c>
      <c r="K51" s="37">
        <f>ROUND(F51/F$73,6)</f>
        <v>0</v>
      </c>
      <c r="L51" s="61" t="s">
        <v>85</v>
      </c>
    </row>
    <row r="52" spans="1:12" x14ac:dyDescent="0.25">
      <c r="A52" s="34">
        <f t="shared" si="2"/>
        <v>26</v>
      </c>
      <c r="B52" s="20" t="s">
        <v>38</v>
      </c>
      <c r="C52" s="62">
        <v>0</v>
      </c>
      <c r="D52" s="63">
        <v>0</v>
      </c>
      <c r="E52" s="62">
        <v>0</v>
      </c>
      <c r="F52" s="63">
        <v>0</v>
      </c>
      <c r="G52" s="5"/>
      <c r="H52" s="15">
        <f t="shared" si="17"/>
        <v>0</v>
      </c>
      <c r="I52" s="54">
        <f t="shared" si="18"/>
        <v>0</v>
      </c>
      <c r="J52" s="54">
        <f t="shared" si="19"/>
        <v>0</v>
      </c>
      <c r="K52" s="37">
        <f t="shared" ref="K52:K57" si="20">ROUND(F52/F$73,6)</f>
        <v>0</v>
      </c>
    </row>
    <row r="53" spans="1:12" x14ac:dyDescent="0.25">
      <c r="A53" s="34">
        <f t="shared" si="2"/>
        <v>27</v>
      </c>
      <c r="B53" s="20" t="s">
        <v>39</v>
      </c>
      <c r="C53" s="62">
        <v>12735130</v>
      </c>
      <c r="D53" s="63">
        <v>554039</v>
      </c>
      <c r="E53" s="62">
        <v>2690041</v>
      </c>
      <c r="F53" s="63">
        <v>9034623</v>
      </c>
      <c r="G53" s="5"/>
      <c r="H53" s="15">
        <f t="shared" si="17"/>
        <v>9.6699999999999998E-4</v>
      </c>
      <c r="I53" s="54">
        <f t="shared" si="18"/>
        <v>4.0000000000000003E-5</v>
      </c>
      <c r="J53" s="54">
        <f t="shared" si="19"/>
        <v>1.85E-4</v>
      </c>
      <c r="K53" s="37">
        <f t="shared" si="20"/>
        <v>6.5700000000000003E-4</v>
      </c>
      <c r="L53" s="61" t="s">
        <v>86</v>
      </c>
    </row>
    <row r="54" spans="1:12" x14ac:dyDescent="0.25">
      <c r="A54" s="34">
        <f t="shared" si="2"/>
        <v>28</v>
      </c>
      <c r="B54" s="20" t="s">
        <v>40</v>
      </c>
      <c r="C54" s="62">
        <v>0</v>
      </c>
      <c r="D54" s="63">
        <v>0</v>
      </c>
      <c r="E54" s="62">
        <v>0</v>
      </c>
      <c r="F54" s="63">
        <v>0</v>
      </c>
      <c r="G54" s="5"/>
      <c r="H54" s="15">
        <f t="shared" si="17"/>
        <v>0</v>
      </c>
      <c r="I54" s="54">
        <f t="shared" si="18"/>
        <v>0</v>
      </c>
      <c r="J54" s="54">
        <f t="shared" si="19"/>
        <v>0</v>
      </c>
      <c r="K54" s="37">
        <f t="shared" si="20"/>
        <v>0</v>
      </c>
    </row>
    <row r="55" spans="1:12" x14ac:dyDescent="0.25">
      <c r="A55" s="34">
        <f t="shared" si="2"/>
        <v>29</v>
      </c>
      <c r="B55" s="20" t="s">
        <v>41</v>
      </c>
      <c r="C55" s="62">
        <v>1022218</v>
      </c>
      <c r="D55" s="63">
        <v>759111</v>
      </c>
      <c r="E55" s="62">
        <v>1561244</v>
      </c>
      <c r="F55" s="63">
        <v>7018522</v>
      </c>
      <c r="G55" s="5"/>
      <c r="H55" s="15">
        <f t="shared" si="17"/>
        <v>7.7999999999999999E-5</v>
      </c>
      <c r="I55" s="54">
        <f t="shared" si="18"/>
        <v>5.5000000000000002E-5</v>
      </c>
      <c r="J55" s="54">
        <f t="shared" si="19"/>
        <v>1.07E-4</v>
      </c>
      <c r="K55" s="37">
        <f t="shared" si="20"/>
        <v>5.1000000000000004E-4</v>
      </c>
      <c r="L55" s="61" t="s">
        <v>87</v>
      </c>
    </row>
    <row r="56" spans="1:12" x14ac:dyDescent="0.25">
      <c r="A56" s="34">
        <f t="shared" si="2"/>
        <v>30</v>
      </c>
      <c r="B56" s="20" t="s">
        <v>42</v>
      </c>
      <c r="C56" s="64">
        <v>203342</v>
      </c>
      <c r="D56" s="13">
        <v>300957</v>
      </c>
      <c r="E56" s="64">
        <v>297229</v>
      </c>
      <c r="F56" s="13">
        <v>408763</v>
      </c>
      <c r="G56" s="5"/>
      <c r="H56" s="10">
        <f t="shared" si="17"/>
        <v>1.5E-5</v>
      </c>
      <c r="I56" s="53">
        <f t="shared" si="18"/>
        <v>2.1999999999999999E-5</v>
      </c>
      <c r="J56" s="53">
        <f t="shared" si="19"/>
        <v>2.0000000000000002E-5</v>
      </c>
      <c r="K56" s="35">
        <f t="shared" si="20"/>
        <v>3.0000000000000001E-5</v>
      </c>
      <c r="L56" s="61" t="s">
        <v>88</v>
      </c>
    </row>
    <row r="57" spans="1:12" x14ac:dyDescent="0.25">
      <c r="A57" s="34">
        <f t="shared" si="2"/>
        <v>31</v>
      </c>
      <c r="B57" s="20" t="s">
        <v>43</v>
      </c>
      <c r="C57" s="50">
        <f>SUM(C51:C56)</f>
        <v>13925071</v>
      </c>
      <c r="D57" s="7">
        <f t="shared" ref="D57:F57" si="21">SUM(D51:D56)</f>
        <v>1580151</v>
      </c>
      <c r="E57" s="50">
        <f t="shared" si="21"/>
        <v>4530544</v>
      </c>
      <c r="F57" s="7">
        <f t="shared" si="21"/>
        <v>16464832</v>
      </c>
      <c r="G57" s="5"/>
      <c r="H57" s="11">
        <f t="shared" si="17"/>
        <v>1.057E-3</v>
      </c>
      <c r="I57" s="55">
        <f t="shared" si="18"/>
        <v>1.15E-4</v>
      </c>
      <c r="J57" s="55">
        <f t="shared" si="19"/>
        <v>3.1199999999999999E-4</v>
      </c>
      <c r="K57" s="38">
        <f t="shared" si="20"/>
        <v>1.1969999999999999E-3</v>
      </c>
    </row>
    <row r="58" spans="1:12" x14ac:dyDescent="0.25">
      <c r="A58" s="34">
        <f t="shared" si="2"/>
        <v>32</v>
      </c>
      <c r="B58" s="20" t="s">
        <v>44</v>
      </c>
      <c r="C58" s="49"/>
      <c r="D58" s="14"/>
      <c r="E58" s="49"/>
      <c r="F58" s="14"/>
      <c r="G58" s="5"/>
      <c r="H58" s="15"/>
      <c r="I58" s="54"/>
      <c r="J58" s="54"/>
      <c r="K58" s="37"/>
    </row>
    <row r="59" spans="1:12" x14ac:dyDescent="0.25">
      <c r="A59" s="34">
        <f t="shared" si="2"/>
        <v>33</v>
      </c>
      <c r="B59" s="20" t="s">
        <v>45</v>
      </c>
      <c r="C59" s="62">
        <v>9481</v>
      </c>
      <c r="D59" s="63">
        <v>136198</v>
      </c>
      <c r="E59" s="62">
        <v>78563</v>
      </c>
      <c r="F59" s="63">
        <v>8551</v>
      </c>
      <c r="G59" s="5"/>
      <c r="H59" s="15">
        <f t="shared" ref="H59:H60" si="22">ROUND(C59/C$73,6)</f>
        <v>9.9999999999999995E-7</v>
      </c>
      <c r="I59" s="54">
        <f t="shared" ref="I59:I60" si="23">ROUND(D59/D$73,6)</f>
        <v>1.0000000000000001E-5</v>
      </c>
      <c r="J59" s="54">
        <f t="shared" ref="J59:J60" si="24">ROUND(E59/E$73,6)</f>
        <v>5.0000000000000004E-6</v>
      </c>
      <c r="K59" s="37">
        <f t="shared" ref="K59:K60" si="25">ROUND(F59/F$73,6)</f>
        <v>9.9999999999999995E-7</v>
      </c>
      <c r="L59" s="61" t="s">
        <v>89</v>
      </c>
    </row>
    <row r="60" spans="1:12" x14ac:dyDescent="0.25">
      <c r="A60" s="34">
        <f t="shared" si="2"/>
        <v>34</v>
      </c>
      <c r="B60" s="20" t="s">
        <v>46</v>
      </c>
      <c r="C60" s="62">
        <f>178652+990805</f>
        <v>1169457</v>
      </c>
      <c r="D60" s="63">
        <f>178652+851683</f>
        <v>1030335</v>
      </c>
      <c r="E60" s="62">
        <f>178652+332345</f>
        <v>510997</v>
      </c>
      <c r="F60" s="63">
        <f>178652+773887</f>
        <v>952539</v>
      </c>
      <c r="G60" s="5"/>
      <c r="H60" s="15">
        <f t="shared" si="22"/>
        <v>8.8999999999999995E-5</v>
      </c>
      <c r="I60" s="54">
        <f t="shared" si="23"/>
        <v>7.4999999999999993E-5</v>
      </c>
      <c r="J60" s="54">
        <f t="shared" si="24"/>
        <v>3.4999999999999997E-5</v>
      </c>
      <c r="K60" s="37">
        <f t="shared" si="25"/>
        <v>6.8999999999999997E-5</v>
      </c>
      <c r="L60" s="61" t="s">
        <v>90</v>
      </c>
    </row>
    <row r="61" spans="1:12" x14ac:dyDescent="0.25">
      <c r="A61" s="34">
        <f t="shared" si="2"/>
        <v>35</v>
      </c>
      <c r="B61" s="20" t="s">
        <v>47</v>
      </c>
      <c r="C61" s="62"/>
      <c r="D61" s="63"/>
      <c r="E61" s="62"/>
      <c r="F61" s="63"/>
      <c r="G61" s="5"/>
      <c r="H61" s="15"/>
      <c r="I61" s="54"/>
      <c r="J61" s="54"/>
      <c r="K61" s="37"/>
    </row>
    <row r="62" spans="1:12" x14ac:dyDescent="0.25">
      <c r="A62" s="34">
        <f t="shared" si="2"/>
        <v>36</v>
      </c>
      <c r="B62" s="20" t="s">
        <v>48</v>
      </c>
      <c r="C62" s="62">
        <v>0</v>
      </c>
      <c r="D62" s="63">
        <v>0</v>
      </c>
      <c r="E62" s="62">
        <v>0</v>
      </c>
      <c r="F62" s="63">
        <v>0</v>
      </c>
      <c r="G62" s="5"/>
      <c r="H62" s="15">
        <f t="shared" ref="H62:H65" si="26">ROUND(C62/C$73,6)</f>
        <v>0</v>
      </c>
      <c r="I62" s="54">
        <f t="shared" ref="I62:I65" si="27">ROUND(D62/D$73,6)</f>
        <v>0</v>
      </c>
      <c r="J62" s="54">
        <f t="shared" ref="J62:J65" si="28">ROUND(E62/E$73,6)</f>
        <v>0</v>
      </c>
      <c r="K62" s="37">
        <f t="shared" ref="K62:K65" si="29">ROUND(F62/F$73,6)</f>
        <v>0</v>
      </c>
    </row>
    <row r="63" spans="1:12" x14ac:dyDescent="0.25">
      <c r="A63" s="34">
        <f t="shared" si="2"/>
        <v>37</v>
      </c>
      <c r="B63" s="20" t="s">
        <v>49</v>
      </c>
      <c r="C63" s="64">
        <v>0</v>
      </c>
      <c r="D63" s="13">
        <v>0</v>
      </c>
      <c r="E63" s="64">
        <v>0</v>
      </c>
      <c r="F63" s="13">
        <v>0</v>
      </c>
      <c r="G63" s="5"/>
      <c r="H63" s="10">
        <f t="shared" si="26"/>
        <v>0</v>
      </c>
      <c r="I63" s="53">
        <f t="shared" si="27"/>
        <v>0</v>
      </c>
      <c r="J63" s="53">
        <f t="shared" si="28"/>
        <v>0</v>
      </c>
      <c r="K63" s="35">
        <f t="shared" si="29"/>
        <v>0</v>
      </c>
    </row>
    <row r="64" spans="1:12" x14ac:dyDescent="0.25">
      <c r="A64" s="34">
        <f t="shared" si="2"/>
        <v>38</v>
      </c>
      <c r="B64" s="20" t="s">
        <v>50</v>
      </c>
      <c r="C64" s="50">
        <f>C62+C63</f>
        <v>0</v>
      </c>
      <c r="D64" s="7">
        <f t="shared" ref="D64:F64" si="30">D62+D63</f>
        <v>0</v>
      </c>
      <c r="E64" s="50">
        <f t="shared" si="30"/>
        <v>0</v>
      </c>
      <c r="F64" s="7">
        <f t="shared" si="30"/>
        <v>0</v>
      </c>
      <c r="G64" s="5"/>
      <c r="H64" s="11">
        <f t="shared" si="26"/>
        <v>0</v>
      </c>
      <c r="I64" s="55">
        <f t="shared" si="27"/>
        <v>0</v>
      </c>
      <c r="J64" s="55">
        <f t="shared" si="28"/>
        <v>0</v>
      </c>
      <c r="K64" s="38">
        <f t="shared" si="29"/>
        <v>0</v>
      </c>
    </row>
    <row r="65" spans="1:12" x14ac:dyDescent="0.25">
      <c r="A65" s="34">
        <f t="shared" si="2"/>
        <v>39</v>
      </c>
      <c r="B65" s="20" t="s">
        <v>51</v>
      </c>
      <c r="C65" s="50">
        <f>C57-C59-C60-C64</f>
        <v>12746133</v>
      </c>
      <c r="D65" s="7">
        <f>D57-D59-D60-D64</f>
        <v>413618</v>
      </c>
      <c r="E65" s="50">
        <f t="shared" ref="E65:F65" si="31">E57-E59-E60-E64</f>
        <v>3940984</v>
      </c>
      <c r="F65" s="7">
        <f t="shared" si="31"/>
        <v>15503742</v>
      </c>
      <c r="G65" s="5"/>
      <c r="H65" s="11">
        <f t="shared" si="26"/>
        <v>9.6699999999999998E-4</v>
      </c>
      <c r="I65" s="55">
        <f t="shared" si="27"/>
        <v>3.0000000000000001E-5</v>
      </c>
      <c r="J65" s="55">
        <f t="shared" si="28"/>
        <v>2.7099999999999997E-4</v>
      </c>
      <c r="K65" s="38">
        <f t="shared" si="29"/>
        <v>1.127E-3</v>
      </c>
    </row>
    <row r="66" spans="1:12" x14ac:dyDescent="0.25">
      <c r="A66" s="34">
        <f t="shared" si="2"/>
        <v>40</v>
      </c>
      <c r="B66" s="36" t="s">
        <v>52</v>
      </c>
      <c r="C66" s="49"/>
      <c r="D66" s="14"/>
      <c r="E66" s="49"/>
      <c r="F66" s="14"/>
      <c r="G66" s="5"/>
      <c r="H66" s="15"/>
      <c r="I66" s="54"/>
      <c r="J66" s="54"/>
      <c r="K66" s="37"/>
    </row>
    <row r="67" spans="1:12" x14ac:dyDescent="0.25">
      <c r="A67" s="34">
        <f t="shared" si="2"/>
        <v>41</v>
      </c>
      <c r="B67" s="20" t="s">
        <v>53</v>
      </c>
      <c r="C67" s="62">
        <f>100921595+478533</f>
        <v>101400128</v>
      </c>
      <c r="D67" s="63">
        <f>86985390+478533</f>
        <v>87463923</v>
      </c>
      <c r="E67" s="62">
        <f>89700848+450377</f>
        <v>90151225</v>
      </c>
      <c r="F67" s="63">
        <f>107001951+414238</f>
        <v>107416189</v>
      </c>
      <c r="G67" s="5"/>
      <c r="H67" s="15">
        <f t="shared" ref="H67:H72" si="32">ROUND(C67/C$73,6)</f>
        <v>7.6959999999999997E-3</v>
      </c>
      <c r="I67" s="54">
        <f t="shared" ref="I67:I72" si="33">ROUND(D67/D$73,6)</f>
        <v>6.3420000000000004E-3</v>
      </c>
      <c r="J67" s="54">
        <f t="shared" ref="J67:J72" si="34">ROUND(E67/E$73,6)</f>
        <v>6.2069999999999998E-3</v>
      </c>
      <c r="K67" s="37">
        <f t="shared" ref="K67:K72" si="35">ROUND(F67/F$73,6)</f>
        <v>7.8120000000000004E-3</v>
      </c>
      <c r="L67" s="61" t="s">
        <v>91</v>
      </c>
    </row>
    <row r="68" spans="1:12" x14ac:dyDescent="0.25">
      <c r="A68" s="34">
        <f t="shared" si="2"/>
        <v>42</v>
      </c>
      <c r="B68" s="20" t="s">
        <v>54</v>
      </c>
      <c r="C68" s="62">
        <v>0</v>
      </c>
      <c r="D68" s="63">
        <v>0</v>
      </c>
      <c r="E68" s="62">
        <v>0</v>
      </c>
      <c r="F68" s="63">
        <v>0</v>
      </c>
      <c r="G68" s="5"/>
      <c r="H68" s="15">
        <f t="shared" si="32"/>
        <v>0</v>
      </c>
      <c r="I68" s="54">
        <f t="shared" si="33"/>
        <v>0</v>
      </c>
      <c r="J68" s="54">
        <f t="shared" si="34"/>
        <v>0</v>
      </c>
      <c r="K68" s="37">
        <f t="shared" si="35"/>
        <v>0</v>
      </c>
    </row>
    <row r="69" spans="1:12" x14ac:dyDescent="0.25">
      <c r="A69" s="34">
        <f t="shared" si="2"/>
        <v>43</v>
      </c>
      <c r="B69" s="20" t="s">
        <v>55</v>
      </c>
      <c r="C69" s="62">
        <v>197918</v>
      </c>
      <c r="D69" s="63">
        <v>197918</v>
      </c>
      <c r="E69" s="62">
        <v>197918</v>
      </c>
      <c r="F69" s="63">
        <v>197918</v>
      </c>
      <c r="G69" s="5"/>
      <c r="H69" s="15">
        <f t="shared" si="32"/>
        <v>1.5E-5</v>
      </c>
      <c r="I69" s="54">
        <f t="shared" si="33"/>
        <v>1.4E-5</v>
      </c>
      <c r="J69" s="54">
        <f t="shared" si="34"/>
        <v>1.4E-5</v>
      </c>
      <c r="K69" s="37">
        <f t="shared" si="35"/>
        <v>1.4E-5</v>
      </c>
    </row>
    <row r="70" spans="1:12" x14ac:dyDescent="0.25">
      <c r="A70" s="34">
        <f t="shared" si="2"/>
        <v>44</v>
      </c>
      <c r="B70" s="20" t="s">
        <v>56</v>
      </c>
      <c r="C70" s="64">
        <v>6498</v>
      </c>
      <c r="D70" s="13">
        <v>413419</v>
      </c>
      <c r="E70" s="64">
        <v>341518</v>
      </c>
      <c r="F70" s="13">
        <v>358803</v>
      </c>
      <c r="G70" s="5"/>
      <c r="H70" s="10">
        <f t="shared" si="32"/>
        <v>0</v>
      </c>
      <c r="I70" s="53">
        <f t="shared" si="33"/>
        <v>3.0000000000000001E-5</v>
      </c>
      <c r="J70" s="53">
        <f t="shared" si="34"/>
        <v>2.4000000000000001E-5</v>
      </c>
      <c r="K70" s="35">
        <f t="shared" si="35"/>
        <v>2.5999999999999998E-5</v>
      </c>
    </row>
    <row r="71" spans="1:12" x14ac:dyDescent="0.25">
      <c r="A71" s="34">
        <f t="shared" si="2"/>
        <v>45</v>
      </c>
      <c r="B71" s="20" t="s">
        <v>57</v>
      </c>
      <c r="C71" s="50">
        <f>SUM(C67:C70)</f>
        <v>101604544</v>
      </c>
      <c r="D71" s="7">
        <f t="shared" ref="D71:F71" si="36">SUM(D67:D70)</f>
        <v>88075260</v>
      </c>
      <c r="E71" s="50">
        <f t="shared" si="36"/>
        <v>90690661</v>
      </c>
      <c r="F71" s="7">
        <f t="shared" si="36"/>
        <v>107972910</v>
      </c>
      <c r="G71" s="5"/>
      <c r="H71" s="11">
        <f t="shared" si="32"/>
        <v>7.7120000000000001E-3</v>
      </c>
      <c r="I71" s="55">
        <f t="shared" si="33"/>
        <v>6.3860000000000002E-3</v>
      </c>
      <c r="J71" s="55">
        <f t="shared" si="34"/>
        <v>6.2440000000000004E-3</v>
      </c>
      <c r="K71" s="38">
        <f t="shared" si="35"/>
        <v>7.8519999999999996E-3</v>
      </c>
    </row>
    <row r="72" spans="1:12" ht="15.75" thickBot="1" x14ac:dyDescent="0.3">
      <c r="A72" s="34">
        <f t="shared" si="2"/>
        <v>46</v>
      </c>
      <c r="B72" s="20" t="s">
        <v>58</v>
      </c>
      <c r="C72" s="58">
        <f>C34+C65-C71</f>
        <v>28691908</v>
      </c>
      <c r="D72" s="8">
        <f>D34+D65-D71</f>
        <v>10542084</v>
      </c>
      <c r="E72" s="58">
        <f>E34+E65-E71</f>
        <v>35880339</v>
      </c>
      <c r="F72" s="8">
        <f>F34+F65-F71</f>
        <v>17855671</v>
      </c>
      <c r="G72" s="5"/>
      <c r="H72" s="12">
        <f t="shared" si="32"/>
        <v>2.1779999999999998E-3</v>
      </c>
      <c r="I72" s="60">
        <f t="shared" si="33"/>
        <v>7.6400000000000003E-4</v>
      </c>
      <c r="J72" s="60">
        <f t="shared" si="34"/>
        <v>2.47E-3</v>
      </c>
      <c r="K72" s="47">
        <f t="shared" si="35"/>
        <v>1.299E-3</v>
      </c>
    </row>
    <row r="73" spans="1:12" ht="16.5" thickTop="1" thickBot="1" x14ac:dyDescent="0.3">
      <c r="A73" s="34">
        <f t="shared" si="2"/>
        <v>47</v>
      </c>
      <c r="B73" s="20" t="s">
        <v>59</v>
      </c>
      <c r="C73" s="65">
        <v>13175476906</v>
      </c>
      <c r="D73" s="66">
        <v>13791780442</v>
      </c>
      <c r="E73" s="65">
        <v>14523831068</v>
      </c>
      <c r="F73" s="66">
        <v>13750674579</v>
      </c>
      <c r="G73" s="5"/>
      <c r="H73" s="20"/>
      <c r="I73" s="5"/>
      <c r="J73" s="5"/>
      <c r="K73" s="21"/>
      <c r="L73" t="s">
        <v>96</v>
      </c>
    </row>
    <row r="74" spans="1:12" ht="16.5" thickTop="1" thickBot="1" x14ac:dyDescent="0.3">
      <c r="A74" s="39"/>
      <c r="B74" s="29"/>
      <c r="C74" s="52"/>
      <c r="D74" s="29"/>
      <c r="E74" s="52"/>
      <c r="F74" s="29"/>
      <c r="G74" s="52"/>
      <c r="H74" s="29"/>
      <c r="I74" s="52"/>
      <c r="J74" s="52"/>
      <c r="K74" s="48"/>
    </row>
    <row r="75" spans="1:12" ht="15.75" thickTop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2" x14ac:dyDescent="0.25">
      <c r="A76" s="9" t="s">
        <v>60</v>
      </c>
      <c r="B76" s="1" t="s">
        <v>61</v>
      </c>
      <c r="C76" s="1"/>
      <c r="D76" s="1"/>
      <c r="E76" s="1"/>
      <c r="F76" s="1"/>
      <c r="G76" s="1"/>
      <c r="H76" s="1"/>
      <c r="I76" s="1"/>
      <c r="J76" s="1"/>
      <c r="K76" s="1"/>
    </row>
    <row r="77" spans="1:12" x14ac:dyDescent="0.25">
      <c r="A77" s="2"/>
      <c r="B77" s="1" t="s">
        <v>62</v>
      </c>
      <c r="C77" s="1"/>
      <c r="D77" s="1"/>
      <c r="E77" s="1"/>
      <c r="F77" s="1"/>
      <c r="G77" s="1"/>
      <c r="H77" s="1"/>
      <c r="I77" s="1"/>
      <c r="J77" s="1"/>
      <c r="K77" s="1"/>
    </row>
    <row r="78" spans="1:12" x14ac:dyDescent="0.25">
      <c r="A78" s="2"/>
      <c r="B78" s="1" t="s">
        <v>66</v>
      </c>
      <c r="C78" s="1"/>
      <c r="D78" s="1"/>
      <c r="E78" s="1"/>
      <c r="F78" s="1"/>
      <c r="G78" s="1"/>
      <c r="H78" s="1"/>
      <c r="I78" s="1"/>
      <c r="J78" s="1"/>
      <c r="K78" s="1"/>
    </row>
    <row r="79" spans="1:12" x14ac:dyDescent="0.25">
      <c r="A79" s="2"/>
      <c r="B79" s="1" t="s">
        <v>65</v>
      </c>
      <c r="C79" s="1"/>
      <c r="D79" s="1"/>
      <c r="E79" s="1"/>
      <c r="F79" s="1"/>
      <c r="G79" s="1"/>
      <c r="H79" s="1"/>
      <c r="I79" s="1"/>
      <c r="J79" s="1"/>
      <c r="K79" s="1"/>
    </row>
    <row r="80" spans="1:12" x14ac:dyDescent="0.25">
      <c r="A80" s="2"/>
      <c r="B80" s="1" t="s">
        <v>63</v>
      </c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3"/>
      <c r="B81" s="1" t="s">
        <v>64</v>
      </c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2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2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mergeCells count="24">
    <mergeCell ref="A44:K44"/>
    <mergeCell ref="C45:F45"/>
    <mergeCell ref="H45:K45"/>
    <mergeCell ref="C46:E46"/>
    <mergeCell ref="F46:F47"/>
    <mergeCell ref="H46:J46"/>
    <mergeCell ref="K46:K47"/>
    <mergeCell ref="A38:K38"/>
    <mergeCell ref="A39:K39"/>
    <mergeCell ref="A41:K41"/>
    <mergeCell ref="A42:K42"/>
    <mergeCell ref="A43:K43"/>
    <mergeCell ref="C9:F9"/>
    <mergeCell ref="C10:E10"/>
    <mergeCell ref="F10:F11"/>
    <mergeCell ref="H9:K9"/>
    <mergeCell ref="H10:J10"/>
    <mergeCell ref="K10:K11"/>
    <mergeCell ref="A8:K8"/>
    <mergeCell ref="A2:K2"/>
    <mergeCell ref="A3:K3"/>
    <mergeCell ref="A5:K5"/>
    <mergeCell ref="A6:K6"/>
    <mergeCell ref="A7:K7"/>
  </mergeCells>
  <pageMargins left="0.7" right="0.7" top="0.75" bottom="0.75" header="0.3" footer="0.3"/>
  <pageSetup scale="62" fitToHeight="2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cp:lastPrinted>2021-04-12T14:14:12Z</cp:lastPrinted>
  <dcterms:created xsi:type="dcterms:W3CDTF">2021-03-29T18:06:37Z</dcterms:created>
  <dcterms:modified xsi:type="dcterms:W3CDTF">2025-08-18T15:01:55Z</dcterms:modified>
</cp:coreProperties>
</file>