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JeffWernert\Desktop\"/>
    </mc:Choice>
  </mc:AlternateContent>
  <xr:revisionPtr revIDLastSave="0" documentId="13_ncr:1_{C6267B23-A5CE-4AED-B5B1-D409A20A86DB}" xr6:coauthVersionLast="47" xr6:coauthVersionMax="47" xr10:uidLastSave="{00000000-0000-0000-0000-000000000000}"/>
  <bookViews>
    <workbookView xWindow="20370" yWindow="-105" windowWidth="20730" windowHeight="11040" tabRatio="778" xr2:uid="{298ED28F-86A7-4496-83D4-C267BC7A4A6A}"/>
  </bookViews>
  <sheets>
    <sheet name="EKPC Summary" sheetId="41" r:id="rId1"/>
    <sheet name="Rate B" sheetId="35" r:id="rId2"/>
    <sheet name="Rate C" sheetId="36" r:id="rId3"/>
    <sheet name="Rate G" sheetId="37" r:id="rId4"/>
    <sheet name="Rate E " sheetId="33" r:id="rId5"/>
    <sheet name="Special Contract" sheetId="38" r:id="rId6"/>
    <sheet name="Pumping Stations" sheetId="39" r:id="rId7"/>
    <sheet name="Steam" sheetId="40" r:id="rId8"/>
  </sheets>
  <definedNames>
    <definedName name="_xlnm.Print_Area" localSheetId="0">'EKPC Summary'!$A$1:$I$15</definedName>
    <definedName name="_xlnm.Print_Area" localSheetId="6">'Pumping Stations'!$A$1:$Q$43</definedName>
    <definedName name="_xlnm.Print_Area" localSheetId="1">'Rate B'!$A$1:$Z$37</definedName>
    <definedName name="_xlnm.Print_Area" localSheetId="2">'Rate C'!$A$1:$Z$36</definedName>
    <definedName name="_xlnm.Print_Area" localSheetId="4">'Rate E '!$A$1:$Z$46</definedName>
    <definedName name="_xlnm.Print_Area" localSheetId="3">'Rate G'!$A$1:$Z$39</definedName>
    <definedName name="_xlnm.Print_Area" localSheetId="5">'Special Contract'!$A$1:$Z$47</definedName>
    <definedName name="_xlnm.Print_Area" localSheetId="7">Steam!$A$1:$Z$28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40" l="1"/>
  <c r="H26" i="40" s="1"/>
  <c r="H28" i="40" s="1"/>
  <c r="H10" i="40"/>
  <c r="V10" i="40"/>
  <c r="A33" i="40"/>
  <c r="O25" i="33" l="1"/>
  <c r="H13" i="41"/>
  <c r="H12" i="41"/>
  <c r="H11" i="41"/>
  <c r="H10" i="41"/>
  <c r="H9" i="41"/>
  <c r="G13" i="41"/>
  <c r="G12" i="41"/>
  <c r="G11" i="41"/>
  <c r="G10" i="41"/>
  <c r="G9" i="41"/>
  <c r="X25" i="38"/>
  <c r="F13" i="41"/>
  <c r="F11" i="41"/>
  <c r="F10" i="41"/>
  <c r="F9" i="41"/>
  <c r="X28" i="33"/>
  <c r="X26" i="33"/>
  <c r="X25" i="33"/>
  <c r="X22" i="33"/>
  <c r="X21" i="33"/>
  <c r="X20" i="33"/>
  <c r="X21" i="37"/>
  <c r="X16" i="37"/>
  <c r="Z24" i="37"/>
  <c r="V21" i="37"/>
  <c r="Z21" i="37" s="1"/>
  <c r="Z17" i="37"/>
  <c r="V17" i="37"/>
  <c r="Z16" i="37"/>
  <c r="V16" i="37"/>
  <c r="V10" i="37"/>
  <c r="Z36" i="36"/>
  <c r="Z34" i="36"/>
  <c r="T15" i="35"/>
  <c r="K15" i="35"/>
  <c r="K15" i="36"/>
  <c r="T15" i="36"/>
  <c r="Z35" i="35"/>
  <c r="Z32" i="36"/>
  <c r="X18" i="36"/>
  <c r="X13" i="36"/>
  <c r="Z26" i="36"/>
  <c r="Z25" i="36"/>
  <c r="Z24" i="36"/>
  <c r="Z23" i="36"/>
  <c r="Z22" i="36"/>
  <c r="Z21" i="36"/>
  <c r="V18" i="36"/>
  <c r="Z18" i="36" s="1"/>
  <c r="V15" i="36"/>
  <c r="Z15" i="36" s="1"/>
  <c r="V14" i="36"/>
  <c r="V13" i="36"/>
  <c r="Z13" i="36" s="1"/>
  <c r="V10" i="36"/>
  <c r="Z10" i="36" s="1"/>
  <c r="Z28" i="36" s="1"/>
  <c r="Z37" i="35"/>
  <c r="X18" i="35"/>
  <c r="X14" i="35"/>
  <c r="X13" i="35"/>
  <c r="Z27" i="35"/>
  <c r="Z26" i="35"/>
  <c r="Z25" i="35"/>
  <c r="Z24" i="35"/>
  <c r="Z23" i="35"/>
  <c r="Z22" i="35"/>
  <c r="Z21" i="35"/>
  <c r="V18" i="35"/>
  <c r="Z18" i="35" s="1"/>
  <c r="V15" i="35"/>
  <c r="Z15" i="35" s="1"/>
  <c r="V14" i="35"/>
  <c r="Z14" i="35" s="1"/>
  <c r="V13" i="35"/>
  <c r="Z13" i="35" s="1"/>
  <c r="V10" i="35"/>
  <c r="Z10" i="35" s="1"/>
  <c r="X16" i="38"/>
  <c r="X17" i="38" s="1"/>
  <c r="Z36" i="38"/>
  <c r="Z35" i="38"/>
  <c r="Z34" i="38"/>
  <c r="T20" i="38"/>
  <c r="X19" i="38"/>
  <c r="T19" i="38"/>
  <c r="T16" i="38"/>
  <c r="O19" i="38"/>
  <c r="O17" i="38"/>
  <c r="K17" i="38"/>
  <c r="T17" i="38" s="1"/>
  <c r="K18" i="38"/>
  <c r="T18" i="38" s="1"/>
  <c r="K19" i="38"/>
  <c r="K20" i="38"/>
  <c r="K16" i="38"/>
  <c r="F20" i="38"/>
  <c r="F19" i="38"/>
  <c r="F18" i="38"/>
  <c r="F17" i="38"/>
  <c r="Z29" i="35" l="1"/>
  <c r="O9" i="33" l="1"/>
  <c r="O15" i="33"/>
  <c r="O14" i="33"/>
  <c r="X14" i="33" s="1"/>
  <c r="O13" i="33"/>
  <c r="X13" i="33" s="1"/>
  <c r="O12" i="33"/>
  <c r="X12" i="33" s="1"/>
  <c r="X15" i="33" l="1"/>
  <c r="O13" i="37"/>
  <c r="X13" i="37" s="1"/>
  <c r="Z13" i="37" s="1"/>
  <c r="X9" i="33"/>
  <c r="O10" i="37"/>
  <c r="X10" i="37" s="1"/>
  <c r="Z10" i="37" s="1"/>
  <c r="Z31" i="37" s="1"/>
  <c r="Q15" i="35"/>
  <c r="M15" i="35"/>
  <c r="Q32" i="38"/>
  <c r="Z32" i="38" s="1"/>
  <c r="H15" i="35"/>
  <c r="Z18" i="40" l="1"/>
  <c r="Q10" i="40"/>
  <c r="O27" i="33" l="1"/>
  <c r="X27" i="33" s="1"/>
  <c r="H31" i="33" l="1"/>
  <c r="H31" i="38"/>
  <c r="F26" i="38"/>
  <c r="F25" i="38"/>
  <c r="H24" i="37"/>
  <c r="H21" i="35"/>
  <c r="O26" i="38" l="1"/>
  <c r="X26" i="38" s="1"/>
  <c r="Q36" i="33"/>
  <c r="Z36" i="33" s="1"/>
  <c r="Q34" i="33"/>
  <c r="Z34" i="33" s="1"/>
  <c r="Z16" i="40"/>
  <c r="C13" i="41"/>
  <c r="Q39" i="39"/>
  <c r="Q37" i="39"/>
  <c r="Q35" i="39"/>
  <c r="Q27" i="39"/>
  <c r="Q22" i="39"/>
  <c r="Q23" i="39"/>
  <c r="Q24" i="39"/>
  <c r="Q21" i="39"/>
  <c r="M22" i="39"/>
  <c r="M23" i="39"/>
  <c r="M24" i="39"/>
  <c r="M21" i="39"/>
  <c r="Q13" i="39"/>
  <c r="Q28" i="38"/>
  <c r="Z28" i="38" s="1"/>
  <c r="Q27" i="38"/>
  <c r="Z27" i="38" s="1"/>
  <c r="Q31" i="38"/>
  <c r="Z31" i="38" s="1"/>
  <c r="Q36" i="38"/>
  <c r="Q35" i="38"/>
  <c r="Q34" i="38"/>
  <c r="O13" i="38"/>
  <c r="O10" i="38"/>
  <c r="X10" i="38" s="1"/>
  <c r="Q24" i="37"/>
  <c r="Q13" i="37"/>
  <c r="Q13" i="38" l="1"/>
  <c r="X13" i="38"/>
  <c r="Z13" i="38" s="1"/>
  <c r="Q22" i="36"/>
  <c r="Q24" i="36"/>
  <c r="Q25" i="36"/>
  <c r="Q26" i="36"/>
  <c r="Q21" i="36"/>
  <c r="Q22" i="35"/>
  <c r="Q23" i="35"/>
  <c r="Q24" i="35"/>
  <c r="Q25" i="35"/>
  <c r="Q26" i="35"/>
  <c r="Q27" i="35"/>
  <c r="Q21" i="35"/>
  <c r="H52" i="36"/>
  <c r="H51" i="36"/>
  <c r="H50" i="36"/>
  <c r="H49" i="36"/>
  <c r="H48" i="36"/>
  <c r="H47" i="36"/>
  <c r="B84" i="36"/>
  <c r="B83" i="36"/>
  <c r="B82" i="36"/>
  <c r="B81" i="36"/>
  <c r="B80" i="36"/>
  <c r="B79" i="36"/>
  <c r="B52" i="36"/>
  <c r="B51" i="36"/>
  <c r="B50" i="36"/>
  <c r="B49" i="36"/>
  <c r="B48" i="36"/>
  <c r="B47" i="36"/>
  <c r="H23" i="36"/>
  <c r="Q23" i="36" s="1"/>
  <c r="D52" i="36"/>
  <c r="D51" i="36"/>
  <c r="D50" i="36"/>
  <c r="D49" i="36"/>
  <c r="H42" i="35"/>
  <c r="H32" i="33"/>
  <c r="Q32" i="33" s="1"/>
  <c r="Z32" i="33" s="1"/>
  <c r="H62" i="33"/>
  <c r="H61" i="33"/>
  <c r="H60" i="33"/>
  <c r="H59" i="33"/>
  <c r="H58" i="33"/>
  <c r="H57" i="33"/>
  <c r="B13" i="41" l="1"/>
  <c r="D53" i="40"/>
  <c r="D54" i="40"/>
  <c r="D55" i="40"/>
  <c r="D56" i="40"/>
  <c r="D57" i="40"/>
  <c r="D58" i="40"/>
  <c r="D59" i="40"/>
  <c r="D60" i="40"/>
  <c r="D61" i="40"/>
  <c r="D62" i="40"/>
  <c r="D63" i="40"/>
  <c r="D52" i="40"/>
  <c r="B80" i="40"/>
  <c r="H79" i="40"/>
  <c r="H78" i="40"/>
  <c r="H77" i="40"/>
  <c r="H76" i="40"/>
  <c r="H75" i="40"/>
  <c r="H74" i="40"/>
  <c r="H73" i="40"/>
  <c r="H72" i="40"/>
  <c r="H71" i="40"/>
  <c r="H70" i="40"/>
  <c r="H69" i="40"/>
  <c r="H68" i="40"/>
  <c r="B64" i="40"/>
  <c r="J48" i="40"/>
  <c r="H48" i="40"/>
  <c r="F48" i="40"/>
  <c r="D48" i="40"/>
  <c r="B48" i="40"/>
  <c r="D18" i="40" s="1"/>
  <c r="H18" i="40" s="1"/>
  <c r="H35" i="39"/>
  <c r="D16" i="40" l="1"/>
  <c r="D13" i="41"/>
  <c r="I13" i="41"/>
  <c r="D64" i="40"/>
  <c r="E13" i="41"/>
  <c r="H80" i="40"/>
  <c r="Z10" i="40"/>
  <c r="H16" i="40" l="1"/>
  <c r="M16" i="40"/>
  <c r="Q16" i="40" s="1"/>
  <c r="D13" i="40"/>
  <c r="M13" i="40" s="1"/>
  <c r="Q13" i="40"/>
  <c r="B91" i="39"/>
  <c r="H91" i="39" s="1"/>
  <c r="B90" i="39"/>
  <c r="H90" i="39" s="1"/>
  <c r="B89" i="39"/>
  <c r="H89" i="39" s="1"/>
  <c r="B88" i="39"/>
  <c r="H88" i="39" s="1"/>
  <c r="B87" i="39"/>
  <c r="H87" i="39" s="1"/>
  <c r="B86" i="39"/>
  <c r="H86" i="39" s="1"/>
  <c r="B85" i="39"/>
  <c r="H85" i="39" s="1"/>
  <c r="B84" i="39"/>
  <c r="H84" i="39" s="1"/>
  <c r="B83" i="39"/>
  <c r="H83" i="39" s="1"/>
  <c r="B82" i="39"/>
  <c r="H82" i="39" s="1"/>
  <c r="B81" i="39"/>
  <c r="H81" i="39" s="1"/>
  <c r="B80" i="39"/>
  <c r="D76" i="39"/>
  <c r="B76" i="39"/>
  <c r="D23" i="39" s="1"/>
  <c r="H60" i="39"/>
  <c r="F60" i="39"/>
  <c r="D16" i="39" s="1"/>
  <c r="D60" i="39"/>
  <c r="D22" i="39" s="1"/>
  <c r="B60" i="39"/>
  <c r="D21" i="39" s="1"/>
  <c r="A45" i="39"/>
  <c r="H13" i="39"/>
  <c r="M10" i="39"/>
  <c r="H10" i="39"/>
  <c r="H35" i="38"/>
  <c r="H34" i="38"/>
  <c r="H36" i="38"/>
  <c r="B87" i="38"/>
  <c r="H87" i="38" s="1"/>
  <c r="B88" i="38"/>
  <c r="H88" i="38" s="1"/>
  <c r="B89" i="38"/>
  <c r="H89" i="38" s="1"/>
  <c r="B90" i="38"/>
  <c r="H90" i="38" s="1"/>
  <c r="B91" i="38"/>
  <c r="H91" i="38" s="1"/>
  <c r="B92" i="38"/>
  <c r="H92" i="38" s="1"/>
  <c r="B93" i="38"/>
  <c r="H93" i="38" s="1"/>
  <c r="B94" i="38"/>
  <c r="B95" i="38"/>
  <c r="H95" i="38" s="1"/>
  <c r="B96" i="38"/>
  <c r="H96" i="38" s="1"/>
  <c r="B97" i="38"/>
  <c r="H97" i="38" s="1"/>
  <c r="B86" i="38"/>
  <c r="H86" i="38" s="1"/>
  <c r="D82" i="38"/>
  <c r="D26" i="38" s="1"/>
  <c r="B82" i="38"/>
  <c r="D25" i="38" s="1"/>
  <c r="M25" i="38" s="1"/>
  <c r="F66" i="38"/>
  <c r="H66" i="38"/>
  <c r="D66" i="38"/>
  <c r="D17" i="38" s="1"/>
  <c r="B66" i="38"/>
  <c r="D16" i="38" s="1"/>
  <c r="M16" i="38" s="1"/>
  <c r="V16" i="38" s="1"/>
  <c r="Z16" i="38" s="1"/>
  <c r="A51" i="38"/>
  <c r="H13" i="38"/>
  <c r="M10" i="38"/>
  <c r="V10" i="38" s="1"/>
  <c r="Z10" i="38" s="1"/>
  <c r="H10" i="38"/>
  <c r="H13" i="37"/>
  <c r="B88" i="37"/>
  <c r="H87" i="37"/>
  <c r="H86" i="37"/>
  <c r="H85" i="37"/>
  <c r="H84" i="37"/>
  <c r="H83" i="37"/>
  <c r="H82" i="37"/>
  <c r="H81" i="37"/>
  <c r="H80" i="37"/>
  <c r="H79" i="37"/>
  <c r="H78" i="37"/>
  <c r="H77" i="37"/>
  <c r="H76" i="37"/>
  <c r="H72" i="37"/>
  <c r="F72" i="37"/>
  <c r="D72" i="37"/>
  <c r="B72" i="37"/>
  <c r="H56" i="37"/>
  <c r="F56" i="37"/>
  <c r="D17" i="37" s="1"/>
  <c r="D56" i="37"/>
  <c r="D16" i="37" s="1"/>
  <c r="M16" i="37" s="1"/>
  <c r="B56" i="37"/>
  <c r="D21" i="37" s="1"/>
  <c r="M21" i="37" s="1"/>
  <c r="Q21" i="37" s="1"/>
  <c r="A41" i="37"/>
  <c r="M10" i="37"/>
  <c r="H10" i="37"/>
  <c r="D15" i="36"/>
  <c r="M15" i="36" s="1"/>
  <c r="Q15" i="36" s="1"/>
  <c r="B85" i="36"/>
  <c r="H84" i="36"/>
  <c r="H83" i="36"/>
  <c r="H82" i="36"/>
  <c r="H81" i="36"/>
  <c r="H80" i="36"/>
  <c r="H79" i="36"/>
  <c r="H78" i="36"/>
  <c r="H77" i="36"/>
  <c r="H76" i="36"/>
  <c r="H75" i="36"/>
  <c r="H74" i="36"/>
  <c r="H73" i="36"/>
  <c r="H69" i="36"/>
  <c r="F69" i="36"/>
  <c r="D69" i="36"/>
  <c r="B69" i="36"/>
  <c r="H53" i="36"/>
  <c r="F53" i="36"/>
  <c r="D14" i="36" s="1"/>
  <c r="D53" i="36"/>
  <c r="D13" i="36" s="1"/>
  <c r="M13" i="36" s="1"/>
  <c r="B53" i="36"/>
  <c r="D18" i="36" s="1"/>
  <c r="M18" i="36" s="1"/>
  <c r="A38" i="36"/>
  <c r="Q18" i="36"/>
  <c r="M10" i="36"/>
  <c r="Q10" i="36" s="1"/>
  <c r="H10" i="36"/>
  <c r="H85" i="35"/>
  <c r="H84" i="35"/>
  <c r="H83" i="35"/>
  <c r="H82" i="35"/>
  <c r="H81" i="35"/>
  <c r="H80" i="35"/>
  <c r="H79" i="35"/>
  <c r="H78" i="35"/>
  <c r="H77" i="35"/>
  <c r="H76" i="35"/>
  <c r="H75" i="35"/>
  <c r="H70" i="35"/>
  <c r="F70" i="35"/>
  <c r="D70" i="35"/>
  <c r="B70" i="35"/>
  <c r="H54" i="35"/>
  <c r="F54" i="35"/>
  <c r="D14" i="35" s="1"/>
  <c r="D54" i="35"/>
  <c r="B54" i="35"/>
  <c r="D18" i="35" s="1"/>
  <c r="M18" i="35" s="1"/>
  <c r="A39" i="35"/>
  <c r="M13" i="35"/>
  <c r="M10" i="35"/>
  <c r="H35" i="33"/>
  <c r="Q35" i="33" s="1"/>
  <c r="Z35" i="33" s="1"/>
  <c r="H33" i="33"/>
  <c r="Q33" i="33" s="1"/>
  <c r="Z33" i="33" s="1"/>
  <c r="D22" i="33"/>
  <c r="M22" i="33" s="1"/>
  <c r="B84" i="33"/>
  <c r="H84" i="33" s="1"/>
  <c r="B85" i="33"/>
  <c r="H85" i="33" s="1"/>
  <c r="B86" i="33"/>
  <c r="H86" i="33" s="1"/>
  <c r="B87" i="33"/>
  <c r="H87" i="33" s="1"/>
  <c r="B88" i="33"/>
  <c r="H88" i="33" s="1"/>
  <c r="B89" i="33"/>
  <c r="H89" i="33" s="1"/>
  <c r="B90" i="33"/>
  <c r="H90" i="33" s="1"/>
  <c r="B91" i="33"/>
  <c r="H91" i="33" s="1"/>
  <c r="B92" i="33"/>
  <c r="H92" i="33" s="1"/>
  <c r="B93" i="33"/>
  <c r="H93" i="33" s="1"/>
  <c r="B94" i="33"/>
  <c r="H94" i="33" s="1"/>
  <c r="B83" i="33"/>
  <c r="H79" i="33"/>
  <c r="F79" i="33"/>
  <c r="D21" i="33" s="1"/>
  <c r="D79" i="33"/>
  <c r="D28" i="33" s="1"/>
  <c r="M28" i="33" s="1"/>
  <c r="B79" i="33"/>
  <c r="D27" i="33" s="1"/>
  <c r="M27" i="33" s="1"/>
  <c r="H63" i="33"/>
  <c r="F63" i="33"/>
  <c r="D20" i="33" s="1"/>
  <c r="D63" i="33"/>
  <c r="B63" i="33"/>
  <c r="D25" i="33" s="1"/>
  <c r="M25" i="33" s="1"/>
  <c r="V25" i="33" s="1"/>
  <c r="Z25" i="33" s="1"/>
  <c r="F22" i="33"/>
  <c r="M20" i="33"/>
  <c r="V20" i="33" s="1"/>
  <c r="Z20" i="33" s="1"/>
  <c r="V13" i="40" l="1"/>
  <c r="Z13" i="40" s="1"/>
  <c r="H13" i="40"/>
  <c r="M17" i="38"/>
  <c r="V17" i="38" s="1"/>
  <c r="Z17" i="38" s="1"/>
  <c r="D18" i="38"/>
  <c r="Q25" i="38"/>
  <c r="V25" i="38"/>
  <c r="Z25" i="38" s="1"/>
  <c r="Q27" i="33"/>
  <c r="V27" i="33"/>
  <c r="Z27" i="33" s="1"/>
  <c r="Q22" i="33"/>
  <c r="V22" i="33"/>
  <c r="Z22" i="33" s="1"/>
  <c r="Q28" i="33"/>
  <c r="V28" i="33"/>
  <c r="Z28" i="33" s="1"/>
  <c r="H17" i="38"/>
  <c r="H26" i="38"/>
  <c r="M26" i="38"/>
  <c r="D19" i="38"/>
  <c r="H15" i="33"/>
  <c r="M17" i="37"/>
  <c r="Q17" i="37" s="1"/>
  <c r="H17" i="37"/>
  <c r="H14" i="36"/>
  <c r="M14" i="36"/>
  <c r="H14" i="35"/>
  <c r="M14" i="35"/>
  <c r="Q14" i="35" s="1"/>
  <c r="M14" i="33"/>
  <c r="M12" i="33"/>
  <c r="H12" i="33"/>
  <c r="M13" i="33"/>
  <c r="H85" i="36"/>
  <c r="H13" i="36"/>
  <c r="H28" i="36" s="1"/>
  <c r="D26" i="33"/>
  <c r="D24" i="39"/>
  <c r="B92" i="39"/>
  <c r="H80" i="39"/>
  <c r="H92" i="39" s="1"/>
  <c r="M16" i="39"/>
  <c r="H16" i="39"/>
  <c r="Q10" i="39"/>
  <c r="B98" i="38"/>
  <c r="H94" i="38"/>
  <c r="H98" i="38"/>
  <c r="H25" i="38"/>
  <c r="Q16" i="38"/>
  <c r="Q10" i="38"/>
  <c r="H16" i="38"/>
  <c r="H88" i="37"/>
  <c r="Q16" i="37"/>
  <c r="H21" i="37"/>
  <c r="Q10" i="37"/>
  <c r="H16" i="37"/>
  <c r="H18" i="36"/>
  <c r="Q13" i="36"/>
  <c r="H18" i="35"/>
  <c r="H29" i="35" s="1"/>
  <c r="Q18" i="35"/>
  <c r="B86" i="35"/>
  <c r="Q13" i="35"/>
  <c r="Q10" i="35"/>
  <c r="H10" i="35"/>
  <c r="H74" i="35"/>
  <c r="H86" i="35" s="1"/>
  <c r="H13" i="35"/>
  <c r="H27" i="33"/>
  <c r="H22" i="33"/>
  <c r="B95" i="33"/>
  <c r="D31" i="33" s="1"/>
  <c r="H25" i="33"/>
  <c r="Q25" i="33"/>
  <c r="H28" i="33"/>
  <c r="H20" i="33"/>
  <c r="H83" i="33"/>
  <c r="H95" i="33" s="1"/>
  <c r="D20" i="40" l="1"/>
  <c r="H20" i="40" s="1"/>
  <c r="H23" i="40"/>
  <c r="B14" i="41" s="1"/>
  <c r="Q26" i="38"/>
  <c r="V26" i="38"/>
  <c r="Z26" i="38" s="1"/>
  <c r="D20" i="38"/>
  <c r="M19" i="38"/>
  <c r="V19" i="38" s="1"/>
  <c r="Z19" i="38" s="1"/>
  <c r="H18" i="38"/>
  <c r="M18" i="38"/>
  <c r="Q17" i="38"/>
  <c r="Q14" i="33"/>
  <c r="V14" i="33"/>
  <c r="Z14" i="33" s="1"/>
  <c r="Q12" i="33"/>
  <c r="V12" i="33"/>
  <c r="Z12" i="33" s="1"/>
  <c r="Q13" i="33"/>
  <c r="V13" i="33"/>
  <c r="Z13" i="33" s="1"/>
  <c r="H19" i="38"/>
  <c r="M15" i="33"/>
  <c r="H31" i="37"/>
  <c r="B11" i="41" s="1"/>
  <c r="H26" i="33"/>
  <c r="H29" i="33" s="1"/>
  <c r="M26" i="33"/>
  <c r="H9" i="33"/>
  <c r="H13" i="33"/>
  <c r="H14" i="33"/>
  <c r="H21" i="33"/>
  <c r="M21" i="33"/>
  <c r="Q31" i="37"/>
  <c r="Z33" i="37" s="1"/>
  <c r="Z35" i="37" s="1"/>
  <c r="Q28" i="36"/>
  <c r="Z30" i="36" s="1"/>
  <c r="Q29" i="35"/>
  <c r="Z31" i="35" s="1"/>
  <c r="Z33" i="35" s="1"/>
  <c r="B10" i="41"/>
  <c r="B9" i="41"/>
  <c r="D95" i="33"/>
  <c r="Q16" i="39"/>
  <c r="Q20" i="33"/>
  <c r="Z20" i="40" l="1"/>
  <c r="Q20" i="40"/>
  <c r="Q23" i="40" s="1"/>
  <c r="H20" i="38"/>
  <c r="H39" i="38" s="1"/>
  <c r="B12" i="41" s="1"/>
  <c r="M20" i="38"/>
  <c r="Q19" i="38"/>
  <c r="Q18" i="38"/>
  <c r="V18" i="38"/>
  <c r="Z18" i="38" s="1"/>
  <c r="Q21" i="33"/>
  <c r="V21" i="33"/>
  <c r="Z21" i="33" s="1"/>
  <c r="Q15" i="33"/>
  <c r="Q16" i="33" s="1"/>
  <c r="V15" i="33"/>
  <c r="Z15" i="33" s="1"/>
  <c r="Q26" i="33"/>
  <c r="Q29" i="33" s="1"/>
  <c r="V26" i="33"/>
  <c r="Z26" i="33" s="1"/>
  <c r="Z29" i="33" s="1"/>
  <c r="Z16" i="33"/>
  <c r="M9" i="33"/>
  <c r="V9" i="33" s="1"/>
  <c r="Z9" i="33" s="1"/>
  <c r="H16" i="33"/>
  <c r="H38" i="33" s="1"/>
  <c r="Q33" i="37"/>
  <c r="C11" i="41"/>
  <c r="Q30" i="36"/>
  <c r="C10" i="41"/>
  <c r="D10" i="41" s="1"/>
  <c r="Q31" i="35"/>
  <c r="C9" i="41"/>
  <c r="D9" i="41" s="1"/>
  <c r="Q31" i="33"/>
  <c r="Z31" i="33" s="1"/>
  <c r="D32" i="33"/>
  <c r="Z23" i="40" l="1"/>
  <c r="I9" i="41"/>
  <c r="I10" i="41"/>
  <c r="Q20" i="38"/>
  <c r="V20" i="38"/>
  <c r="Z20" i="38" s="1"/>
  <c r="Z39" i="38" s="1"/>
  <c r="Q9" i="33"/>
  <c r="Z38" i="33"/>
  <c r="Z37" i="37"/>
  <c r="Z39" i="37"/>
  <c r="Q32" i="36"/>
  <c r="Q35" i="37"/>
  <c r="Q33" i="35"/>
  <c r="D11" i="41"/>
  <c r="E11" i="41"/>
  <c r="E10" i="41"/>
  <c r="E9" i="41"/>
  <c r="B8" i="41"/>
  <c r="Q38" i="33"/>
  <c r="Q40" i="33" s="1"/>
  <c r="Z25" i="40" l="1"/>
  <c r="Z27" i="40" s="1"/>
  <c r="C14" i="41"/>
  <c r="I11" i="41"/>
  <c r="B15" i="41"/>
  <c r="Q39" i="38"/>
  <c r="Z40" i="33"/>
  <c r="C8" i="41"/>
  <c r="Q42" i="33"/>
  <c r="G14" i="41" l="1"/>
  <c r="H14" i="41" s="1"/>
  <c r="I14" i="41" s="1"/>
  <c r="E14" i="41"/>
  <c r="D14" i="41"/>
  <c r="D15" i="41" s="1"/>
  <c r="D18" i="41" s="1"/>
  <c r="E8" i="41"/>
  <c r="Z42" i="33"/>
  <c r="F8" i="41"/>
  <c r="G8" i="41" s="1"/>
  <c r="H8" i="41" s="1"/>
  <c r="Z41" i="38"/>
  <c r="C12" i="41"/>
  <c r="Q41" i="38"/>
  <c r="Z44" i="33"/>
  <c r="Z46" i="33"/>
  <c r="C15" i="41"/>
  <c r="D8" i="41"/>
  <c r="E15" i="41" l="1"/>
  <c r="I8" i="41"/>
  <c r="Z43" i="38"/>
  <c r="Z45" i="38"/>
  <c r="F12" i="41"/>
  <c r="Q43" i="38"/>
  <c r="Z47" i="38"/>
  <c r="E12" i="41"/>
  <c r="D12" i="41"/>
  <c r="D19" i="41"/>
  <c r="F15" i="41" l="1"/>
  <c r="G15" i="41" s="1"/>
  <c r="H15" i="41" s="1"/>
  <c r="I15" i="41" l="1"/>
  <c r="I12" i="41"/>
</calcChain>
</file>

<file path=xl/sharedStrings.xml><?xml version="1.0" encoding="utf-8"?>
<sst xmlns="http://schemas.openxmlformats.org/spreadsheetml/2006/main" count="867" uniqueCount="136">
  <si>
    <t>East Kentucky Power Cooperative</t>
  </si>
  <si>
    <t>Summary of Base Rate Changes</t>
  </si>
  <si>
    <t>Rate Class</t>
  </si>
  <si>
    <t>Current Rate Billings</t>
  </si>
  <si>
    <t>Proposed Base Rate Billings</t>
  </si>
  <si>
    <t>Difference</t>
  </si>
  <si>
    <t>Percent Change</t>
  </si>
  <si>
    <t>Impact of Interruptible Credit Increase</t>
  </si>
  <si>
    <t>Proposed Net Rate Billings</t>
  </si>
  <si>
    <t>Proposed Net Rate Change</t>
  </si>
  <si>
    <t>(A)</t>
  </si>
  <si>
    <t>(B)</t>
  </si>
  <si>
    <t>(C) = (B) - (A)</t>
  </si>
  <si>
    <t>(C) / (A)</t>
  </si>
  <si>
    <t>(D)</t>
  </si>
  <si>
    <t>(B) + (D)</t>
  </si>
  <si>
    <t>(F) = (E) - (A)</t>
  </si>
  <si>
    <t>(F) / A)</t>
  </si>
  <si>
    <t>Rate E</t>
  </si>
  <si>
    <t>Rate B</t>
  </si>
  <si>
    <t>Rate C</t>
  </si>
  <si>
    <t>Rate G</t>
  </si>
  <si>
    <t>Large Special Contract</t>
  </si>
  <si>
    <t>Special Contract Pumping Stations</t>
  </si>
  <si>
    <t>Steam Service</t>
  </si>
  <si>
    <t>Total</t>
  </si>
  <si>
    <t>Target Revenue</t>
  </si>
  <si>
    <t>Current Rate - 2024</t>
  </si>
  <si>
    <t>Proposed Base Rate Change before Interruptible Credit Increase</t>
  </si>
  <si>
    <t>Proposed Interruptible Credit Increase ($2/kW)</t>
  </si>
  <si>
    <t>Description</t>
  </si>
  <si>
    <t>Billing Units</t>
  </si>
  <si>
    <t>Rate</t>
  </si>
  <si>
    <t>Current $</t>
  </si>
  <si>
    <t>Proposed $</t>
  </si>
  <si>
    <t>Metering Point Charge</t>
  </si>
  <si>
    <t>All Customers</t>
  </si>
  <si>
    <t>Demand Charge</t>
  </si>
  <si>
    <t>Firm Demand</t>
  </si>
  <si>
    <t>Excess Demand</t>
  </si>
  <si>
    <t>Interuptible kW Credits (400h)</t>
  </si>
  <si>
    <t>Energy Charge</t>
  </si>
  <si>
    <t>kWh</t>
  </si>
  <si>
    <t>All kWh</t>
  </si>
  <si>
    <t>FAC</t>
  </si>
  <si>
    <t>FAC Adjustment for Min Bills</t>
  </si>
  <si>
    <t>ES</t>
  </si>
  <si>
    <t>Buythrough Charges</t>
  </si>
  <si>
    <t>Buythrough Credits</t>
  </si>
  <si>
    <t>EDR Credits</t>
  </si>
  <si>
    <t>Billing Adjustments</t>
  </si>
  <si>
    <t>Total Billings</t>
  </si>
  <si>
    <t>Increase/(Decrease)</t>
  </si>
  <si>
    <t>Total Net Increase $</t>
  </si>
  <si>
    <t>Total Net Increase %</t>
  </si>
  <si>
    <t>Energy</t>
  </si>
  <si>
    <t>Revenue</t>
  </si>
  <si>
    <t>Billed Demand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</si>
  <si>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</si>
  <si>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</si>
  <si>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</si>
  <si>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</si>
  <si>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</si>
  <si>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</si>
  <si>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</si>
  <si>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</si>
  <si>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</si>
  <si>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</si>
  <si>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</si>
  <si>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</si>
  <si>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On Peak kWh</t>
  </si>
  <si>
    <t>Off Peak kWh</t>
  </si>
  <si>
    <t>kW Demand</t>
  </si>
  <si>
    <t>FAC Calculation</t>
  </si>
  <si>
    <t>Kwh</t>
  </si>
  <si>
    <t>Int Demand</t>
  </si>
  <si>
    <t>Substation Charges</t>
  </si>
  <si>
    <t>All kW</t>
  </si>
  <si>
    <t>Interuptible kW Credits</t>
  </si>
  <si>
    <t>Substation charges</t>
  </si>
  <si>
    <t>Substation 1,000 - 2,999 kVa</t>
  </si>
  <si>
    <t>Substation 3,000 - 7,499 kVa</t>
  </si>
  <si>
    <t>Substation 7,500 - 14,999 kVa</t>
  </si>
  <si>
    <t>Substation &gt; 15,000 kVa</t>
  </si>
  <si>
    <t>Option 1 kW</t>
  </si>
  <si>
    <t>Option 2 kW</t>
  </si>
  <si>
    <t>Interuptible kW</t>
  </si>
  <si>
    <t>Option 1 On Peak</t>
  </si>
  <si>
    <t>Option 1 Off Peak</t>
  </si>
  <si>
    <t>Option 2 On Peak</t>
  </si>
  <si>
    <t>Option 2 Off Peak</t>
  </si>
  <si>
    <t>PF Penalty</t>
  </si>
  <si>
    <t>Federal Mogul Capacity Credits</t>
  </si>
  <si>
    <t>Option 1</t>
  </si>
  <si>
    <t>Option 2</t>
  </si>
  <si>
    <t>Special Contract</t>
  </si>
  <si>
    <t>Proposed Base Rate Change</t>
  </si>
  <si>
    <t>Minimum Demand</t>
  </si>
  <si>
    <t>10-Min Interruptible</t>
  </si>
  <si>
    <t>10-Min Interruptible Credit</t>
  </si>
  <si>
    <t>90-Min Interruptible</t>
  </si>
  <si>
    <t>90-Min Interruptible Credit</t>
  </si>
  <si>
    <t>On Peak Minimum Energy</t>
  </si>
  <si>
    <t>Off Peak Minimum Energy</t>
  </si>
  <si>
    <t>FAC Buythrough</t>
  </si>
  <si>
    <t>GA Load Following Charge</t>
  </si>
  <si>
    <t>10-Min Inter</t>
  </si>
  <si>
    <t>90-min Inter</t>
  </si>
  <si>
    <t>Special Contract - Pumping Stations</t>
  </si>
  <si>
    <t>Proposed Rate</t>
  </si>
  <si>
    <t>All Kw</t>
  </si>
  <si>
    <t>On Peak kWh - Location 1</t>
  </si>
  <si>
    <t>Mrkt Based</t>
  </si>
  <si>
    <t>Off Peak kWh - Location 1</t>
  </si>
  <si>
    <t>On Peak kWh - Location 2</t>
  </si>
  <si>
    <t>Off Peak kWh - Location 2</t>
  </si>
  <si>
    <t xml:space="preserve">Dump Energy Season Off-Peak </t>
  </si>
  <si>
    <t>Dump Energy Season On-Peak</t>
  </si>
  <si>
    <t>Excess Energy Season Off-Peak</t>
  </si>
  <si>
    <t>Excess Energy Season On-Peak</t>
  </si>
  <si>
    <t>Deviation Energy Adder</t>
  </si>
  <si>
    <t>On Peak kWh - 1</t>
  </si>
  <si>
    <t>Off Peak kWh - 1</t>
  </si>
  <si>
    <t>On Peak kWh - 2</t>
  </si>
  <si>
    <t>Off Peak kWh - 2</t>
  </si>
  <si>
    <t>Test Year Rate</t>
  </si>
  <si>
    <t>Calculated Billings</t>
  </si>
  <si>
    <t>per MMBTu</t>
  </si>
  <si>
    <t>MMBTu</t>
  </si>
  <si>
    <t>Environmental Surcharge</t>
  </si>
  <si>
    <t>Per Bill Frequency Reports</t>
  </si>
  <si>
    <t>Percentage Difference</t>
  </si>
  <si>
    <t>kW/MMBTu</t>
  </si>
  <si>
    <t>kWh/MMBTu</t>
  </si>
  <si>
    <t>Adjusted</t>
  </si>
  <si>
    <t>Steam Adj Factor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</si>
</sst>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00%"/>
    <numFmt numFmtId="167" formatCode="_(&quot;$&quot;* #,##0.0000_);_(&quot;$&quot;* \(#,##0.0000\);_(&quot;$&quot;* &quot;-&quot;??_);_(@_)"/>
    <numFmt numFmtId="168" formatCode="_(&quot;$&quot;* #,##0.00000_);_(&quot;$&quot;* \(#,##0.00000\);_(&quot;$&quot;* &quot;-&quot;??_);_(@_)"/>
    <numFmt numFmtId="169" formatCode="_(&quot;$&quot;* #,##0_);_(&quot;$&quot;* \(#,##0\);_(&quot;$&quot;* &quot;-&quot;??_);_(@_)"/>
    <numFmt numFmtId="170" formatCode="_(* #,##0.0000_);_(* \(#,##0.0000\);_(* &quot;-&quot;??_);_(@_)"/>
    <numFmt numFmtId="171" formatCode="_(&quot;$&quot;* #,##0.000000_);_(&quot;$&quot;* \(#,##0.000000\);_(&quot;$&quot;* &quot;-&quot;??_);_(@_)"/>
    <numFmt numFmtId="172" formatCode="_(&quot;$&quot;* #,##0.000_);_(&quot;$&quot;* \(#,##0.000\);_(&quot;$&quot;* &quot;-&quot;??_);_(@_)"/>
    <numFmt numFmtId="173" formatCode="_(* #,##0.00000_);_(* \(#,##0.00000\);_(* &quot;-&quot;??_);_(@_)"/>
    <numFmt numFmtId="174" formatCode="0.00000%"/>
  </numFmts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44" fontId="0" fillId="0" borderId="0" xfId="2" applyFont="1"/>
    <xf numFmtId="164" fontId="0" fillId="0" borderId="0" xfId="1" applyNumberFormat="1" applyFont="1"/>
    <xf numFmtId="44" fontId="0" fillId="0" borderId="0" xfId="0" applyNumberFormat="1"/>
    <xf numFmtId="164" fontId="0" fillId="0" borderId="0" xfId="0" applyNumberFormat="1"/>
    <xf numFmtId="164" fontId="0" fillId="0" borderId="1" xfId="1" applyNumberFormat="1" applyFont="1" applyBorder="1"/>
    <xf numFmtId="0" fontId="0" fillId="0" borderId="1" xfId="0" applyBorder="1"/>
    <xf numFmtId="44" fontId="0" fillId="0" borderId="2" xfId="0" applyNumberFormat="1" applyBorder="1"/>
    <xf numFmtId="164" fontId="0" fillId="0" borderId="0" xfId="1" applyNumberFormat="1" applyFont="1" applyBorder="1"/>
    <xf numFmtId="10" fontId="0" fillId="0" borderId="0" xfId="3" applyNumberFormat="1" applyFont="1"/>
    <xf numFmtId="44" fontId="0" fillId="0" borderId="1" xfId="2" applyFont="1" applyBorder="1"/>
    <xf numFmtId="44" fontId="0" fillId="0" borderId="0" xfId="2" applyFont="1" applyBorder="1"/>
    <xf numFmtId="167" fontId="0" fillId="0" borderId="0" xfId="2" applyNumberFormat="1" applyFont="1" applyBorder="1"/>
    <xf numFmtId="0" fontId="2" fillId="0" borderId="0" xfId="0" applyFont="1" applyAlignment="1">
      <alignment horizontal="center"/>
    </xf>
    <xf numFmtId="10" fontId="0" fillId="0" borderId="0" xfId="3" applyNumberFormat="1" applyFont="1" applyBorder="1"/>
    <xf numFmtId="165" fontId="0" fillId="0" borderId="0" xfId="3" applyNumberFormat="1" applyFont="1" applyBorder="1"/>
    <xf numFmtId="43" fontId="0" fillId="0" borderId="0" xfId="0" applyNumberFormat="1"/>
    <xf numFmtId="43" fontId="0" fillId="0" borderId="1" xfId="0" applyNumberFormat="1" applyBorder="1"/>
    <xf numFmtId="169" fontId="0" fillId="0" borderId="0" xfId="0" applyNumberFormat="1"/>
    <xf numFmtId="169" fontId="0" fillId="0" borderId="0" xfId="2" applyNumberFormat="1" applyFont="1" applyBorder="1"/>
    <xf numFmtId="169" fontId="0" fillId="0" borderId="0" xfId="2" applyNumberFormat="1" applyFont="1"/>
    <xf numFmtId="166" fontId="0" fillId="0" borderId="0" xfId="3" applyNumberFormat="1" applyFont="1" applyBorder="1"/>
    <xf numFmtId="171" fontId="0" fillId="0" borderId="0" xfId="2" applyNumberFormat="1" applyFont="1"/>
    <xf numFmtId="171" fontId="0" fillId="0" borderId="0" xfId="2" applyNumberFormat="1" applyFont="1" applyBorder="1"/>
    <xf numFmtId="171" fontId="0" fillId="0" borderId="1" xfId="2" applyNumberFormat="1" applyFont="1" applyBorder="1"/>
    <xf numFmtId="164" fontId="0" fillId="0" borderId="0" xfId="1" applyNumberFormat="1" applyFont="1" applyFill="1"/>
    <xf numFmtId="164" fontId="0" fillId="0" borderId="0" xfId="1" applyNumberFormat="1" applyFont="1" applyFill="1" applyBorder="1"/>
    <xf numFmtId="169" fontId="0" fillId="0" borderId="1" xfId="2" applyNumberFormat="1" applyFont="1" applyBorder="1"/>
    <xf numFmtId="170" fontId="0" fillId="0" borderId="0" xfId="1" applyNumberFormat="1" applyFont="1"/>
    <xf numFmtId="2" fontId="0" fillId="0" borderId="0" xfId="1" applyNumberFormat="1" applyFont="1"/>
    <xf numFmtId="168" fontId="0" fillId="0" borderId="0" xfId="2" applyNumberFormat="1" applyFont="1"/>
    <xf numFmtId="170" fontId="0" fillId="0" borderId="1" xfId="1" applyNumberFormat="1" applyFont="1" applyBorder="1"/>
    <xf numFmtId="0" fontId="3" fillId="0" borderId="0" xfId="0" applyFont="1"/>
    <xf numFmtId="169" fontId="0" fillId="0" borderId="1" xfId="0" applyNumberFormat="1" applyBorder="1"/>
    <xf numFmtId="169" fontId="0" fillId="0" borderId="2" xfId="0" applyNumberFormat="1" applyBorder="1"/>
    <xf numFmtId="2" fontId="0" fillId="0" borderId="0" xfId="0" applyNumberFormat="1"/>
    <xf numFmtId="0" fontId="0" fillId="0" borderId="0" xfId="0" applyAlignment="1">
      <alignment horizontal="right"/>
    </xf>
    <xf numFmtId="172" fontId="0" fillId="0" borderId="0" xfId="2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166" fontId="0" fillId="0" borderId="0" xfId="3" applyNumberFormat="1" applyFont="1"/>
    <xf numFmtId="44" fontId="0" fillId="0" borderId="0" xfId="2" applyFont="1" applyFill="1" applyBorder="1"/>
    <xf numFmtId="173" fontId="0" fillId="0" borderId="0" xfId="1" applyNumberFormat="1" applyFont="1"/>
    <xf numFmtId="10" fontId="0" fillId="0" borderId="0" xfId="3" applyNumberFormat="1" applyFont="1" applyFill="1" applyBorder="1"/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171" fontId="1" fillId="0" borderId="0" xfId="2" applyNumberFormat="1" applyFont="1" applyBorder="1"/>
    <xf numFmtId="0" fontId="2" fillId="0" borderId="1" xfId="0" applyFont="1" applyBorder="1" applyAlignment="1">
      <alignment horizontal="center" wrapText="1"/>
    </xf>
    <xf numFmtId="43" fontId="0" fillId="0" borderId="0" xfId="1" applyFont="1" applyBorder="1"/>
    <xf numFmtId="43" fontId="0" fillId="0" borderId="0" xfId="1" applyFont="1"/>
    <xf numFmtId="174" fontId="0" fillId="0" borderId="0" xfId="3" applyNumberFormat="1" applyFont="1" applyBorder="1"/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righ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6FF30-54BD-4F38-ABC8-525964334340}">
  <sheetPr>
    <tabColor rgb="FF0070C0"/>
    <pageSetUpPr fitToPage="1"/>
  </sheetPr>
  <dimension ref="A1:M59"/>
  <sheetViews>
    <sheetView showGridLines="0" tabSelected="1" view="pageBreakPreview" zoomScale="130" zoomScaleNormal="100" zoomScaleSheetLayoutView="130" workbookViewId="0"/>
  </sheetViews>
  <sheetFormatPr defaultRowHeight="12.75" x14ac:dyDescent="0.2"/>
  <cols>
    <col min="1" max="1" width="32.28515625" customWidth="1"/>
    <col min="2" max="2" width="17.7109375" bestFit="1" customWidth="1"/>
    <col min="3" max="3" width="15.85546875" customWidth="1"/>
    <col min="4" max="4" width="15.140625" customWidth="1"/>
    <col min="5" max="5" width="10.5703125" customWidth="1"/>
    <col min="6" max="8" width="15.85546875" customWidth="1"/>
    <col min="9" max="9" width="11.85546875" bestFit="1" customWidth="1"/>
    <col min="10" max="10" width="15.140625" customWidth="1"/>
    <col min="11" max="11" width="10.5703125" customWidth="1"/>
    <col min="12" max="12" width="15" customWidth="1"/>
    <col min="13" max="13" width="10.5703125" customWidth="1"/>
  </cols>
  <sheetData>
    <row r="1" spans="1:13" x14ac:dyDescent="0.2">
      <c r="A1" s="1" t="s">
        <v>0</v>
      </c>
    </row>
    <row r="2" spans="1:13" x14ac:dyDescent="0.2">
      <c r="A2" s="1" t="s">
        <v>1</v>
      </c>
    </row>
    <row r="3" spans="1:13" x14ac:dyDescent="0.2">
      <c r="A3" s="1"/>
    </row>
    <row r="4" spans="1:13" x14ac:dyDescent="0.2">
      <c r="A4" s="1"/>
    </row>
    <row r="5" spans="1:13" ht="38.25" x14ac:dyDescent="0.2">
      <c r="A5" s="48" t="s">
        <v>2</v>
      </c>
      <c r="B5" s="51" t="s">
        <v>3</v>
      </c>
      <c r="C5" s="51" t="s">
        <v>4</v>
      </c>
      <c r="D5" s="51" t="s">
        <v>5</v>
      </c>
      <c r="E5" s="51" t="s">
        <v>6</v>
      </c>
      <c r="F5" s="51" t="s">
        <v>7</v>
      </c>
      <c r="G5" s="51" t="s">
        <v>8</v>
      </c>
      <c r="H5" s="51" t="s">
        <v>9</v>
      </c>
      <c r="I5" s="51" t="s">
        <v>6</v>
      </c>
      <c r="J5" s="2"/>
      <c r="K5" s="2"/>
      <c r="L5" s="41"/>
      <c r="M5" s="2"/>
    </row>
    <row r="6" spans="1:13" x14ac:dyDescent="0.2">
      <c r="B6" s="42" t="s">
        <v>10</v>
      </c>
      <c r="C6" s="42" t="s">
        <v>11</v>
      </c>
      <c r="D6" s="42" t="s">
        <v>12</v>
      </c>
      <c r="E6" s="42" t="s">
        <v>13</v>
      </c>
      <c r="F6" s="42" t="s">
        <v>14</v>
      </c>
      <c r="G6" s="42" t="s">
        <v>15</v>
      </c>
      <c r="H6" s="42" t="s">
        <v>16</v>
      </c>
      <c r="I6" s="42" t="s">
        <v>17</v>
      </c>
    </row>
    <row r="7" spans="1:13" x14ac:dyDescent="0.2">
      <c r="A7" s="1"/>
      <c r="B7" s="6"/>
      <c r="C7" s="7"/>
      <c r="D7" s="7"/>
      <c r="E7" s="18"/>
      <c r="F7" s="18"/>
      <c r="G7" s="18"/>
      <c r="H7" s="18"/>
      <c r="J7" s="7"/>
      <c r="K7" s="18"/>
      <c r="L7" s="18"/>
    </row>
    <row r="8" spans="1:13" x14ac:dyDescent="0.2">
      <c r="A8" s="1" t="s">
        <v>18</v>
      </c>
      <c r="B8" s="23">
        <f>'Rate E '!H38</f>
        <v>802194157.99749792</v>
      </c>
      <c r="C8" s="22">
        <f>'Rate E '!Q38</f>
        <v>841920991.77419901</v>
      </c>
      <c r="D8" s="22">
        <f t="shared" ref="D8:D14" si="0">C8-B8</f>
        <v>39726833.776701093</v>
      </c>
      <c r="E8" s="17">
        <f t="shared" ref="E8:E15" si="1">(C8-B8)/B8</f>
        <v>4.9522716390593566E-2</v>
      </c>
      <c r="F8" s="22">
        <f>'Rate E '!Z40</f>
        <v>-17348</v>
      </c>
      <c r="G8" s="22">
        <f t="shared" ref="G8:G15" si="2">C8+F8</f>
        <v>841903643.77419901</v>
      </c>
      <c r="H8" s="21">
        <f t="shared" ref="H8:H15" si="3">G8-B8</f>
        <v>39709485.776701093</v>
      </c>
      <c r="I8" s="17">
        <f>H8/B8</f>
        <v>4.9501090703311941E-2</v>
      </c>
      <c r="J8" s="22"/>
      <c r="K8" s="54"/>
      <c r="L8" s="22"/>
      <c r="M8" s="17"/>
    </row>
    <row r="9" spans="1:13" x14ac:dyDescent="0.2">
      <c r="A9" s="1" t="s">
        <v>19</v>
      </c>
      <c r="B9" s="5">
        <f>'Rate B'!H29</f>
        <v>76651630.510656014</v>
      </c>
      <c r="C9" s="11">
        <f>'Rate B'!Q29</f>
        <v>84041068.119040012</v>
      </c>
      <c r="D9" s="22">
        <f t="shared" si="0"/>
        <v>7389437.6083839983</v>
      </c>
      <c r="E9" s="17">
        <f t="shared" si="1"/>
        <v>9.6402875700820581E-2</v>
      </c>
      <c r="F9" s="22">
        <f>'Rate B'!Z31</f>
        <v>-708504</v>
      </c>
      <c r="G9" s="22">
        <f t="shared" si="2"/>
        <v>83332564.119040012</v>
      </c>
      <c r="H9" s="21">
        <f t="shared" si="3"/>
        <v>6680933.6083839983</v>
      </c>
      <c r="I9" s="17">
        <f t="shared" ref="I9:I15" si="4">H9/B9</f>
        <v>8.7159706373828846E-2</v>
      </c>
      <c r="J9" s="11"/>
      <c r="K9" s="17"/>
      <c r="L9" s="11"/>
      <c r="M9" s="17"/>
    </row>
    <row r="10" spans="1:13" x14ac:dyDescent="0.2">
      <c r="A10" s="1" t="s">
        <v>20</v>
      </c>
      <c r="B10" s="5">
        <f>'Rate C'!H28</f>
        <v>30261661.641739998</v>
      </c>
      <c r="C10" s="11">
        <f>'Rate C'!Q28</f>
        <v>33178952.180600002</v>
      </c>
      <c r="D10" s="22">
        <f t="shared" si="0"/>
        <v>2917290.5388600044</v>
      </c>
      <c r="E10" s="17">
        <f t="shared" si="1"/>
        <v>9.6402192761159453E-2</v>
      </c>
      <c r="F10" s="22">
        <f>'Rate C'!Z30</f>
        <v>-513790.71428571641</v>
      </c>
      <c r="G10" s="22">
        <f t="shared" si="2"/>
        <v>32665161.466314286</v>
      </c>
      <c r="H10" s="21">
        <f t="shared" si="3"/>
        <v>2403499.824574288</v>
      </c>
      <c r="I10" s="17">
        <f t="shared" si="4"/>
        <v>7.9423921033441661E-2</v>
      </c>
      <c r="J10" s="11"/>
      <c r="K10" s="17"/>
      <c r="L10" s="11"/>
      <c r="M10" s="17"/>
    </row>
    <row r="11" spans="1:13" x14ac:dyDescent="0.2">
      <c r="A11" s="1" t="s">
        <v>21</v>
      </c>
      <c r="B11" s="28">
        <f>'Rate G'!H31</f>
        <v>45700643.183599994</v>
      </c>
      <c r="C11" s="11">
        <f>'Rate G'!Q31</f>
        <v>50105890.527134001</v>
      </c>
      <c r="D11" s="22">
        <f t="shared" si="0"/>
        <v>4405247.3435340077</v>
      </c>
      <c r="E11" s="17">
        <f t="shared" si="1"/>
        <v>9.639355240223102E-2</v>
      </c>
      <c r="F11" s="22">
        <f>'Rate G'!Z33</f>
        <v>-767592</v>
      </c>
      <c r="G11" s="22">
        <f t="shared" si="2"/>
        <v>49338298.527134001</v>
      </c>
      <c r="H11" s="21">
        <f t="shared" si="3"/>
        <v>3637655.3435340077</v>
      </c>
      <c r="I11" s="17">
        <f t="shared" si="4"/>
        <v>7.9597464939824017E-2</v>
      </c>
      <c r="J11" s="11"/>
      <c r="K11" s="17"/>
      <c r="L11" s="11"/>
      <c r="M11" s="17"/>
    </row>
    <row r="12" spans="1:13" x14ac:dyDescent="0.2">
      <c r="A12" s="1" t="s">
        <v>22</v>
      </c>
      <c r="B12" s="28">
        <f>'Special Contract'!H39</f>
        <v>82398981.379975736</v>
      </c>
      <c r="C12" s="11">
        <f>'Special Contract'!Q39</f>
        <v>90341767.616186112</v>
      </c>
      <c r="D12" s="22">
        <f t="shared" si="0"/>
        <v>7942786.236210376</v>
      </c>
      <c r="E12" s="17">
        <f t="shared" si="1"/>
        <v>9.6394228462399409E-2</v>
      </c>
      <c r="F12" s="22">
        <f>'Special Contract'!Z41</f>
        <v>-6086746</v>
      </c>
      <c r="G12" s="22">
        <f t="shared" si="2"/>
        <v>84255021.616186112</v>
      </c>
      <c r="H12" s="21">
        <f t="shared" si="3"/>
        <v>1856040.236210376</v>
      </c>
      <c r="I12" s="17">
        <f t="shared" si="4"/>
        <v>2.2525038600312398E-2</v>
      </c>
      <c r="J12" s="11"/>
      <c r="K12" s="17"/>
      <c r="L12" s="11"/>
      <c r="M12" s="17"/>
    </row>
    <row r="13" spans="1:13" x14ac:dyDescent="0.2">
      <c r="A13" s="1" t="s">
        <v>23</v>
      </c>
      <c r="B13" s="29">
        <f>'Pumping Stations'!H35</f>
        <v>13169150.989388999</v>
      </c>
      <c r="C13" s="11">
        <f>'Pumping Stations'!Q35</f>
        <v>13169150.989388999</v>
      </c>
      <c r="D13" s="22">
        <f t="shared" si="0"/>
        <v>0</v>
      </c>
      <c r="E13" s="17">
        <f t="shared" si="1"/>
        <v>0</v>
      </c>
      <c r="F13" s="22">
        <f>'Pumping Stations'!Q37</f>
        <v>0</v>
      </c>
      <c r="G13" s="22">
        <f t="shared" si="2"/>
        <v>13169150.989388999</v>
      </c>
      <c r="H13" s="21">
        <f t="shared" si="3"/>
        <v>0</v>
      </c>
      <c r="I13" s="17">
        <f t="shared" si="4"/>
        <v>0</v>
      </c>
      <c r="J13" s="11"/>
      <c r="K13" s="17"/>
      <c r="L13" s="11"/>
      <c r="M13" s="17"/>
    </row>
    <row r="14" spans="1:13" x14ac:dyDescent="0.2">
      <c r="A14" s="1" t="s">
        <v>24</v>
      </c>
      <c r="B14" s="29">
        <f>Steam!H23</f>
        <v>13946274.813964218</v>
      </c>
      <c r="C14" s="11">
        <f>Steam!Z23</f>
        <v>15290698.296366887</v>
      </c>
      <c r="D14" s="22">
        <f t="shared" si="0"/>
        <v>1344423.4824026693</v>
      </c>
      <c r="E14" s="17">
        <f t="shared" si="1"/>
        <v>9.6400185736804506E-2</v>
      </c>
      <c r="F14" s="22">
        <v>0</v>
      </c>
      <c r="G14" s="22">
        <f t="shared" si="2"/>
        <v>15290698.296366887</v>
      </c>
      <c r="H14" s="21">
        <f t="shared" si="3"/>
        <v>1344423.4824026693</v>
      </c>
      <c r="I14" s="17">
        <f t="shared" si="4"/>
        <v>9.6400185736804506E-2</v>
      </c>
      <c r="J14" s="11"/>
      <c r="K14" s="17"/>
      <c r="L14" s="11"/>
      <c r="M14" s="17"/>
    </row>
    <row r="15" spans="1:13" x14ac:dyDescent="0.2">
      <c r="A15" s="1" t="s">
        <v>25</v>
      </c>
      <c r="B15" s="21">
        <f>SUM(B8:B14)</f>
        <v>1064322500.5168227</v>
      </c>
      <c r="C15" s="21">
        <f>SUM(C8:C14)</f>
        <v>1128048519.5029151</v>
      </c>
      <c r="D15" s="21">
        <f>SUM(D8:D14)</f>
        <v>63726018.98609215</v>
      </c>
      <c r="E15" s="17">
        <f t="shared" si="1"/>
        <v>5.9874726838103895E-2</v>
      </c>
      <c r="F15" s="21">
        <f>SUM(F8:F14)</f>
        <v>-8093980.7142857164</v>
      </c>
      <c r="G15" s="22">
        <f t="shared" si="2"/>
        <v>1119954538.7886295</v>
      </c>
      <c r="H15" s="21">
        <f t="shared" si="3"/>
        <v>55632038.271806836</v>
      </c>
      <c r="I15" s="17">
        <f t="shared" si="4"/>
        <v>5.2269907142611906E-2</v>
      </c>
      <c r="J15" s="11"/>
      <c r="K15" s="17"/>
      <c r="L15" s="5"/>
      <c r="M15" s="17"/>
    </row>
    <row r="16" spans="1:13" x14ac:dyDescent="0.2">
      <c r="A16" s="1"/>
      <c r="B16" s="6"/>
      <c r="H16" s="5"/>
      <c r="L16" s="5"/>
    </row>
    <row r="17" spans="1:4" x14ac:dyDescent="0.2">
      <c r="A17" s="1"/>
      <c r="B17" s="6"/>
      <c r="C17" s="39" t="s">
        <v>26</v>
      </c>
      <c r="D17" s="23">
        <v>63727181</v>
      </c>
    </row>
    <row r="18" spans="1:4" x14ac:dyDescent="0.2">
      <c r="A18" s="1"/>
      <c r="C18" s="39" t="s">
        <v>5</v>
      </c>
      <c r="D18" s="21">
        <f>D15-D17</f>
        <v>-1162.0139078497887</v>
      </c>
    </row>
    <row r="19" spans="1:4" x14ac:dyDescent="0.2">
      <c r="A19" s="1"/>
      <c r="B19" s="6"/>
      <c r="D19" s="43">
        <f>D18/D17</f>
        <v>-1.8234195983810874E-5</v>
      </c>
    </row>
    <row r="20" spans="1:4" x14ac:dyDescent="0.2">
      <c r="A20" s="1"/>
      <c r="B20" s="6"/>
    </row>
    <row r="21" spans="1:4" x14ac:dyDescent="0.2">
      <c r="A21" s="1"/>
      <c r="B21" s="52"/>
      <c r="C21" s="19"/>
    </row>
    <row r="22" spans="1:4" x14ac:dyDescent="0.2">
      <c r="A22" s="1"/>
      <c r="B22" s="53"/>
      <c r="C22" s="19"/>
    </row>
    <row r="23" spans="1:4" x14ac:dyDescent="0.2">
      <c r="A23" s="47"/>
      <c r="B23" s="52"/>
      <c r="C23" s="19"/>
    </row>
    <row r="24" spans="1:4" x14ac:dyDescent="0.2">
      <c r="A24" s="1"/>
      <c r="B24" s="52"/>
      <c r="C24" s="19"/>
    </row>
    <row r="25" spans="1:4" x14ac:dyDescent="0.2">
      <c r="A25" s="1"/>
      <c r="B25" s="52"/>
      <c r="C25" s="19"/>
    </row>
    <row r="26" spans="1:4" x14ac:dyDescent="0.2">
      <c r="A26" s="1"/>
      <c r="B26" s="52"/>
      <c r="C26" s="19"/>
    </row>
    <row r="27" spans="1:4" x14ac:dyDescent="0.2">
      <c r="A27" s="47"/>
      <c r="B27" s="52"/>
    </row>
    <row r="28" spans="1:4" x14ac:dyDescent="0.2">
      <c r="A28" s="47"/>
      <c r="B28" s="17"/>
    </row>
    <row r="29" spans="1:4" x14ac:dyDescent="0.2">
      <c r="A29" s="1"/>
      <c r="B29" s="17"/>
    </row>
    <row r="30" spans="1:4" x14ac:dyDescent="0.2">
      <c r="A30" s="1"/>
      <c r="B30" s="17"/>
    </row>
    <row r="31" spans="1:4" x14ac:dyDescent="0.2">
      <c r="A31" s="1"/>
      <c r="B31" s="17"/>
    </row>
    <row r="32" spans="1:4" x14ac:dyDescent="0.2">
      <c r="A32" s="1"/>
      <c r="B32" s="17"/>
    </row>
    <row r="33" spans="1:8" x14ac:dyDescent="0.2">
      <c r="A33" s="1"/>
      <c r="B33" s="17"/>
    </row>
    <row r="34" spans="1:8" x14ac:dyDescent="0.2">
      <c r="B34" s="17"/>
      <c r="H34" s="6"/>
    </row>
    <row r="35" spans="1:8" x14ac:dyDescent="0.2">
      <c r="B35" s="17"/>
      <c r="H35" s="6"/>
    </row>
    <row r="36" spans="1:8" x14ac:dyDescent="0.2">
      <c r="B36" s="17"/>
      <c r="H36" s="6"/>
    </row>
    <row r="37" spans="1:8" x14ac:dyDescent="0.2">
      <c r="A37" s="47"/>
      <c r="B37" s="17"/>
      <c r="H37" s="6"/>
    </row>
    <row r="38" spans="1:8" x14ac:dyDescent="0.2">
      <c r="A38" s="47"/>
      <c r="B38" s="17"/>
      <c r="H38" s="6"/>
    </row>
    <row r="39" spans="1:8" x14ac:dyDescent="0.2">
      <c r="A39" s="47"/>
      <c r="B39" s="17"/>
      <c r="H39" s="6"/>
    </row>
    <row r="40" spans="1:8" x14ac:dyDescent="0.2">
      <c r="A40" s="47"/>
      <c r="B40" s="17"/>
      <c r="H40" s="6"/>
    </row>
    <row r="41" spans="1:8" x14ac:dyDescent="0.2">
      <c r="A41" s="47"/>
      <c r="H41" s="6"/>
    </row>
    <row r="42" spans="1:8" x14ac:dyDescent="0.2">
      <c r="A42" s="47"/>
      <c r="H42" s="6"/>
    </row>
    <row r="43" spans="1:8" x14ac:dyDescent="0.2">
      <c r="A43" s="47"/>
      <c r="H43" s="6"/>
    </row>
    <row r="44" spans="1:8" x14ac:dyDescent="0.2">
      <c r="A44" s="47"/>
      <c r="H44" s="6"/>
    </row>
    <row r="45" spans="1:8" x14ac:dyDescent="0.2">
      <c r="A45" s="47"/>
      <c r="H45" s="6"/>
    </row>
    <row r="46" spans="1:8" x14ac:dyDescent="0.2">
      <c r="H46" s="6"/>
    </row>
    <row r="47" spans="1:8" x14ac:dyDescent="0.2">
      <c r="B47" s="6"/>
      <c r="C47" s="6"/>
      <c r="D47" s="6"/>
      <c r="E47" s="6"/>
      <c r="F47" s="6"/>
      <c r="G47" s="6"/>
      <c r="H47" s="6"/>
    </row>
    <row r="48" spans="1:8" x14ac:dyDescent="0.2">
      <c r="H48" s="6"/>
    </row>
    <row r="49" spans="1:8" x14ac:dyDescent="0.2">
      <c r="H49" s="6"/>
    </row>
    <row r="50" spans="1:8" x14ac:dyDescent="0.2">
      <c r="A50" s="47"/>
      <c r="H50" s="6"/>
    </row>
    <row r="51" spans="1:8" x14ac:dyDescent="0.2">
      <c r="A51" s="47"/>
      <c r="H51" s="6"/>
    </row>
    <row r="52" spans="1:8" x14ac:dyDescent="0.2">
      <c r="H52" s="6"/>
    </row>
    <row r="53" spans="1:8" x14ac:dyDescent="0.2">
      <c r="H53" s="6"/>
    </row>
    <row r="54" spans="1:8" x14ac:dyDescent="0.2">
      <c r="H54" s="6"/>
    </row>
    <row r="55" spans="1:8" x14ac:dyDescent="0.2">
      <c r="H55" s="6"/>
    </row>
    <row r="56" spans="1:8" x14ac:dyDescent="0.2">
      <c r="H56" s="6"/>
    </row>
    <row r="57" spans="1:8" x14ac:dyDescent="0.2">
      <c r="H57" s="6"/>
    </row>
    <row r="58" spans="1:8" x14ac:dyDescent="0.2">
      <c r="A58" s="1"/>
      <c r="H58" s="6"/>
    </row>
    <row r="59" spans="1:8" x14ac:dyDescent="0.2">
      <c r="H59" s="6"/>
    </row>
  </sheetData>
  <pageMargins left="0.75" right="0.75" top="1" bottom="1" header="0.5" footer="0.5"/>
  <pageSetup scale="81" orientation="landscape" r:id="rId1"/>
  <headerFooter alignWithMargins="0">
    <oddFooter>&amp;RExhibit JWW-4
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37149-B0DC-4367-BBD4-6D66D4BC2680}">
  <sheetPr>
    <tabColor rgb="FFFFC000"/>
    <pageSetUpPr fitToPage="1"/>
  </sheetPr>
  <dimension ref="A1:Z86"/>
  <sheetViews>
    <sheetView view="pageBreakPreview" zoomScaleNormal="100" zoomScaleSheetLayoutView="100" workbookViewId="0"/>
  </sheetViews>
  <sheetFormatPr defaultRowHeight="12.75" x14ac:dyDescent="0.2"/>
  <cols>
    <col min="2" max="2" width="29.42578125" customWidth="1"/>
    <col min="3" max="3" width="2.7109375" customWidth="1"/>
    <col min="4" max="4" width="16" customWidth="1"/>
    <col min="5" max="5" width="2.7109375" customWidth="1"/>
    <col min="6" max="6" width="13.28515625" customWidth="1"/>
    <col min="7" max="7" width="2.7109375" customWidth="1"/>
    <col min="8" max="8" width="18.42578125" customWidth="1"/>
    <col min="9" max="9" width="3.28515625" customWidth="1"/>
    <col min="10" max="10" width="9" customWidth="1"/>
    <col min="11" max="11" width="26.140625" bestFit="1" customWidth="1"/>
    <col min="12" max="12" width="2.85546875" customWidth="1"/>
    <col min="13" max="13" width="14" bestFit="1" customWidth="1"/>
    <col min="14" max="14" width="2.7109375" customWidth="1"/>
    <col min="15" max="15" width="11.28515625" customWidth="1"/>
    <col min="16" max="16" width="2.7109375" customWidth="1"/>
    <col min="17" max="17" width="14.7109375" customWidth="1"/>
    <col min="18" max="18" width="3.28515625" customWidth="1"/>
    <col min="19" max="19" width="9" customWidth="1"/>
    <col min="20" max="20" width="26.140625" bestFit="1" customWidth="1"/>
    <col min="21" max="21" width="2.85546875" customWidth="1"/>
    <col min="22" max="22" width="14" bestFit="1" customWidth="1"/>
    <col min="23" max="23" width="2.7109375" customWidth="1"/>
    <col min="24" max="24" width="11.28515625" customWidth="1"/>
    <col min="25" max="25" width="2.7109375" customWidth="1"/>
    <col min="26" max="26" width="14.7109375" customWidth="1"/>
  </cols>
  <sheetData>
    <row r="1" spans="1:26" x14ac:dyDescent="0.2">
      <c r="A1" s="1" t="s">
        <v>0</v>
      </c>
      <c r="J1" s="1"/>
      <c r="S1" s="1"/>
    </row>
    <row r="2" spans="1:26" x14ac:dyDescent="0.2">
      <c r="A2" s="1" t="s">
        <v>19</v>
      </c>
      <c r="J2" s="1"/>
      <c r="S2" s="1"/>
    </row>
    <row r="3" spans="1:26" ht="13.5" thickBot="1" x14ac:dyDescent="0.25">
      <c r="A3" s="1"/>
      <c r="J3" s="1"/>
      <c r="S3" s="1"/>
    </row>
    <row r="4" spans="1:26" ht="12.75" customHeight="1" x14ac:dyDescent="0.2">
      <c r="A4" s="1"/>
      <c r="D4" s="55" t="s">
        <v>27</v>
      </c>
      <c r="E4" s="56"/>
      <c r="F4" s="56"/>
      <c r="G4" s="56"/>
      <c r="H4" s="57"/>
      <c r="J4" s="16"/>
      <c r="M4" s="61" t="s">
        <v>28</v>
      </c>
      <c r="N4" s="62"/>
      <c r="O4" s="62"/>
      <c r="P4" s="62"/>
      <c r="Q4" s="63"/>
      <c r="S4" s="16"/>
      <c r="V4" s="61" t="s">
        <v>29</v>
      </c>
      <c r="W4" s="62"/>
      <c r="X4" s="62"/>
      <c r="Y4" s="62"/>
      <c r="Z4" s="63"/>
    </row>
    <row r="5" spans="1:26" ht="13.5" thickBot="1" x14ac:dyDescent="0.25">
      <c r="D5" s="58"/>
      <c r="E5" s="59"/>
      <c r="F5" s="59"/>
      <c r="G5" s="59"/>
      <c r="H5" s="60"/>
      <c r="J5" s="16"/>
      <c r="M5" s="64"/>
      <c r="N5" s="65"/>
      <c r="O5" s="65"/>
      <c r="P5" s="65"/>
      <c r="Q5" s="66"/>
      <c r="S5" s="16"/>
      <c r="V5" s="64"/>
      <c r="W5" s="65"/>
      <c r="X5" s="65"/>
      <c r="Y5" s="65"/>
      <c r="Z5" s="66"/>
    </row>
    <row r="6" spans="1:26" x14ac:dyDescent="0.2">
      <c r="A6" s="1" t="s">
        <v>30</v>
      </c>
      <c r="D6" s="2" t="s">
        <v>31</v>
      </c>
      <c r="F6" s="3" t="s">
        <v>32</v>
      </c>
      <c r="H6" s="2" t="s">
        <v>33</v>
      </c>
      <c r="J6" s="1" t="s">
        <v>30</v>
      </c>
      <c r="M6" s="2" t="s">
        <v>31</v>
      </c>
      <c r="O6" s="3" t="s">
        <v>32</v>
      </c>
      <c r="Q6" s="2" t="s">
        <v>34</v>
      </c>
      <c r="S6" s="1" t="s">
        <v>30</v>
      </c>
      <c r="V6" s="2" t="s">
        <v>31</v>
      </c>
      <c r="X6" s="3" t="s">
        <v>32</v>
      </c>
      <c r="Z6" s="2" t="s">
        <v>34</v>
      </c>
    </row>
    <row r="9" spans="1:26" x14ac:dyDescent="0.2">
      <c r="A9" s="35" t="s">
        <v>35</v>
      </c>
      <c r="J9" s="1" t="s">
        <v>35</v>
      </c>
      <c r="S9" s="1" t="s">
        <v>35</v>
      </c>
    </row>
    <row r="10" spans="1:26" x14ac:dyDescent="0.2">
      <c r="B10" t="s">
        <v>36</v>
      </c>
      <c r="D10" s="5">
        <v>0</v>
      </c>
      <c r="F10" s="4">
        <v>0</v>
      </c>
      <c r="H10" s="21">
        <f>D10*F10</f>
        <v>0</v>
      </c>
      <c r="K10" t="s">
        <v>36</v>
      </c>
      <c r="M10" s="5">
        <f>D10</f>
        <v>0</v>
      </c>
      <c r="O10" s="4">
        <v>0</v>
      </c>
      <c r="Q10" s="21">
        <f>M10*O10</f>
        <v>0</v>
      </c>
      <c r="T10" t="s">
        <v>36</v>
      </c>
      <c r="V10" s="5">
        <f>M10</f>
        <v>0</v>
      </c>
      <c r="X10" s="4">
        <v>0</v>
      </c>
      <c r="Z10" s="21">
        <f>V10*X10</f>
        <v>0</v>
      </c>
    </row>
    <row r="11" spans="1:26" x14ac:dyDescent="0.2">
      <c r="B11" s="47"/>
      <c r="D11" s="11"/>
      <c r="F11" s="14"/>
      <c r="H11" s="21"/>
      <c r="K11" s="47"/>
      <c r="M11" s="11"/>
      <c r="O11" s="14"/>
      <c r="Q11" s="21"/>
      <c r="T11" s="47"/>
      <c r="V11" s="11"/>
      <c r="X11" s="14"/>
      <c r="Z11" s="21"/>
    </row>
    <row r="12" spans="1:26" x14ac:dyDescent="0.2">
      <c r="A12" s="35" t="s">
        <v>37</v>
      </c>
      <c r="D12" s="11"/>
      <c r="F12" s="14"/>
      <c r="H12" s="21"/>
      <c r="J12" s="1" t="s">
        <v>37</v>
      </c>
      <c r="M12" s="11"/>
      <c r="O12" s="14"/>
      <c r="Q12" s="21"/>
      <c r="S12" s="1" t="s">
        <v>37</v>
      </c>
      <c r="V12" s="11"/>
      <c r="X12" s="14"/>
      <c r="Z12" s="21"/>
    </row>
    <row r="13" spans="1:26" x14ac:dyDescent="0.2">
      <c r="A13" s="1"/>
      <c r="B13" s="47" t="s">
        <v>38</v>
      </c>
      <c r="D13" s="7">
        <v>1761028</v>
      </c>
      <c r="F13" s="14">
        <v>7.49</v>
      </c>
      <c r="H13" s="21">
        <f>D13*F13</f>
        <v>13190099.720000001</v>
      </c>
      <c r="J13" s="1"/>
      <c r="K13" s="47" t="s">
        <v>38</v>
      </c>
      <c r="M13" s="7">
        <f>D13</f>
        <v>1761028</v>
      </c>
      <c r="O13" s="14">
        <v>9.39</v>
      </c>
      <c r="Q13" s="21">
        <f>M13*O13</f>
        <v>16536052.920000002</v>
      </c>
      <c r="S13" s="1"/>
      <c r="T13" s="47" t="s">
        <v>38</v>
      </c>
      <c r="V13" s="7">
        <f>M13</f>
        <v>1761028</v>
      </c>
      <c r="X13" s="14">
        <f>O13</f>
        <v>9.39</v>
      </c>
      <c r="Z13" s="21">
        <f>V13*X13</f>
        <v>16536052.920000002</v>
      </c>
    </row>
    <row r="14" spans="1:26" x14ac:dyDescent="0.2">
      <c r="A14" s="1"/>
      <c r="B14" s="47" t="s">
        <v>39</v>
      </c>
      <c r="D14" s="7">
        <f>F54</f>
        <v>137284</v>
      </c>
      <c r="F14" s="14">
        <v>9.98</v>
      </c>
      <c r="H14" s="21">
        <f>D14*F14</f>
        <v>1370094.32</v>
      </c>
      <c r="J14" s="1"/>
      <c r="K14" s="47" t="s">
        <v>39</v>
      </c>
      <c r="M14" s="7">
        <f>D14</f>
        <v>137284</v>
      </c>
      <c r="O14" s="14">
        <v>12.53</v>
      </c>
      <c r="Q14" s="21">
        <f t="shared" ref="Q14:Q15" si="0">M14*O14</f>
        <v>1720168.52</v>
      </c>
      <c r="S14" s="1"/>
      <c r="T14" s="47" t="s">
        <v>39</v>
      </c>
      <c r="V14" s="7">
        <f>M14</f>
        <v>137284</v>
      </c>
      <c r="X14" s="14">
        <f>O14</f>
        <v>12.53</v>
      </c>
      <c r="Z14" s="21">
        <f t="shared" ref="Z14:Z15" si="1">V14*X14</f>
        <v>1720168.52</v>
      </c>
    </row>
    <row r="15" spans="1:26" x14ac:dyDescent="0.2">
      <c r="A15" s="1"/>
      <c r="B15" s="47" t="s">
        <v>40</v>
      </c>
      <c r="D15" s="7">
        <v>354252</v>
      </c>
      <c r="F15" s="14">
        <v>-5.6</v>
      </c>
      <c r="H15" s="21">
        <f>D15*F15</f>
        <v>-1983811.2</v>
      </c>
      <c r="J15" s="1"/>
      <c r="K15" s="47" t="str">
        <f>B15</f>
        <v>Interuptible kW Credits (400h)</v>
      </c>
      <c r="M15" s="7">
        <f>D15</f>
        <v>354252</v>
      </c>
      <c r="O15" s="14">
        <v>-5.6</v>
      </c>
      <c r="Q15" s="21">
        <f t="shared" si="0"/>
        <v>-1983811.2</v>
      </c>
      <c r="S15" s="1"/>
      <c r="T15" s="47" t="str">
        <f>K15</f>
        <v>Interuptible kW Credits (400h)</v>
      </c>
      <c r="V15" s="7">
        <f>M15</f>
        <v>354252</v>
      </c>
      <c r="X15" s="14">
        <v>-7.6</v>
      </c>
      <c r="Z15" s="21">
        <f t="shared" si="1"/>
        <v>-2692315.1999999997</v>
      </c>
    </row>
    <row r="16" spans="1:26" x14ac:dyDescent="0.2">
      <c r="F16" s="6"/>
      <c r="H16" s="21"/>
      <c r="Q16" s="21"/>
      <c r="Z16" s="21"/>
    </row>
    <row r="17" spans="1:26" x14ac:dyDescent="0.2">
      <c r="A17" s="35" t="s">
        <v>41</v>
      </c>
      <c r="D17" t="s">
        <v>42</v>
      </c>
      <c r="H17" s="21"/>
      <c r="J17" s="1" t="s">
        <v>41</v>
      </c>
      <c r="M17" t="s">
        <v>42</v>
      </c>
      <c r="Q17" s="21"/>
      <c r="S17" s="1" t="s">
        <v>41</v>
      </c>
      <c r="V17" t="s">
        <v>42</v>
      </c>
      <c r="Z17" s="21"/>
    </row>
    <row r="18" spans="1:26" x14ac:dyDescent="0.2">
      <c r="B18" s="47" t="s">
        <v>43</v>
      </c>
      <c r="D18" s="11">
        <f>B54</f>
        <v>1078053184</v>
      </c>
      <c r="F18" s="26">
        <v>5.1133999999999999E-2</v>
      </c>
      <c r="H18" s="21">
        <f>D18*F18</f>
        <v>55125171.510655999</v>
      </c>
      <c r="K18" s="47" t="s">
        <v>43</v>
      </c>
      <c r="M18" s="5">
        <f>D18</f>
        <v>1078053184</v>
      </c>
      <c r="O18" s="25">
        <v>5.4559999999999997E-2</v>
      </c>
      <c r="Q18" s="21">
        <f>M18*O18</f>
        <v>58818581.719039999</v>
      </c>
      <c r="T18" s="47" t="s">
        <v>43</v>
      </c>
      <c r="V18" s="5">
        <f>M18</f>
        <v>1078053184</v>
      </c>
      <c r="X18" s="25">
        <f>O18</f>
        <v>5.4559999999999997E-2</v>
      </c>
      <c r="Z18" s="21">
        <f>V18*X18</f>
        <v>58818581.719039999</v>
      </c>
    </row>
    <row r="19" spans="1:26" x14ac:dyDescent="0.2">
      <c r="B19" s="47"/>
      <c r="D19" s="11"/>
      <c r="F19" s="26"/>
      <c r="H19" s="21"/>
      <c r="K19" s="47"/>
      <c r="M19" s="5"/>
      <c r="Q19" s="21"/>
      <c r="T19" s="47"/>
      <c r="V19" s="5"/>
      <c r="Z19" s="21"/>
    </row>
    <row r="20" spans="1:26" x14ac:dyDescent="0.2">
      <c r="B20" s="47"/>
      <c r="D20" s="11"/>
      <c r="F20" s="26"/>
      <c r="H20" s="21"/>
      <c r="K20" s="47"/>
      <c r="M20" s="5"/>
      <c r="O20" s="25"/>
      <c r="Q20" s="21"/>
      <c r="T20" s="47"/>
      <c r="V20" s="5"/>
      <c r="X20" s="25"/>
      <c r="Z20" s="21"/>
    </row>
    <row r="21" spans="1:26" x14ac:dyDescent="0.2">
      <c r="B21" t="s">
        <v>44</v>
      </c>
      <c r="D21" s="11"/>
      <c r="F21" s="15"/>
      <c r="H21" s="21">
        <f>-1151579.6</f>
        <v>-1151579.6000000001</v>
      </c>
      <c r="K21" t="s">
        <v>44</v>
      </c>
      <c r="M21" s="11"/>
      <c r="O21" s="26"/>
      <c r="Q21" s="21">
        <f>H21</f>
        <v>-1151579.6000000001</v>
      </c>
      <c r="T21" t="s">
        <v>44</v>
      </c>
      <c r="V21" s="11"/>
      <c r="X21" s="26"/>
      <c r="Z21" s="21">
        <f>Q21</f>
        <v>-1151579.6000000001</v>
      </c>
    </row>
    <row r="22" spans="1:26" x14ac:dyDescent="0.2">
      <c r="B22" s="47" t="s">
        <v>45</v>
      </c>
      <c r="H22" s="21">
        <v>-196124</v>
      </c>
      <c r="K22" s="47" t="s">
        <v>45</v>
      </c>
      <c r="M22" s="11"/>
      <c r="O22" s="15"/>
      <c r="Q22" s="21">
        <f t="shared" ref="Q22:Q27" si="2">H22</f>
        <v>-196124</v>
      </c>
      <c r="T22" s="47" t="s">
        <v>45</v>
      </c>
      <c r="V22" s="11"/>
      <c r="X22" s="15"/>
      <c r="Z22" s="21">
        <f t="shared" ref="Z22:Z27" si="3">Q22</f>
        <v>-196124</v>
      </c>
    </row>
    <row r="23" spans="1:26" x14ac:dyDescent="0.2">
      <c r="B23" t="s">
        <v>46</v>
      </c>
      <c r="D23" s="11"/>
      <c r="F23" s="15"/>
      <c r="H23" s="21">
        <v>10429845</v>
      </c>
      <c r="K23" t="s">
        <v>46</v>
      </c>
      <c r="Q23" s="21">
        <f t="shared" si="2"/>
        <v>10429845</v>
      </c>
      <c r="T23" t="s">
        <v>46</v>
      </c>
      <c r="Z23" s="21">
        <f t="shared" si="3"/>
        <v>10429845</v>
      </c>
    </row>
    <row r="24" spans="1:26" x14ac:dyDescent="0.2">
      <c r="B24" t="s">
        <v>47</v>
      </c>
      <c r="H24" s="21">
        <v>121613</v>
      </c>
      <c r="K24" t="s">
        <v>47</v>
      </c>
      <c r="M24" s="11"/>
      <c r="O24" s="15"/>
      <c r="Q24" s="21">
        <f t="shared" si="2"/>
        <v>121613</v>
      </c>
      <c r="T24" t="s">
        <v>47</v>
      </c>
      <c r="V24" s="11"/>
      <c r="X24" s="15"/>
      <c r="Z24" s="21">
        <f t="shared" si="3"/>
        <v>121613</v>
      </c>
    </row>
    <row r="25" spans="1:26" x14ac:dyDescent="0.2">
      <c r="B25" t="s">
        <v>48</v>
      </c>
      <c r="H25" s="21">
        <v>-96458</v>
      </c>
      <c r="K25" t="s">
        <v>48</v>
      </c>
      <c r="M25" s="11"/>
      <c r="O25" s="15"/>
      <c r="Q25" s="21">
        <f t="shared" si="2"/>
        <v>-96458</v>
      </c>
      <c r="T25" t="s">
        <v>48</v>
      </c>
      <c r="V25" s="11"/>
      <c r="X25" s="15"/>
      <c r="Z25" s="21">
        <f t="shared" si="3"/>
        <v>-96458</v>
      </c>
    </row>
    <row r="26" spans="1:26" x14ac:dyDescent="0.2">
      <c r="B26" s="47" t="s">
        <v>49</v>
      </c>
      <c r="H26" s="21">
        <v>-128426.24000000002</v>
      </c>
      <c r="K26" s="47" t="s">
        <v>49</v>
      </c>
      <c r="Q26" s="21">
        <f t="shared" si="2"/>
        <v>-128426.24000000002</v>
      </c>
      <c r="T26" s="47" t="s">
        <v>49</v>
      </c>
      <c r="Z26" s="21">
        <f t="shared" si="3"/>
        <v>-128426.24000000002</v>
      </c>
    </row>
    <row r="27" spans="1:26" x14ac:dyDescent="0.2">
      <c r="B27" s="47" t="s">
        <v>50</v>
      </c>
      <c r="H27" s="21">
        <v>-28794</v>
      </c>
      <c r="K27" s="47" t="s">
        <v>50</v>
      </c>
      <c r="Q27" s="21">
        <f t="shared" si="2"/>
        <v>-28794</v>
      </c>
      <c r="T27" s="47" t="s">
        <v>50</v>
      </c>
      <c r="Z27" s="21">
        <f t="shared" si="3"/>
        <v>-28794</v>
      </c>
    </row>
    <row r="28" spans="1:26" x14ac:dyDescent="0.2">
      <c r="H28" s="21"/>
      <c r="Q28" s="21"/>
      <c r="Z28" s="21"/>
    </row>
    <row r="29" spans="1:26" ht="13.5" thickBot="1" x14ac:dyDescent="0.25">
      <c r="B29" s="1" t="s">
        <v>51</v>
      </c>
      <c r="H29" s="37">
        <f>H10+H13+H14+H15+H18+H21+H22+H23+H24+H25+H26+H27</f>
        <v>76651630.510656014</v>
      </c>
      <c r="K29" s="1" t="s">
        <v>51</v>
      </c>
      <c r="Q29" s="37">
        <f>Q10+Q13+Q14+Q15+Q18+Q21+Q22+Q23+Q24+Q25+Q26+Q27</f>
        <v>84041068.119040012</v>
      </c>
      <c r="T29" s="1" t="s">
        <v>51</v>
      </c>
      <c r="Z29" s="37">
        <f>Z10+Z13+Z14+Z15+Z18+Z21+Z22+Z23+Z24+Z25+Z26+Z27</f>
        <v>83332564.119040012</v>
      </c>
    </row>
    <row r="30" spans="1:26" ht="13.5" thickTop="1" x14ac:dyDescent="0.2">
      <c r="H30" s="21"/>
      <c r="Q30" s="21"/>
      <c r="Z30" s="21"/>
    </row>
    <row r="31" spans="1:26" x14ac:dyDescent="0.2">
      <c r="H31" s="22"/>
      <c r="K31" t="s">
        <v>52</v>
      </c>
      <c r="M31" s="7"/>
      <c r="O31" s="14"/>
      <c r="Q31" s="22">
        <f>Q29-H29</f>
        <v>7389437.6083839983</v>
      </c>
      <c r="T31" t="s">
        <v>52</v>
      </c>
      <c r="V31" s="7"/>
      <c r="X31" s="14"/>
      <c r="Z31" s="22">
        <f>Z29-Q29</f>
        <v>-708504</v>
      </c>
    </row>
    <row r="32" spans="1:26" x14ac:dyDescent="0.2">
      <c r="H32" s="21"/>
    </row>
    <row r="33" spans="1:26" x14ac:dyDescent="0.2">
      <c r="K33" t="s">
        <v>6</v>
      </c>
      <c r="Q33" s="17">
        <f>Q31/H29</f>
        <v>9.6402875700820581E-2</v>
      </c>
      <c r="T33" t="s">
        <v>6</v>
      </c>
      <c r="Z33" s="17">
        <f>Z31/H29</f>
        <v>-9.2431693269917417E-3</v>
      </c>
    </row>
    <row r="34" spans="1:26" x14ac:dyDescent="0.2">
      <c r="H34" s="17"/>
    </row>
    <row r="35" spans="1:26" x14ac:dyDescent="0.2">
      <c r="T35" t="s">
        <v>53</v>
      </c>
      <c r="Z35" s="21">
        <f>Q31+Z31</f>
        <v>6680933.6083839983</v>
      </c>
    </row>
    <row r="37" spans="1:26" x14ac:dyDescent="0.2">
      <c r="T37" t="s">
        <v>54</v>
      </c>
      <c r="V37" s="47"/>
      <c r="X37" s="12"/>
      <c r="Z37" s="12">
        <f>(Q31+Z31)/H29</f>
        <v>8.7159706373828846E-2</v>
      </c>
    </row>
    <row r="38" spans="1:26" x14ac:dyDescent="0.2">
      <c r="M38" s="47"/>
      <c r="O38" s="12"/>
      <c r="Q38" s="5"/>
      <c r="V38" s="47"/>
      <c r="X38" s="17"/>
      <c r="Z38" s="11"/>
    </row>
    <row r="39" spans="1:26" x14ac:dyDescent="0.2">
      <c r="A39" s="47" t="str">
        <f>A2</f>
        <v>Rate B</v>
      </c>
    </row>
    <row r="40" spans="1:26" x14ac:dyDescent="0.2">
      <c r="B40" s="47"/>
      <c r="M40" s="47"/>
      <c r="O40" s="12"/>
      <c r="Q40" s="7"/>
      <c r="V40" s="47"/>
      <c r="X40" s="17"/>
      <c r="Z40" s="7"/>
    </row>
    <row r="41" spans="1:26" x14ac:dyDescent="0.2">
      <c r="B41" s="3" t="s">
        <v>55</v>
      </c>
      <c r="D41" s="3" t="s">
        <v>38</v>
      </c>
      <c r="F41" s="3" t="s">
        <v>39</v>
      </c>
      <c r="H41" s="3" t="s">
        <v>56</v>
      </c>
      <c r="K41" s="74"/>
      <c r="Q41" s="4"/>
      <c r="T41" s="3"/>
      <c r="Z41" s="14"/>
    </row>
    <row r="42" spans="1:26" x14ac:dyDescent="0.2">
      <c r="A42" t="s">
        <v>58</v>
      </c>
      <c r="B42" s="5">
        <v>96568406</v>
      </c>
      <c r="C42" s="5"/>
      <c r="D42" s="5">
        <v>147447</v>
      </c>
      <c r="F42" s="5">
        <v>14490</v>
      </c>
      <c r="H42" s="23">
        <f>8064015.3-28790</f>
        <v>8035225.2999999998</v>
      </c>
      <c r="K42" s="11"/>
      <c r="Q42" s="19"/>
      <c r="T42" s="11"/>
      <c r="Z42" s="19"/>
    </row>
    <row r="43" spans="1:26" x14ac:dyDescent="0.2">
      <c r="A43" t="s">
        <v>59</v>
      </c>
      <c r="B43" s="5">
        <v>87228255</v>
      </c>
      <c r="C43" s="5"/>
      <c r="D43" s="5">
        <v>148897</v>
      </c>
      <c r="F43" s="5">
        <v>8784</v>
      </c>
      <c r="H43" s="23">
        <v>5993018.4000000004</v>
      </c>
      <c r="K43" s="11"/>
      <c r="T43" s="11"/>
    </row>
    <row r="44" spans="1:26" x14ac:dyDescent="0.2">
      <c r="A44" t="s">
        <v>60</v>
      </c>
      <c r="B44" s="5">
        <v>92277079</v>
      </c>
      <c r="C44" s="5"/>
      <c r="D44" s="5">
        <v>151022</v>
      </c>
      <c r="F44" s="5">
        <v>8309</v>
      </c>
      <c r="H44" s="23">
        <v>6196564.4000000004</v>
      </c>
      <c r="K44" s="11"/>
      <c r="Q44" s="6"/>
      <c r="T44" s="11"/>
      <c r="Z44" s="6"/>
    </row>
    <row r="45" spans="1:26" x14ac:dyDescent="0.2">
      <c r="A45" t="s">
        <v>61</v>
      </c>
      <c r="B45" s="5">
        <v>81267473</v>
      </c>
      <c r="C45" s="5"/>
      <c r="D45" s="5">
        <v>143222</v>
      </c>
      <c r="F45" s="5">
        <v>9989</v>
      </c>
      <c r="H45" s="23">
        <v>5805519.1100000003</v>
      </c>
      <c r="K45" s="11"/>
      <c r="T45" s="11"/>
    </row>
    <row r="46" spans="1:26" x14ac:dyDescent="0.2">
      <c r="A46" t="s">
        <v>62</v>
      </c>
      <c r="B46" s="5">
        <v>88262696</v>
      </c>
      <c r="C46" s="5"/>
      <c r="D46" s="5">
        <v>145205</v>
      </c>
      <c r="F46" s="5">
        <v>5332</v>
      </c>
      <c r="H46" s="23">
        <v>6362051.46</v>
      </c>
      <c r="K46" s="11"/>
      <c r="Q46" s="6"/>
      <c r="T46" s="11"/>
      <c r="Z46" s="6"/>
    </row>
    <row r="47" spans="1:26" x14ac:dyDescent="0.2">
      <c r="A47" t="s">
        <v>63</v>
      </c>
      <c r="B47" s="5">
        <v>87756638</v>
      </c>
      <c r="C47" s="5"/>
      <c r="D47" s="5">
        <v>147705</v>
      </c>
      <c r="F47" s="5">
        <v>3300</v>
      </c>
      <c r="H47" s="23">
        <v>5790441.2699999996</v>
      </c>
      <c r="K47" s="11"/>
      <c r="T47" s="11"/>
    </row>
    <row r="48" spans="1:26" x14ac:dyDescent="0.2">
      <c r="A48" t="s">
        <v>64</v>
      </c>
      <c r="B48" s="5">
        <v>89409763</v>
      </c>
      <c r="C48" s="5"/>
      <c r="D48" s="5">
        <v>148180</v>
      </c>
      <c r="F48" s="5">
        <v>6151</v>
      </c>
      <c r="H48" s="23">
        <v>6188866.3899999997</v>
      </c>
      <c r="K48" s="11"/>
      <c r="T48" s="11"/>
    </row>
    <row r="49" spans="1:26" x14ac:dyDescent="0.2">
      <c r="A49" t="s">
        <v>65</v>
      </c>
      <c r="B49" s="5">
        <v>93062374</v>
      </c>
      <c r="C49" s="5"/>
      <c r="D49" s="5">
        <v>148830</v>
      </c>
      <c r="F49" s="5">
        <v>5727</v>
      </c>
      <c r="H49" s="23">
        <v>6873228.2999999998</v>
      </c>
      <c r="K49" s="11"/>
      <c r="T49" s="11"/>
    </row>
    <row r="50" spans="1:26" x14ac:dyDescent="0.2">
      <c r="A50" t="s">
        <v>66</v>
      </c>
      <c r="B50" s="5">
        <v>86042356</v>
      </c>
      <c r="C50" s="5"/>
      <c r="D50" s="5">
        <v>148405</v>
      </c>
      <c r="F50" s="5">
        <v>1372</v>
      </c>
      <c r="H50" s="23">
        <v>6082883.5600000005</v>
      </c>
      <c r="K50" s="11"/>
      <c r="T50" s="11"/>
    </row>
    <row r="51" spans="1:26" x14ac:dyDescent="0.2">
      <c r="A51" t="s">
        <v>67</v>
      </c>
      <c r="B51" s="5">
        <v>92358104</v>
      </c>
      <c r="C51" s="5"/>
      <c r="D51" s="5">
        <v>144705</v>
      </c>
      <c r="F51" s="5">
        <v>27256</v>
      </c>
      <c r="H51" s="23">
        <v>6654238.7199999997</v>
      </c>
      <c r="K51" s="11"/>
      <c r="T51" s="11"/>
    </row>
    <row r="52" spans="1:26" x14ac:dyDescent="0.2">
      <c r="A52" t="s">
        <v>68</v>
      </c>
      <c r="B52" s="5">
        <v>90037843</v>
      </c>
      <c r="C52" s="5"/>
      <c r="D52" s="5">
        <v>144355</v>
      </c>
      <c r="F52" s="5">
        <v>24893</v>
      </c>
      <c r="H52" s="23">
        <v>6315127.5999999996</v>
      </c>
      <c r="K52" s="11"/>
      <c r="T52" s="11"/>
    </row>
    <row r="53" spans="1:26" x14ac:dyDescent="0.2">
      <c r="A53" t="s">
        <v>69</v>
      </c>
      <c r="B53" s="8">
        <v>93782197</v>
      </c>
      <c r="C53" s="8"/>
      <c r="D53" s="8">
        <v>143055</v>
      </c>
      <c r="F53" s="8">
        <v>21681</v>
      </c>
      <c r="H53" s="30">
        <v>6354552.25</v>
      </c>
      <c r="K53" s="11"/>
      <c r="T53" s="11"/>
    </row>
    <row r="54" spans="1:26" x14ac:dyDescent="0.2">
      <c r="B54" s="5">
        <f>SUM(B42:B53)</f>
        <v>1078053184</v>
      </c>
      <c r="C54" s="5"/>
      <c r="D54" s="5">
        <f t="shared" ref="D54:H54" si="4">SUM(D42:D53)</f>
        <v>1761028</v>
      </c>
      <c r="F54" s="5">
        <f t="shared" si="4"/>
        <v>137284</v>
      </c>
      <c r="H54" s="23">
        <f t="shared" si="4"/>
        <v>76651716.75999999</v>
      </c>
      <c r="K54" s="11"/>
      <c r="T54" s="11"/>
    </row>
    <row r="56" spans="1:26" x14ac:dyDescent="0.2">
      <c r="B56" s="47"/>
      <c r="Q56" s="4"/>
      <c r="Z56" s="4"/>
    </row>
    <row r="57" spans="1:26" x14ac:dyDescent="0.2">
      <c r="B57" s="3" t="s">
        <v>70</v>
      </c>
      <c r="D57" s="3" t="s">
        <v>71</v>
      </c>
      <c r="F57" s="3" t="s">
        <v>72</v>
      </c>
      <c r="H57" s="3" t="s">
        <v>56</v>
      </c>
    </row>
    <row r="58" spans="1:26" x14ac:dyDescent="0.2">
      <c r="A58" t="s">
        <v>58</v>
      </c>
      <c r="B58" s="5"/>
      <c r="C58" s="5"/>
      <c r="D58" s="5"/>
      <c r="F58" s="5"/>
      <c r="H58" s="23"/>
    </row>
    <row r="59" spans="1:26" x14ac:dyDescent="0.2">
      <c r="A59" t="s">
        <v>59</v>
      </c>
      <c r="B59" s="5"/>
      <c r="C59" s="5"/>
      <c r="D59" s="5"/>
      <c r="F59" s="5"/>
      <c r="H59" s="23"/>
    </row>
    <row r="60" spans="1:26" x14ac:dyDescent="0.2">
      <c r="A60" t="s">
        <v>60</v>
      </c>
      <c r="B60" s="5"/>
      <c r="C60" s="5"/>
      <c r="D60" s="5"/>
      <c r="F60" s="5"/>
      <c r="H60" s="23"/>
    </row>
    <row r="61" spans="1:26" x14ac:dyDescent="0.2">
      <c r="A61" t="s">
        <v>61</v>
      </c>
      <c r="B61" s="5"/>
      <c r="C61" s="5"/>
      <c r="D61" s="5"/>
      <c r="F61" s="5"/>
      <c r="H61" s="23"/>
    </row>
    <row r="62" spans="1:26" x14ac:dyDescent="0.2">
      <c r="A62" t="s">
        <v>62</v>
      </c>
      <c r="B62" s="5"/>
      <c r="C62" s="5"/>
      <c r="D62" s="5"/>
      <c r="F62" s="5"/>
      <c r="H62" s="23"/>
    </row>
    <row r="63" spans="1:26" x14ac:dyDescent="0.2">
      <c r="A63" t="s">
        <v>63</v>
      </c>
      <c r="B63" s="5"/>
      <c r="C63" s="5"/>
      <c r="D63" s="5"/>
      <c r="F63" s="5"/>
      <c r="H63" s="23"/>
    </row>
    <row r="64" spans="1:26" x14ac:dyDescent="0.2">
      <c r="A64" t="s">
        <v>64</v>
      </c>
      <c r="B64" s="5"/>
      <c r="C64" s="5"/>
      <c r="D64" s="5"/>
      <c r="F64" s="5"/>
      <c r="H64" s="23"/>
    </row>
    <row r="65" spans="1:8" x14ac:dyDescent="0.2">
      <c r="A65" t="s">
        <v>65</v>
      </c>
      <c r="B65" s="5"/>
      <c r="C65" s="5"/>
      <c r="D65" s="5"/>
      <c r="F65" s="5"/>
      <c r="H65" s="23"/>
    </row>
    <row r="66" spans="1:8" x14ac:dyDescent="0.2">
      <c r="A66" t="s">
        <v>66</v>
      </c>
      <c r="B66" s="5"/>
      <c r="C66" s="5"/>
      <c r="D66" s="5"/>
      <c r="F66" s="5"/>
      <c r="H66" s="23"/>
    </row>
    <row r="67" spans="1:8" x14ac:dyDescent="0.2">
      <c r="A67" t="s">
        <v>67</v>
      </c>
      <c r="B67" s="5"/>
      <c r="C67" s="5"/>
      <c r="D67" s="5"/>
      <c r="F67" s="5"/>
      <c r="H67" s="23"/>
    </row>
    <row r="68" spans="1:8" x14ac:dyDescent="0.2">
      <c r="A68" t="s">
        <v>68</v>
      </c>
      <c r="B68" s="5"/>
      <c r="C68" s="5"/>
      <c r="D68" s="5"/>
      <c r="F68" s="5"/>
      <c r="H68" s="23"/>
    </row>
    <row r="69" spans="1:8" x14ac:dyDescent="0.2">
      <c r="A69" t="s">
        <v>69</v>
      </c>
      <c r="B69" s="8"/>
      <c r="C69" s="8"/>
      <c r="D69" s="8"/>
      <c r="F69" s="8"/>
      <c r="H69" s="30"/>
    </row>
    <row r="70" spans="1:8" x14ac:dyDescent="0.2">
      <c r="B70" s="5">
        <f>SUM(B58:B69)</f>
        <v>0</v>
      </c>
      <c r="C70" s="5"/>
      <c r="D70" s="5">
        <f t="shared" ref="D70" si="5">SUM(D58:D69)</f>
        <v>0</v>
      </c>
      <c r="F70" s="5">
        <f t="shared" ref="F70" si="6">SUM(F58:F69)</f>
        <v>0</v>
      </c>
      <c r="H70" s="23">
        <f t="shared" ref="H70" si="7">SUM(H58:H69)</f>
        <v>0</v>
      </c>
    </row>
    <row r="72" spans="1:8" x14ac:dyDescent="0.2">
      <c r="A72" s="47" t="s">
        <v>73</v>
      </c>
    </row>
    <row r="73" spans="1:8" x14ac:dyDescent="0.2">
      <c r="B73" s="3" t="s">
        <v>74</v>
      </c>
      <c r="C73" s="1"/>
      <c r="D73" s="3" t="s">
        <v>44</v>
      </c>
    </row>
    <row r="74" spans="1:8" x14ac:dyDescent="0.2">
      <c r="A74" t="s">
        <v>58</v>
      </c>
      <c r="B74" s="11">
        <v>95915372</v>
      </c>
      <c r="D74">
        <v>2.2550000000000001E-2</v>
      </c>
      <c r="H74" s="19">
        <f>B74*D74</f>
        <v>2162891.6386000002</v>
      </c>
    </row>
    <row r="75" spans="1:8" x14ac:dyDescent="0.2">
      <c r="A75" t="s">
        <v>59</v>
      </c>
      <c r="B75" s="11">
        <v>86255660</v>
      </c>
      <c r="D75">
        <v>1.1480000000000001E-2</v>
      </c>
      <c r="H75" s="19">
        <f t="shared" ref="H75:H85" si="8">B75*D75</f>
        <v>990214.97680000006</v>
      </c>
    </row>
    <row r="76" spans="1:8" x14ac:dyDescent="0.2">
      <c r="A76" t="s">
        <v>60</v>
      </c>
      <c r="B76" s="11">
        <v>91789533</v>
      </c>
      <c r="D76">
        <v>8.9300000000000004E-3</v>
      </c>
      <c r="H76" s="19">
        <f t="shared" si="8"/>
        <v>819680.52969</v>
      </c>
    </row>
    <row r="77" spans="1:8" x14ac:dyDescent="0.2">
      <c r="A77" t="s">
        <v>61</v>
      </c>
      <c r="B77" s="11">
        <v>80548823</v>
      </c>
      <c r="D77">
        <v>9.5600000000000008E-3</v>
      </c>
      <c r="H77" s="19">
        <f t="shared" si="8"/>
        <v>770046.74788000004</v>
      </c>
    </row>
    <row r="78" spans="1:8" x14ac:dyDescent="0.2">
      <c r="A78" t="s">
        <v>62</v>
      </c>
      <c r="B78" s="11">
        <v>87830335</v>
      </c>
      <c r="D78">
        <v>1.119E-2</v>
      </c>
      <c r="H78" s="19">
        <f t="shared" si="8"/>
        <v>982821.44865000003</v>
      </c>
    </row>
    <row r="79" spans="1:8" x14ac:dyDescent="0.2">
      <c r="A79" t="s">
        <v>63</v>
      </c>
      <c r="B79" s="11">
        <v>87285102</v>
      </c>
      <c r="D79">
        <v>4.5799999999999999E-3</v>
      </c>
      <c r="H79" s="19">
        <f t="shared" si="8"/>
        <v>399765.76715999999</v>
      </c>
    </row>
    <row r="80" spans="1:8" x14ac:dyDescent="0.2">
      <c r="A80" t="s">
        <v>64</v>
      </c>
      <c r="B80" s="11">
        <v>88736409</v>
      </c>
      <c r="D80">
        <v>6.8399999999999997E-3</v>
      </c>
      <c r="H80" s="19">
        <f t="shared" si="8"/>
        <v>606957.03755999997</v>
      </c>
    </row>
    <row r="81" spans="1:8" x14ac:dyDescent="0.2">
      <c r="A81" t="s">
        <v>65</v>
      </c>
      <c r="B81" s="11">
        <v>92522596</v>
      </c>
      <c r="D81">
        <v>1.1169999999999999E-2</v>
      </c>
      <c r="H81" s="19">
        <f t="shared" si="8"/>
        <v>1033477.39732</v>
      </c>
    </row>
    <row r="82" spans="1:8" x14ac:dyDescent="0.2">
      <c r="A82" t="s">
        <v>66</v>
      </c>
      <c r="B82" s="11">
        <v>85589243</v>
      </c>
      <c r="D82">
        <v>1.035E-2</v>
      </c>
      <c r="H82" s="19">
        <f t="shared" si="8"/>
        <v>885848.66504999995</v>
      </c>
    </row>
    <row r="83" spans="1:8" x14ac:dyDescent="0.2">
      <c r="A83" t="s">
        <v>67</v>
      </c>
      <c r="B83" s="11">
        <v>91864619</v>
      </c>
      <c r="D83">
        <v>1.108E-2</v>
      </c>
      <c r="H83" s="19">
        <f t="shared" si="8"/>
        <v>1017859.97852</v>
      </c>
    </row>
    <row r="84" spans="1:8" x14ac:dyDescent="0.2">
      <c r="A84" t="s">
        <v>68</v>
      </c>
      <c r="B84" s="11">
        <v>89189261</v>
      </c>
      <c r="D84">
        <v>8.0599999999999995E-3</v>
      </c>
      <c r="H84" s="19">
        <f t="shared" si="8"/>
        <v>718865.44365999999</v>
      </c>
    </row>
    <row r="85" spans="1:8" x14ac:dyDescent="0.2">
      <c r="A85" t="s">
        <v>69</v>
      </c>
      <c r="B85" s="8">
        <v>93052071</v>
      </c>
      <c r="D85">
        <v>6.3200000000000001E-3</v>
      </c>
      <c r="H85" s="20">
        <f t="shared" si="8"/>
        <v>588089.08872</v>
      </c>
    </row>
    <row r="86" spans="1:8" x14ac:dyDescent="0.2">
      <c r="B86" s="7">
        <f>SUM(B74:B85)</f>
        <v>1070579024</v>
      </c>
      <c r="H86" s="19">
        <f>SUM(H74:H85)</f>
        <v>10976518.71961</v>
      </c>
    </row>
  </sheetData>
  <mergeCells count="3">
    <mergeCell ref="D4:H5"/>
    <mergeCell ref="M4:Q5"/>
    <mergeCell ref="V4:Z5"/>
  </mergeCells>
  <pageMargins left="0.75" right="0.75" top="1" bottom="1" header="0.5" footer="0.5"/>
  <pageSetup scale="46" orientation="landscape" r:id="rId1"/>
  <headerFooter alignWithMargins="0">
    <oddFooter>&amp;RExhibit JWW-4
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D81E7-29F1-4162-85E3-9962217AFEFF}">
  <sheetPr>
    <tabColor rgb="FFFFC000"/>
    <pageSetUpPr fitToPage="1"/>
  </sheetPr>
  <dimension ref="A1:Z85"/>
  <sheetViews>
    <sheetView view="pageBreakPreview" zoomScaleNormal="115" zoomScaleSheetLayoutView="100" workbookViewId="0"/>
  </sheetViews>
  <sheetFormatPr defaultRowHeight="12.75" x14ac:dyDescent="0.2"/>
  <cols>
    <col min="2" max="2" width="29.42578125" customWidth="1"/>
    <col min="3" max="3" width="2.7109375" customWidth="1"/>
    <col min="4" max="4" width="16" customWidth="1"/>
    <col min="5" max="5" width="2.7109375" customWidth="1"/>
    <col min="6" max="6" width="13.28515625" customWidth="1"/>
    <col min="7" max="7" width="2.7109375" customWidth="1"/>
    <col min="8" max="8" width="18.42578125" customWidth="1"/>
    <col min="9" max="9" width="3.28515625" customWidth="1"/>
    <col min="10" max="10" width="9" customWidth="1"/>
    <col min="11" max="11" width="21.85546875" customWidth="1"/>
    <col min="12" max="12" width="2.85546875" customWidth="1"/>
    <col min="13" max="13" width="12.5703125" customWidth="1"/>
    <col min="14" max="14" width="2.7109375" customWidth="1"/>
    <col min="15" max="15" width="11.28515625" customWidth="1"/>
    <col min="16" max="16" width="2.7109375" customWidth="1"/>
    <col min="17" max="17" width="14.7109375" customWidth="1"/>
    <col min="18" max="18" width="3.28515625" customWidth="1"/>
    <col min="19" max="19" width="9" customWidth="1"/>
    <col min="20" max="20" width="21.85546875" customWidth="1"/>
    <col min="21" max="21" width="2.85546875" customWidth="1"/>
    <col min="22" max="22" width="12.5703125" customWidth="1"/>
    <col min="23" max="23" width="2.7109375" customWidth="1"/>
    <col min="24" max="24" width="11.28515625" customWidth="1"/>
    <col min="25" max="25" width="2.7109375" customWidth="1"/>
    <col min="26" max="26" width="14.7109375" customWidth="1"/>
  </cols>
  <sheetData>
    <row r="1" spans="1:26" x14ac:dyDescent="0.2">
      <c r="A1" s="1" t="s">
        <v>0</v>
      </c>
      <c r="J1" s="1"/>
      <c r="S1" s="1"/>
    </row>
    <row r="2" spans="1:26" x14ac:dyDescent="0.2">
      <c r="A2" s="1" t="s">
        <v>20</v>
      </c>
      <c r="J2" s="1"/>
      <c r="S2" s="1"/>
    </row>
    <row r="3" spans="1:26" ht="13.5" thickBot="1" x14ac:dyDescent="0.25">
      <c r="A3" s="1"/>
      <c r="J3" s="1"/>
      <c r="S3" s="1"/>
    </row>
    <row r="4" spans="1:26" ht="12.75" customHeight="1" x14ac:dyDescent="0.2">
      <c r="A4" s="1"/>
      <c r="D4" s="55" t="s">
        <v>27</v>
      </c>
      <c r="E4" s="56"/>
      <c r="F4" s="56"/>
      <c r="G4" s="56"/>
      <c r="H4" s="57"/>
      <c r="J4" s="16"/>
      <c r="M4" s="61" t="s">
        <v>28</v>
      </c>
      <c r="N4" s="62"/>
      <c r="O4" s="62"/>
      <c r="P4" s="62"/>
      <c r="Q4" s="63"/>
      <c r="S4" s="16"/>
      <c r="V4" s="61" t="s">
        <v>29</v>
      </c>
      <c r="W4" s="62"/>
      <c r="X4" s="62"/>
      <c r="Y4" s="62"/>
      <c r="Z4" s="63"/>
    </row>
    <row r="5" spans="1:26" ht="13.5" thickBot="1" x14ac:dyDescent="0.25">
      <c r="D5" s="58"/>
      <c r="E5" s="59"/>
      <c r="F5" s="59"/>
      <c r="G5" s="59"/>
      <c r="H5" s="60"/>
      <c r="J5" s="16"/>
      <c r="M5" s="64"/>
      <c r="N5" s="65"/>
      <c r="O5" s="65"/>
      <c r="P5" s="65"/>
      <c r="Q5" s="66"/>
      <c r="S5" s="16"/>
      <c r="V5" s="64"/>
      <c r="W5" s="65"/>
      <c r="X5" s="65"/>
      <c r="Y5" s="65"/>
      <c r="Z5" s="66"/>
    </row>
    <row r="6" spans="1:26" x14ac:dyDescent="0.2">
      <c r="A6" s="1" t="s">
        <v>30</v>
      </c>
      <c r="D6" s="2" t="s">
        <v>31</v>
      </c>
      <c r="F6" s="3" t="s">
        <v>32</v>
      </c>
      <c r="H6" s="2" t="s">
        <v>33</v>
      </c>
      <c r="J6" s="1" t="s">
        <v>30</v>
      </c>
      <c r="M6" s="2" t="s">
        <v>31</v>
      </c>
      <c r="O6" s="3" t="s">
        <v>32</v>
      </c>
      <c r="Q6" s="2" t="s">
        <v>34</v>
      </c>
      <c r="S6" s="1" t="s">
        <v>30</v>
      </c>
      <c r="V6" s="2" t="s">
        <v>31</v>
      </c>
      <c r="X6" s="3" t="s">
        <v>32</v>
      </c>
      <c r="Z6" s="2" t="s">
        <v>34</v>
      </c>
    </row>
    <row r="9" spans="1:26" x14ac:dyDescent="0.2">
      <c r="A9" s="1" t="s">
        <v>35</v>
      </c>
      <c r="J9" s="1" t="s">
        <v>35</v>
      </c>
      <c r="S9" s="1" t="s">
        <v>35</v>
      </c>
    </row>
    <row r="10" spans="1:26" x14ac:dyDescent="0.2">
      <c r="B10" t="s">
        <v>36</v>
      </c>
      <c r="D10" s="5">
        <v>0</v>
      </c>
      <c r="F10" s="4">
        <v>0</v>
      </c>
      <c r="H10" s="21">
        <f>D10*F10</f>
        <v>0</v>
      </c>
      <c r="K10" t="s">
        <v>36</v>
      </c>
      <c r="M10" s="5">
        <f>D10</f>
        <v>0</v>
      </c>
      <c r="O10" s="4">
        <v>0</v>
      </c>
      <c r="Q10" s="21">
        <f>M10*O10</f>
        <v>0</v>
      </c>
      <c r="T10" t="s">
        <v>36</v>
      </c>
      <c r="V10" s="5">
        <f>M10</f>
        <v>0</v>
      </c>
      <c r="X10" s="4">
        <v>0</v>
      </c>
      <c r="Z10" s="21">
        <f>V10*X10</f>
        <v>0</v>
      </c>
    </row>
    <row r="11" spans="1:26" x14ac:dyDescent="0.2">
      <c r="B11" s="47"/>
      <c r="D11" s="11"/>
      <c r="F11" s="14"/>
      <c r="H11" s="21"/>
      <c r="K11" s="47"/>
      <c r="M11" s="11"/>
      <c r="O11" s="14"/>
      <c r="Q11" s="21"/>
      <c r="T11" s="47"/>
      <c r="V11" s="11"/>
      <c r="X11" s="14"/>
      <c r="Z11" s="21"/>
    </row>
    <row r="12" spans="1:26" x14ac:dyDescent="0.2">
      <c r="A12" s="1" t="s">
        <v>37</v>
      </c>
      <c r="D12" s="11"/>
      <c r="F12" s="14"/>
      <c r="H12" s="21"/>
      <c r="J12" s="1" t="s">
        <v>37</v>
      </c>
      <c r="M12" s="11"/>
      <c r="O12" s="14"/>
      <c r="Q12" s="21"/>
      <c r="S12" s="1" t="s">
        <v>37</v>
      </c>
      <c r="V12" s="11"/>
      <c r="X12" s="14"/>
      <c r="Z12" s="21"/>
    </row>
    <row r="13" spans="1:26" x14ac:dyDescent="0.2">
      <c r="A13" s="1"/>
      <c r="B13" s="47" t="s">
        <v>38</v>
      </c>
      <c r="D13" s="7">
        <f>D53</f>
        <v>796143</v>
      </c>
      <c r="F13" s="14">
        <v>7.49</v>
      </c>
      <c r="H13" s="21">
        <f>D13*F13</f>
        <v>5963111.0700000003</v>
      </c>
      <c r="J13" s="1"/>
      <c r="K13" s="47" t="s">
        <v>38</v>
      </c>
      <c r="M13" s="7">
        <f>D13</f>
        <v>796143</v>
      </c>
      <c r="O13" s="14">
        <v>9.32</v>
      </c>
      <c r="Q13" s="21">
        <f>M13*O13</f>
        <v>7420052.7599999998</v>
      </c>
      <c r="S13" s="1"/>
      <c r="T13" s="47" t="s">
        <v>38</v>
      </c>
      <c r="V13" s="7">
        <f>M13</f>
        <v>796143</v>
      </c>
      <c r="X13" s="14">
        <f>O13</f>
        <v>9.32</v>
      </c>
      <c r="Z13" s="21">
        <f>V13*X13</f>
        <v>7420052.7599999998</v>
      </c>
    </row>
    <row r="14" spans="1:26" x14ac:dyDescent="0.2">
      <c r="A14" s="1"/>
      <c r="B14" s="47" t="s">
        <v>39</v>
      </c>
      <c r="D14" s="7">
        <f>F53</f>
        <v>0</v>
      </c>
      <c r="F14" s="14">
        <v>0</v>
      </c>
      <c r="H14" s="21">
        <f t="shared" ref="H14" si="0">D14*F14</f>
        <v>0</v>
      </c>
      <c r="J14" s="1"/>
      <c r="K14" s="47" t="s">
        <v>39</v>
      </c>
      <c r="M14" s="7">
        <f>D14</f>
        <v>0</v>
      </c>
      <c r="O14" s="14"/>
      <c r="Q14" s="21"/>
      <c r="S14" s="1"/>
      <c r="T14" s="47" t="s">
        <v>39</v>
      </c>
      <c r="V14" s="7">
        <f>M14</f>
        <v>0</v>
      </c>
      <c r="X14" s="14"/>
      <c r="Z14" s="21"/>
    </row>
    <row r="15" spans="1:26" x14ac:dyDescent="0.2">
      <c r="A15" s="1"/>
      <c r="B15" s="47" t="s">
        <v>40</v>
      </c>
      <c r="D15" s="7">
        <f>H15/F15</f>
        <v>256895.35714285716</v>
      </c>
      <c r="F15" s="14">
        <v>-5.6</v>
      </c>
      <c r="H15" s="21">
        <v>-1438614</v>
      </c>
      <c r="J15" s="1"/>
      <c r="K15" s="47" t="str">
        <f>B15</f>
        <v>Interuptible kW Credits (400h)</v>
      </c>
      <c r="M15" s="7">
        <f>D15</f>
        <v>256895.35714285716</v>
      </c>
      <c r="O15" s="14">
        <v>-5.6</v>
      </c>
      <c r="Q15" s="21">
        <f>M15*O15</f>
        <v>-1438614</v>
      </c>
      <c r="S15" s="1"/>
      <c r="T15" s="47" t="str">
        <f>K15</f>
        <v>Interuptible kW Credits (400h)</v>
      </c>
      <c r="V15" s="7">
        <f>M15</f>
        <v>256895.35714285716</v>
      </c>
      <c r="X15" s="14">
        <v>-7.6</v>
      </c>
      <c r="Z15" s="21">
        <f>V15*X15</f>
        <v>-1952404.7142857143</v>
      </c>
    </row>
    <row r="16" spans="1:26" x14ac:dyDescent="0.2">
      <c r="H16" s="21"/>
      <c r="Q16" s="21"/>
      <c r="Z16" s="21"/>
    </row>
    <row r="17" spans="1:26" x14ac:dyDescent="0.2">
      <c r="A17" s="1" t="s">
        <v>41</v>
      </c>
      <c r="D17" t="s">
        <v>42</v>
      </c>
      <c r="H17" s="21"/>
      <c r="J17" s="1" t="s">
        <v>41</v>
      </c>
      <c r="M17" t="s">
        <v>42</v>
      </c>
      <c r="Q17" s="21"/>
      <c r="S17" s="1" t="s">
        <v>41</v>
      </c>
      <c r="V17" t="s">
        <v>42</v>
      </c>
      <c r="Z17" s="21"/>
    </row>
    <row r="18" spans="1:26" x14ac:dyDescent="0.2">
      <c r="B18" s="47" t="s">
        <v>43</v>
      </c>
      <c r="D18" s="11">
        <f>B53</f>
        <v>439070610</v>
      </c>
      <c r="F18" s="26">
        <v>5.1133999999999999E-2</v>
      </c>
      <c r="H18" s="21">
        <f>D18*F18</f>
        <v>22451436.571739998</v>
      </c>
      <c r="K18" s="47" t="s">
        <v>43</v>
      </c>
      <c r="M18" s="5">
        <f>D18</f>
        <v>439070610</v>
      </c>
      <c r="O18" s="25">
        <v>5.4460000000000001E-2</v>
      </c>
      <c r="Q18" s="21">
        <f>M18*O18</f>
        <v>23911785.420600001</v>
      </c>
      <c r="T18" s="47" t="s">
        <v>43</v>
      </c>
      <c r="V18" s="5">
        <f>M18</f>
        <v>439070610</v>
      </c>
      <c r="X18" s="25">
        <f>O18</f>
        <v>5.4460000000000001E-2</v>
      </c>
      <c r="Z18" s="21">
        <f>V18*X18</f>
        <v>23911785.420600001</v>
      </c>
    </row>
    <row r="19" spans="1:26" x14ac:dyDescent="0.2">
      <c r="B19" s="47"/>
      <c r="D19" s="11"/>
      <c r="F19" s="26"/>
      <c r="H19" s="21"/>
      <c r="K19" s="47"/>
      <c r="M19" s="5"/>
      <c r="O19" s="25"/>
      <c r="Q19" s="21"/>
      <c r="T19" s="47"/>
      <c r="V19" s="5"/>
      <c r="X19" s="25"/>
      <c r="Z19" s="21"/>
    </row>
    <row r="20" spans="1:26" x14ac:dyDescent="0.2">
      <c r="B20" s="47"/>
      <c r="D20" s="11"/>
      <c r="F20" s="26"/>
      <c r="H20" s="21"/>
      <c r="K20" s="47"/>
      <c r="M20" s="5"/>
      <c r="O20" s="25"/>
      <c r="Q20" s="21"/>
      <c r="T20" s="47"/>
      <c r="V20" s="5"/>
      <c r="X20" s="25"/>
      <c r="Z20" s="21"/>
    </row>
    <row r="21" spans="1:26" x14ac:dyDescent="0.2">
      <c r="B21" t="s">
        <v>44</v>
      </c>
      <c r="D21" s="11"/>
      <c r="F21" s="15"/>
      <c r="H21" s="21">
        <v>-590593</v>
      </c>
      <c r="K21" t="s">
        <v>44</v>
      </c>
      <c r="M21" s="11"/>
      <c r="O21" s="26"/>
      <c r="Q21" s="21">
        <f>H21</f>
        <v>-590593</v>
      </c>
      <c r="T21" t="s">
        <v>44</v>
      </c>
      <c r="V21" s="11"/>
      <c r="X21" s="26"/>
      <c r="Z21" s="21">
        <f>Q21</f>
        <v>-590593</v>
      </c>
    </row>
    <row r="22" spans="1:26" x14ac:dyDescent="0.2">
      <c r="B22" s="47" t="s">
        <v>45</v>
      </c>
      <c r="H22" s="21">
        <v>-247374</v>
      </c>
      <c r="K22" s="47" t="s">
        <v>45</v>
      </c>
      <c r="M22" s="11"/>
      <c r="O22" s="15"/>
      <c r="Q22" s="21">
        <f t="shared" ref="Q22:Q26" si="1">H22</f>
        <v>-247374</v>
      </c>
      <c r="T22" s="47" t="s">
        <v>45</v>
      </c>
      <c r="V22" s="11"/>
      <c r="X22" s="15"/>
      <c r="Z22" s="21">
        <f t="shared" ref="Z22:Z26" si="2">Q22</f>
        <v>-247374</v>
      </c>
    </row>
    <row r="23" spans="1:26" x14ac:dyDescent="0.2">
      <c r="B23" t="s">
        <v>46</v>
      </c>
      <c r="D23" s="11"/>
      <c r="F23" s="15"/>
      <c r="H23" s="21">
        <f>4182063-46335</f>
        <v>4135728</v>
      </c>
      <c r="K23" t="s">
        <v>46</v>
      </c>
      <c r="Q23" s="21">
        <f t="shared" si="1"/>
        <v>4135728</v>
      </c>
      <c r="T23" t="s">
        <v>46</v>
      </c>
      <c r="Z23" s="21">
        <f t="shared" si="2"/>
        <v>4135728</v>
      </c>
    </row>
    <row r="24" spans="1:26" x14ac:dyDescent="0.2">
      <c r="B24" t="s">
        <v>47</v>
      </c>
      <c r="H24" s="21">
        <v>20477</v>
      </c>
      <c r="K24" t="s">
        <v>47</v>
      </c>
      <c r="M24" s="11"/>
      <c r="O24" s="15"/>
      <c r="Q24" s="21">
        <f t="shared" si="1"/>
        <v>20477</v>
      </c>
      <c r="T24" t="s">
        <v>47</v>
      </c>
      <c r="V24" s="11"/>
      <c r="X24" s="15"/>
      <c r="Z24" s="21">
        <f t="shared" si="2"/>
        <v>20477</v>
      </c>
    </row>
    <row r="25" spans="1:26" x14ac:dyDescent="0.2">
      <c r="B25" t="s">
        <v>48</v>
      </c>
      <c r="H25" s="21">
        <v>-17606</v>
      </c>
      <c r="K25" t="s">
        <v>48</v>
      </c>
      <c r="M25" s="11"/>
      <c r="O25" s="15"/>
      <c r="Q25" s="21">
        <f t="shared" si="1"/>
        <v>-17606</v>
      </c>
      <c r="T25" t="s">
        <v>48</v>
      </c>
      <c r="V25" s="11"/>
      <c r="X25" s="15"/>
      <c r="Z25" s="21">
        <f t="shared" si="2"/>
        <v>-17606</v>
      </c>
    </row>
    <row r="26" spans="1:26" x14ac:dyDescent="0.2">
      <c r="B26" s="47" t="s">
        <v>49</v>
      </c>
      <c r="H26" s="21">
        <v>-14904</v>
      </c>
      <c r="K26" s="47" t="s">
        <v>49</v>
      </c>
      <c r="Q26" s="21">
        <f t="shared" si="1"/>
        <v>-14904</v>
      </c>
      <c r="T26" s="47" t="s">
        <v>49</v>
      </c>
      <c r="Z26" s="21">
        <f t="shared" si="2"/>
        <v>-14904</v>
      </c>
    </row>
    <row r="27" spans="1:26" x14ac:dyDescent="0.2">
      <c r="H27" s="21"/>
      <c r="Q27" s="21"/>
      <c r="Z27" s="21"/>
    </row>
    <row r="28" spans="1:26" ht="13.5" thickBot="1" x14ac:dyDescent="0.25">
      <c r="B28" s="1" t="s">
        <v>51</v>
      </c>
      <c r="H28" s="37">
        <f>H10+H13+H14+H15+H18+H21+H22+H23+H24+H25+H26</f>
        <v>30261661.641739998</v>
      </c>
      <c r="K28" s="1" t="s">
        <v>51</v>
      </c>
      <c r="Q28" s="37">
        <f>SUM(Q10,Q13:Q15,Q18,Q21:Q26)</f>
        <v>33178952.180600002</v>
      </c>
      <c r="T28" s="1" t="s">
        <v>51</v>
      </c>
      <c r="Z28" s="37">
        <f>SUM(Z10,Z13:Z15,Z18,Z21:Z26)</f>
        <v>32665161.466314286</v>
      </c>
    </row>
    <row r="29" spans="1:26" ht="13.5" thickTop="1" x14ac:dyDescent="0.2">
      <c r="K29" s="1"/>
      <c r="Q29" s="21"/>
      <c r="T29" s="1"/>
      <c r="Z29" s="21"/>
    </row>
    <row r="30" spans="1:26" x14ac:dyDescent="0.2">
      <c r="H30" s="14"/>
      <c r="K30" t="s">
        <v>52</v>
      </c>
      <c r="M30" s="7"/>
      <c r="O30" s="14"/>
      <c r="Q30" s="22">
        <f>Q28-H28</f>
        <v>2917290.5388600044</v>
      </c>
      <c r="T30" t="s">
        <v>52</v>
      </c>
      <c r="V30" s="7"/>
      <c r="X30" s="14"/>
      <c r="Z30" s="22">
        <f>Z28-Q28</f>
        <v>-513790.71428571641</v>
      </c>
    </row>
    <row r="31" spans="1:26" x14ac:dyDescent="0.2">
      <c r="H31" s="6"/>
    </row>
    <row r="32" spans="1:26" x14ac:dyDescent="0.2">
      <c r="K32" t="s">
        <v>6</v>
      </c>
      <c r="Q32" s="17">
        <f>Q30/H28</f>
        <v>9.6402192761159453E-2</v>
      </c>
      <c r="T32" t="s">
        <v>6</v>
      </c>
      <c r="Z32" s="17">
        <f>Z30/H28</f>
        <v>-1.6978271727717799E-2</v>
      </c>
    </row>
    <row r="33" spans="1:26" x14ac:dyDescent="0.2">
      <c r="H33" s="17"/>
    </row>
    <row r="34" spans="1:26" x14ac:dyDescent="0.2">
      <c r="T34" t="s">
        <v>53</v>
      </c>
      <c r="Z34" s="21">
        <f>Q30+Z30</f>
        <v>2403499.824574288</v>
      </c>
    </row>
    <row r="35" spans="1:26" x14ac:dyDescent="0.2">
      <c r="H35" s="38"/>
    </row>
    <row r="36" spans="1:26" x14ac:dyDescent="0.2">
      <c r="T36" t="s">
        <v>54</v>
      </c>
      <c r="V36" s="47"/>
      <c r="X36" s="12"/>
      <c r="Z36" s="12">
        <f>(Q30+Z30)/H28</f>
        <v>7.9423921033441661E-2</v>
      </c>
    </row>
    <row r="37" spans="1:26" x14ac:dyDescent="0.2">
      <c r="M37" s="47"/>
      <c r="O37" s="12"/>
      <c r="Q37" s="4"/>
      <c r="V37" s="47"/>
      <c r="X37" s="17"/>
      <c r="Z37" s="14"/>
    </row>
    <row r="38" spans="1:26" x14ac:dyDescent="0.2">
      <c r="A38" s="47" t="str">
        <f>A2</f>
        <v>Rate C</v>
      </c>
    </row>
    <row r="39" spans="1:26" x14ac:dyDescent="0.2">
      <c r="B39" s="47"/>
      <c r="M39" s="47"/>
      <c r="O39" s="12"/>
      <c r="Q39" s="23"/>
      <c r="V39" s="47"/>
      <c r="X39" s="17"/>
      <c r="Z39" s="22"/>
    </row>
    <row r="40" spans="1:26" x14ac:dyDescent="0.2">
      <c r="B40" s="3" t="s">
        <v>55</v>
      </c>
      <c r="D40" s="3" t="s">
        <v>38</v>
      </c>
      <c r="F40" s="3" t="s">
        <v>75</v>
      </c>
      <c r="H40" s="3" t="s">
        <v>56</v>
      </c>
      <c r="K40" s="74"/>
      <c r="T40" s="3"/>
    </row>
    <row r="41" spans="1:26" x14ac:dyDescent="0.2">
      <c r="A41" t="s">
        <v>58</v>
      </c>
      <c r="B41" s="5">
        <v>32930283</v>
      </c>
      <c r="C41" s="5"/>
      <c r="D41" s="5">
        <v>60879</v>
      </c>
      <c r="F41" s="5"/>
      <c r="H41" s="23">
        <v>2737845</v>
      </c>
      <c r="K41" s="11"/>
      <c r="Q41" s="7"/>
      <c r="T41" s="11"/>
      <c r="Z41" s="7"/>
    </row>
    <row r="42" spans="1:26" x14ac:dyDescent="0.2">
      <c r="A42" t="s">
        <v>59</v>
      </c>
      <c r="B42" s="5">
        <v>31640024</v>
      </c>
      <c r="C42" s="5"/>
      <c r="D42" s="5">
        <v>60897</v>
      </c>
      <c r="F42" s="5"/>
      <c r="H42" s="23">
        <v>2165205.0099999998</v>
      </c>
      <c r="K42" s="11"/>
      <c r="Q42" s="7"/>
      <c r="T42" s="11"/>
      <c r="Z42" s="7"/>
    </row>
    <row r="43" spans="1:26" x14ac:dyDescent="0.2">
      <c r="A43" t="s">
        <v>60</v>
      </c>
      <c r="B43" s="5">
        <v>36221057</v>
      </c>
      <c r="C43" s="5"/>
      <c r="D43" s="5">
        <v>64371</v>
      </c>
      <c r="F43" s="5"/>
      <c r="H43" s="23">
        <v>2389437</v>
      </c>
      <c r="K43" s="11"/>
      <c r="Q43" s="7"/>
      <c r="T43" s="11"/>
      <c r="Z43" s="7"/>
    </row>
    <row r="44" spans="1:26" x14ac:dyDescent="0.2">
      <c r="A44" t="s">
        <v>61</v>
      </c>
      <c r="B44" s="5">
        <v>35098843</v>
      </c>
      <c r="C44" s="5"/>
      <c r="D44" s="5">
        <v>64523</v>
      </c>
      <c r="F44" s="5"/>
      <c r="H44" s="23">
        <v>2444198</v>
      </c>
      <c r="K44" s="11"/>
      <c r="Q44" s="7"/>
      <c r="T44" s="11"/>
      <c r="Z44" s="7"/>
    </row>
    <row r="45" spans="1:26" x14ac:dyDescent="0.2">
      <c r="A45" t="s">
        <v>62</v>
      </c>
      <c r="B45" s="5">
        <v>37360741</v>
      </c>
      <c r="C45" s="5"/>
      <c r="D45" s="5">
        <v>67004</v>
      </c>
      <c r="F45" s="5"/>
      <c r="H45" s="23">
        <v>2639171</v>
      </c>
      <c r="K45" s="11"/>
      <c r="Q45" s="7"/>
      <c r="T45" s="11"/>
      <c r="Z45" s="7"/>
    </row>
    <row r="46" spans="1:26" x14ac:dyDescent="0.2">
      <c r="A46" t="s">
        <v>63</v>
      </c>
      <c r="B46" s="5">
        <v>35770265</v>
      </c>
      <c r="C46" s="5"/>
      <c r="D46" s="5">
        <v>67450</v>
      </c>
      <c r="F46" s="5"/>
      <c r="H46" s="23">
        <v>2223010</v>
      </c>
      <c r="K46" s="11"/>
      <c r="T46" s="11"/>
    </row>
    <row r="47" spans="1:26" x14ac:dyDescent="0.2">
      <c r="A47" t="s">
        <v>64</v>
      </c>
      <c r="B47" s="5">
        <f>36997807-980247</f>
        <v>36017560</v>
      </c>
      <c r="C47" s="5"/>
      <c r="D47" s="5">
        <v>67835</v>
      </c>
      <c r="F47" s="5"/>
      <c r="H47" s="23">
        <f>2440891.18-9704-39096-10950</f>
        <v>2381141.1800000002</v>
      </c>
      <c r="K47" s="11"/>
      <c r="T47" s="11"/>
    </row>
    <row r="48" spans="1:26" x14ac:dyDescent="0.2">
      <c r="A48" t="s">
        <v>65</v>
      </c>
      <c r="B48" s="5">
        <f>39877067-849850</f>
        <v>39027217</v>
      </c>
      <c r="C48" s="5"/>
      <c r="D48" s="5">
        <v>67797</v>
      </c>
      <c r="F48" s="5"/>
      <c r="H48" s="23">
        <f>2850795.14-7687-33896-5813</f>
        <v>2803399.14</v>
      </c>
      <c r="K48" s="11"/>
      <c r="T48" s="11"/>
    </row>
    <row r="49" spans="1:26" x14ac:dyDescent="0.2">
      <c r="A49" t="s">
        <v>66</v>
      </c>
      <c r="B49" s="5">
        <f>39951375-910991</f>
        <v>39040384</v>
      </c>
      <c r="C49" s="5"/>
      <c r="D49" s="5">
        <f>68211-44</f>
        <v>68167</v>
      </c>
      <c r="F49" s="5"/>
      <c r="H49" s="23">
        <f>2748801.66-329-6983-36334-9429</f>
        <v>2695726.66</v>
      </c>
      <c r="K49" s="11"/>
      <c r="T49" s="11"/>
    </row>
    <row r="50" spans="1:26" x14ac:dyDescent="0.2">
      <c r="A50" t="s">
        <v>67</v>
      </c>
      <c r="B50" s="5">
        <f>41090583-1007728</f>
        <v>40082855</v>
      </c>
      <c r="C50" s="5"/>
      <c r="D50" s="5">
        <f>68914-44</f>
        <v>68870</v>
      </c>
      <c r="F50" s="5"/>
      <c r="H50" s="23">
        <f>2828613.08-329-7645-40192-11165</f>
        <v>2769282.08</v>
      </c>
      <c r="K50" s="11"/>
      <c r="T50" s="11"/>
    </row>
    <row r="51" spans="1:26" x14ac:dyDescent="0.2">
      <c r="A51" t="s">
        <v>68</v>
      </c>
      <c r="B51" s="5">
        <f>38806329-891610</f>
        <v>37914719</v>
      </c>
      <c r="C51" s="5"/>
      <c r="D51" s="5">
        <f>69208-44</f>
        <v>69164</v>
      </c>
      <c r="F51" s="5"/>
      <c r="H51" s="23">
        <f>2584207.94-329-7525-35561-7186</f>
        <v>2533606.94</v>
      </c>
      <c r="K51" s="11"/>
      <c r="T51" s="11"/>
    </row>
    <row r="52" spans="1:26" x14ac:dyDescent="0.2">
      <c r="A52" t="s">
        <v>69</v>
      </c>
      <c r="B52" s="8">
        <f>38778301-811639</f>
        <v>37966662</v>
      </c>
      <c r="C52" s="8"/>
      <c r="D52" s="8">
        <f>69230-44</f>
        <v>69186</v>
      </c>
      <c r="F52" s="8"/>
      <c r="H52" s="30">
        <f>2524260.94-329-6791-32371-5129</f>
        <v>2479640.94</v>
      </c>
      <c r="K52" s="11"/>
      <c r="T52" s="11"/>
    </row>
    <row r="53" spans="1:26" x14ac:dyDescent="0.2">
      <c r="B53" s="5">
        <f>SUM(B41:B52)</f>
        <v>439070610</v>
      </c>
      <c r="C53" s="5"/>
      <c r="D53" s="5">
        <f t="shared" ref="D53:H53" si="3">SUM(D41:D52)</f>
        <v>796143</v>
      </c>
      <c r="F53" s="5">
        <f t="shared" si="3"/>
        <v>0</v>
      </c>
      <c r="H53" s="23">
        <f t="shared" si="3"/>
        <v>30261662.950000003</v>
      </c>
      <c r="K53" s="11"/>
      <c r="T53" s="11"/>
    </row>
    <row r="55" spans="1:26" x14ac:dyDescent="0.2">
      <c r="B55" s="47"/>
      <c r="Q55" s="4"/>
      <c r="Z55" s="4"/>
    </row>
    <row r="56" spans="1:26" x14ac:dyDescent="0.2">
      <c r="B56" s="3" t="s">
        <v>70</v>
      </c>
      <c r="D56" s="3" t="s">
        <v>71</v>
      </c>
      <c r="F56" s="3" t="s">
        <v>72</v>
      </c>
      <c r="H56" s="3" t="s">
        <v>56</v>
      </c>
    </row>
    <row r="57" spans="1:26" x14ac:dyDescent="0.2">
      <c r="A57" t="s">
        <v>58</v>
      </c>
      <c r="B57" s="5"/>
      <c r="C57" s="5"/>
      <c r="D57" s="5"/>
      <c r="F57" s="5"/>
      <c r="H57" s="23"/>
    </row>
    <row r="58" spans="1:26" x14ac:dyDescent="0.2">
      <c r="A58" t="s">
        <v>59</v>
      </c>
      <c r="B58" s="5"/>
      <c r="C58" s="5"/>
      <c r="D58" s="5"/>
      <c r="F58" s="5"/>
      <c r="H58" s="23"/>
    </row>
    <row r="59" spans="1:26" x14ac:dyDescent="0.2">
      <c r="A59" t="s">
        <v>60</v>
      </c>
      <c r="B59" s="5"/>
      <c r="C59" s="5"/>
      <c r="D59" s="5"/>
      <c r="F59" s="5"/>
      <c r="H59" s="23"/>
    </row>
    <row r="60" spans="1:26" x14ac:dyDescent="0.2">
      <c r="A60" t="s">
        <v>61</v>
      </c>
      <c r="B60" s="5"/>
      <c r="C60" s="5"/>
      <c r="D60" s="5"/>
      <c r="F60" s="5"/>
      <c r="H60" s="23"/>
    </row>
    <row r="61" spans="1:26" x14ac:dyDescent="0.2">
      <c r="A61" t="s">
        <v>62</v>
      </c>
      <c r="B61" s="5"/>
      <c r="C61" s="5"/>
      <c r="D61" s="5"/>
      <c r="F61" s="5"/>
      <c r="H61" s="23"/>
    </row>
    <row r="62" spans="1:26" x14ac:dyDescent="0.2">
      <c r="A62" t="s">
        <v>63</v>
      </c>
      <c r="B62" s="5"/>
      <c r="C62" s="5"/>
      <c r="D62" s="5"/>
      <c r="F62" s="5"/>
      <c r="H62" s="23"/>
    </row>
    <row r="63" spans="1:26" x14ac:dyDescent="0.2">
      <c r="A63" t="s">
        <v>64</v>
      </c>
      <c r="B63" s="5"/>
      <c r="C63" s="5"/>
      <c r="D63" s="5"/>
      <c r="F63" s="5"/>
      <c r="H63" s="23"/>
    </row>
    <row r="64" spans="1:26" x14ac:dyDescent="0.2">
      <c r="A64" t="s">
        <v>65</v>
      </c>
      <c r="B64" s="5"/>
      <c r="C64" s="5"/>
      <c r="D64" s="5"/>
      <c r="F64" s="5"/>
      <c r="H64" s="23"/>
    </row>
    <row r="65" spans="1:8" x14ac:dyDescent="0.2">
      <c r="A65" t="s">
        <v>66</v>
      </c>
      <c r="B65" s="5"/>
      <c r="C65" s="5"/>
      <c r="D65" s="5"/>
      <c r="F65" s="5"/>
      <c r="H65" s="23"/>
    </row>
    <row r="66" spans="1:8" x14ac:dyDescent="0.2">
      <c r="A66" t="s">
        <v>67</v>
      </c>
      <c r="B66" s="5"/>
      <c r="C66" s="5"/>
      <c r="D66" s="5"/>
      <c r="F66" s="5"/>
      <c r="H66" s="23"/>
    </row>
    <row r="67" spans="1:8" x14ac:dyDescent="0.2">
      <c r="A67" t="s">
        <v>68</v>
      </c>
      <c r="B67" s="5"/>
      <c r="C67" s="5"/>
      <c r="D67" s="5"/>
      <c r="F67" s="5"/>
      <c r="H67" s="23"/>
    </row>
    <row r="68" spans="1:8" x14ac:dyDescent="0.2">
      <c r="A68" t="s">
        <v>69</v>
      </c>
      <c r="B68" s="8"/>
      <c r="C68" s="8"/>
      <c r="D68" s="8"/>
      <c r="F68" s="8"/>
      <c r="H68" s="30"/>
    </row>
    <row r="69" spans="1:8" x14ac:dyDescent="0.2">
      <c r="B69" s="5">
        <f>SUM(B57:B68)</f>
        <v>0</v>
      </c>
      <c r="C69" s="5"/>
      <c r="D69" s="5">
        <f t="shared" ref="D69" si="4">SUM(D57:D68)</f>
        <v>0</v>
      </c>
      <c r="F69" s="5">
        <f t="shared" ref="F69" si="5">SUM(F57:F68)</f>
        <v>0</v>
      </c>
      <c r="H69" s="23">
        <f t="shared" ref="H69" si="6">SUM(H57:H68)</f>
        <v>0</v>
      </c>
    </row>
    <row r="71" spans="1:8" x14ac:dyDescent="0.2">
      <c r="A71" s="47" t="s">
        <v>73</v>
      </c>
    </row>
    <row r="72" spans="1:8" x14ac:dyDescent="0.2">
      <c r="B72" s="3" t="s">
        <v>74</v>
      </c>
      <c r="C72" s="1"/>
      <c r="D72" s="3" t="s">
        <v>44</v>
      </c>
    </row>
    <row r="73" spans="1:8" x14ac:dyDescent="0.2">
      <c r="A73" t="s">
        <v>58</v>
      </c>
      <c r="B73" s="11">
        <v>32488646</v>
      </c>
      <c r="D73">
        <v>2.2550000000000001E-2</v>
      </c>
      <c r="H73" s="19">
        <f>B73*D73</f>
        <v>732618.96730000002</v>
      </c>
    </row>
    <row r="74" spans="1:8" x14ac:dyDescent="0.2">
      <c r="A74" t="s">
        <v>59</v>
      </c>
      <c r="B74" s="11">
        <v>31309900</v>
      </c>
      <c r="D74">
        <v>1.1480000000000001E-2</v>
      </c>
      <c r="H74" s="19">
        <f t="shared" ref="H74:H84" si="7">B74*D74</f>
        <v>359437.652</v>
      </c>
    </row>
    <row r="75" spans="1:8" x14ac:dyDescent="0.2">
      <c r="A75" t="s">
        <v>60</v>
      </c>
      <c r="B75" s="11">
        <v>36149197</v>
      </c>
      <c r="D75">
        <v>8.9300000000000004E-3</v>
      </c>
      <c r="H75" s="19">
        <f t="shared" si="7"/>
        <v>322812.32921</v>
      </c>
    </row>
    <row r="76" spans="1:8" x14ac:dyDescent="0.2">
      <c r="A76" t="s">
        <v>61</v>
      </c>
      <c r="B76" s="11">
        <v>35017383</v>
      </c>
      <c r="D76">
        <v>9.5600000000000008E-3</v>
      </c>
      <c r="H76" s="19">
        <f t="shared" si="7"/>
        <v>334766.18148000003</v>
      </c>
    </row>
    <row r="77" spans="1:8" x14ac:dyDescent="0.2">
      <c r="A77" t="s">
        <v>62</v>
      </c>
      <c r="B77" s="11">
        <v>37187689</v>
      </c>
      <c r="D77">
        <v>1.119E-2</v>
      </c>
      <c r="H77" s="19">
        <f t="shared" si="7"/>
        <v>416130.23991</v>
      </c>
    </row>
    <row r="78" spans="1:8" x14ac:dyDescent="0.2">
      <c r="A78" t="s">
        <v>63</v>
      </c>
      <c r="B78" s="11">
        <v>32626732</v>
      </c>
      <c r="D78">
        <v>4.5799999999999999E-3</v>
      </c>
      <c r="H78" s="19">
        <f t="shared" si="7"/>
        <v>149430.43255999999</v>
      </c>
    </row>
    <row r="79" spans="1:8" x14ac:dyDescent="0.2">
      <c r="A79" t="s">
        <v>64</v>
      </c>
      <c r="B79" s="11">
        <f>35093698-980247</f>
        <v>34113451</v>
      </c>
      <c r="D79">
        <v>6.8399999999999997E-3</v>
      </c>
      <c r="H79" s="19">
        <f t="shared" si="7"/>
        <v>233336.00483999998</v>
      </c>
    </row>
    <row r="80" spans="1:8" x14ac:dyDescent="0.2">
      <c r="A80" t="s">
        <v>65</v>
      </c>
      <c r="B80" s="11">
        <f>39153019-849850</f>
        <v>38303169</v>
      </c>
      <c r="D80">
        <v>1.1169999999999999E-2</v>
      </c>
      <c r="H80" s="19">
        <f t="shared" si="7"/>
        <v>427846.39772999997</v>
      </c>
    </row>
    <row r="81" spans="1:8" x14ac:dyDescent="0.2">
      <c r="A81" t="s">
        <v>66</v>
      </c>
      <c r="B81" s="11">
        <f>39951375-910991</f>
        <v>39040384</v>
      </c>
      <c r="D81">
        <v>1.035E-2</v>
      </c>
      <c r="H81" s="19">
        <f t="shared" si="7"/>
        <v>404067.97440000001</v>
      </c>
    </row>
    <row r="82" spans="1:8" x14ac:dyDescent="0.2">
      <c r="A82" t="s">
        <v>67</v>
      </c>
      <c r="B82" s="11">
        <f>40653816-1007728</f>
        <v>39646088</v>
      </c>
      <c r="D82">
        <v>1.108E-2</v>
      </c>
      <c r="H82" s="19">
        <f t="shared" si="7"/>
        <v>439278.65503999998</v>
      </c>
    </row>
    <row r="83" spans="1:8" x14ac:dyDescent="0.2">
      <c r="A83" t="s">
        <v>68</v>
      </c>
      <c r="B83" s="11">
        <f>37452705-891610</f>
        <v>36561095</v>
      </c>
      <c r="D83">
        <v>8.0599999999999995E-3</v>
      </c>
      <c r="H83" s="19">
        <f t="shared" si="7"/>
        <v>294682.42569999996</v>
      </c>
    </row>
    <row r="84" spans="1:8" x14ac:dyDescent="0.2">
      <c r="A84" t="s">
        <v>69</v>
      </c>
      <c r="B84" s="8">
        <f>38011172-811639</f>
        <v>37199533</v>
      </c>
      <c r="D84">
        <v>6.3200000000000001E-3</v>
      </c>
      <c r="H84" s="20">
        <f t="shared" si="7"/>
        <v>235101.04856</v>
      </c>
    </row>
    <row r="85" spans="1:8" x14ac:dyDescent="0.2">
      <c r="B85" s="7">
        <f>SUM(B73:B84)</f>
        <v>429643267</v>
      </c>
      <c r="H85" s="19">
        <f>SUM(H73:H84)</f>
        <v>4349508.3087300006</v>
      </c>
    </row>
  </sheetData>
  <mergeCells count="3">
    <mergeCell ref="D4:H5"/>
    <mergeCell ref="M4:Q5"/>
    <mergeCell ref="V4:Z5"/>
  </mergeCells>
  <pageMargins left="0.75" right="0.75" top="1" bottom="1" header="0.5" footer="0.5"/>
  <pageSetup scale="48" orientation="landscape" r:id="rId1"/>
  <headerFooter alignWithMargins="0">
    <oddFooter>&amp;RExhibit JWW-4
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5634A-F154-4DAB-AC35-4959FA897CB5}">
  <sheetPr>
    <tabColor rgb="FFFFC000"/>
    <pageSetUpPr fitToPage="1"/>
  </sheetPr>
  <dimension ref="A1:Z88"/>
  <sheetViews>
    <sheetView view="pageBreakPreview" zoomScaleNormal="115" zoomScaleSheetLayoutView="100" workbookViewId="0"/>
  </sheetViews>
  <sheetFormatPr defaultRowHeight="12.75" x14ac:dyDescent="0.2"/>
  <cols>
    <col min="2" max="2" width="29.42578125" customWidth="1"/>
    <col min="3" max="3" width="2.7109375" customWidth="1"/>
    <col min="4" max="4" width="16" customWidth="1"/>
    <col min="5" max="5" width="2.7109375" customWidth="1"/>
    <col min="6" max="6" width="13.28515625" customWidth="1"/>
    <col min="7" max="7" width="2.7109375" customWidth="1"/>
    <col min="8" max="8" width="18.42578125" customWidth="1"/>
    <col min="9" max="9" width="3.28515625" customWidth="1"/>
    <col min="10" max="10" width="9" customWidth="1"/>
    <col min="11" max="11" width="21.85546875" customWidth="1"/>
    <col min="12" max="12" width="2.85546875" customWidth="1"/>
    <col min="13" max="13" width="12.5703125" customWidth="1"/>
    <col min="14" max="14" width="2.7109375" customWidth="1"/>
    <col min="15" max="15" width="11.28515625" customWidth="1"/>
    <col min="16" max="16" width="2.7109375" customWidth="1"/>
    <col min="17" max="17" width="14.7109375" customWidth="1"/>
    <col min="18" max="18" width="3.28515625" customWidth="1"/>
    <col min="19" max="19" width="9" customWidth="1"/>
    <col min="20" max="20" width="21.85546875" customWidth="1"/>
    <col min="21" max="21" width="2.85546875" customWidth="1"/>
    <col min="22" max="22" width="12.5703125" customWidth="1"/>
    <col min="23" max="23" width="2.7109375" customWidth="1"/>
    <col min="24" max="24" width="11.28515625" customWidth="1"/>
    <col min="25" max="25" width="2.7109375" customWidth="1"/>
    <col min="26" max="26" width="14.7109375" customWidth="1"/>
  </cols>
  <sheetData>
    <row r="1" spans="1:26" x14ac:dyDescent="0.2">
      <c r="A1" s="1" t="s">
        <v>0</v>
      </c>
      <c r="J1" s="1"/>
      <c r="S1" s="1"/>
    </row>
    <row r="2" spans="1:26" x14ac:dyDescent="0.2">
      <c r="A2" s="1" t="s">
        <v>21</v>
      </c>
      <c r="J2" s="1"/>
      <c r="S2" s="1"/>
    </row>
    <row r="3" spans="1:26" ht="13.5" thickBot="1" x14ac:dyDescent="0.25">
      <c r="A3" s="1"/>
      <c r="J3" s="1"/>
      <c r="S3" s="1"/>
    </row>
    <row r="4" spans="1:26" ht="12.75" customHeight="1" x14ac:dyDescent="0.2">
      <c r="A4" s="1"/>
      <c r="D4" s="55" t="s">
        <v>27</v>
      </c>
      <c r="E4" s="56"/>
      <c r="F4" s="56"/>
      <c r="G4" s="56"/>
      <c r="H4" s="57"/>
      <c r="J4" s="16"/>
      <c r="M4" s="61" t="s">
        <v>28</v>
      </c>
      <c r="N4" s="62"/>
      <c r="O4" s="62"/>
      <c r="P4" s="62"/>
      <c r="Q4" s="63"/>
      <c r="S4" s="16"/>
      <c r="V4" s="61" t="s">
        <v>29</v>
      </c>
      <c r="W4" s="62"/>
      <c r="X4" s="62"/>
      <c r="Y4" s="62"/>
      <c r="Z4" s="63"/>
    </row>
    <row r="5" spans="1:26" ht="13.5" thickBot="1" x14ac:dyDescent="0.25">
      <c r="D5" s="58"/>
      <c r="E5" s="59"/>
      <c r="F5" s="59"/>
      <c r="G5" s="59"/>
      <c r="H5" s="60"/>
      <c r="J5" s="16"/>
      <c r="M5" s="64"/>
      <c r="N5" s="65"/>
      <c r="O5" s="65"/>
      <c r="P5" s="65"/>
      <c r="Q5" s="66"/>
      <c r="S5" s="16"/>
      <c r="V5" s="64"/>
      <c r="W5" s="65"/>
      <c r="X5" s="65"/>
      <c r="Y5" s="65"/>
      <c r="Z5" s="66"/>
    </row>
    <row r="6" spans="1:26" x14ac:dyDescent="0.2">
      <c r="A6" s="1" t="s">
        <v>30</v>
      </c>
      <c r="D6" s="2" t="s">
        <v>31</v>
      </c>
      <c r="F6" s="3" t="s">
        <v>32</v>
      </c>
      <c r="H6" s="2" t="s">
        <v>33</v>
      </c>
      <c r="J6" s="1" t="s">
        <v>30</v>
      </c>
      <c r="M6" s="2" t="s">
        <v>31</v>
      </c>
      <c r="O6" s="3" t="s">
        <v>32</v>
      </c>
      <c r="Q6" s="2" t="s">
        <v>34</v>
      </c>
      <c r="S6" s="1" t="s">
        <v>30</v>
      </c>
      <c r="V6" s="2" t="s">
        <v>31</v>
      </c>
      <c r="X6" s="3" t="s">
        <v>32</v>
      </c>
      <c r="Z6" s="2" t="s">
        <v>34</v>
      </c>
    </row>
    <row r="9" spans="1:26" x14ac:dyDescent="0.2">
      <c r="A9" s="1" t="s">
        <v>35</v>
      </c>
      <c r="J9" s="1" t="s">
        <v>35</v>
      </c>
      <c r="S9" s="1" t="s">
        <v>35</v>
      </c>
    </row>
    <row r="10" spans="1:26" x14ac:dyDescent="0.2">
      <c r="B10" t="s">
        <v>36</v>
      </c>
      <c r="D10" s="5">
        <v>12</v>
      </c>
      <c r="F10" s="4">
        <v>151.19999999999999</v>
      </c>
      <c r="H10" s="21">
        <f>D10*F10</f>
        <v>1814.3999999999999</v>
      </c>
      <c r="K10" t="s">
        <v>36</v>
      </c>
      <c r="M10" s="5">
        <f>D10</f>
        <v>12</v>
      </c>
      <c r="O10" s="4">
        <f>'Rate E '!O9</f>
        <v>159</v>
      </c>
      <c r="Q10" s="21">
        <f>M10*O10</f>
        <v>1908</v>
      </c>
      <c r="T10" t="s">
        <v>36</v>
      </c>
      <c r="V10" s="5">
        <f>M10</f>
        <v>12</v>
      </c>
      <c r="X10" s="4">
        <f>O10</f>
        <v>159</v>
      </c>
      <c r="Z10" s="21">
        <f>V10*X10</f>
        <v>1908</v>
      </c>
    </row>
    <row r="11" spans="1:26" x14ac:dyDescent="0.2">
      <c r="D11" s="5"/>
      <c r="F11" s="4"/>
      <c r="H11" s="21"/>
      <c r="M11" s="5"/>
      <c r="O11" s="4"/>
      <c r="Q11" s="21"/>
      <c r="V11" s="5"/>
      <c r="X11" s="4"/>
      <c r="Z11" s="21"/>
    </row>
    <row r="12" spans="1:26" x14ac:dyDescent="0.2">
      <c r="A12" s="1" t="s">
        <v>76</v>
      </c>
      <c r="D12" s="5"/>
      <c r="F12" s="4"/>
      <c r="H12" s="21"/>
      <c r="J12" s="1" t="s">
        <v>76</v>
      </c>
      <c r="M12" s="5"/>
      <c r="O12" s="4"/>
      <c r="Q12" s="21"/>
      <c r="S12" s="1" t="s">
        <v>76</v>
      </c>
      <c r="V12" s="5"/>
      <c r="X12" s="4"/>
      <c r="Z12" s="21"/>
    </row>
    <row r="13" spans="1:26" x14ac:dyDescent="0.2">
      <c r="B13" s="47" t="s">
        <v>36</v>
      </c>
      <c r="D13" s="5">
        <v>12</v>
      </c>
      <c r="F13" s="4">
        <v>5575.5</v>
      </c>
      <c r="H13" s="21">
        <f>D13*F13</f>
        <v>66906</v>
      </c>
      <c r="K13" s="47" t="s">
        <v>36</v>
      </c>
      <c r="M13" s="5">
        <v>12</v>
      </c>
      <c r="O13" s="4">
        <f>'Rate E '!O15</f>
        <v>5854</v>
      </c>
      <c r="Q13" s="21">
        <f>M13*O13</f>
        <v>70248</v>
      </c>
      <c r="T13" s="47" t="s">
        <v>36</v>
      </c>
      <c r="V13" s="5">
        <v>12</v>
      </c>
      <c r="X13" s="4">
        <f>O13</f>
        <v>5854</v>
      </c>
      <c r="Z13" s="21">
        <f>V13*X13</f>
        <v>70248</v>
      </c>
    </row>
    <row r="14" spans="1:26" x14ac:dyDescent="0.2">
      <c r="B14" s="47"/>
      <c r="D14" s="11"/>
      <c r="F14" s="14"/>
      <c r="H14" s="21"/>
      <c r="K14" s="47"/>
      <c r="M14" s="11"/>
      <c r="O14" s="14"/>
      <c r="Q14" s="21"/>
      <c r="T14" s="47"/>
      <c r="V14" s="11"/>
      <c r="X14" s="14"/>
      <c r="Z14" s="21"/>
    </row>
    <row r="15" spans="1:26" x14ac:dyDescent="0.2">
      <c r="A15" s="1" t="s">
        <v>37</v>
      </c>
      <c r="D15" s="11"/>
      <c r="F15" s="14"/>
      <c r="H15" s="21"/>
      <c r="J15" s="1" t="s">
        <v>37</v>
      </c>
      <c r="M15" s="11"/>
      <c r="O15" s="14"/>
      <c r="Q15" s="21"/>
      <c r="S15" s="1" t="s">
        <v>37</v>
      </c>
      <c r="V15" s="11"/>
      <c r="X15" s="14"/>
      <c r="Z15" s="21"/>
    </row>
    <row r="16" spans="1:26" x14ac:dyDescent="0.2">
      <c r="A16" s="1"/>
      <c r="B16" s="47" t="s">
        <v>77</v>
      </c>
      <c r="D16" s="7">
        <f>D56</f>
        <v>1367257</v>
      </c>
      <c r="F16" s="14">
        <v>7.3</v>
      </c>
      <c r="H16" s="21">
        <f>D16*F16</f>
        <v>9980976.0999999996</v>
      </c>
      <c r="J16" s="1"/>
      <c r="K16" s="47" t="s">
        <v>77</v>
      </c>
      <c r="M16" s="7">
        <f>D16</f>
        <v>1367257</v>
      </c>
      <c r="O16" s="14">
        <v>8.91</v>
      </c>
      <c r="Q16" s="21">
        <f>M16*O16</f>
        <v>12182259.870000001</v>
      </c>
      <c r="S16" s="1"/>
      <c r="T16" s="47" t="s">
        <v>77</v>
      </c>
      <c r="V16" s="7">
        <f>M16</f>
        <v>1367257</v>
      </c>
      <c r="X16" s="14">
        <f>O16</f>
        <v>8.91</v>
      </c>
      <c r="Z16" s="21">
        <f>V16*X16</f>
        <v>12182259.870000001</v>
      </c>
    </row>
    <row r="17" spans="1:26" x14ac:dyDescent="0.2">
      <c r="A17" s="1"/>
      <c r="B17" s="47" t="s">
        <v>40</v>
      </c>
      <c r="D17" s="7">
        <f>F56</f>
        <v>383796</v>
      </c>
      <c r="F17" s="14">
        <v>-5.6</v>
      </c>
      <c r="H17" s="21">
        <f>D17*F17</f>
        <v>-2149257.6</v>
      </c>
      <c r="J17" s="1"/>
      <c r="K17" s="47" t="s">
        <v>78</v>
      </c>
      <c r="M17" s="7">
        <f>D17</f>
        <v>383796</v>
      </c>
      <c r="O17" s="14">
        <v>-5.6</v>
      </c>
      <c r="Q17" s="21">
        <f>M17*O17</f>
        <v>-2149257.6</v>
      </c>
      <c r="S17" s="1"/>
      <c r="T17" s="47" t="s">
        <v>78</v>
      </c>
      <c r="V17" s="7">
        <f>M17</f>
        <v>383796</v>
      </c>
      <c r="X17" s="14">
        <v>-7.6</v>
      </c>
      <c r="Z17" s="21">
        <f>V17*X17</f>
        <v>-2916849.6</v>
      </c>
    </row>
    <row r="18" spans="1:26" x14ac:dyDescent="0.2">
      <c r="A18" s="1"/>
      <c r="H18" s="21"/>
      <c r="J18" s="1"/>
      <c r="M18" s="7"/>
      <c r="O18" s="14"/>
      <c r="Q18" s="21"/>
      <c r="S18" s="1"/>
      <c r="V18" s="7"/>
      <c r="X18" s="14"/>
      <c r="Z18" s="21"/>
    </row>
    <row r="19" spans="1:26" x14ac:dyDescent="0.2">
      <c r="H19" s="21"/>
      <c r="Q19" s="21"/>
      <c r="Z19" s="21"/>
    </row>
    <row r="20" spans="1:26" x14ac:dyDescent="0.2">
      <c r="A20" s="1" t="s">
        <v>41</v>
      </c>
      <c r="D20" t="s">
        <v>42</v>
      </c>
      <c r="H20" s="21"/>
      <c r="J20" s="1" t="s">
        <v>41</v>
      </c>
      <c r="M20" t="s">
        <v>42</v>
      </c>
      <c r="Q20" s="21"/>
      <c r="S20" s="1" t="s">
        <v>41</v>
      </c>
      <c r="V20" t="s">
        <v>42</v>
      </c>
      <c r="Z20" s="21"/>
    </row>
    <row r="21" spans="1:26" x14ac:dyDescent="0.2">
      <c r="B21" s="47" t="s">
        <v>43</v>
      </c>
      <c r="D21" s="11">
        <f>B56</f>
        <v>730102181</v>
      </c>
      <c r="F21" s="26">
        <v>4.9029999999999997E-2</v>
      </c>
      <c r="H21" s="21">
        <f>D21*F21</f>
        <v>35796909.934429996</v>
      </c>
      <c r="K21" s="47" t="s">
        <v>43</v>
      </c>
      <c r="M21" s="5">
        <f>D21</f>
        <v>730102181</v>
      </c>
      <c r="O21" s="25">
        <v>5.2044E-2</v>
      </c>
      <c r="Q21" s="21">
        <f>M21*O21</f>
        <v>37997437.907963999</v>
      </c>
      <c r="T21" s="47" t="s">
        <v>43</v>
      </c>
      <c r="V21" s="5">
        <f>M21</f>
        <v>730102181</v>
      </c>
      <c r="X21" s="25">
        <f>O21</f>
        <v>5.2044E-2</v>
      </c>
      <c r="Z21" s="21">
        <f>V21*X21</f>
        <v>37997437.907963999</v>
      </c>
    </row>
    <row r="22" spans="1:26" x14ac:dyDescent="0.2">
      <c r="B22" s="47"/>
      <c r="D22" s="11"/>
      <c r="F22" s="26"/>
      <c r="H22" s="21"/>
      <c r="K22" s="47"/>
      <c r="M22" s="5"/>
      <c r="O22" s="25"/>
      <c r="Q22" s="21"/>
      <c r="T22" s="47"/>
      <c r="V22" s="5"/>
      <c r="X22" s="25"/>
      <c r="Z22" s="21"/>
    </row>
    <row r="23" spans="1:26" x14ac:dyDescent="0.2">
      <c r="B23" s="47"/>
      <c r="D23" s="11"/>
      <c r="F23" s="26"/>
      <c r="H23" s="21"/>
      <c r="K23" s="47"/>
      <c r="M23" s="11"/>
      <c r="O23" s="26"/>
      <c r="Q23" s="21"/>
      <c r="T23" s="47"/>
      <c r="V23" s="11"/>
      <c r="X23" s="26"/>
      <c r="Z23" s="21"/>
    </row>
    <row r="24" spans="1:26" x14ac:dyDescent="0.2">
      <c r="B24" t="s">
        <v>44</v>
      </c>
      <c r="D24" s="11"/>
      <c r="F24" s="15"/>
      <c r="H24" s="21">
        <f>-1613788.38</f>
        <v>-1613788.38</v>
      </c>
      <c r="K24" t="s">
        <v>44</v>
      </c>
      <c r="M24" s="11"/>
      <c r="O24" s="15"/>
      <c r="Q24" s="21">
        <f>H24</f>
        <v>-1613788.38</v>
      </c>
      <c r="T24" t="s">
        <v>44</v>
      </c>
      <c r="V24" s="11"/>
      <c r="X24" s="15"/>
      <c r="Z24" s="21">
        <f>Q24</f>
        <v>-1613788.38</v>
      </c>
    </row>
    <row r="25" spans="1:26" x14ac:dyDescent="0.2">
      <c r="B25" s="47" t="s">
        <v>45</v>
      </c>
      <c r="H25" s="21">
        <v>-2211736</v>
      </c>
      <c r="K25" s="47" t="s">
        <v>45</v>
      </c>
      <c r="Q25" s="21">
        <v>-2211736</v>
      </c>
      <c r="T25" s="47" t="s">
        <v>45</v>
      </c>
      <c r="Z25" s="21">
        <v>-2211736</v>
      </c>
    </row>
    <row r="26" spans="1:26" x14ac:dyDescent="0.2">
      <c r="B26" t="s">
        <v>46</v>
      </c>
      <c r="D26" s="11"/>
      <c r="F26" s="15"/>
      <c r="H26" s="21">
        <v>6250245.7291699992</v>
      </c>
      <c r="K26" t="s">
        <v>46</v>
      </c>
      <c r="M26" s="11"/>
      <c r="O26" s="15"/>
      <c r="Q26" s="21">
        <v>6250245.7291699992</v>
      </c>
      <c r="T26" t="s">
        <v>46</v>
      </c>
      <c r="V26" s="11"/>
      <c r="X26" s="15"/>
      <c r="Z26" s="21">
        <v>6250245.7291699992</v>
      </c>
    </row>
    <row r="27" spans="1:26" x14ac:dyDescent="0.2">
      <c r="B27" t="s">
        <v>47</v>
      </c>
      <c r="H27" s="21">
        <v>109369</v>
      </c>
      <c r="K27" t="s">
        <v>47</v>
      </c>
      <c r="Q27" s="21">
        <v>109369</v>
      </c>
      <c r="T27" t="s">
        <v>47</v>
      </c>
      <c r="Z27" s="21">
        <v>109369</v>
      </c>
    </row>
    <row r="28" spans="1:26" x14ac:dyDescent="0.2">
      <c r="B28" t="s">
        <v>48</v>
      </c>
      <c r="H28" s="21">
        <v>-63596</v>
      </c>
      <c r="K28" t="s">
        <v>48</v>
      </c>
      <c r="Q28" s="21">
        <v>-63596</v>
      </c>
      <c r="T28" t="s">
        <v>48</v>
      </c>
      <c r="Z28" s="21">
        <v>-63596</v>
      </c>
    </row>
    <row r="29" spans="1:26" x14ac:dyDescent="0.2">
      <c r="B29" s="47" t="s">
        <v>49</v>
      </c>
      <c r="H29" s="21">
        <v>-467200</v>
      </c>
      <c r="K29" s="47" t="s">
        <v>49</v>
      </c>
      <c r="Q29" s="21">
        <v>-467200</v>
      </c>
      <c r="T29" s="47" t="s">
        <v>49</v>
      </c>
      <c r="Z29" s="21">
        <v>-467200</v>
      </c>
    </row>
    <row r="30" spans="1:26" x14ac:dyDescent="0.2">
      <c r="H30" s="21"/>
      <c r="Q30" s="21"/>
      <c r="Z30" s="21"/>
    </row>
    <row r="31" spans="1:26" ht="13.5" thickBot="1" x14ac:dyDescent="0.25">
      <c r="B31" s="1" t="s">
        <v>51</v>
      </c>
      <c r="H31" s="37">
        <f>H10+H13+H16+H17+H21+H24+H25+H26+H27+H28+H29</f>
        <v>45700643.183599994</v>
      </c>
      <c r="K31" s="1" t="s">
        <v>51</v>
      </c>
      <c r="Q31" s="37">
        <f>SUM(Q10,Q13,Q16:Q18,Q21,Q24:Q29)</f>
        <v>50105890.527134001</v>
      </c>
      <c r="T31" s="1" t="s">
        <v>51</v>
      </c>
      <c r="Z31" s="37">
        <f>SUM(Z10,Z13,Z16:Z18,Z21,Z24:Z29)</f>
        <v>49338298.527134001</v>
      </c>
    </row>
    <row r="32" spans="1:26" ht="13.5" thickTop="1" x14ac:dyDescent="0.2">
      <c r="K32" s="1"/>
      <c r="Q32" s="21"/>
      <c r="T32" s="1"/>
      <c r="Z32" s="21"/>
    </row>
    <row r="33" spans="1:26" x14ac:dyDescent="0.2">
      <c r="H33" s="14"/>
      <c r="K33" t="s">
        <v>52</v>
      </c>
      <c r="M33" s="7"/>
      <c r="O33" s="14"/>
      <c r="Q33" s="22">
        <f>Q31-H31</f>
        <v>4405247.3435340077</v>
      </c>
      <c r="T33" t="s">
        <v>52</v>
      </c>
      <c r="V33" s="7"/>
      <c r="X33" s="14"/>
      <c r="Z33" s="22">
        <f>Z31-Q31</f>
        <v>-767592</v>
      </c>
    </row>
    <row r="34" spans="1:26" x14ac:dyDescent="0.2">
      <c r="H34" s="6"/>
    </row>
    <row r="35" spans="1:26" x14ac:dyDescent="0.2">
      <c r="K35" t="s">
        <v>6</v>
      </c>
      <c r="Q35" s="17">
        <f>Q33/H31</f>
        <v>9.639355240223102E-2</v>
      </c>
      <c r="T35" t="s">
        <v>6</v>
      </c>
      <c r="Z35" s="17">
        <f>Z33/H31</f>
        <v>-1.6796087462407006E-2</v>
      </c>
    </row>
    <row r="36" spans="1:26" x14ac:dyDescent="0.2">
      <c r="H36" s="17"/>
    </row>
    <row r="37" spans="1:26" x14ac:dyDescent="0.2">
      <c r="T37" t="s">
        <v>53</v>
      </c>
      <c r="Z37" s="21">
        <f>Q33+Z33</f>
        <v>3637655.3435340077</v>
      </c>
    </row>
    <row r="39" spans="1:26" x14ac:dyDescent="0.2">
      <c r="T39" t="s">
        <v>54</v>
      </c>
      <c r="V39" s="47"/>
      <c r="X39" s="12"/>
      <c r="Z39" s="12">
        <f>(Q33+Z33)/H31</f>
        <v>7.9597464939824017E-2</v>
      </c>
    </row>
    <row r="40" spans="1:26" x14ac:dyDescent="0.2">
      <c r="M40" s="47"/>
      <c r="O40" s="12"/>
      <c r="Q40" s="4"/>
      <c r="V40" s="47"/>
      <c r="X40" s="17"/>
      <c r="Z40" s="14"/>
    </row>
    <row r="41" spans="1:26" x14ac:dyDescent="0.2">
      <c r="A41" s="47" t="str">
        <f>A2</f>
        <v>Rate G</v>
      </c>
    </row>
    <row r="42" spans="1:26" x14ac:dyDescent="0.2">
      <c r="B42" s="47"/>
      <c r="M42" s="47"/>
      <c r="O42" s="12"/>
      <c r="Q42" s="4"/>
      <c r="V42" s="47"/>
      <c r="X42" s="17"/>
      <c r="Z42" s="14"/>
    </row>
    <row r="43" spans="1:26" x14ac:dyDescent="0.2">
      <c r="B43" s="3" t="s">
        <v>55</v>
      </c>
      <c r="D43" s="3" t="s">
        <v>72</v>
      </c>
      <c r="F43" s="3" t="s">
        <v>75</v>
      </c>
      <c r="H43" s="3" t="s">
        <v>56</v>
      </c>
      <c r="K43" s="74"/>
      <c r="T43" s="3"/>
    </row>
    <row r="44" spans="1:26" x14ac:dyDescent="0.2">
      <c r="A44" t="s">
        <v>58</v>
      </c>
      <c r="B44" s="5">
        <v>59284192</v>
      </c>
      <c r="C44" s="5"/>
      <c r="D44" s="5">
        <v>110438</v>
      </c>
      <c r="F44" s="5">
        <v>28780</v>
      </c>
      <c r="H44" s="23">
        <v>4363191.1241100002</v>
      </c>
      <c r="K44" s="11"/>
      <c r="Q44" s="7"/>
      <c r="T44" s="11"/>
      <c r="Z44" s="7"/>
    </row>
    <row r="45" spans="1:26" x14ac:dyDescent="0.2">
      <c r="A45" t="s">
        <v>59</v>
      </c>
      <c r="B45" s="5">
        <v>54312400</v>
      </c>
      <c r="C45" s="5"/>
      <c r="D45" s="5">
        <v>110653</v>
      </c>
      <c r="F45" s="5">
        <v>28780</v>
      </c>
      <c r="H45" s="23">
        <v>3182346.5197999999</v>
      </c>
      <c r="K45" s="11"/>
      <c r="Q45" s="7"/>
      <c r="T45" s="11"/>
      <c r="Z45" s="7"/>
    </row>
    <row r="46" spans="1:26" x14ac:dyDescent="0.2">
      <c r="A46" t="s">
        <v>60</v>
      </c>
      <c r="B46" s="5">
        <v>55725426</v>
      </c>
      <c r="C46" s="5"/>
      <c r="D46" s="5">
        <v>110653</v>
      </c>
      <c r="F46" s="5">
        <v>28780</v>
      </c>
      <c r="H46" s="23">
        <v>3221786.3749199999</v>
      </c>
      <c r="K46" s="11"/>
      <c r="Q46" s="7"/>
      <c r="T46" s="11"/>
      <c r="Z46" s="7"/>
    </row>
    <row r="47" spans="1:26" x14ac:dyDescent="0.2">
      <c r="A47" t="s">
        <v>61</v>
      </c>
      <c r="B47" s="5">
        <v>55043953</v>
      </c>
      <c r="C47" s="5"/>
      <c r="D47" s="5">
        <v>109970</v>
      </c>
      <c r="F47" s="5">
        <v>28097</v>
      </c>
      <c r="H47" s="23">
        <v>3430132.9059600001</v>
      </c>
      <c r="K47" s="11"/>
      <c r="Q47" s="7"/>
      <c r="T47" s="11"/>
      <c r="Z47" s="7"/>
    </row>
    <row r="48" spans="1:26" x14ac:dyDescent="0.2">
      <c r="A48" t="s">
        <v>62</v>
      </c>
      <c r="B48" s="5">
        <v>57217722</v>
      </c>
      <c r="C48" s="5"/>
      <c r="D48" s="5">
        <v>109970</v>
      </c>
      <c r="F48" s="5">
        <v>28097</v>
      </c>
      <c r="H48" s="23">
        <v>3609133.8812099998</v>
      </c>
      <c r="K48" s="11"/>
      <c r="Q48" s="7"/>
      <c r="T48" s="11"/>
      <c r="Z48" s="7"/>
    </row>
    <row r="49" spans="1:26" x14ac:dyDescent="0.2">
      <c r="A49" t="s">
        <v>63</v>
      </c>
      <c r="B49" s="5">
        <v>55509790</v>
      </c>
      <c r="C49" s="5"/>
      <c r="D49" s="5">
        <v>109970</v>
      </c>
      <c r="F49" s="5">
        <v>28097</v>
      </c>
      <c r="H49" s="23">
        <v>2999803.8488999996</v>
      </c>
      <c r="K49" s="11"/>
      <c r="T49" s="11"/>
    </row>
    <row r="50" spans="1:26" x14ac:dyDescent="0.2">
      <c r="A50" t="s">
        <v>64</v>
      </c>
      <c r="B50" s="5">
        <v>61907564</v>
      </c>
      <c r="C50" s="5"/>
      <c r="D50" s="5">
        <v>109970</v>
      </c>
      <c r="F50" s="5">
        <v>28097</v>
      </c>
      <c r="H50" s="23">
        <v>3777312.3363199998</v>
      </c>
      <c r="K50" s="11"/>
      <c r="T50" s="11"/>
    </row>
    <row r="51" spans="1:26" x14ac:dyDescent="0.2">
      <c r="A51" t="s">
        <v>65</v>
      </c>
      <c r="B51" s="5">
        <v>61387538</v>
      </c>
      <c r="C51" s="5"/>
      <c r="D51" s="5">
        <v>110338</v>
      </c>
      <c r="F51" s="5">
        <v>28465</v>
      </c>
      <c r="H51" s="23">
        <v>4177543.1493299999</v>
      </c>
      <c r="K51" s="11"/>
      <c r="T51" s="11"/>
    </row>
    <row r="52" spans="1:26" x14ac:dyDescent="0.2">
      <c r="A52" t="s">
        <v>66</v>
      </c>
      <c r="B52" s="5">
        <v>60610409</v>
      </c>
      <c r="C52" s="5"/>
      <c r="D52" s="5">
        <v>119711</v>
      </c>
      <c r="F52" s="5">
        <v>37538</v>
      </c>
      <c r="H52" s="23">
        <v>3930314.9760499997</v>
      </c>
      <c r="K52" s="11"/>
      <c r="T52" s="11"/>
    </row>
    <row r="53" spans="1:26" x14ac:dyDescent="0.2">
      <c r="A53" t="s">
        <v>67</v>
      </c>
      <c r="B53" s="5">
        <v>71510271</v>
      </c>
      <c r="C53" s="5"/>
      <c r="D53" s="5">
        <v>121687</v>
      </c>
      <c r="F53" s="5">
        <v>39514</v>
      </c>
      <c r="H53" s="23">
        <v>4589854.0769299995</v>
      </c>
      <c r="K53" s="11"/>
      <c r="T53" s="11"/>
    </row>
    <row r="54" spans="1:26" x14ac:dyDescent="0.2">
      <c r="A54" t="s">
        <v>68</v>
      </c>
      <c r="B54" s="5">
        <v>68154463</v>
      </c>
      <c r="C54" s="5"/>
      <c r="D54" s="5">
        <v>121916</v>
      </c>
      <c r="F54" s="5">
        <v>39743</v>
      </c>
      <c r="H54" s="23">
        <v>4279398.8559900001</v>
      </c>
      <c r="K54" s="11"/>
      <c r="T54" s="11"/>
    </row>
    <row r="55" spans="1:26" x14ac:dyDescent="0.2">
      <c r="A55" t="s">
        <v>69</v>
      </c>
      <c r="B55" s="8">
        <v>69438453</v>
      </c>
      <c r="C55" s="8"/>
      <c r="D55" s="8">
        <v>121981</v>
      </c>
      <c r="F55" s="8">
        <v>39808</v>
      </c>
      <c r="H55" s="30">
        <v>4139824.0796499997</v>
      </c>
      <c r="K55" s="11"/>
      <c r="T55" s="11"/>
    </row>
    <row r="56" spans="1:26" x14ac:dyDescent="0.2">
      <c r="B56" s="5">
        <f>SUM(B44:B55)</f>
        <v>730102181</v>
      </c>
      <c r="C56" s="5"/>
      <c r="D56" s="5">
        <f t="shared" ref="D56:H56" si="0">SUM(D44:D55)</f>
        <v>1367257</v>
      </c>
      <c r="F56" s="5">
        <f t="shared" si="0"/>
        <v>383796</v>
      </c>
      <c r="H56" s="23">
        <f t="shared" si="0"/>
        <v>45700642.129170001</v>
      </c>
      <c r="K56" s="11"/>
      <c r="T56" s="11"/>
    </row>
    <row r="58" spans="1:26" x14ac:dyDescent="0.2">
      <c r="B58" s="47"/>
      <c r="Q58" s="4"/>
      <c r="Z58" s="4"/>
    </row>
    <row r="59" spans="1:26" x14ac:dyDescent="0.2">
      <c r="B59" s="3" t="s">
        <v>70</v>
      </c>
      <c r="D59" s="3" t="s">
        <v>71</v>
      </c>
      <c r="F59" s="3" t="s">
        <v>72</v>
      </c>
      <c r="H59" s="3" t="s">
        <v>56</v>
      </c>
    </row>
    <row r="60" spans="1:26" x14ac:dyDescent="0.2">
      <c r="A60" t="s">
        <v>58</v>
      </c>
      <c r="B60" s="5"/>
      <c r="C60" s="5"/>
      <c r="D60" s="5"/>
      <c r="F60" s="5"/>
      <c r="H60" s="23"/>
    </row>
    <row r="61" spans="1:26" x14ac:dyDescent="0.2">
      <c r="A61" t="s">
        <v>59</v>
      </c>
      <c r="B61" s="5"/>
      <c r="C61" s="5"/>
      <c r="D61" s="5"/>
      <c r="F61" s="5"/>
      <c r="H61" s="23"/>
    </row>
    <row r="62" spans="1:26" x14ac:dyDescent="0.2">
      <c r="A62" t="s">
        <v>60</v>
      </c>
      <c r="B62" s="5"/>
      <c r="C62" s="5"/>
      <c r="D62" s="5"/>
      <c r="F62" s="5"/>
      <c r="H62" s="23"/>
    </row>
    <row r="63" spans="1:26" x14ac:dyDescent="0.2">
      <c r="A63" t="s">
        <v>61</v>
      </c>
      <c r="B63" s="5"/>
      <c r="C63" s="5"/>
      <c r="D63" s="5"/>
      <c r="F63" s="5"/>
      <c r="H63" s="23"/>
    </row>
    <row r="64" spans="1:26" x14ac:dyDescent="0.2">
      <c r="A64" t="s">
        <v>62</v>
      </c>
      <c r="B64" s="5"/>
      <c r="C64" s="5"/>
      <c r="D64" s="5"/>
      <c r="F64" s="5"/>
      <c r="H64" s="23"/>
    </row>
    <row r="65" spans="1:8" x14ac:dyDescent="0.2">
      <c r="A65" t="s">
        <v>63</v>
      </c>
      <c r="B65" s="5"/>
      <c r="C65" s="5"/>
      <c r="D65" s="5"/>
      <c r="F65" s="5"/>
      <c r="H65" s="23"/>
    </row>
    <row r="66" spans="1:8" x14ac:dyDescent="0.2">
      <c r="A66" t="s">
        <v>64</v>
      </c>
      <c r="B66" s="5"/>
      <c r="C66" s="5"/>
      <c r="D66" s="5"/>
      <c r="F66" s="5"/>
      <c r="H66" s="23"/>
    </row>
    <row r="67" spans="1:8" x14ac:dyDescent="0.2">
      <c r="A67" t="s">
        <v>65</v>
      </c>
      <c r="B67" s="5"/>
      <c r="C67" s="5"/>
      <c r="D67" s="5"/>
      <c r="F67" s="5"/>
      <c r="H67" s="23"/>
    </row>
    <row r="68" spans="1:8" x14ac:dyDescent="0.2">
      <c r="A68" t="s">
        <v>66</v>
      </c>
      <c r="B68" s="5"/>
      <c r="C68" s="5"/>
      <c r="D68" s="5"/>
      <c r="F68" s="5"/>
      <c r="H68" s="23"/>
    </row>
    <row r="69" spans="1:8" x14ac:dyDescent="0.2">
      <c r="A69" t="s">
        <v>67</v>
      </c>
      <c r="B69" s="5"/>
      <c r="C69" s="5"/>
      <c r="D69" s="5"/>
      <c r="F69" s="5"/>
      <c r="H69" s="23"/>
    </row>
    <row r="70" spans="1:8" x14ac:dyDescent="0.2">
      <c r="A70" t="s">
        <v>68</v>
      </c>
      <c r="B70" s="5"/>
      <c r="C70" s="5"/>
      <c r="D70" s="5"/>
      <c r="F70" s="5"/>
      <c r="H70" s="23"/>
    </row>
    <row r="71" spans="1:8" x14ac:dyDescent="0.2">
      <c r="A71" t="s">
        <v>69</v>
      </c>
      <c r="B71" s="8"/>
      <c r="C71" s="8"/>
      <c r="D71" s="8"/>
      <c r="F71" s="8"/>
      <c r="H71" s="30"/>
    </row>
    <row r="72" spans="1:8" x14ac:dyDescent="0.2">
      <c r="B72" s="5">
        <f>SUM(B60:B71)</f>
        <v>0</v>
      </c>
      <c r="C72" s="5"/>
      <c r="D72" s="5">
        <f t="shared" ref="D72" si="1">SUM(D60:D71)</f>
        <v>0</v>
      </c>
      <c r="F72" s="5">
        <f t="shared" ref="F72" si="2">SUM(F60:F71)</f>
        <v>0</v>
      </c>
      <c r="H72" s="23">
        <f t="shared" ref="H72" si="3">SUM(H60:H71)</f>
        <v>0</v>
      </c>
    </row>
    <row r="74" spans="1:8" x14ac:dyDescent="0.2">
      <c r="A74" s="47" t="s">
        <v>73</v>
      </c>
    </row>
    <row r="75" spans="1:8" x14ac:dyDescent="0.2">
      <c r="B75" s="3" t="s">
        <v>74</v>
      </c>
      <c r="C75" s="1"/>
      <c r="D75" s="3" t="s">
        <v>44</v>
      </c>
    </row>
    <row r="76" spans="1:8" x14ac:dyDescent="0.2">
      <c r="A76" t="s">
        <v>58</v>
      </c>
      <c r="B76" s="11">
        <v>53458889</v>
      </c>
      <c r="D76">
        <v>2.2550000000000001E-2</v>
      </c>
      <c r="H76" s="19">
        <f>B76*D76</f>
        <v>1205497.94695</v>
      </c>
    </row>
    <row r="77" spans="1:8" x14ac:dyDescent="0.2">
      <c r="A77" t="s">
        <v>59</v>
      </c>
      <c r="B77" s="11">
        <v>46273428</v>
      </c>
      <c r="D77">
        <v>1.1480000000000001E-2</v>
      </c>
      <c r="H77" s="19">
        <f t="shared" ref="H77:H87" si="4">B77*D77</f>
        <v>531218.95344000007</v>
      </c>
    </row>
    <row r="78" spans="1:8" x14ac:dyDescent="0.2">
      <c r="A78" t="s">
        <v>60</v>
      </c>
      <c r="B78" s="11">
        <v>48308944</v>
      </c>
      <c r="D78">
        <v>8.9300000000000004E-3</v>
      </c>
      <c r="H78" s="19">
        <f t="shared" si="4"/>
        <v>431398.86992000003</v>
      </c>
    </row>
    <row r="79" spans="1:8" x14ac:dyDescent="0.2">
      <c r="A79" t="s">
        <v>61</v>
      </c>
      <c r="B79" s="11">
        <v>49729517</v>
      </c>
      <c r="D79">
        <v>9.5600000000000008E-3</v>
      </c>
      <c r="H79" s="19">
        <f t="shared" si="4"/>
        <v>475414.18252000003</v>
      </c>
    </row>
    <row r="80" spans="1:8" x14ac:dyDescent="0.2">
      <c r="A80" t="s">
        <v>62</v>
      </c>
      <c r="B80" s="11">
        <v>48208135</v>
      </c>
      <c r="D80">
        <v>1.119E-2</v>
      </c>
      <c r="H80" s="19">
        <f t="shared" si="4"/>
        <v>539449.03064999997</v>
      </c>
    </row>
    <row r="81" spans="1:8" x14ac:dyDescent="0.2">
      <c r="A81" t="s">
        <v>63</v>
      </c>
      <c r="B81" s="11">
        <v>40086544</v>
      </c>
      <c r="D81">
        <v>4.5799999999999999E-3</v>
      </c>
      <c r="H81" s="19">
        <f t="shared" si="4"/>
        <v>183596.37151999999</v>
      </c>
    </row>
    <row r="82" spans="1:8" x14ac:dyDescent="0.2">
      <c r="A82" t="s">
        <v>64</v>
      </c>
      <c r="B82" s="11">
        <v>53606412</v>
      </c>
      <c r="D82">
        <v>6.8399999999999997E-3</v>
      </c>
      <c r="H82" s="19">
        <f t="shared" si="4"/>
        <v>366667.85807999998</v>
      </c>
    </row>
    <row r="83" spans="1:8" x14ac:dyDescent="0.2">
      <c r="A83" t="s">
        <v>65</v>
      </c>
      <c r="B83" s="11">
        <v>57156216</v>
      </c>
      <c r="D83">
        <v>1.1169999999999999E-2</v>
      </c>
      <c r="H83" s="19">
        <f t="shared" si="4"/>
        <v>638434.93271999992</v>
      </c>
    </row>
    <row r="84" spans="1:8" x14ac:dyDescent="0.2">
      <c r="A84" t="s">
        <v>66</v>
      </c>
      <c r="B84" s="11">
        <v>55900254</v>
      </c>
      <c r="D84">
        <v>1.035E-2</v>
      </c>
      <c r="H84" s="19">
        <f t="shared" si="4"/>
        <v>578567.62890000001</v>
      </c>
    </row>
    <row r="85" spans="1:8" x14ac:dyDescent="0.2">
      <c r="A85" t="s">
        <v>67</v>
      </c>
      <c r="B85" s="11">
        <v>66924470</v>
      </c>
      <c r="D85">
        <v>1.108E-2</v>
      </c>
      <c r="H85" s="19">
        <f t="shared" si="4"/>
        <v>741523.12760000001</v>
      </c>
    </row>
    <row r="86" spans="1:8" x14ac:dyDescent="0.2">
      <c r="A86" t="s">
        <v>68</v>
      </c>
      <c r="B86" s="11">
        <v>63653558</v>
      </c>
      <c r="D86">
        <v>8.0599999999999995E-3</v>
      </c>
      <c r="H86" s="19">
        <f t="shared" si="4"/>
        <v>513047.67747999995</v>
      </c>
    </row>
    <row r="87" spans="1:8" x14ac:dyDescent="0.2">
      <c r="A87" t="s">
        <v>69</v>
      </c>
      <c r="B87" s="8">
        <v>62507052</v>
      </c>
      <c r="D87">
        <v>6.3200000000000001E-3</v>
      </c>
      <c r="H87" s="20">
        <f t="shared" si="4"/>
        <v>395044.56864000001</v>
      </c>
    </row>
    <row r="88" spans="1:8" x14ac:dyDescent="0.2">
      <c r="B88" s="7">
        <f>SUM(B76:B87)</f>
        <v>645813419</v>
      </c>
      <c r="H88" s="19">
        <f>SUM(H76:H87)</f>
        <v>6599861.1484200004</v>
      </c>
    </row>
  </sheetData>
  <mergeCells count="3">
    <mergeCell ref="D4:H5"/>
    <mergeCell ref="M4:Q5"/>
    <mergeCell ref="V4:Z5"/>
  </mergeCells>
  <pageMargins left="0.75" right="0.75" top="1" bottom="1" header="0.5" footer="0.5"/>
  <pageSetup scale="48" orientation="landscape" r:id="rId1"/>
  <headerFooter alignWithMargins="0">
    <oddFooter>&amp;RExhibit JWW-4
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07B04-636E-4AF4-A855-89DB845B712D}">
  <sheetPr>
    <tabColor rgb="FFFFC000"/>
    <pageSetUpPr fitToPage="1"/>
  </sheetPr>
  <dimension ref="A1:Z95"/>
  <sheetViews>
    <sheetView view="pageBreakPreview" zoomScaleNormal="100" zoomScaleSheetLayoutView="100" workbookViewId="0"/>
  </sheetViews>
  <sheetFormatPr defaultRowHeight="12.75" x14ac:dyDescent="0.2"/>
  <cols>
    <col min="2" max="2" width="29.42578125" customWidth="1"/>
    <col min="3" max="3" width="2.7109375" customWidth="1"/>
    <col min="4" max="4" width="16" customWidth="1"/>
    <col min="5" max="5" width="2.7109375" customWidth="1"/>
    <col min="6" max="6" width="13.28515625" customWidth="1"/>
    <col min="7" max="7" width="2.7109375" customWidth="1"/>
    <col min="8" max="8" width="18.42578125" customWidth="1"/>
    <col min="9" max="9" width="3.28515625" customWidth="1"/>
    <col min="10" max="10" width="9" customWidth="1"/>
    <col min="11" max="11" width="21.85546875" customWidth="1"/>
    <col min="12" max="12" width="2.85546875" customWidth="1"/>
    <col min="13" max="13" width="16.7109375" bestFit="1" customWidth="1"/>
    <col min="14" max="14" width="2.7109375" customWidth="1"/>
    <col min="15" max="15" width="11.28515625" customWidth="1"/>
    <col min="16" max="16" width="2.7109375" customWidth="1"/>
    <col min="17" max="17" width="16" bestFit="1" customWidth="1"/>
    <col min="18" max="18" width="3.28515625" customWidth="1"/>
    <col min="19" max="19" width="9" customWidth="1"/>
    <col min="20" max="20" width="21.85546875" customWidth="1"/>
    <col min="21" max="21" width="2.85546875" customWidth="1"/>
    <col min="22" max="22" width="16.7109375" bestFit="1" customWidth="1"/>
    <col min="23" max="23" width="2.7109375" customWidth="1"/>
    <col min="24" max="24" width="11.28515625" customWidth="1"/>
    <col min="25" max="25" width="2.7109375" customWidth="1"/>
    <col min="26" max="26" width="16" bestFit="1" customWidth="1"/>
  </cols>
  <sheetData>
    <row r="1" spans="1:26" x14ac:dyDescent="0.2">
      <c r="A1" s="1" t="s">
        <v>0</v>
      </c>
      <c r="J1" s="1"/>
      <c r="S1" s="1"/>
    </row>
    <row r="2" spans="1:26" ht="13.5" thickBot="1" x14ac:dyDescent="0.25">
      <c r="A2" s="1" t="s">
        <v>18</v>
      </c>
      <c r="J2" s="1"/>
      <c r="S2" s="1"/>
    </row>
    <row r="3" spans="1:26" ht="12.75" customHeight="1" x14ac:dyDescent="0.2">
      <c r="A3" s="1"/>
      <c r="D3" s="55" t="s">
        <v>27</v>
      </c>
      <c r="E3" s="56"/>
      <c r="F3" s="56"/>
      <c r="G3" s="56"/>
      <c r="H3" s="57"/>
      <c r="J3" s="16"/>
      <c r="M3" s="61" t="s">
        <v>28</v>
      </c>
      <c r="N3" s="62"/>
      <c r="O3" s="62"/>
      <c r="P3" s="62"/>
      <c r="Q3" s="63"/>
      <c r="S3" s="16"/>
      <c r="V3" s="61" t="s">
        <v>29</v>
      </c>
      <c r="W3" s="62"/>
      <c r="X3" s="62"/>
      <c r="Y3" s="62"/>
      <c r="Z3" s="63"/>
    </row>
    <row r="4" spans="1:26" ht="13.5" thickBot="1" x14ac:dyDescent="0.25">
      <c r="D4" s="58"/>
      <c r="E4" s="59"/>
      <c r="F4" s="59"/>
      <c r="G4" s="59"/>
      <c r="H4" s="60"/>
      <c r="J4" s="16"/>
      <c r="M4" s="64"/>
      <c r="N4" s="65"/>
      <c r="O4" s="65"/>
      <c r="P4" s="65"/>
      <c r="Q4" s="66"/>
      <c r="S4" s="16"/>
      <c r="V4" s="64"/>
      <c r="W4" s="65"/>
      <c r="X4" s="65"/>
      <c r="Y4" s="65"/>
      <c r="Z4" s="66"/>
    </row>
    <row r="5" spans="1:26" x14ac:dyDescent="0.2">
      <c r="A5" s="1" t="s">
        <v>30</v>
      </c>
      <c r="D5" s="2" t="s">
        <v>31</v>
      </c>
      <c r="F5" s="3" t="s">
        <v>32</v>
      </c>
      <c r="H5" s="2" t="s">
        <v>33</v>
      </c>
      <c r="J5" s="1" t="s">
        <v>30</v>
      </c>
      <c r="M5" s="2" t="s">
        <v>31</v>
      </c>
      <c r="O5" s="3" t="s">
        <v>32</v>
      </c>
      <c r="Q5" s="2" t="s">
        <v>34</v>
      </c>
      <c r="S5" s="1" t="s">
        <v>30</v>
      </c>
      <c r="V5" s="2" t="s">
        <v>31</v>
      </c>
      <c r="X5" s="3" t="s">
        <v>32</v>
      </c>
      <c r="Z5" s="2" t="s">
        <v>34</v>
      </c>
    </row>
    <row r="8" spans="1:26" x14ac:dyDescent="0.2">
      <c r="A8" s="1" t="s">
        <v>35</v>
      </c>
      <c r="J8" s="1" t="s">
        <v>35</v>
      </c>
      <c r="S8" s="1" t="s">
        <v>35</v>
      </c>
    </row>
    <row r="9" spans="1:26" x14ac:dyDescent="0.2">
      <c r="B9" t="s">
        <v>36</v>
      </c>
      <c r="D9" s="5">
        <v>4016</v>
      </c>
      <c r="F9" s="4">
        <v>151.19999999999999</v>
      </c>
      <c r="H9" s="21">
        <f>D9*F9</f>
        <v>607219.19999999995</v>
      </c>
      <c r="K9" t="s">
        <v>36</v>
      </c>
      <c r="M9" s="5">
        <f>D9</f>
        <v>4016</v>
      </c>
      <c r="O9" s="14">
        <f>ROUND(F9*1.05,0)</f>
        <v>159</v>
      </c>
      <c r="Q9" s="21">
        <f>M9*O9</f>
        <v>638544</v>
      </c>
      <c r="T9" t="s">
        <v>36</v>
      </c>
      <c r="V9" s="5">
        <f>M9</f>
        <v>4016</v>
      </c>
      <c r="X9" s="14">
        <f>O9</f>
        <v>159</v>
      </c>
      <c r="Z9" s="21">
        <f>V9*X9</f>
        <v>638544</v>
      </c>
    </row>
    <row r="10" spans="1:26" x14ac:dyDescent="0.2">
      <c r="D10" s="5"/>
      <c r="F10" s="4"/>
      <c r="H10" s="21"/>
      <c r="M10" s="5"/>
      <c r="O10" s="4"/>
      <c r="Q10" s="21"/>
      <c r="V10" s="5"/>
      <c r="X10" s="4"/>
      <c r="Z10" s="21"/>
    </row>
    <row r="11" spans="1:26" x14ac:dyDescent="0.2">
      <c r="A11" s="1" t="s">
        <v>76</v>
      </c>
      <c r="D11" s="5"/>
      <c r="F11" s="4"/>
      <c r="H11" s="21"/>
      <c r="J11" s="1" t="s">
        <v>79</v>
      </c>
      <c r="M11" s="5"/>
      <c r="O11" s="4"/>
      <c r="Q11" s="21"/>
      <c r="S11" s="1" t="s">
        <v>79</v>
      </c>
      <c r="V11" s="5"/>
      <c r="X11" s="4"/>
      <c r="Z11" s="21"/>
    </row>
    <row r="12" spans="1:26" x14ac:dyDescent="0.2">
      <c r="B12" s="47" t="s">
        <v>80</v>
      </c>
      <c r="D12" s="5">
        <v>36</v>
      </c>
      <c r="F12" s="4">
        <v>1142.4000000000001</v>
      </c>
      <c r="H12" s="21">
        <f>D12*F12</f>
        <v>41126.400000000001</v>
      </c>
      <c r="K12" s="47" t="s">
        <v>80</v>
      </c>
      <c r="M12" s="11">
        <f>D12</f>
        <v>36</v>
      </c>
      <c r="O12" s="14">
        <f>ROUND(F12*1.05,0)</f>
        <v>1200</v>
      </c>
      <c r="Q12" s="21">
        <f>M12*O12</f>
        <v>43200</v>
      </c>
      <c r="T12" s="47" t="s">
        <v>80</v>
      </c>
      <c r="V12" s="11">
        <f t="shared" ref="V12:V15" si="0">M12</f>
        <v>36</v>
      </c>
      <c r="X12" s="14">
        <f>O12</f>
        <v>1200</v>
      </c>
      <c r="Z12" s="21">
        <f>V12*X12</f>
        <v>43200</v>
      </c>
    </row>
    <row r="13" spans="1:26" x14ac:dyDescent="0.2">
      <c r="B13" s="47" t="s">
        <v>81</v>
      </c>
      <c r="D13" s="5">
        <v>461</v>
      </c>
      <c r="F13" s="4">
        <v>2873.85</v>
      </c>
      <c r="H13" s="21">
        <f>D13*F13</f>
        <v>1324844.8499999999</v>
      </c>
      <c r="K13" s="47" t="s">
        <v>81</v>
      </c>
      <c r="M13" s="11">
        <f t="shared" ref="M13:M15" si="1">D13</f>
        <v>461</v>
      </c>
      <c r="O13" s="14">
        <f t="shared" ref="O13:O15" si="2">ROUND(F13*1.05,0)</f>
        <v>3018</v>
      </c>
      <c r="Q13" s="21">
        <f>M13*O13</f>
        <v>1391298</v>
      </c>
      <c r="T13" s="47" t="s">
        <v>81</v>
      </c>
      <c r="V13" s="11">
        <f t="shared" si="0"/>
        <v>461</v>
      </c>
      <c r="X13" s="14">
        <f t="shared" ref="X13:X15" si="3">O13</f>
        <v>3018</v>
      </c>
      <c r="Z13" s="21">
        <f>V13*X13</f>
        <v>1391298</v>
      </c>
    </row>
    <row r="14" spans="1:26" x14ac:dyDescent="0.2">
      <c r="B14" s="47" t="s">
        <v>82</v>
      </c>
      <c r="D14" s="5">
        <v>2713</v>
      </c>
      <c r="F14" s="4">
        <v>3456.6</v>
      </c>
      <c r="H14" s="21">
        <f>D14*F14</f>
        <v>9377755.7999999989</v>
      </c>
      <c r="K14" s="47" t="s">
        <v>82</v>
      </c>
      <c r="M14" s="11">
        <f t="shared" si="1"/>
        <v>2713</v>
      </c>
      <c r="O14" s="14">
        <f t="shared" si="2"/>
        <v>3629</v>
      </c>
      <c r="Q14" s="21">
        <f>M14*O14</f>
        <v>9845477</v>
      </c>
      <c r="T14" s="47" t="s">
        <v>82</v>
      </c>
      <c r="V14" s="11">
        <f t="shared" si="0"/>
        <v>2713</v>
      </c>
      <c r="X14" s="14">
        <f t="shared" si="3"/>
        <v>3629</v>
      </c>
      <c r="Z14" s="21">
        <f>V14*X14</f>
        <v>9845477</v>
      </c>
    </row>
    <row r="15" spans="1:26" x14ac:dyDescent="0.2">
      <c r="B15" s="49" t="s">
        <v>83</v>
      </c>
      <c r="C15" s="9"/>
      <c r="D15" s="8">
        <v>734</v>
      </c>
      <c r="E15" s="9"/>
      <c r="F15" s="13">
        <v>5575.5</v>
      </c>
      <c r="G15" s="9"/>
      <c r="H15" s="36">
        <f>D15*F15</f>
        <v>4092417</v>
      </c>
      <c r="K15" s="49" t="s">
        <v>83</v>
      </c>
      <c r="L15" s="9"/>
      <c r="M15" s="8">
        <f t="shared" si="1"/>
        <v>734</v>
      </c>
      <c r="N15" s="9"/>
      <c r="O15" s="13">
        <f t="shared" si="2"/>
        <v>5854</v>
      </c>
      <c r="P15" s="9"/>
      <c r="Q15" s="36">
        <f>M15*O15</f>
        <v>4296836</v>
      </c>
      <c r="T15" s="49" t="s">
        <v>83</v>
      </c>
      <c r="U15" s="9"/>
      <c r="V15" s="8">
        <f t="shared" si="0"/>
        <v>734</v>
      </c>
      <c r="W15" s="9"/>
      <c r="X15" s="13">
        <f t="shared" si="3"/>
        <v>5854</v>
      </c>
      <c r="Y15" s="9"/>
      <c r="Z15" s="36">
        <f>V15*X15</f>
        <v>4296836</v>
      </c>
    </row>
    <row r="16" spans="1:26" x14ac:dyDescent="0.2">
      <c r="B16" s="47"/>
      <c r="D16" s="11"/>
      <c r="F16" s="14"/>
      <c r="H16" s="21">
        <f>SUM(H12:H15)</f>
        <v>14836144.049999999</v>
      </c>
      <c r="K16" s="47"/>
      <c r="M16" s="11"/>
      <c r="O16" s="14"/>
      <c r="Q16" s="21">
        <f>SUM(Q12:Q15)</f>
        <v>15576811</v>
      </c>
      <c r="T16" s="47"/>
      <c r="V16" s="11"/>
      <c r="X16" s="14"/>
      <c r="Z16" s="21">
        <f>SUM(Z12:Z15)</f>
        <v>15576811</v>
      </c>
    </row>
    <row r="17" spans="1:26" x14ac:dyDescent="0.2">
      <c r="B17" s="47"/>
      <c r="D17" s="11"/>
      <c r="F17" s="14"/>
      <c r="H17" s="6"/>
      <c r="K17" s="47"/>
      <c r="M17" s="11"/>
      <c r="O17" s="14"/>
      <c r="Q17" s="6"/>
      <c r="T17" s="47"/>
      <c r="V17" s="11"/>
      <c r="X17" s="14"/>
      <c r="Z17" s="6"/>
    </row>
    <row r="18" spans="1:26" x14ac:dyDescent="0.2">
      <c r="B18" s="47"/>
      <c r="D18" s="11"/>
      <c r="F18" s="14"/>
      <c r="H18" s="6"/>
      <c r="K18" s="47"/>
      <c r="M18" s="11"/>
      <c r="O18" s="14"/>
      <c r="Q18" s="6"/>
      <c r="T18" s="47"/>
      <c r="V18" s="11"/>
      <c r="X18" s="14"/>
      <c r="Z18" s="6"/>
    </row>
    <row r="19" spans="1:26" x14ac:dyDescent="0.2">
      <c r="A19" s="1" t="s">
        <v>37</v>
      </c>
      <c r="D19" s="11"/>
      <c r="F19" s="14"/>
      <c r="H19" s="6"/>
      <c r="J19" s="1" t="s">
        <v>37</v>
      </c>
      <c r="M19" s="11"/>
      <c r="O19" s="14"/>
      <c r="Q19" s="6"/>
      <c r="S19" s="1" t="s">
        <v>37</v>
      </c>
      <c r="V19" s="11"/>
      <c r="X19" s="14"/>
      <c r="Z19" s="6"/>
    </row>
    <row r="20" spans="1:26" x14ac:dyDescent="0.2">
      <c r="A20" s="1"/>
      <c r="B20" s="47" t="s">
        <v>84</v>
      </c>
      <c r="D20" s="7">
        <f>F63</f>
        <v>2384332</v>
      </c>
      <c r="F20" s="14">
        <v>8.49</v>
      </c>
      <c r="H20" s="21">
        <f>D20*F20</f>
        <v>20242978.68</v>
      </c>
      <c r="J20" s="1"/>
      <c r="K20" s="47" t="s">
        <v>84</v>
      </c>
      <c r="M20" s="7">
        <f>D20</f>
        <v>2384332</v>
      </c>
      <c r="O20" s="44">
        <v>9.6</v>
      </c>
      <c r="Q20" s="21">
        <f>M20*O20</f>
        <v>22889587.199999999</v>
      </c>
      <c r="S20" s="1"/>
      <c r="T20" s="47" t="s">
        <v>84</v>
      </c>
      <c r="V20" s="7">
        <f>M20</f>
        <v>2384332</v>
      </c>
      <c r="X20" s="44">
        <f>O20</f>
        <v>9.6</v>
      </c>
      <c r="Z20" s="21">
        <f>V20*X20</f>
        <v>22889587.199999999</v>
      </c>
    </row>
    <row r="21" spans="1:26" x14ac:dyDescent="0.2">
      <c r="A21" s="1"/>
      <c r="B21" s="47" t="s">
        <v>85</v>
      </c>
      <c r="D21" s="7">
        <f>F79</f>
        <v>19746016</v>
      </c>
      <c r="F21" s="14">
        <v>6.52</v>
      </c>
      <c r="H21" s="21">
        <f>D21*F21</f>
        <v>128744024.31999999</v>
      </c>
      <c r="J21" s="1"/>
      <c r="K21" s="47" t="s">
        <v>85</v>
      </c>
      <c r="M21" s="7">
        <f t="shared" ref="M21:M22" si="4">D21</f>
        <v>19746016</v>
      </c>
      <c r="O21" s="44">
        <v>7.37</v>
      </c>
      <c r="Q21" s="21">
        <f t="shared" ref="Q21:Q22" si="5">M21*O21</f>
        <v>145528137.92000002</v>
      </c>
      <c r="S21" s="1"/>
      <c r="T21" s="47" t="s">
        <v>85</v>
      </c>
      <c r="V21" s="7">
        <f t="shared" ref="V21:V22" si="6">M21</f>
        <v>19746016</v>
      </c>
      <c r="X21" s="44">
        <f>O21</f>
        <v>7.37</v>
      </c>
      <c r="Z21" s="21">
        <f t="shared" ref="Z21:Z22" si="7">V21*X21</f>
        <v>145528137.92000002</v>
      </c>
    </row>
    <row r="22" spans="1:26" x14ac:dyDescent="0.2">
      <c r="A22" s="1"/>
      <c r="B22" s="47" t="s">
        <v>86</v>
      </c>
      <c r="D22" s="7">
        <f>8674</f>
        <v>8674</v>
      </c>
      <c r="F22" s="14">
        <f>-5.6</f>
        <v>-5.6</v>
      </c>
      <c r="H22" s="21">
        <f>D22*F22</f>
        <v>-48574.399999999994</v>
      </c>
      <c r="J22" s="1"/>
      <c r="K22" s="47" t="s">
        <v>86</v>
      </c>
      <c r="M22" s="7">
        <f t="shared" si="4"/>
        <v>8674</v>
      </c>
      <c r="O22" s="44">
        <v>-5.6</v>
      </c>
      <c r="Q22" s="21">
        <f t="shared" si="5"/>
        <v>-48574.399999999994</v>
      </c>
      <c r="S22" s="1"/>
      <c r="T22" s="47" t="s">
        <v>86</v>
      </c>
      <c r="V22" s="7">
        <f t="shared" si="6"/>
        <v>8674</v>
      </c>
      <c r="X22" s="44">
        <f>O22-2</f>
        <v>-7.6</v>
      </c>
      <c r="Z22" s="21">
        <f t="shared" si="7"/>
        <v>-65922.399999999994</v>
      </c>
    </row>
    <row r="23" spans="1:26" x14ac:dyDescent="0.2">
      <c r="F23" s="38"/>
      <c r="H23" s="21"/>
      <c r="O23" s="38"/>
      <c r="X23" s="38"/>
    </row>
    <row r="24" spans="1:26" x14ac:dyDescent="0.2">
      <c r="A24" s="1" t="s">
        <v>41</v>
      </c>
      <c r="D24" t="s">
        <v>42</v>
      </c>
      <c r="H24" s="21"/>
      <c r="J24" s="1" t="s">
        <v>41</v>
      </c>
      <c r="M24" t="s">
        <v>42</v>
      </c>
      <c r="S24" s="1" t="s">
        <v>41</v>
      </c>
      <c r="V24" t="s">
        <v>42</v>
      </c>
    </row>
    <row r="25" spans="1:26" x14ac:dyDescent="0.2">
      <c r="B25" s="47" t="s">
        <v>87</v>
      </c>
      <c r="D25" s="11">
        <f>B63</f>
        <v>554387009</v>
      </c>
      <c r="F25" s="26">
        <v>5.3841E-2</v>
      </c>
      <c r="H25" s="21">
        <f>D25*F25</f>
        <v>29848750.951568998</v>
      </c>
      <c r="K25" s="47" t="s">
        <v>87</v>
      </c>
      <c r="M25" s="5">
        <f>D25</f>
        <v>554387009</v>
      </c>
      <c r="O25" s="25">
        <f>ROUND(O26*1.01,6)</f>
        <v>5.586E-2</v>
      </c>
      <c r="Q25" s="21">
        <f>M25*O25</f>
        <v>30968058.32274</v>
      </c>
      <c r="T25" s="47" t="s">
        <v>87</v>
      </c>
      <c r="V25" s="5">
        <f>M25</f>
        <v>554387009</v>
      </c>
      <c r="X25" s="25">
        <f>O25</f>
        <v>5.586E-2</v>
      </c>
      <c r="Z25" s="21">
        <f>V25*X25</f>
        <v>30968058.32274</v>
      </c>
    </row>
    <row r="26" spans="1:26" x14ac:dyDescent="0.2">
      <c r="B26" s="47" t="s">
        <v>88</v>
      </c>
      <c r="D26" s="11">
        <f>D63</f>
        <v>519342190</v>
      </c>
      <c r="F26" s="26">
        <v>5.3262999999999998E-2</v>
      </c>
      <c r="H26" s="21">
        <f t="shared" ref="H26:H27" si="8">D26*F26</f>
        <v>27661723.06597</v>
      </c>
      <c r="K26" s="47" t="s">
        <v>88</v>
      </c>
      <c r="M26" s="5">
        <f t="shared" ref="M26:M28" si="9">D26</f>
        <v>519342190</v>
      </c>
      <c r="O26" s="25">
        <v>5.5307000000000002E-2</v>
      </c>
      <c r="Q26" s="21">
        <f t="shared" ref="Q26:Q28" si="10">M26*O26</f>
        <v>28723258.502330001</v>
      </c>
      <c r="T26" s="47" t="s">
        <v>88</v>
      </c>
      <c r="V26" s="5">
        <f t="shared" ref="V26:V28" si="11">M26</f>
        <v>519342190</v>
      </c>
      <c r="X26" s="25">
        <f>O26</f>
        <v>5.5307000000000002E-2</v>
      </c>
      <c r="Z26" s="21">
        <f t="shared" ref="Z26:Z28" si="12">V26*X26</f>
        <v>28723258.502330001</v>
      </c>
    </row>
    <row r="27" spans="1:26" x14ac:dyDescent="0.2">
      <c r="B27" s="47" t="s">
        <v>89</v>
      </c>
      <c r="D27" s="11">
        <f>B79</f>
        <v>4195975619</v>
      </c>
      <c r="F27" s="26">
        <v>6.2648999999999996E-2</v>
      </c>
      <c r="H27" s="21">
        <f t="shared" si="8"/>
        <v>262873676.55473098</v>
      </c>
      <c r="K27" s="47" t="s">
        <v>89</v>
      </c>
      <c r="M27" s="5">
        <f t="shared" si="9"/>
        <v>4195975619</v>
      </c>
      <c r="O27" s="25">
        <f>ROUND(O28*1.1618,6)</f>
        <v>6.4916000000000001E-2</v>
      </c>
      <c r="Q27" s="21">
        <f t="shared" si="10"/>
        <v>272385953.28300399</v>
      </c>
      <c r="T27" s="47" t="s">
        <v>89</v>
      </c>
      <c r="V27" s="5">
        <f t="shared" si="11"/>
        <v>4195975619</v>
      </c>
      <c r="X27" s="25">
        <f>O27</f>
        <v>6.4916000000000001E-2</v>
      </c>
      <c r="Z27" s="21">
        <f t="shared" si="12"/>
        <v>272385953.28300399</v>
      </c>
    </row>
    <row r="28" spans="1:26" x14ac:dyDescent="0.2">
      <c r="B28" s="49" t="s">
        <v>90</v>
      </c>
      <c r="C28" s="9"/>
      <c r="D28" s="8">
        <f>D79</f>
        <v>4013839247</v>
      </c>
      <c r="E28" s="9"/>
      <c r="F28" s="27">
        <v>5.3924E-2</v>
      </c>
      <c r="G28" s="9"/>
      <c r="H28" s="36">
        <f>D28*F28</f>
        <v>216442267.55522799</v>
      </c>
      <c r="K28" s="49" t="s">
        <v>90</v>
      </c>
      <c r="L28" s="9"/>
      <c r="M28" s="8">
        <f t="shared" si="9"/>
        <v>4013839247</v>
      </c>
      <c r="N28" s="9"/>
      <c r="O28" s="27">
        <v>5.5875000000000001E-2</v>
      </c>
      <c r="P28" s="9"/>
      <c r="Q28" s="36">
        <f t="shared" si="10"/>
        <v>224273267.92612499</v>
      </c>
      <c r="T28" s="49" t="s">
        <v>90</v>
      </c>
      <c r="U28" s="9"/>
      <c r="V28" s="8">
        <f t="shared" si="11"/>
        <v>4013839247</v>
      </c>
      <c r="W28" s="9"/>
      <c r="X28" s="27">
        <f>O28</f>
        <v>5.5875000000000001E-2</v>
      </c>
      <c r="Y28" s="9"/>
      <c r="Z28" s="36">
        <f t="shared" si="12"/>
        <v>224273267.92612499</v>
      </c>
    </row>
    <row r="29" spans="1:26" x14ac:dyDescent="0.2">
      <c r="D29" s="17"/>
      <c r="F29" s="26"/>
      <c r="H29" s="21">
        <f>SUM(H25:H28)</f>
        <v>536826418.12749797</v>
      </c>
      <c r="M29" s="17"/>
      <c r="O29" s="26"/>
      <c r="Q29" s="21">
        <f>SUM(Q25:Q28)</f>
        <v>556350538.034199</v>
      </c>
      <c r="V29" s="17"/>
      <c r="X29" s="26"/>
      <c r="Z29" s="21">
        <f>SUM(Z25:Z28)</f>
        <v>556350538.034199</v>
      </c>
    </row>
    <row r="30" spans="1:26" x14ac:dyDescent="0.2">
      <c r="D30" s="46"/>
      <c r="F30" s="45"/>
      <c r="M30" s="46"/>
      <c r="O30" s="45"/>
      <c r="V30" s="46"/>
      <c r="X30" s="45"/>
    </row>
    <row r="31" spans="1:26" x14ac:dyDescent="0.2">
      <c r="B31" t="s">
        <v>44</v>
      </c>
      <c r="D31" s="11">
        <f>B95</f>
        <v>9283544065</v>
      </c>
      <c r="F31" s="15"/>
      <c r="H31" s="21">
        <f>-8647931.98</f>
        <v>-8647931.9800000004</v>
      </c>
      <c r="K31" t="s">
        <v>44</v>
      </c>
      <c r="M31" s="11"/>
      <c r="O31" s="15"/>
      <c r="Q31" s="21">
        <f>H31</f>
        <v>-8647931.9800000004</v>
      </c>
      <c r="T31" t="s">
        <v>44</v>
      </c>
      <c r="V31" s="11"/>
      <c r="X31" s="15"/>
      <c r="Z31" s="21">
        <f>Q31</f>
        <v>-8647931.9800000004</v>
      </c>
    </row>
    <row r="32" spans="1:26" x14ac:dyDescent="0.2">
      <c r="B32" t="s">
        <v>46</v>
      </c>
      <c r="D32" s="22">
        <f>SUM(H9,H16,H20,H21,H22,H29,H31,H33,H34,H35,H36)</f>
        <v>692644369.99749792</v>
      </c>
      <c r="F32" s="17">
        <v>0.1565</v>
      </c>
      <c r="H32" s="21">
        <f>12451968+97035821+61999</f>
        <v>109549788</v>
      </c>
      <c r="K32" t="s">
        <v>46</v>
      </c>
      <c r="M32" s="11"/>
      <c r="O32" s="15"/>
      <c r="Q32" s="21">
        <f t="shared" ref="Q32:Q36" si="13">H32</f>
        <v>109549788</v>
      </c>
      <c r="T32" t="s">
        <v>46</v>
      </c>
      <c r="V32" s="11"/>
      <c r="X32" s="15"/>
      <c r="Z32" s="21">
        <f t="shared" ref="Z32:Z36" si="14">Q32</f>
        <v>109549788</v>
      </c>
    </row>
    <row r="33" spans="1:26" x14ac:dyDescent="0.2">
      <c r="B33" t="s">
        <v>47</v>
      </c>
      <c r="H33" s="21">
        <f>5310</f>
        <v>5310</v>
      </c>
      <c r="K33" t="s">
        <v>47</v>
      </c>
      <c r="Q33" s="21">
        <f t="shared" si="13"/>
        <v>5310</v>
      </c>
      <c r="T33" t="s">
        <v>47</v>
      </c>
      <c r="Z33" s="21">
        <f t="shared" si="14"/>
        <v>5310</v>
      </c>
    </row>
    <row r="34" spans="1:26" x14ac:dyDescent="0.2">
      <c r="B34" t="s">
        <v>48</v>
      </c>
      <c r="H34" s="21">
        <v>-3872</v>
      </c>
      <c r="K34" t="s">
        <v>48</v>
      </c>
      <c r="Q34" s="21">
        <f t="shared" si="13"/>
        <v>-3872</v>
      </c>
      <c r="T34" t="s">
        <v>48</v>
      </c>
      <c r="Z34" s="21">
        <f t="shared" si="14"/>
        <v>-3872</v>
      </c>
    </row>
    <row r="35" spans="1:26" x14ac:dyDescent="0.2">
      <c r="B35" t="s">
        <v>91</v>
      </c>
      <c r="H35" s="21">
        <f>22804+98470</f>
        <v>121274</v>
      </c>
      <c r="K35" t="s">
        <v>91</v>
      </c>
      <c r="Q35" s="21">
        <f t="shared" si="13"/>
        <v>121274</v>
      </c>
      <c r="T35" t="s">
        <v>91</v>
      </c>
      <c r="Z35" s="21">
        <f t="shared" si="14"/>
        <v>121274</v>
      </c>
    </row>
    <row r="36" spans="1:26" x14ac:dyDescent="0.2">
      <c r="B36" t="s">
        <v>92</v>
      </c>
      <c r="H36" s="21">
        <v>-38620</v>
      </c>
      <c r="K36" t="s">
        <v>92</v>
      </c>
      <c r="Q36" s="21">
        <f t="shared" si="13"/>
        <v>-38620</v>
      </c>
      <c r="T36" t="s">
        <v>92</v>
      </c>
      <c r="Z36" s="21">
        <f t="shared" si="14"/>
        <v>-38620</v>
      </c>
    </row>
    <row r="38" spans="1:26" ht="13.5" thickBot="1" x14ac:dyDescent="0.25">
      <c r="B38" s="1" t="s">
        <v>51</v>
      </c>
      <c r="H38" s="37">
        <f>H9+H16+H20+H21+H22+H29+H31+H32+H33+H34+H35+H36</f>
        <v>802194157.99749792</v>
      </c>
      <c r="K38" s="1" t="s">
        <v>51</v>
      </c>
      <c r="Q38" s="37">
        <f>Q9+Q16+Q20+Q21+Q22+Q29+Q31+Q32+Q33+Q34+Q35+Q36</f>
        <v>841920991.77419901</v>
      </c>
      <c r="T38" s="1" t="s">
        <v>51</v>
      </c>
      <c r="Z38" s="37">
        <f>Z9+Z16+Z20+Z21+Z22+Z29+Z31+Z32+Z33+Z34+Z35+Z36</f>
        <v>841903643.77419901</v>
      </c>
    </row>
    <row r="39" spans="1:26" ht="13.5" thickTop="1" x14ac:dyDescent="0.2">
      <c r="H39" s="21"/>
      <c r="K39" s="1"/>
      <c r="Q39" s="6"/>
      <c r="T39" s="1"/>
      <c r="Z39" s="6"/>
    </row>
    <row r="40" spans="1:26" x14ac:dyDescent="0.2">
      <c r="H40" s="22"/>
      <c r="K40" t="s">
        <v>52</v>
      </c>
      <c r="M40" s="7"/>
      <c r="O40" s="14"/>
      <c r="Q40" s="22">
        <f>Q38-H38</f>
        <v>39726833.776701093</v>
      </c>
      <c r="T40" t="s">
        <v>52</v>
      </c>
      <c r="V40" s="7"/>
      <c r="X40" s="14"/>
      <c r="Z40" s="22">
        <f>Z38-Q38</f>
        <v>-17348</v>
      </c>
    </row>
    <row r="41" spans="1:26" x14ac:dyDescent="0.2">
      <c r="H41" s="6"/>
    </row>
    <row r="42" spans="1:26" x14ac:dyDescent="0.2">
      <c r="K42" t="s">
        <v>6</v>
      </c>
      <c r="Q42" s="17">
        <f>Q40/H38</f>
        <v>4.9522716390593566E-2</v>
      </c>
      <c r="T42" t="s">
        <v>6</v>
      </c>
      <c r="Z42" s="17">
        <f>Z40/H38</f>
        <v>-2.1625687281624543E-5</v>
      </c>
    </row>
    <row r="43" spans="1:26" x14ac:dyDescent="0.2">
      <c r="Q43" s="17"/>
      <c r="Z43" s="17"/>
    </row>
    <row r="44" spans="1:26" x14ac:dyDescent="0.2">
      <c r="H44" s="24"/>
      <c r="T44" t="s">
        <v>53</v>
      </c>
      <c r="Z44" s="21">
        <f>Q40+Z40</f>
        <v>39709485.776701093</v>
      </c>
    </row>
    <row r="45" spans="1:26" x14ac:dyDescent="0.2">
      <c r="H45" s="24"/>
      <c r="Z45" s="21"/>
    </row>
    <row r="46" spans="1:26" x14ac:dyDescent="0.2">
      <c r="H46" s="24"/>
      <c r="T46" t="s">
        <v>54</v>
      </c>
      <c r="V46" s="47"/>
      <c r="X46" s="12"/>
      <c r="Z46" s="12">
        <f>(Q40+Z40)/H38</f>
        <v>4.9501090703311941E-2</v>
      </c>
    </row>
    <row r="47" spans="1:26" x14ac:dyDescent="0.2">
      <c r="M47" s="47"/>
      <c r="O47" s="12"/>
      <c r="Q47" s="23"/>
    </row>
    <row r="48" spans="1:26" x14ac:dyDescent="0.2">
      <c r="A48" s="47"/>
      <c r="K48" s="23"/>
    </row>
    <row r="49" spans="1:26" x14ac:dyDescent="0.2">
      <c r="B49" s="47" t="s">
        <v>93</v>
      </c>
      <c r="K49" s="21"/>
      <c r="M49" s="47"/>
      <c r="O49" s="12"/>
      <c r="Q49" s="4"/>
      <c r="T49" s="21"/>
      <c r="V49" s="47"/>
      <c r="X49" s="12"/>
      <c r="Z49" s="4"/>
    </row>
    <row r="50" spans="1:26" x14ac:dyDescent="0.2">
      <c r="B50" s="3" t="s">
        <v>70</v>
      </c>
      <c r="D50" s="3" t="s">
        <v>71</v>
      </c>
      <c r="F50" s="3" t="s">
        <v>72</v>
      </c>
      <c r="H50" s="3" t="s">
        <v>56</v>
      </c>
      <c r="K50" s="6"/>
      <c r="T50" s="6"/>
    </row>
    <row r="51" spans="1:26" x14ac:dyDescent="0.2">
      <c r="A51" t="s">
        <v>58</v>
      </c>
      <c r="B51" s="11">
        <v>46877989</v>
      </c>
      <c r="C51" s="5"/>
      <c r="D51" s="5">
        <v>57646946</v>
      </c>
      <c r="F51" s="11">
        <v>185784</v>
      </c>
      <c r="H51" s="23">
        <v>9678064.7690999992</v>
      </c>
      <c r="K51" s="6"/>
      <c r="Q51" s="19"/>
      <c r="T51" s="6"/>
      <c r="Z51" s="19"/>
    </row>
    <row r="52" spans="1:26" x14ac:dyDescent="0.2">
      <c r="A52" t="s">
        <v>59</v>
      </c>
      <c r="B52" s="11">
        <v>38290271</v>
      </c>
      <c r="C52" s="5"/>
      <c r="D52" s="5">
        <v>46965903</v>
      </c>
      <c r="F52" s="11">
        <v>203262</v>
      </c>
      <c r="H52" s="23">
        <v>7048512.9079999998</v>
      </c>
      <c r="K52" s="6"/>
      <c r="T52" s="6"/>
    </row>
    <row r="53" spans="1:26" x14ac:dyDescent="0.2">
      <c r="A53" t="s">
        <v>60</v>
      </c>
      <c r="B53" s="11">
        <v>40771323</v>
      </c>
      <c r="C53" s="5"/>
      <c r="D53" s="5">
        <v>50245635</v>
      </c>
      <c r="F53" s="11">
        <v>198048</v>
      </c>
      <c r="H53" s="23">
        <v>7251358.1040000003</v>
      </c>
      <c r="Q53" s="6"/>
      <c r="S53" s="12"/>
      <c r="Z53" s="6"/>
    </row>
    <row r="54" spans="1:26" x14ac:dyDescent="0.2">
      <c r="A54" t="s">
        <v>61</v>
      </c>
      <c r="B54" s="11">
        <v>33697769</v>
      </c>
      <c r="C54" s="5"/>
      <c r="D54" s="5">
        <v>40381996</v>
      </c>
      <c r="F54" s="11">
        <v>152645</v>
      </c>
      <c r="H54" s="23">
        <v>6129712.9907999998</v>
      </c>
    </row>
    <row r="55" spans="1:26" x14ac:dyDescent="0.2">
      <c r="A55" t="s">
        <v>62</v>
      </c>
      <c r="B55" s="11">
        <v>45397688</v>
      </c>
      <c r="C55" s="5"/>
      <c r="D55" s="5">
        <v>33345817</v>
      </c>
      <c r="F55" s="11">
        <v>195651</v>
      </c>
      <c r="H55" s="23">
        <v>6966362.5317000002</v>
      </c>
      <c r="Q55" s="6"/>
      <c r="S55" s="12"/>
      <c r="Z55" s="6"/>
    </row>
    <row r="56" spans="1:26" x14ac:dyDescent="0.2">
      <c r="A56" t="s">
        <v>63</v>
      </c>
      <c r="B56" s="11">
        <v>51954412</v>
      </c>
      <c r="C56" s="5"/>
      <c r="D56" s="5">
        <v>33694664</v>
      </c>
      <c r="F56" s="11">
        <v>199555</v>
      </c>
      <c r="H56" s="23">
        <v>6945932.29</v>
      </c>
    </row>
    <row r="57" spans="1:26" x14ac:dyDescent="0.2">
      <c r="A57" t="s">
        <v>64</v>
      </c>
      <c r="B57" s="11">
        <v>65631334</v>
      </c>
      <c r="C57" s="5"/>
      <c r="D57" s="5">
        <v>41414664</v>
      </c>
      <c r="F57" s="11">
        <v>227924</v>
      </c>
      <c r="H57" s="23">
        <f>8760492.848</f>
        <v>8760492.8479999993</v>
      </c>
    </row>
    <row r="58" spans="1:26" x14ac:dyDescent="0.2">
      <c r="A58" t="s">
        <v>65</v>
      </c>
      <c r="B58" s="11">
        <v>63319345</v>
      </c>
      <c r="C58" s="5"/>
      <c r="D58" s="5">
        <v>40380306</v>
      </c>
      <c r="F58" s="11">
        <v>237464</v>
      </c>
      <c r="H58" s="23">
        <f>9197607.4126</f>
        <v>9197607.4125999995</v>
      </c>
    </row>
    <row r="59" spans="1:26" x14ac:dyDescent="0.2">
      <c r="A59" t="s">
        <v>66</v>
      </c>
      <c r="B59" s="11">
        <v>50793620</v>
      </c>
      <c r="C59" s="5"/>
      <c r="D59" s="5">
        <v>32960888</v>
      </c>
      <c r="F59" s="11">
        <v>222030</v>
      </c>
      <c r="H59" s="23">
        <f>7412830.7645</f>
        <v>7412830.7644999996</v>
      </c>
    </row>
    <row r="60" spans="1:26" x14ac:dyDescent="0.2">
      <c r="A60" t="s">
        <v>67</v>
      </c>
      <c r="B60" s="11">
        <v>34049927</v>
      </c>
      <c r="C60" s="5"/>
      <c r="D60" s="5">
        <v>40189010</v>
      </c>
      <c r="F60" s="11">
        <v>157766</v>
      </c>
      <c r="H60" s="23">
        <f>6242054.0637</f>
        <v>6242054.0636999998</v>
      </c>
    </row>
    <row r="61" spans="1:26" x14ac:dyDescent="0.2">
      <c r="A61" t="s">
        <v>68</v>
      </c>
      <c r="B61" s="11">
        <v>38443671</v>
      </c>
      <c r="C61" s="5"/>
      <c r="D61" s="5">
        <v>46899677</v>
      </c>
      <c r="F61" s="11">
        <v>206139</v>
      </c>
      <c r="H61" s="23">
        <f>7264072.2696</f>
        <v>7264072.2696000002</v>
      </c>
    </row>
    <row r="62" spans="1:26" x14ac:dyDescent="0.2">
      <c r="A62" t="s">
        <v>69</v>
      </c>
      <c r="B62" s="8">
        <v>45159660</v>
      </c>
      <c r="C62" s="8"/>
      <c r="D62" s="8">
        <v>55216684</v>
      </c>
      <c r="F62" s="8">
        <v>198064</v>
      </c>
      <c r="H62" s="30">
        <f>7897517.9955</f>
        <v>7897517.9955000002</v>
      </c>
    </row>
    <row r="63" spans="1:26" x14ac:dyDescent="0.2">
      <c r="B63" s="5">
        <f>SUM(B51:B62)</f>
        <v>554387009</v>
      </c>
      <c r="C63" s="5"/>
      <c r="D63" s="5">
        <f t="shared" ref="D63:H63" si="15">SUM(D51:D62)</f>
        <v>519342190</v>
      </c>
      <c r="F63" s="5">
        <f t="shared" si="15"/>
        <v>2384332</v>
      </c>
      <c r="H63" s="23">
        <f t="shared" si="15"/>
        <v>90794518.947500005</v>
      </c>
    </row>
    <row r="65" spans="1:26" x14ac:dyDescent="0.2">
      <c r="B65" s="47" t="s">
        <v>94</v>
      </c>
      <c r="Q65" s="4"/>
      <c r="Z65" s="4"/>
    </row>
    <row r="66" spans="1:26" x14ac:dyDescent="0.2">
      <c r="B66" s="3" t="s">
        <v>70</v>
      </c>
      <c r="D66" s="3" t="s">
        <v>71</v>
      </c>
      <c r="F66" s="3" t="s">
        <v>72</v>
      </c>
      <c r="H66" s="3" t="s">
        <v>56</v>
      </c>
    </row>
    <row r="67" spans="1:26" x14ac:dyDescent="0.2">
      <c r="A67" t="s">
        <v>58</v>
      </c>
      <c r="B67" s="11">
        <v>372568165</v>
      </c>
      <c r="C67" s="5"/>
      <c r="D67" s="11">
        <v>462766409</v>
      </c>
      <c r="F67" s="11">
        <v>1791500</v>
      </c>
      <c r="H67" s="11">
        <v>80465410.902199998</v>
      </c>
    </row>
    <row r="68" spans="1:26" x14ac:dyDescent="0.2">
      <c r="A68" t="s">
        <v>59</v>
      </c>
      <c r="B68" s="11">
        <v>307087176</v>
      </c>
      <c r="C68" s="5"/>
      <c r="D68" s="11">
        <v>383003781</v>
      </c>
      <c r="F68" s="11">
        <v>1951925</v>
      </c>
      <c r="H68" s="11">
        <v>58997899.588</v>
      </c>
    </row>
    <row r="69" spans="1:26" x14ac:dyDescent="0.2">
      <c r="A69" t="s">
        <v>60</v>
      </c>
      <c r="B69" s="11">
        <v>318742589</v>
      </c>
      <c r="C69" s="5"/>
      <c r="D69" s="11">
        <v>397665436</v>
      </c>
      <c r="F69" s="11">
        <v>1986897</v>
      </c>
      <c r="H69" s="11">
        <v>60295542.367599994</v>
      </c>
    </row>
    <row r="70" spans="1:26" x14ac:dyDescent="0.2">
      <c r="A70" t="s">
        <v>61</v>
      </c>
      <c r="B70" s="11">
        <v>250440027</v>
      </c>
      <c r="C70" s="5"/>
      <c r="D70" s="11">
        <v>301549707</v>
      </c>
      <c r="F70" s="11">
        <v>1296204</v>
      </c>
      <c r="H70" s="11">
        <v>47237989.696800001</v>
      </c>
    </row>
    <row r="71" spans="1:26" x14ac:dyDescent="0.2">
      <c r="A71" t="s">
        <v>62</v>
      </c>
      <c r="B71" s="11">
        <v>327676843</v>
      </c>
      <c r="C71" s="5"/>
      <c r="D71" s="11">
        <v>244039527</v>
      </c>
      <c r="F71" s="11">
        <v>1294266</v>
      </c>
      <c r="H71" s="11">
        <v>50091264.377800003</v>
      </c>
    </row>
    <row r="72" spans="1:26" x14ac:dyDescent="0.2">
      <c r="A72" t="s">
        <v>63</v>
      </c>
      <c r="B72" s="11">
        <v>374203905</v>
      </c>
      <c r="C72" s="5"/>
      <c r="D72" s="11">
        <v>241740569</v>
      </c>
      <c r="F72" s="11">
        <v>1357906</v>
      </c>
      <c r="H72" s="11">
        <v>50300462.347999997</v>
      </c>
    </row>
    <row r="73" spans="1:26" x14ac:dyDescent="0.2">
      <c r="A73" t="s">
        <v>64</v>
      </c>
      <c r="B73" s="11">
        <v>482407551</v>
      </c>
      <c r="C73" s="5"/>
      <c r="D73" s="11">
        <v>300205710</v>
      </c>
      <c r="F73" s="11">
        <v>1716113</v>
      </c>
      <c r="H73" s="11">
        <v>66015861.062399998</v>
      </c>
    </row>
    <row r="74" spans="1:26" x14ac:dyDescent="0.2">
      <c r="A74" t="s">
        <v>65</v>
      </c>
      <c r="B74" s="11">
        <v>456567763</v>
      </c>
      <c r="C74" s="5"/>
      <c r="D74" s="11">
        <v>291602086</v>
      </c>
      <c r="F74" s="11">
        <v>1724665</v>
      </c>
      <c r="H74" s="11">
        <v>67655471.59449999</v>
      </c>
    </row>
    <row r="75" spans="1:26" x14ac:dyDescent="0.2">
      <c r="A75" t="s">
        <v>66</v>
      </c>
      <c r="B75" s="11">
        <v>368914100</v>
      </c>
      <c r="C75" s="5"/>
      <c r="D75" s="11">
        <v>239525147</v>
      </c>
      <c r="F75" s="11">
        <v>1591608</v>
      </c>
      <c r="H75" s="11">
        <v>54149589.100999996</v>
      </c>
    </row>
    <row r="76" spans="1:26" x14ac:dyDescent="0.2">
      <c r="A76" t="s">
        <v>67</v>
      </c>
      <c r="B76" s="11">
        <v>258171434</v>
      </c>
      <c r="C76" s="5"/>
      <c r="D76" s="11">
        <v>305998634</v>
      </c>
      <c r="F76" s="11">
        <v>1248675</v>
      </c>
      <c r="H76" s="11">
        <v>48063443.856100008</v>
      </c>
    </row>
    <row r="77" spans="1:26" x14ac:dyDescent="0.2">
      <c r="A77" t="s">
        <v>68</v>
      </c>
      <c r="B77" s="11">
        <v>310595924</v>
      </c>
      <c r="C77" s="5"/>
      <c r="D77" s="11">
        <v>385589722</v>
      </c>
      <c r="F77" s="11">
        <v>1944681</v>
      </c>
      <c r="H77" s="11">
        <v>60916992.050999992</v>
      </c>
    </row>
    <row r="78" spans="1:26" x14ac:dyDescent="0.2">
      <c r="A78" t="s">
        <v>69</v>
      </c>
      <c r="B78" s="8">
        <v>368600142</v>
      </c>
      <c r="C78" s="8"/>
      <c r="D78" s="8">
        <v>460152519</v>
      </c>
      <c r="F78" s="8">
        <v>1841576</v>
      </c>
      <c r="H78" s="8">
        <v>67204164.524000004</v>
      </c>
    </row>
    <row r="79" spans="1:26" x14ac:dyDescent="0.2">
      <c r="B79" s="5">
        <f>SUM(B67:B78)</f>
        <v>4195975619</v>
      </c>
      <c r="C79" s="5"/>
      <c r="D79" s="5">
        <f t="shared" ref="D79" si="16">SUM(D67:D78)</f>
        <v>4013839247</v>
      </c>
      <c r="F79" s="5">
        <f t="shared" ref="F79" si="17">SUM(F67:F78)</f>
        <v>19746016</v>
      </c>
      <c r="H79" s="23">
        <f t="shared" ref="H79" si="18">SUM(H67:H78)</f>
        <v>711394091.46940005</v>
      </c>
    </row>
    <row r="81" spans="1:8" x14ac:dyDescent="0.2">
      <c r="A81" s="47" t="s">
        <v>73</v>
      </c>
    </row>
    <row r="82" spans="1:8" x14ac:dyDescent="0.2">
      <c r="B82" s="3" t="s">
        <v>74</v>
      </c>
      <c r="C82" s="1"/>
      <c r="D82" s="3" t="s">
        <v>44</v>
      </c>
    </row>
    <row r="83" spans="1:8" x14ac:dyDescent="0.2">
      <c r="A83" t="s">
        <v>58</v>
      </c>
      <c r="B83" s="11">
        <f>B51+D51+B67+D67</f>
        <v>939859509</v>
      </c>
      <c r="D83">
        <v>2.2550000000000001E-2</v>
      </c>
      <c r="H83" s="19">
        <f>B83*D83</f>
        <v>21193831.927950002</v>
      </c>
    </row>
    <row r="84" spans="1:8" x14ac:dyDescent="0.2">
      <c r="A84" t="s">
        <v>59</v>
      </c>
      <c r="B84" s="11">
        <f t="shared" ref="B84:B94" si="19">B52+D52+B68+D68</f>
        <v>775347131</v>
      </c>
      <c r="D84">
        <v>1.1480000000000001E-2</v>
      </c>
      <c r="H84" s="19">
        <f t="shared" ref="H84:H94" si="20">B84*D84</f>
        <v>8900985.0638800003</v>
      </c>
    </row>
    <row r="85" spans="1:8" x14ac:dyDescent="0.2">
      <c r="A85" t="s">
        <v>60</v>
      </c>
      <c r="B85" s="11">
        <f t="shared" si="19"/>
        <v>807424983</v>
      </c>
      <c r="D85">
        <v>8.9300000000000004E-3</v>
      </c>
      <c r="H85" s="19">
        <f t="shared" si="20"/>
        <v>7210305.0981900003</v>
      </c>
    </row>
    <row r="86" spans="1:8" x14ac:dyDescent="0.2">
      <c r="A86" t="s">
        <v>61</v>
      </c>
      <c r="B86" s="11">
        <f t="shared" si="19"/>
        <v>626069499</v>
      </c>
      <c r="D86">
        <v>9.5600000000000008E-3</v>
      </c>
      <c r="H86" s="19">
        <f t="shared" si="20"/>
        <v>5985224.4104400007</v>
      </c>
    </row>
    <row r="87" spans="1:8" x14ac:dyDescent="0.2">
      <c r="A87" t="s">
        <v>62</v>
      </c>
      <c r="B87" s="11">
        <f t="shared" si="19"/>
        <v>650459875</v>
      </c>
      <c r="D87">
        <v>1.119E-2</v>
      </c>
      <c r="H87" s="19">
        <f t="shared" si="20"/>
        <v>7278646.0012499997</v>
      </c>
    </row>
    <row r="88" spans="1:8" x14ac:dyDescent="0.2">
      <c r="A88" t="s">
        <v>63</v>
      </c>
      <c r="B88" s="11">
        <f t="shared" si="19"/>
        <v>701593550</v>
      </c>
      <c r="D88">
        <v>4.5799999999999999E-3</v>
      </c>
      <c r="H88" s="19">
        <f t="shared" si="20"/>
        <v>3213298.4589999998</v>
      </c>
    </row>
    <row r="89" spans="1:8" x14ac:dyDescent="0.2">
      <c r="A89" t="s">
        <v>64</v>
      </c>
      <c r="B89" s="11">
        <f t="shared" si="19"/>
        <v>889659259</v>
      </c>
      <c r="D89">
        <v>6.8399999999999997E-3</v>
      </c>
      <c r="H89" s="19">
        <f t="shared" si="20"/>
        <v>6085269.3315599998</v>
      </c>
    </row>
    <row r="90" spans="1:8" x14ac:dyDescent="0.2">
      <c r="A90" t="s">
        <v>65</v>
      </c>
      <c r="B90" s="11">
        <f t="shared" si="19"/>
        <v>851869500</v>
      </c>
      <c r="D90">
        <v>1.1169999999999999E-2</v>
      </c>
      <c r="H90" s="19">
        <f t="shared" si="20"/>
        <v>9515382.3149999995</v>
      </c>
    </row>
    <row r="91" spans="1:8" x14ac:dyDescent="0.2">
      <c r="A91" t="s">
        <v>66</v>
      </c>
      <c r="B91" s="11">
        <f t="shared" si="19"/>
        <v>692193755</v>
      </c>
      <c r="D91">
        <v>1.035E-2</v>
      </c>
      <c r="H91" s="19">
        <f t="shared" si="20"/>
        <v>7164205.3642499996</v>
      </c>
    </row>
    <row r="92" spans="1:8" x14ac:dyDescent="0.2">
      <c r="A92" t="s">
        <v>67</v>
      </c>
      <c r="B92" s="11">
        <f t="shared" si="19"/>
        <v>638409005</v>
      </c>
      <c r="D92">
        <v>1.108E-2</v>
      </c>
      <c r="H92" s="19">
        <f t="shared" si="20"/>
        <v>7073571.7753999997</v>
      </c>
    </row>
    <row r="93" spans="1:8" x14ac:dyDescent="0.2">
      <c r="A93" t="s">
        <v>68</v>
      </c>
      <c r="B93" s="11">
        <f t="shared" si="19"/>
        <v>781528994</v>
      </c>
      <c r="D93">
        <v>8.0599999999999995E-3</v>
      </c>
      <c r="H93" s="19">
        <f t="shared" si="20"/>
        <v>6299123.6916399999</v>
      </c>
    </row>
    <row r="94" spans="1:8" x14ac:dyDescent="0.2">
      <c r="A94" t="s">
        <v>69</v>
      </c>
      <c r="B94" s="8">
        <f t="shared" si="19"/>
        <v>929129005</v>
      </c>
      <c r="D94">
        <v>6.3200000000000001E-3</v>
      </c>
      <c r="H94" s="20">
        <f t="shared" si="20"/>
        <v>5872095.3115999997</v>
      </c>
    </row>
    <row r="95" spans="1:8" x14ac:dyDescent="0.2">
      <c r="B95" s="7">
        <f>SUM(B83:B94)</f>
        <v>9283544065</v>
      </c>
      <c r="D95">
        <f>H95/B95</f>
        <v>1.0318466533843076E-2</v>
      </c>
      <c r="H95" s="19">
        <f>SUM(H83:H94)</f>
        <v>95791938.750160009</v>
      </c>
    </row>
  </sheetData>
  <mergeCells count="3">
    <mergeCell ref="D3:H4"/>
    <mergeCell ref="M3:Q4"/>
    <mergeCell ref="V3:Z4"/>
  </mergeCells>
  <pageMargins left="0.75" right="0.75" top="1" bottom="1" header="0.5" footer="0.5"/>
  <pageSetup scale="46" orientation="landscape" r:id="rId1"/>
  <headerFooter alignWithMargins="0">
    <oddFooter>&amp;RExhibit JWW-4
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72980-A685-4F4B-857C-1A639950081E}">
  <sheetPr>
    <tabColor rgb="FFFFC000"/>
    <pageSetUpPr fitToPage="1"/>
  </sheetPr>
  <dimension ref="A1:AA98"/>
  <sheetViews>
    <sheetView view="pageBreakPreview" zoomScaleNormal="100" zoomScaleSheetLayoutView="100" workbookViewId="0"/>
  </sheetViews>
  <sheetFormatPr defaultRowHeight="12.75" x14ac:dyDescent="0.2"/>
  <cols>
    <col min="2" max="2" width="29.42578125" customWidth="1"/>
    <col min="3" max="3" width="2.7109375" customWidth="1"/>
    <col min="4" max="4" width="16" customWidth="1"/>
    <col min="5" max="5" width="2.7109375" customWidth="1"/>
    <col min="6" max="6" width="13.28515625" customWidth="1"/>
    <col min="7" max="7" width="2.7109375" customWidth="1"/>
    <col min="8" max="8" width="18.42578125" customWidth="1"/>
    <col min="9" max="9" width="3.28515625" customWidth="1"/>
    <col min="10" max="10" width="9" customWidth="1"/>
    <col min="11" max="11" width="21.85546875" customWidth="1"/>
    <col min="12" max="12" width="2.85546875" customWidth="1"/>
    <col min="13" max="13" width="12.5703125" customWidth="1"/>
    <col min="14" max="14" width="2.7109375" customWidth="1"/>
    <col min="15" max="15" width="11.28515625" customWidth="1"/>
    <col min="16" max="16" width="2.7109375" customWidth="1"/>
    <col min="17" max="17" width="14.7109375" customWidth="1"/>
    <col min="18" max="18" width="3.28515625" customWidth="1"/>
    <col min="19" max="19" width="9" customWidth="1"/>
    <col min="20" max="20" width="21.85546875" customWidth="1"/>
    <col min="21" max="21" width="2.85546875" customWidth="1"/>
    <col min="22" max="22" width="12.5703125" customWidth="1"/>
    <col min="23" max="23" width="2.7109375" customWidth="1"/>
    <col min="24" max="24" width="11.28515625" customWidth="1"/>
    <col min="25" max="25" width="2.7109375" customWidth="1"/>
    <col min="26" max="26" width="14.7109375" customWidth="1"/>
    <col min="27" max="27" width="12" bestFit="1" customWidth="1"/>
  </cols>
  <sheetData>
    <row r="1" spans="1:27" x14ac:dyDescent="0.2">
      <c r="A1" s="1" t="s">
        <v>0</v>
      </c>
      <c r="J1" s="1"/>
      <c r="S1" s="1"/>
    </row>
    <row r="2" spans="1:27" x14ac:dyDescent="0.2">
      <c r="A2" s="1" t="s">
        <v>95</v>
      </c>
      <c r="J2" s="1"/>
      <c r="S2" s="1"/>
    </row>
    <row r="3" spans="1:27" ht="13.5" thickBot="1" x14ac:dyDescent="0.25">
      <c r="A3" s="1"/>
      <c r="J3" s="1"/>
      <c r="S3" s="1"/>
    </row>
    <row r="4" spans="1:27" ht="12.75" customHeight="1" x14ac:dyDescent="0.2">
      <c r="A4" s="1"/>
      <c r="D4" s="55" t="s">
        <v>27</v>
      </c>
      <c r="E4" s="56"/>
      <c r="F4" s="56"/>
      <c r="G4" s="56"/>
      <c r="H4" s="57"/>
      <c r="J4" s="16"/>
      <c r="M4" s="61" t="s">
        <v>96</v>
      </c>
      <c r="N4" s="62"/>
      <c r="O4" s="62"/>
      <c r="P4" s="62"/>
      <c r="Q4" s="63"/>
      <c r="S4" s="16"/>
      <c r="V4" s="61" t="s">
        <v>29</v>
      </c>
      <c r="W4" s="62"/>
      <c r="X4" s="62"/>
      <c r="Y4" s="62"/>
      <c r="Z4" s="63"/>
    </row>
    <row r="5" spans="1:27" ht="13.5" thickBot="1" x14ac:dyDescent="0.25">
      <c r="D5" s="58"/>
      <c r="E5" s="59"/>
      <c r="F5" s="59"/>
      <c r="G5" s="59"/>
      <c r="H5" s="60"/>
      <c r="J5" s="16"/>
      <c r="M5" s="64"/>
      <c r="N5" s="65"/>
      <c r="O5" s="65"/>
      <c r="P5" s="65"/>
      <c r="Q5" s="66"/>
      <c r="S5" s="16"/>
      <c r="V5" s="64"/>
      <c r="W5" s="65"/>
      <c r="X5" s="65"/>
      <c r="Y5" s="65"/>
      <c r="Z5" s="66"/>
    </row>
    <row r="6" spans="1:27" x14ac:dyDescent="0.2">
      <c r="A6" s="1" t="s">
        <v>30</v>
      </c>
      <c r="D6" s="2" t="s">
        <v>31</v>
      </c>
      <c r="F6" s="3" t="s">
        <v>32</v>
      </c>
      <c r="H6" s="2" t="s">
        <v>33</v>
      </c>
      <c r="J6" s="1" t="s">
        <v>30</v>
      </c>
      <c r="M6" s="2" t="s">
        <v>31</v>
      </c>
      <c r="O6" s="3" t="s">
        <v>32</v>
      </c>
      <c r="Q6" s="2" t="s">
        <v>34</v>
      </c>
      <c r="S6" s="1" t="s">
        <v>30</v>
      </c>
      <c r="V6" s="2" t="s">
        <v>31</v>
      </c>
      <c r="X6" s="3" t="s">
        <v>32</v>
      </c>
      <c r="Z6" s="2" t="s">
        <v>34</v>
      </c>
    </row>
    <row r="9" spans="1:27" x14ac:dyDescent="0.2">
      <c r="A9" s="1" t="s">
        <v>35</v>
      </c>
      <c r="J9" s="1" t="s">
        <v>35</v>
      </c>
      <c r="S9" s="1" t="s">
        <v>35</v>
      </c>
    </row>
    <row r="10" spans="1:27" x14ac:dyDescent="0.2">
      <c r="B10" t="s">
        <v>36</v>
      </c>
      <c r="D10" s="5">
        <v>0</v>
      </c>
      <c r="F10" s="4">
        <v>151.19999999999999</v>
      </c>
      <c r="H10" s="21">
        <f>D10*F10</f>
        <v>0</v>
      </c>
      <c r="K10" t="s">
        <v>36</v>
      </c>
      <c r="M10" s="5">
        <f>D10</f>
        <v>0</v>
      </c>
      <c r="O10" s="4">
        <f>'Rate G'!O10</f>
        <v>159</v>
      </c>
      <c r="Q10" s="21">
        <f>M10*O10</f>
        <v>0</v>
      </c>
      <c r="T10" t="s">
        <v>36</v>
      </c>
      <c r="V10" s="5">
        <f>M10</f>
        <v>0</v>
      </c>
      <c r="X10" s="4">
        <f>O10</f>
        <v>159</v>
      </c>
      <c r="Z10" s="21">
        <f>V10*X10</f>
        <v>0</v>
      </c>
    </row>
    <row r="11" spans="1:27" x14ac:dyDescent="0.2">
      <c r="D11" s="5"/>
      <c r="F11" s="4"/>
      <c r="H11" s="21"/>
      <c r="M11" s="5"/>
      <c r="O11" s="4"/>
      <c r="Q11" s="21"/>
      <c r="V11" s="5"/>
      <c r="X11" s="4"/>
      <c r="Z11" s="21"/>
    </row>
    <row r="12" spans="1:27" x14ac:dyDescent="0.2">
      <c r="A12" s="1" t="s">
        <v>76</v>
      </c>
      <c r="D12" s="5"/>
      <c r="F12" s="4"/>
      <c r="H12" s="21"/>
      <c r="J12" s="1" t="s">
        <v>76</v>
      </c>
      <c r="M12" s="5"/>
      <c r="O12" s="4"/>
      <c r="Q12" s="21"/>
      <c r="S12" s="1" t="s">
        <v>76</v>
      </c>
      <c r="V12" s="5"/>
      <c r="X12" s="4"/>
      <c r="Z12" s="21"/>
    </row>
    <row r="13" spans="1:27" x14ac:dyDescent="0.2">
      <c r="B13" s="47" t="s">
        <v>36</v>
      </c>
      <c r="D13" s="5">
        <v>0</v>
      </c>
      <c r="F13" s="4">
        <v>5575.5</v>
      </c>
      <c r="H13" s="21">
        <f>D13*F13</f>
        <v>0</v>
      </c>
      <c r="K13" s="47" t="s">
        <v>36</v>
      </c>
      <c r="M13" s="5">
        <v>0</v>
      </c>
      <c r="O13" s="4">
        <f>'Rate G'!O13</f>
        <v>5854</v>
      </c>
      <c r="Q13" s="21">
        <f>M13*O13</f>
        <v>0</v>
      </c>
      <c r="T13" s="47" t="s">
        <v>36</v>
      </c>
      <c r="V13" s="5">
        <v>0</v>
      </c>
      <c r="X13" s="4">
        <f>O13</f>
        <v>5854</v>
      </c>
      <c r="Z13" s="21">
        <f>V13*X13</f>
        <v>0</v>
      </c>
    </row>
    <row r="14" spans="1:27" x14ac:dyDescent="0.2">
      <c r="B14" s="47"/>
      <c r="D14" s="11"/>
      <c r="F14" s="14"/>
      <c r="H14" s="21"/>
      <c r="K14" s="47"/>
      <c r="M14" s="11"/>
      <c r="O14" s="14"/>
      <c r="Q14" s="21"/>
      <c r="T14" s="47"/>
      <c r="V14" s="11"/>
      <c r="X14" s="14"/>
      <c r="Z14" s="21"/>
    </row>
    <row r="15" spans="1:27" x14ac:dyDescent="0.2">
      <c r="A15" s="1" t="s">
        <v>37</v>
      </c>
      <c r="D15" s="11"/>
      <c r="F15" s="14"/>
      <c r="H15" s="21"/>
      <c r="J15" s="1" t="s">
        <v>37</v>
      </c>
      <c r="M15" s="11"/>
      <c r="O15" s="14"/>
      <c r="Q15" s="21"/>
      <c r="S15" s="1" t="s">
        <v>37</v>
      </c>
      <c r="V15" s="11"/>
      <c r="X15" s="14"/>
      <c r="Z15" s="21"/>
    </row>
    <row r="16" spans="1:27" x14ac:dyDescent="0.2">
      <c r="A16" s="1"/>
      <c r="B16" s="47" t="s">
        <v>97</v>
      </c>
      <c r="D16" s="7">
        <f>B66</f>
        <v>360000</v>
      </c>
      <c r="F16" s="14">
        <v>7.15</v>
      </c>
      <c r="H16" s="21">
        <f>D16*F16</f>
        <v>2574000</v>
      </c>
      <c r="J16" s="1"/>
      <c r="K16" s="47" t="str">
        <f>B16</f>
        <v>Minimum Demand</v>
      </c>
      <c r="M16" s="7">
        <f>D16</f>
        <v>360000</v>
      </c>
      <c r="O16" s="14">
        <v>8.31</v>
      </c>
      <c r="Q16" s="21">
        <f>M16*O16</f>
        <v>2991600</v>
      </c>
      <c r="S16" s="1"/>
      <c r="T16" s="47" t="str">
        <f>K16</f>
        <v>Minimum Demand</v>
      </c>
      <c r="V16" s="7">
        <f>M16</f>
        <v>360000</v>
      </c>
      <c r="X16" s="14">
        <f>O16</f>
        <v>8.31</v>
      </c>
      <c r="Z16" s="21">
        <f>V16*X16</f>
        <v>2991600</v>
      </c>
      <c r="AA16" s="21"/>
    </row>
    <row r="17" spans="1:27" x14ac:dyDescent="0.2">
      <c r="A17" s="1"/>
      <c r="B17" s="47" t="s">
        <v>98</v>
      </c>
      <c r="D17" s="7">
        <f>D66</f>
        <v>2500786</v>
      </c>
      <c r="F17" s="14">
        <f>F16</f>
        <v>7.15</v>
      </c>
      <c r="H17" s="21">
        <f>D17*F17</f>
        <v>17880619.900000002</v>
      </c>
      <c r="J17" s="1"/>
      <c r="K17" s="47" t="str">
        <f t="shared" ref="K17:K20" si="0">B17</f>
        <v>10-Min Interruptible</v>
      </c>
      <c r="M17" s="7">
        <f t="shared" ref="M17:M20" si="1">D17</f>
        <v>2500786</v>
      </c>
      <c r="O17" s="14">
        <f>O16</f>
        <v>8.31</v>
      </c>
      <c r="Q17" s="21">
        <f t="shared" ref="Q17:Q20" si="2">M17*O17</f>
        <v>20781531.66</v>
      </c>
      <c r="S17" s="1"/>
      <c r="T17" s="47" t="str">
        <f t="shared" ref="T17:T20" si="3">K17</f>
        <v>10-Min Interruptible</v>
      </c>
      <c r="V17" s="7">
        <f t="shared" ref="V17:V20" si="4">M17</f>
        <v>2500786</v>
      </c>
      <c r="X17" s="14">
        <f>X16</f>
        <v>8.31</v>
      </c>
      <c r="Z17" s="21">
        <f t="shared" ref="Z17:Z20" si="5">V17*X17</f>
        <v>20781531.66</v>
      </c>
      <c r="AA17" s="21"/>
    </row>
    <row r="18" spans="1:27" x14ac:dyDescent="0.2">
      <c r="A18" s="1"/>
      <c r="B18" s="47" t="s">
        <v>99</v>
      </c>
      <c r="D18" s="7">
        <f>D17</f>
        <v>2500786</v>
      </c>
      <c r="F18" s="14">
        <f>-6.22</f>
        <v>-6.22</v>
      </c>
      <c r="H18" s="21">
        <f>D18*F18</f>
        <v>-15554888.92</v>
      </c>
      <c r="J18" s="1"/>
      <c r="K18" s="47" t="str">
        <f t="shared" si="0"/>
        <v>10-Min Interruptible Credit</v>
      </c>
      <c r="M18" s="7">
        <f t="shared" si="1"/>
        <v>2500786</v>
      </c>
      <c r="O18" s="14">
        <v>-6.22</v>
      </c>
      <c r="Q18" s="21">
        <f t="shared" si="2"/>
        <v>-15554888.92</v>
      </c>
      <c r="S18" s="1"/>
      <c r="T18" s="47" t="str">
        <f t="shared" si="3"/>
        <v>10-Min Interruptible Credit</v>
      </c>
      <c r="V18" s="7">
        <f t="shared" si="4"/>
        <v>2500786</v>
      </c>
      <c r="X18" s="14">
        <v>-8.2200000000000006</v>
      </c>
      <c r="Z18" s="21">
        <f t="shared" si="5"/>
        <v>-20556460.920000002</v>
      </c>
      <c r="AA18" s="21"/>
    </row>
    <row r="19" spans="1:27" x14ac:dyDescent="0.2">
      <c r="A19" s="1"/>
      <c r="B19" s="47" t="s">
        <v>100</v>
      </c>
      <c r="D19" s="7">
        <f>F66</f>
        <v>542587</v>
      </c>
      <c r="F19" s="14">
        <f>F16</f>
        <v>7.15</v>
      </c>
      <c r="H19" s="21">
        <f>D19*F19</f>
        <v>3879497.0500000003</v>
      </c>
      <c r="J19" s="1"/>
      <c r="K19" s="47" t="str">
        <f t="shared" si="0"/>
        <v>90-Min Interruptible</v>
      </c>
      <c r="M19" s="7">
        <f t="shared" si="1"/>
        <v>542587</v>
      </c>
      <c r="O19" s="14">
        <f>O16</f>
        <v>8.31</v>
      </c>
      <c r="Q19" s="21">
        <f t="shared" si="2"/>
        <v>4508897.9700000007</v>
      </c>
      <c r="S19" s="1"/>
      <c r="T19" s="47" t="str">
        <f t="shared" si="3"/>
        <v>90-Min Interruptible</v>
      </c>
      <c r="V19" s="7">
        <f t="shared" si="4"/>
        <v>542587</v>
      </c>
      <c r="X19" s="14">
        <f>X16</f>
        <v>8.31</v>
      </c>
      <c r="Z19" s="21">
        <f t="shared" si="5"/>
        <v>4508897.9700000007</v>
      </c>
      <c r="AA19" s="21"/>
    </row>
    <row r="20" spans="1:27" x14ac:dyDescent="0.2">
      <c r="A20" s="1"/>
      <c r="B20" s="47" t="s">
        <v>101</v>
      </c>
      <c r="D20" s="7">
        <f>D19</f>
        <v>542587</v>
      </c>
      <c r="F20" s="14">
        <f>-4.2</f>
        <v>-4.2</v>
      </c>
      <c r="H20" s="21">
        <f>D20*F20</f>
        <v>-2278865.4</v>
      </c>
      <c r="J20" s="1"/>
      <c r="K20" s="47" t="str">
        <f t="shared" si="0"/>
        <v>90-Min Interruptible Credit</v>
      </c>
      <c r="M20" s="7">
        <f t="shared" si="1"/>
        <v>542587</v>
      </c>
      <c r="O20" s="14">
        <v>-4.2</v>
      </c>
      <c r="Q20" s="21">
        <f t="shared" si="2"/>
        <v>-2278865.4</v>
      </c>
      <c r="S20" s="1"/>
      <c r="T20" s="47" t="str">
        <f t="shared" si="3"/>
        <v>90-Min Interruptible Credit</v>
      </c>
      <c r="V20" s="7">
        <f t="shared" si="4"/>
        <v>542587</v>
      </c>
      <c r="X20" s="14">
        <v>-6.2</v>
      </c>
      <c r="Z20" s="21">
        <f t="shared" si="5"/>
        <v>-3364039.4</v>
      </c>
      <c r="AA20" s="21"/>
    </row>
    <row r="21" spans="1:27" x14ac:dyDescent="0.2">
      <c r="A21" s="1"/>
      <c r="B21" s="47"/>
      <c r="D21" s="7"/>
      <c r="F21" s="14"/>
      <c r="H21" s="21"/>
      <c r="J21" s="1"/>
      <c r="M21" s="7"/>
      <c r="O21" s="14"/>
      <c r="Q21" s="21"/>
      <c r="S21" s="1"/>
      <c r="V21" s="7"/>
      <c r="X21" s="14"/>
      <c r="Z21" s="21"/>
    </row>
    <row r="22" spans="1:27" x14ac:dyDescent="0.2">
      <c r="A22" s="1"/>
      <c r="H22" s="21"/>
      <c r="J22" s="1"/>
      <c r="M22" s="7"/>
      <c r="O22" s="14"/>
      <c r="Q22" s="21"/>
      <c r="S22" s="1"/>
      <c r="V22" s="7"/>
      <c r="X22" s="14"/>
      <c r="Z22" s="21"/>
    </row>
    <row r="23" spans="1:27" x14ac:dyDescent="0.2">
      <c r="H23" s="21"/>
      <c r="Q23" s="21"/>
      <c r="Z23" s="21"/>
    </row>
    <row r="24" spans="1:27" x14ac:dyDescent="0.2">
      <c r="A24" s="1" t="s">
        <v>41</v>
      </c>
      <c r="D24" t="s">
        <v>42</v>
      </c>
      <c r="H24" s="21"/>
      <c r="J24" s="1" t="s">
        <v>41</v>
      </c>
      <c r="M24" t="s">
        <v>42</v>
      </c>
      <c r="Q24" s="21"/>
      <c r="S24" s="1" t="s">
        <v>41</v>
      </c>
      <c r="V24" t="s">
        <v>42</v>
      </c>
      <c r="Z24" s="21"/>
    </row>
    <row r="25" spans="1:27" x14ac:dyDescent="0.2">
      <c r="B25" s="47" t="s">
        <v>70</v>
      </c>
      <c r="D25" s="11">
        <f>B82</f>
        <v>424833911</v>
      </c>
      <c r="F25" s="26">
        <f>0.039567+0.01125</f>
        <v>5.0817000000000001E-2</v>
      </c>
      <c r="H25" s="21">
        <f>D25*F25</f>
        <v>21588784.855287001</v>
      </c>
      <c r="K25" s="47" t="s">
        <v>70</v>
      </c>
      <c r="M25" s="5">
        <f>D25</f>
        <v>424833911</v>
      </c>
      <c r="O25" s="25">
        <v>5.3831999999999998E-2</v>
      </c>
      <c r="Q25" s="21">
        <f>M25*O25</f>
        <v>22869659.096951999</v>
      </c>
      <c r="T25" s="47" t="s">
        <v>70</v>
      </c>
      <c r="V25" s="5">
        <f>M25</f>
        <v>424833911</v>
      </c>
      <c r="X25" s="25">
        <f>O25</f>
        <v>5.3831999999999998E-2</v>
      </c>
      <c r="Z25" s="21">
        <f>V25*X25</f>
        <v>22869659.096951999</v>
      </c>
      <c r="AA25" s="21"/>
    </row>
    <row r="26" spans="1:27" x14ac:dyDescent="0.2">
      <c r="B26" s="47" t="s">
        <v>71</v>
      </c>
      <c r="D26" s="11">
        <f>D82</f>
        <v>965281306</v>
      </c>
      <c r="F26" s="26">
        <f>0.036139+0.01125</f>
        <v>4.7389000000000001E-2</v>
      </c>
      <c r="H26" s="21">
        <f>D26*F26</f>
        <v>45743715.810033999</v>
      </c>
      <c r="K26" s="47" t="s">
        <v>71</v>
      </c>
      <c r="M26" s="5">
        <f>D26</f>
        <v>965281306</v>
      </c>
      <c r="O26" s="25">
        <f>(F26/F25)*O25</f>
        <v>5.0200614912332485E-2</v>
      </c>
      <c r="Q26" s="21">
        <f>M26*O26</f>
        <v>48457715.124579377</v>
      </c>
      <c r="T26" s="47" t="s">
        <v>71</v>
      </c>
      <c r="V26" s="5">
        <f>M26</f>
        <v>965281306</v>
      </c>
      <c r="X26" s="25">
        <f>(O26/O25)*X25</f>
        <v>5.0200614912332485E-2</v>
      </c>
      <c r="Z26" s="21">
        <f>V26*X26</f>
        <v>48457715.124579377</v>
      </c>
      <c r="AA26" s="21"/>
    </row>
    <row r="27" spans="1:27" x14ac:dyDescent="0.2">
      <c r="B27" s="47" t="s">
        <v>102</v>
      </c>
      <c r="D27" s="11"/>
      <c r="F27" s="26"/>
      <c r="H27" s="21">
        <v>517080.46</v>
      </c>
      <c r="K27" s="47" t="s">
        <v>102</v>
      </c>
      <c r="M27" s="5"/>
      <c r="O27" s="25"/>
      <c r="Q27" s="21">
        <f>H27</f>
        <v>517080.46</v>
      </c>
      <c r="T27" s="47" t="s">
        <v>102</v>
      </c>
      <c r="V27" s="5"/>
      <c r="X27" s="25"/>
      <c r="Z27" s="21">
        <f>Q27</f>
        <v>517080.46</v>
      </c>
    </row>
    <row r="28" spans="1:27" x14ac:dyDescent="0.2">
      <c r="B28" s="47" t="s">
        <v>103</v>
      </c>
      <c r="D28" s="11"/>
      <c r="F28" s="26"/>
      <c r="H28" s="21">
        <v>284341</v>
      </c>
      <c r="K28" s="47" t="s">
        <v>103</v>
      </c>
      <c r="M28" s="5"/>
      <c r="O28" s="25"/>
      <c r="Q28" s="21">
        <f>H28</f>
        <v>284341</v>
      </c>
      <c r="T28" s="47" t="s">
        <v>103</v>
      </c>
      <c r="V28" s="5"/>
      <c r="X28" s="25"/>
      <c r="Z28" s="21">
        <f>Q28</f>
        <v>284341</v>
      </c>
    </row>
    <row r="29" spans="1:27" x14ac:dyDescent="0.2">
      <c r="B29" s="47"/>
      <c r="D29" s="11"/>
      <c r="F29" s="26"/>
      <c r="H29" s="21"/>
      <c r="K29" s="47"/>
      <c r="M29" s="5"/>
      <c r="O29" s="25"/>
      <c r="Q29" s="21"/>
      <c r="T29" s="47"/>
      <c r="V29" s="5"/>
      <c r="X29" s="25"/>
      <c r="Z29" s="21"/>
    </row>
    <row r="30" spans="1:27" x14ac:dyDescent="0.2">
      <c r="B30" s="47"/>
      <c r="D30" s="11"/>
      <c r="F30" s="26"/>
      <c r="H30" s="21"/>
      <c r="K30" s="47"/>
      <c r="M30" s="5"/>
      <c r="O30" s="25"/>
      <c r="Q30" s="21"/>
      <c r="T30" s="47"/>
      <c r="V30" s="5"/>
      <c r="X30" s="25"/>
      <c r="Z30" s="21"/>
    </row>
    <row r="31" spans="1:27" x14ac:dyDescent="0.2">
      <c r="B31" t="s">
        <v>44</v>
      </c>
      <c r="D31" s="11"/>
      <c r="F31" s="15"/>
      <c r="H31" s="21">
        <f>-1673491.22</f>
        <v>-1673491.22</v>
      </c>
      <c r="K31" t="s">
        <v>44</v>
      </c>
      <c r="M31" s="11"/>
      <c r="O31" s="15"/>
      <c r="Q31" s="21">
        <f>H31</f>
        <v>-1673491.22</v>
      </c>
      <c r="T31" t="s">
        <v>44</v>
      </c>
      <c r="V31" s="11"/>
      <c r="X31" s="15"/>
      <c r="Z31" s="21">
        <f>Q31</f>
        <v>-1673491.22</v>
      </c>
    </row>
    <row r="32" spans="1:27" x14ac:dyDescent="0.2">
      <c r="B32" s="47" t="s">
        <v>104</v>
      </c>
      <c r="H32" s="21">
        <v>-107095</v>
      </c>
      <c r="K32" s="47" t="s">
        <v>104</v>
      </c>
      <c r="Q32" s="21">
        <f>H32</f>
        <v>-107095</v>
      </c>
      <c r="T32" s="47" t="s">
        <v>104</v>
      </c>
      <c r="Z32" s="21">
        <f>Q32</f>
        <v>-107095</v>
      </c>
    </row>
    <row r="33" spans="2:26" x14ac:dyDescent="0.2">
      <c r="B33" t="s">
        <v>46</v>
      </c>
      <c r="D33" s="11"/>
      <c r="F33" s="15"/>
      <c r="H33" s="21">
        <v>11229659.844654739</v>
      </c>
      <c r="K33" t="s">
        <v>46</v>
      </c>
      <c r="M33" s="11"/>
      <c r="O33" s="15"/>
      <c r="Q33" s="21">
        <v>11229659.844654739</v>
      </c>
      <c r="T33" t="s">
        <v>46</v>
      </c>
      <c r="V33" s="11"/>
      <c r="X33" s="15"/>
      <c r="Z33" s="21">
        <v>11229659.844654739</v>
      </c>
    </row>
    <row r="34" spans="2:26" x14ac:dyDescent="0.2">
      <c r="B34" t="s">
        <v>47</v>
      </c>
      <c r="H34" s="21">
        <f>576660+105694</f>
        <v>682354</v>
      </c>
      <c r="K34" t="s">
        <v>47</v>
      </c>
      <c r="Q34" s="21">
        <f>576660+105694</f>
        <v>682354</v>
      </c>
      <c r="T34" t="s">
        <v>47</v>
      </c>
      <c r="Z34" s="21">
        <f>576660+105694</f>
        <v>682354</v>
      </c>
    </row>
    <row r="35" spans="2:26" x14ac:dyDescent="0.2">
      <c r="B35" t="s">
        <v>48</v>
      </c>
      <c r="H35" s="21">
        <f>-369476-75092</f>
        <v>-444568</v>
      </c>
      <c r="K35" t="s">
        <v>48</v>
      </c>
      <c r="Q35" s="21">
        <f>-369476-75092</f>
        <v>-444568</v>
      </c>
      <c r="T35" t="s">
        <v>48</v>
      </c>
      <c r="Z35" s="21">
        <f>-369476-75092</f>
        <v>-444568</v>
      </c>
    </row>
    <row r="36" spans="2:26" x14ac:dyDescent="0.2">
      <c r="B36" s="47" t="s">
        <v>49</v>
      </c>
      <c r="H36" s="21">
        <f>-1769792-151976</f>
        <v>-1921768</v>
      </c>
      <c r="K36" s="47" t="s">
        <v>49</v>
      </c>
      <c r="Q36" s="21">
        <f>-1769792-151976</f>
        <v>-1921768</v>
      </c>
      <c r="T36" s="47" t="s">
        <v>49</v>
      </c>
      <c r="Z36" s="21">
        <f>-1769792-151976</f>
        <v>-1921768</v>
      </c>
    </row>
    <row r="37" spans="2:26" x14ac:dyDescent="0.2">
      <c r="B37" s="47" t="s">
        <v>105</v>
      </c>
      <c r="H37" s="21">
        <v>-395</v>
      </c>
      <c r="K37" s="47" t="s">
        <v>105</v>
      </c>
      <c r="Q37" s="21">
        <v>-395</v>
      </c>
      <c r="T37" s="47" t="s">
        <v>105</v>
      </c>
      <c r="Z37" s="21">
        <v>-395</v>
      </c>
    </row>
    <row r="38" spans="2:26" x14ac:dyDescent="0.2">
      <c r="H38" s="21"/>
      <c r="Q38" s="21"/>
      <c r="Z38" s="21"/>
    </row>
    <row r="39" spans="2:26" ht="13.5" thickBot="1" x14ac:dyDescent="0.25">
      <c r="B39" s="1" t="s">
        <v>51</v>
      </c>
      <c r="H39" s="37">
        <f>H10+H13+H16+H17+H18+H19+H20+H25+H26+H27+H28+H31+H32+H33+H34+H35+H36+H37</f>
        <v>82398981.379975736</v>
      </c>
      <c r="K39" s="1" t="s">
        <v>51</v>
      </c>
      <c r="Q39" s="37">
        <f>SUM(Q16:Q20,Q25:Q28,Q31:Q37)</f>
        <v>90341767.616186112</v>
      </c>
      <c r="T39" s="1" t="s">
        <v>51</v>
      </c>
      <c r="Z39" s="37">
        <f>SUM(Z16:Z20,Z25:Z28,Z31:Z37)</f>
        <v>84255021.616186112</v>
      </c>
    </row>
    <row r="40" spans="2:26" ht="13.5" thickTop="1" x14ac:dyDescent="0.2">
      <c r="K40" s="1"/>
      <c r="Q40" s="21"/>
      <c r="T40" s="1"/>
      <c r="Z40" s="21"/>
    </row>
    <row r="41" spans="2:26" x14ac:dyDescent="0.2">
      <c r="H41" s="14"/>
      <c r="K41" t="s">
        <v>52</v>
      </c>
      <c r="M41" s="7"/>
      <c r="O41" s="14"/>
      <c r="Q41" s="22">
        <f>Q39-H39</f>
        <v>7942786.236210376</v>
      </c>
      <c r="T41" t="s">
        <v>52</v>
      </c>
      <c r="V41" s="7"/>
      <c r="X41" s="14"/>
      <c r="Z41" s="22">
        <f>Z39-Q39</f>
        <v>-6086746</v>
      </c>
    </row>
    <row r="42" spans="2:26" x14ac:dyDescent="0.2">
      <c r="H42" s="6"/>
    </row>
    <row r="43" spans="2:26" x14ac:dyDescent="0.2">
      <c r="K43" t="s">
        <v>6</v>
      </c>
      <c r="Q43" s="17">
        <f>Q41/H39</f>
        <v>9.6394228462399409E-2</v>
      </c>
      <c r="T43" t="s">
        <v>6</v>
      </c>
      <c r="Z43" s="17">
        <f>Z41/H39</f>
        <v>-7.3869189862087015E-2</v>
      </c>
    </row>
    <row r="44" spans="2:26" x14ac:dyDescent="0.2">
      <c r="H44" s="17"/>
    </row>
    <row r="45" spans="2:26" x14ac:dyDescent="0.2">
      <c r="T45" t="s">
        <v>53</v>
      </c>
      <c r="Z45" s="21">
        <f>Q41+Z41</f>
        <v>1856040.236210376</v>
      </c>
    </row>
    <row r="46" spans="2:26" x14ac:dyDescent="0.2">
      <c r="V46" s="47"/>
      <c r="X46" s="12"/>
      <c r="Z46" s="12"/>
    </row>
    <row r="47" spans="2:26" x14ac:dyDescent="0.2">
      <c r="T47" t="s">
        <v>54</v>
      </c>
      <c r="V47" s="47"/>
      <c r="X47" s="12"/>
      <c r="Z47" s="12">
        <f>(Q41+Z41)/H39</f>
        <v>2.2525038600312398E-2</v>
      </c>
    </row>
    <row r="48" spans="2:26" x14ac:dyDescent="0.2">
      <c r="M48" s="47"/>
      <c r="O48" s="12"/>
      <c r="Q48" s="23"/>
    </row>
    <row r="49" spans="1:26" x14ac:dyDescent="0.2">
      <c r="V49" s="47"/>
      <c r="X49" s="12"/>
      <c r="Z49" s="6"/>
    </row>
    <row r="50" spans="1:26" x14ac:dyDescent="0.2">
      <c r="M50" s="47"/>
      <c r="O50" s="12"/>
      <c r="Q50" s="6"/>
      <c r="Z50" s="4"/>
    </row>
    <row r="51" spans="1:26" x14ac:dyDescent="0.2">
      <c r="A51" s="47" t="str">
        <f>A2</f>
        <v>Special Contract</v>
      </c>
      <c r="Q51" s="4"/>
      <c r="Z51" s="21"/>
    </row>
    <row r="52" spans="1:26" x14ac:dyDescent="0.2">
      <c r="B52" s="47"/>
      <c r="Q52" s="21"/>
      <c r="Z52" s="4"/>
    </row>
    <row r="53" spans="1:26" x14ac:dyDescent="0.2">
      <c r="B53" s="3" t="s">
        <v>97</v>
      </c>
      <c r="D53" s="3" t="s">
        <v>106</v>
      </c>
      <c r="F53" s="3" t="s">
        <v>107</v>
      </c>
      <c r="H53" s="3" t="s">
        <v>56</v>
      </c>
      <c r="Q53" s="4"/>
      <c r="Z53" s="6"/>
    </row>
    <row r="54" spans="1:26" x14ac:dyDescent="0.2">
      <c r="A54" t="s">
        <v>58</v>
      </c>
      <c r="B54" s="5">
        <v>30000</v>
      </c>
      <c r="D54" s="5">
        <v>191796</v>
      </c>
      <c r="F54" s="5">
        <v>32902</v>
      </c>
      <c r="H54" s="23">
        <v>8024862.3903000001</v>
      </c>
      <c r="Q54" s="6"/>
    </row>
    <row r="55" spans="1:26" x14ac:dyDescent="0.2">
      <c r="A55" t="s">
        <v>59</v>
      </c>
      <c r="B55" s="5">
        <v>30000</v>
      </c>
      <c r="D55" s="5">
        <v>181159</v>
      </c>
      <c r="F55" s="5">
        <v>43461</v>
      </c>
      <c r="H55" s="23">
        <v>5687934.38894</v>
      </c>
      <c r="Z55" s="6"/>
    </row>
    <row r="56" spans="1:26" x14ac:dyDescent="0.2">
      <c r="A56" t="s">
        <v>60</v>
      </c>
      <c r="B56" s="5">
        <v>30000</v>
      </c>
      <c r="D56" s="5">
        <v>184723</v>
      </c>
      <c r="F56" s="5">
        <v>40356</v>
      </c>
      <c r="H56" s="23">
        <v>5808325.4585279999</v>
      </c>
      <c r="Q56" s="6"/>
    </row>
    <row r="57" spans="1:26" x14ac:dyDescent="0.2">
      <c r="A57" t="s">
        <v>61</v>
      </c>
      <c r="B57" s="5">
        <v>30000</v>
      </c>
      <c r="D57" s="5">
        <v>205771</v>
      </c>
      <c r="F57" s="5">
        <v>40552</v>
      </c>
      <c r="H57" s="23">
        <v>6769966.9500000002</v>
      </c>
      <c r="Z57" s="12"/>
    </row>
    <row r="58" spans="1:26" x14ac:dyDescent="0.2">
      <c r="A58" t="s">
        <v>62</v>
      </c>
      <c r="B58" s="5">
        <v>30000</v>
      </c>
      <c r="D58" s="5">
        <v>229131</v>
      </c>
      <c r="F58" s="5">
        <v>25319</v>
      </c>
      <c r="H58" s="23">
        <v>7189573.8914999999</v>
      </c>
      <c r="Q58" s="12"/>
    </row>
    <row r="59" spans="1:26" x14ac:dyDescent="0.2">
      <c r="A59" t="s">
        <v>63</v>
      </c>
      <c r="B59" s="5">
        <v>30000</v>
      </c>
      <c r="D59" s="5">
        <v>210140</v>
      </c>
      <c r="F59" s="5">
        <v>44438</v>
      </c>
      <c r="H59" s="23">
        <v>6604242.4699999997</v>
      </c>
    </row>
    <row r="60" spans="1:26" x14ac:dyDescent="0.2">
      <c r="A60" t="s">
        <v>64</v>
      </c>
      <c r="B60" s="5">
        <v>30000</v>
      </c>
      <c r="D60" s="5">
        <v>220787</v>
      </c>
      <c r="F60" s="5">
        <v>48515</v>
      </c>
      <c r="H60" s="23">
        <v>7077362.264192</v>
      </c>
    </row>
    <row r="61" spans="1:26" x14ac:dyDescent="0.2">
      <c r="A61" t="s">
        <v>65</v>
      </c>
      <c r="B61" s="5">
        <v>30000</v>
      </c>
      <c r="D61" s="5">
        <v>219725</v>
      </c>
      <c r="F61" s="5">
        <v>49693</v>
      </c>
      <c r="H61" s="23">
        <v>7362530.3734410005</v>
      </c>
    </row>
    <row r="62" spans="1:26" x14ac:dyDescent="0.2">
      <c r="A62" t="s">
        <v>66</v>
      </c>
      <c r="B62" s="5">
        <v>30000</v>
      </c>
      <c r="D62" s="5">
        <v>214348</v>
      </c>
      <c r="F62" s="5">
        <v>62777</v>
      </c>
      <c r="H62" s="23">
        <v>6256101.7305749999</v>
      </c>
    </row>
    <row r="63" spans="1:26" x14ac:dyDescent="0.2">
      <c r="A63" t="s">
        <v>67</v>
      </c>
      <c r="B63" s="5">
        <v>30000</v>
      </c>
      <c r="D63" s="5">
        <v>216053</v>
      </c>
      <c r="F63" s="5">
        <v>48121</v>
      </c>
      <c r="H63" s="23">
        <v>7163592.4551329995</v>
      </c>
    </row>
    <row r="64" spans="1:26" x14ac:dyDescent="0.2">
      <c r="A64" t="s">
        <v>68</v>
      </c>
      <c r="B64" s="5">
        <v>30000</v>
      </c>
      <c r="D64" s="5">
        <v>210585</v>
      </c>
      <c r="F64" s="5">
        <v>54007</v>
      </c>
      <c r="H64" s="23">
        <v>7498153.5638999995</v>
      </c>
    </row>
    <row r="65" spans="1:26" x14ac:dyDescent="0.2">
      <c r="A65" t="s">
        <v>69</v>
      </c>
      <c r="B65" s="8">
        <v>30000</v>
      </c>
      <c r="D65" s="8">
        <v>216568</v>
      </c>
      <c r="F65" s="8">
        <v>52446</v>
      </c>
      <c r="H65" s="30">
        <v>6956332.4791799998</v>
      </c>
    </row>
    <row r="66" spans="1:26" x14ac:dyDescent="0.2">
      <c r="B66" s="5">
        <f t="shared" ref="B66:D66" si="6">SUM(B54:B65)</f>
        <v>360000</v>
      </c>
      <c r="D66" s="5">
        <f t="shared" si="6"/>
        <v>2500786</v>
      </c>
      <c r="F66" s="5">
        <f t="shared" ref="F66" si="7">SUM(F54:F65)</f>
        <v>542587</v>
      </c>
      <c r="H66" s="23">
        <f>SUM(H54:H65)</f>
        <v>82398978.415688992</v>
      </c>
    </row>
    <row r="68" spans="1:26" x14ac:dyDescent="0.2">
      <c r="B68" s="47"/>
      <c r="Q68" s="4"/>
      <c r="Z68" s="4"/>
    </row>
    <row r="69" spans="1:26" x14ac:dyDescent="0.2">
      <c r="B69" s="3" t="s">
        <v>70</v>
      </c>
      <c r="D69" s="3" t="s">
        <v>71</v>
      </c>
      <c r="F69" s="3"/>
      <c r="H69" s="3"/>
    </row>
    <row r="70" spans="1:26" x14ac:dyDescent="0.2">
      <c r="A70" t="s">
        <v>58</v>
      </c>
      <c r="B70" s="5">
        <v>30720130</v>
      </c>
      <c r="C70" s="5"/>
      <c r="D70" s="5">
        <v>82846723</v>
      </c>
      <c r="F70" s="11"/>
      <c r="H70" s="22"/>
    </row>
    <row r="71" spans="1:26" x14ac:dyDescent="0.2">
      <c r="A71" t="s">
        <v>59</v>
      </c>
      <c r="B71" s="5">
        <v>28869469</v>
      </c>
      <c r="C71" s="5"/>
      <c r="D71" s="5">
        <v>69631568</v>
      </c>
      <c r="F71" s="11"/>
      <c r="H71" s="22"/>
    </row>
    <row r="72" spans="1:26" x14ac:dyDescent="0.2">
      <c r="A72" t="s">
        <v>60</v>
      </c>
      <c r="B72" s="5">
        <v>32186960</v>
      </c>
      <c r="C72" s="5"/>
      <c r="D72" s="5">
        <v>73317967</v>
      </c>
      <c r="F72" s="11"/>
      <c r="H72" s="22"/>
    </row>
    <row r="73" spans="1:26" x14ac:dyDescent="0.2">
      <c r="A73" t="s">
        <v>61</v>
      </c>
      <c r="B73" s="5">
        <v>30387339</v>
      </c>
      <c r="C73" s="5"/>
      <c r="D73" s="5">
        <v>88966531</v>
      </c>
      <c r="F73" s="11"/>
      <c r="H73" s="22"/>
    </row>
    <row r="74" spans="1:26" x14ac:dyDescent="0.2">
      <c r="A74" t="s">
        <v>62</v>
      </c>
      <c r="B74" s="5">
        <v>42547648</v>
      </c>
      <c r="C74" s="5"/>
      <c r="D74" s="5">
        <v>79657991</v>
      </c>
      <c r="F74" s="11"/>
      <c r="H74" s="22"/>
    </row>
    <row r="75" spans="1:26" x14ac:dyDescent="0.2">
      <c r="A75" t="s">
        <v>63</v>
      </c>
      <c r="B75" s="5">
        <v>44327780</v>
      </c>
      <c r="C75" s="5"/>
      <c r="D75" s="5">
        <v>81579180</v>
      </c>
      <c r="F75" s="11"/>
      <c r="H75" s="22"/>
    </row>
    <row r="76" spans="1:26" x14ac:dyDescent="0.2">
      <c r="A76" t="s">
        <v>64</v>
      </c>
      <c r="B76" s="5">
        <v>39224976</v>
      </c>
      <c r="C76" s="5"/>
      <c r="D76" s="5">
        <v>87965538</v>
      </c>
      <c r="F76" s="11"/>
      <c r="H76" s="22"/>
    </row>
    <row r="77" spans="1:26" x14ac:dyDescent="0.2">
      <c r="A77" t="s">
        <v>65</v>
      </c>
      <c r="B77" s="5">
        <v>42641892</v>
      </c>
      <c r="C77" s="5"/>
      <c r="D77" s="5">
        <v>75194358</v>
      </c>
      <c r="F77" s="11"/>
      <c r="H77" s="22"/>
    </row>
    <row r="78" spans="1:26" x14ac:dyDescent="0.2">
      <c r="A78" t="s">
        <v>66</v>
      </c>
      <c r="B78" s="5">
        <v>29626659</v>
      </c>
      <c r="C78" s="5"/>
      <c r="D78" s="5">
        <v>65222083</v>
      </c>
      <c r="F78" s="11"/>
      <c r="H78" s="22"/>
    </row>
    <row r="79" spans="1:26" x14ac:dyDescent="0.2">
      <c r="A79" t="s">
        <v>67</v>
      </c>
      <c r="B79" s="5">
        <v>35131309</v>
      </c>
      <c r="C79" s="5"/>
      <c r="D79" s="5">
        <v>79561782</v>
      </c>
      <c r="F79" s="11"/>
      <c r="H79" s="22"/>
    </row>
    <row r="80" spans="1:26" x14ac:dyDescent="0.2">
      <c r="A80" t="s">
        <v>68</v>
      </c>
      <c r="B80" s="5">
        <v>35205153</v>
      </c>
      <c r="C80" s="5"/>
      <c r="D80" s="5">
        <v>93736945</v>
      </c>
      <c r="F80" s="11"/>
      <c r="H80" s="22"/>
    </row>
    <row r="81" spans="1:8" x14ac:dyDescent="0.2">
      <c r="A81" t="s">
        <v>69</v>
      </c>
      <c r="B81" s="8">
        <v>33964596</v>
      </c>
      <c r="C81" s="8"/>
      <c r="D81" s="8">
        <v>87600640</v>
      </c>
      <c r="F81" s="11"/>
      <c r="H81" s="22"/>
    </row>
    <row r="82" spans="1:8" x14ac:dyDescent="0.2">
      <c r="B82" s="5">
        <f>SUM(B70:B81)</f>
        <v>424833911</v>
      </c>
      <c r="C82" s="5"/>
      <c r="D82" s="5">
        <f t="shared" ref="D82" si="8">SUM(D70:D81)</f>
        <v>965281306</v>
      </c>
      <c r="F82" s="11"/>
      <c r="H82" s="22"/>
    </row>
    <row r="84" spans="1:8" x14ac:dyDescent="0.2">
      <c r="A84" s="47" t="s">
        <v>73</v>
      </c>
    </row>
    <row r="85" spans="1:8" x14ac:dyDescent="0.2">
      <c r="B85" s="3" t="s">
        <v>74</v>
      </c>
      <c r="C85" s="1"/>
      <c r="D85" s="3" t="s">
        <v>44</v>
      </c>
    </row>
    <row r="86" spans="1:8" x14ac:dyDescent="0.2">
      <c r="A86" t="s">
        <v>58</v>
      </c>
      <c r="B86" s="11">
        <f>B70+D70</f>
        <v>113566853</v>
      </c>
      <c r="D86">
        <v>2.2550000000000001E-2</v>
      </c>
      <c r="H86" s="19">
        <f>B86*D86</f>
        <v>2560932.5351499999</v>
      </c>
    </row>
    <row r="87" spans="1:8" x14ac:dyDescent="0.2">
      <c r="A87" t="s">
        <v>59</v>
      </c>
      <c r="B87" s="11">
        <f t="shared" ref="B87:B97" si="9">B71+D71</f>
        <v>98501037</v>
      </c>
      <c r="D87">
        <v>1.1480000000000001E-2</v>
      </c>
      <c r="H87" s="19">
        <f t="shared" ref="H87:H97" si="10">B87*D87</f>
        <v>1130791.9047600001</v>
      </c>
    </row>
    <row r="88" spans="1:8" x14ac:dyDescent="0.2">
      <c r="A88" t="s">
        <v>60</v>
      </c>
      <c r="B88" s="11">
        <f t="shared" si="9"/>
        <v>105504927</v>
      </c>
      <c r="D88">
        <v>8.9300000000000004E-3</v>
      </c>
      <c r="H88" s="19">
        <f t="shared" si="10"/>
        <v>942158.99811000004</v>
      </c>
    </row>
    <row r="89" spans="1:8" x14ac:dyDescent="0.2">
      <c r="A89" t="s">
        <v>61</v>
      </c>
      <c r="B89" s="11">
        <f t="shared" si="9"/>
        <v>119353870</v>
      </c>
      <c r="D89">
        <v>9.5600000000000008E-3</v>
      </c>
      <c r="H89" s="19">
        <f t="shared" si="10"/>
        <v>1141022.9972000001</v>
      </c>
    </row>
    <row r="90" spans="1:8" x14ac:dyDescent="0.2">
      <c r="A90" t="s">
        <v>62</v>
      </c>
      <c r="B90" s="11">
        <f t="shared" si="9"/>
        <v>122205639</v>
      </c>
      <c r="D90">
        <v>1.119E-2</v>
      </c>
      <c r="H90" s="19">
        <f t="shared" si="10"/>
        <v>1367481.10041</v>
      </c>
    </row>
    <row r="91" spans="1:8" x14ac:dyDescent="0.2">
      <c r="A91" t="s">
        <v>63</v>
      </c>
      <c r="B91" s="11">
        <f t="shared" si="9"/>
        <v>125906960</v>
      </c>
      <c r="D91">
        <v>4.5799999999999999E-3</v>
      </c>
      <c r="H91" s="19">
        <f t="shared" si="10"/>
        <v>576653.87679999997</v>
      </c>
    </row>
    <row r="92" spans="1:8" x14ac:dyDescent="0.2">
      <c r="A92" t="s">
        <v>64</v>
      </c>
      <c r="B92" s="11">
        <f t="shared" si="9"/>
        <v>127190514</v>
      </c>
      <c r="D92">
        <v>6.8399999999999997E-3</v>
      </c>
      <c r="H92" s="19">
        <f t="shared" si="10"/>
        <v>869983.11575999996</v>
      </c>
    </row>
    <row r="93" spans="1:8" x14ac:dyDescent="0.2">
      <c r="A93" t="s">
        <v>65</v>
      </c>
      <c r="B93" s="11">
        <f t="shared" si="9"/>
        <v>117836250</v>
      </c>
      <c r="D93">
        <v>1.1169999999999999E-2</v>
      </c>
      <c r="H93" s="19">
        <f t="shared" si="10"/>
        <v>1316230.9124999999</v>
      </c>
    </row>
    <row r="94" spans="1:8" x14ac:dyDescent="0.2">
      <c r="A94" t="s">
        <v>66</v>
      </c>
      <c r="B94" s="11">
        <f t="shared" si="9"/>
        <v>94848742</v>
      </c>
      <c r="D94">
        <v>1.035E-2</v>
      </c>
      <c r="H94" s="19">
        <f t="shared" si="10"/>
        <v>981684.47970000003</v>
      </c>
    </row>
    <row r="95" spans="1:8" x14ac:dyDescent="0.2">
      <c r="A95" t="s">
        <v>67</v>
      </c>
      <c r="B95" s="11">
        <f t="shared" si="9"/>
        <v>114693091</v>
      </c>
      <c r="D95">
        <v>1.108E-2</v>
      </c>
      <c r="H95" s="19">
        <f t="shared" si="10"/>
        <v>1270799.4482799999</v>
      </c>
    </row>
    <row r="96" spans="1:8" x14ac:dyDescent="0.2">
      <c r="A96" t="s">
        <v>68</v>
      </c>
      <c r="B96" s="11">
        <f t="shared" si="9"/>
        <v>128942098</v>
      </c>
      <c r="D96">
        <v>8.0599999999999995E-3</v>
      </c>
      <c r="H96" s="19">
        <f t="shared" si="10"/>
        <v>1039273.30988</v>
      </c>
    </row>
    <row r="97" spans="1:8" x14ac:dyDescent="0.2">
      <c r="A97" t="s">
        <v>69</v>
      </c>
      <c r="B97" s="8">
        <f t="shared" si="9"/>
        <v>121565236</v>
      </c>
      <c r="D97">
        <v>6.3200000000000001E-3</v>
      </c>
      <c r="H97" s="20">
        <f t="shared" si="10"/>
        <v>768292.29151999997</v>
      </c>
    </row>
    <row r="98" spans="1:8" x14ac:dyDescent="0.2">
      <c r="B98" s="7">
        <f>SUM(B86:B97)</f>
        <v>1390115217</v>
      </c>
      <c r="H98" s="19">
        <f>SUM(H86:H97)</f>
        <v>13965304.970069997</v>
      </c>
    </row>
  </sheetData>
  <mergeCells count="3">
    <mergeCell ref="D4:H5"/>
    <mergeCell ref="M4:Q5"/>
    <mergeCell ref="V4:Z5"/>
  </mergeCells>
  <pageMargins left="0.75" right="0.75" top="1" bottom="1" header="0.5" footer="0.5"/>
  <pageSetup scale="48" orientation="landscape" r:id="rId1"/>
  <headerFooter alignWithMargins="0">
    <oddFooter>&amp;RExhibit JWW-4
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14A28-9A20-4DF8-8DC3-C7C47D538C6C}">
  <sheetPr>
    <tabColor rgb="FFFFC000"/>
    <pageSetUpPr fitToPage="1"/>
  </sheetPr>
  <dimension ref="A1:Z92"/>
  <sheetViews>
    <sheetView view="pageBreakPreview" zoomScaleNormal="100" zoomScaleSheetLayoutView="100" workbookViewId="0"/>
  </sheetViews>
  <sheetFormatPr defaultRowHeight="12.75" x14ac:dyDescent="0.2"/>
  <cols>
    <col min="2" max="2" width="29.42578125" customWidth="1"/>
    <col min="3" max="3" width="2.7109375" customWidth="1"/>
    <col min="4" max="4" width="16" customWidth="1"/>
    <col min="5" max="5" width="2.7109375" customWidth="1"/>
    <col min="6" max="6" width="13.28515625" customWidth="1"/>
    <col min="7" max="7" width="2.7109375" customWidth="1"/>
    <col min="8" max="8" width="18.42578125" customWidth="1"/>
    <col min="9" max="9" width="3.28515625" customWidth="1"/>
    <col min="10" max="10" width="9" customWidth="1"/>
    <col min="11" max="11" width="21.85546875" customWidth="1"/>
    <col min="12" max="12" width="2.85546875" customWidth="1"/>
    <col min="13" max="13" width="12.5703125" customWidth="1"/>
    <col min="14" max="14" width="2.7109375" customWidth="1"/>
    <col min="15" max="15" width="11.28515625" customWidth="1"/>
    <col min="16" max="16" width="2.7109375" customWidth="1"/>
    <col min="17" max="17" width="14.7109375" customWidth="1"/>
    <col min="18" max="18" width="3.28515625" customWidth="1"/>
    <col min="19" max="19" width="9" customWidth="1"/>
    <col min="20" max="20" width="21.85546875" customWidth="1"/>
    <col min="21" max="21" width="2.85546875" customWidth="1"/>
    <col min="22" max="22" width="12.5703125" bestFit="1" customWidth="1"/>
    <col min="23" max="23" width="2.7109375" customWidth="1"/>
    <col min="24" max="24" width="11.28515625" customWidth="1"/>
    <col min="25" max="25" width="2.7109375" customWidth="1"/>
    <col min="26" max="26" width="14.7109375" customWidth="1"/>
  </cols>
  <sheetData>
    <row r="1" spans="1:26" x14ac:dyDescent="0.2">
      <c r="A1" s="1" t="s">
        <v>0</v>
      </c>
      <c r="J1" s="1"/>
      <c r="S1" s="1"/>
    </row>
    <row r="2" spans="1:26" x14ac:dyDescent="0.2">
      <c r="A2" s="1" t="s">
        <v>108</v>
      </c>
      <c r="J2" s="1"/>
      <c r="S2" s="1"/>
    </row>
    <row r="3" spans="1:26" ht="13.5" thickBot="1" x14ac:dyDescent="0.25">
      <c r="A3" s="1"/>
      <c r="J3" s="1"/>
      <c r="S3" s="1"/>
    </row>
    <row r="4" spans="1:26" ht="12.75" customHeight="1" x14ac:dyDescent="0.2">
      <c r="A4" s="1"/>
      <c r="D4" s="55" t="s">
        <v>27</v>
      </c>
      <c r="E4" s="56"/>
      <c r="F4" s="56"/>
      <c r="G4" s="56"/>
      <c r="H4" s="57"/>
      <c r="J4" s="16"/>
      <c r="M4" s="61" t="s">
        <v>109</v>
      </c>
      <c r="N4" s="62"/>
      <c r="O4" s="62"/>
      <c r="P4" s="62"/>
      <c r="Q4" s="63"/>
      <c r="S4" s="16"/>
      <c r="X4" s="67"/>
      <c r="Y4" s="67"/>
      <c r="Z4" s="67"/>
    </row>
    <row r="5" spans="1:26" ht="13.5" thickBot="1" x14ac:dyDescent="0.25">
      <c r="D5" s="58"/>
      <c r="E5" s="59"/>
      <c r="F5" s="59"/>
      <c r="G5" s="59"/>
      <c r="H5" s="60"/>
      <c r="J5" s="16"/>
      <c r="M5" s="64"/>
      <c r="N5" s="65"/>
      <c r="O5" s="65"/>
      <c r="P5" s="65"/>
      <c r="Q5" s="66"/>
      <c r="S5" s="16"/>
      <c r="X5" s="67"/>
      <c r="Y5" s="67"/>
      <c r="Z5" s="67"/>
    </row>
    <row r="6" spans="1:26" x14ac:dyDescent="0.2">
      <c r="A6" s="1" t="s">
        <v>30</v>
      </c>
      <c r="D6" s="2" t="s">
        <v>31</v>
      </c>
      <c r="F6" s="3" t="s">
        <v>32</v>
      </c>
      <c r="H6" s="2" t="s">
        <v>33</v>
      </c>
      <c r="J6" s="1" t="s">
        <v>30</v>
      </c>
      <c r="M6" s="2" t="s">
        <v>31</v>
      </c>
      <c r="O6" s="3" t="s">
        <v>32</v>
      </c>
      <c r="Q6" s="2" t="s">
        <v>34</v>
      </c>
      <c r="S6" s="1"/>
      <c r="V6" s="2"/>
      <c r="X6" s="3"/>
      <c r="Z6" s="2"/>
    </row>
    <row r="9" spans="1:26" x14ac:dyDescent="0.2">
      <c r="A9" s="1" t="s">
        <v>35</v>
      </c>
      <c r="J9" s="1" t="s">
        <v>35</v>
      </c>
      <c r="S9" s="1"/>
    </row>
    <row r="10" spans="1:26" x14ac:dyDescent="0.2">
      <c r="B10" t="s">
        <v>36</v>
      </c>
      <c r="D10" s="5">
        <v>0</v>
      </c>
      <c r="F10" s="4">
        <v>0</v>
      </c>
      <c r="H10" s="21">
        <f>D10*F10</f>
        <v>0</v>
      </c>
      <c r="K10" t="s">
        <v>36</v>
      </c>
      <c r="M10" s="5">
        <f>D10</f>
        <v>0</v>
      </c>
      <c r="O10" s="4">
        <v>0</v>
      </c>
      <c r="Q10" s="21">
        <f>M10*O10</f>
        <v>0</v>
      </c>
      <c r="V10" s="11"/>
      <c r="X10" s="14"/>
      <c r="Z10" s="6"/>
    </row>
    <row r="11" spans="1:26" x14ac:dyDescent="0.2">
      <c r="D11" s="5"/>
      <c r="F11" s="4"/>
      <c r="H11" s="21"/>
      <c r="M11" s="5"/>
      <c r="O11" s="4"/>
      <c r="Q11" s="21"/>
      <c r="V11" s="11"/>
      <c r="X11" s="14"/>
      <c r="Z11" s="6"/>
    </row>
    <row r="12" spans="1:26" x14ac:dyDescent="0.2">
      <c r="A12" s="1" t="s">
        <v>76</v>
      </c>
      <c r="D12" s="5"/>
      <c r="F12" s="4"/>
      <c r="H12" s="21"/>
      <c r="J12" s="1" t="s">
        <v>76</v>
      </c>
      <c r="M12" s="5"/>
      <c r="O12" s="4"/>
      <c r="Q12" s="21"/>
      <c r="V12" s="11"/>
      <c r="X12" s="14"/>
      <c r="Z12" s="6"/>
    </row>
    <row r="13" spans="1:26" x14ac:dyDescent="0.2">
      <c r="B13" s="47" t="s">
        <v>36</v>
      </c>
      <c r="D13" s="5">
        <v>0</v>
      </c>
      <c r="F13" s="4">
        <v>0</v>
      </c>
      <c r="H13" s="21">
        <f>D13*F13</f>
        <v>0</v>
      </c>
      <c r="K13" s="47" t="s">
        <v>36</v>
      </c>
      <c r="M13" s="5">
        <v>0</v>
      </c>
      <c r="O13" s="4">
        <v>0</v>
      </c>
      <c r="Q13" s="21">
        <f>M13*O13</f>
        <v>0</v>
      </c>
      <c r="V13" s="11"/>
      <c r="X13" s="14"/>
      <c r="Z13" s="6"/>
    </row>
    <row r="14" spans="1:26" x14ac:dyDescent="0.2">
      <c r="B14" s="47"/>
      <c r="D14" s="11"/>
      <c r="F14" s="14"/>
      <c r="H14" s="21"/>
      <c r="K14" s="47"/>
      <c r="M14" s="11"/>
      <c r="O14" s="14"/>
      <c r="Q14" s="21"/>
      <c r="T14" s="47"/>
      <c r="V14" s="11"/>
      <c r="X14" s="14"/>
      <c r="Z14" s="6"/>
    </row>
    <row r="15" spans="1:26" x14ac:dyDescent="0.2">
      <c r="A15" s="1" t="s">
        <v>37</v>
      </c>
      <c r="D15" s="11"/>
      <c r="F15" s="14"/>
      <c r="H15" s="21"/>
      <c r="J15" s="1" t="s">
        <v>37</v>
      </c>
      <c r="M15" s="11"/>
      <c r="O15" s="14"/>
      <c r="Q15" s="21"/>
      <c r="S15" s="1"/>
      <c r="V15" s="11"/>
      <c r="X15" s="14"/>
      <c r="Z15" s="6"/>
    </row>
    <row r="16" spans="1:26" x14ac:dyDescent="0.2">
      <c r="A16" s="1"/>
      <c r="B16" s="47" t="s">
        <v>77</v>
      </c>
      <c r="D16" s="7">
        <f>F60</f>
        <v>511879</v>
      </c>
      <c r="F16" s="14">
        <v>1.75</v>
      </c>
      <c r="H16" s="21">
        <f>D16*F16</f>
        <v>895788.25</v>
      </c>
      <c r="J16" s="1"/>
      <c r="K16" t="s">
        <v>110</v>
      </c>
      <c r="M16" s="7">
        <f>D16</f>
        <v>511879</v>
      </c>
      <c r="O16" s="14">
        <v>1.75</v>
      </c>
      <c r="Q16" s="21">
        <f>M16*O16</f>
        <v>895788.25</v>
      </c>
      <c r="S16" s="1"/>
      <c r="V16" s="7"/>
      <c r="X16" s="14"/>
      <c r="Z16" s="6"/>
    </row>
    <row r="17" spans="1:26" x14ac:dyDescent="0.2">
      <c r="A17" s="1"/>
      <c r="B17" s="47"/>
      <c r="D17" s="7"/>
      <c r="F17" s="14"/>
      <c r="H17" s="21"/>
      <c r="J17" s="1"/>
      <c r="M17" s="7"/>
      <c r="O17" s="14"/>
      <c r="Q17" s="21"/>
      <c r="S17" s="1"/>
      <c r="V17" s="7"/>
      <c r="X17" s="14"/>
      <c r="Z17" s="6"/>
    </row>
    <row r="18" spans="1:26" x14ac:dyDescent="0.2">
      <c r="A18" s="1"/>
      <c r="H18" s="21"/>
      <c r="J18" s="1"/>
      <c r="M18" s="7"/>
      <c r="O18" s="14"/>
      <c r="Q18" s="21"/>
      <c r="S18" s="1"/>
      <c r="V18" s="7"/>
      <c r="X18" s="14"/>
      <c r="Z18" s="6"/>
    </row>
    <row r="19" spans="1:26" x14ac:dyDescent="0.2">
      <c r="H19" s="21"/>
      <c r="Q19" s="21"/>
    </row>
    <row r="20" spans="1:26" x14ac:dyDescent="0.2">
      <c r="A20" s="1" t="s">
        <v>41</v>
      </c>
      <c r="D20" t="s">
        <v>42</v>
      </c>
      <c r="H20" s="21"/>
      <c r="J20" s="1" t="s">
        <v>41</v>
      </c>
      <c r="M20" t="s">
        <v>42</v>
      </c>
      <c r="Q20" s="21"/>
      <c r="S20" s="1"/>
    </row>
    <row r="21" spans="1:26" x14ac:dyDescent="0.2">
      <c r="B21" s="47" t="s">
        <v>111</v>
      </c>
      <c r="D21" s="11">
        <f>B60</f>
        <v>82392485</v>
      </c>
      <c r="F21" s="50" t="s">
        <v>112</v>
      </c>
      <c r="H21" s="21">
        <v>2863247.8090089997</v>
      </c>
      <c r="K21" s="47" t="s">
        <v>111</v>
      </c>
      <c r="M21" s="5">
        <f>D21</f>
        <v>82392485</v>
      </c>
      <c r="O21" s="50" t="s">
        <v>112</v>
      </c>
      <c r="Q21" s="21">
        <f>H21</f>
        <v>2863247.8090089997</v>
      </c>
      <c r="T21" s="47"/>
      <c r="V21" s="11"/>
      <c r="X21" s="26"/>
      <c r="Z21" s="6"/>
    </row>
    <row r="22" spans="1:26" x14ac:dyDescent="0.2">
      <c r="B22" s="47" t="s">
        <v>113</v>
      </c>
      <c r="D22" s="11">
        <f>D60</f>
        <v>100649223</v>
      </c>
      <c r="F22" s="50" t="s">
        <v>112</v>
      </c>
      <c r="H22" s="21">
        <v>4142936.560753</v>
      </c>
      <c r="K22" s="47" t="s">
        <v>113</v>
      </c>
      <c r="M22" s="5">
        <f t="shared" ref="M22:M24" si="0">D22</f>
        <v>100649223</v>
      </c>
      <c r="O22" s="50" t="s">
        <v>112</v>
      </c>
      <c r="Q22" s="21">
        <f t="shared" ref="Q22:Q24" si="1">H22</f>
        <v>4142936.560753</v>
      </c>
      <c r="T22" s="47"/>
      <c r="V22" s="11"/>
      <c r="X22" s="26"/>
      <c r="Z22" s="6"/>
    </row>
    <row r="23" spans="1:26" x14ac:dyDescent="0.2">
      <c r="B23" s="47" t="s">
        <v>114</v>
      </c>
      <c r="D23" s="11">
        <f>B76</f>
        <v>43068592</v>
      </c>
      <c r="F23" s="50" t="s">
        <v>112</v>
      </c>
      <c r="H23" s="21">
        <v>1524239.1313109996</v>
      </c>
      <c r="K23" s="47" t="s">
        <v>114</v>
      </c>
      <c r="M23" s="5">
        <f t="shared" si="0"/>
        <v>43068592</v>
      </c>
      <c r="O23" s="50" t="s">
        <v>112</v>
      </c>
      <c r="Q23" s="21">
        <f t="shared" si="1"/>
        <v>1524239.1313109996</v>
      </c>
      <c r="T23" s="47"/>
      <c r="V23" s="11"/>
      <c r="X23" s="26"/>
      <c r="Z23" s="6"/>
    </row>
    <row r="24" spans="1:26" x14ac:dyDescent="0.2">
      <c r="B24" s="47" t="s">
        <v>115</v>
      </c>
      <c r="D24" s="11">
        <f>D76</f>
        <v>51321152</v>
      </c>
      <c r="F24" s="50" t="s">
        <v>112</v>
      </c>
      <c r="H24" s="21">
        <v>2120154.113316</v>
      </c>
      <c r="K24" s="47" t="s">
        <v>115</v>
      </c>
      <c r="M24" s="5">
        <f t="shared" si="0"/>
        <v>51321152</v>
      </c>
      <c r="O24" s="50" t="s">
        <v>112</v>
      </c>
      <c r="Q24" s="21">
        <f t="shared" si="1"/>
        <v>2120154.113316</v>
      </c>
      <c r="T24" s="47"/>
      <c r="V24" s="11"/>
      <c r="X24" s="26"/>
      <c r="Z24" s="6"/>
    </row>
    <row r="25" spans="1:26" x14ac:dyDescent="0.2">
      <c r="B25" s="47"/>
      <c r="D25" s="11"/>
      <c r="F25" s="26"/>
      <c r="H25" s="21"/>
      <c r="K25" s="47"/>
      <c r="M25" s="5"/>
      <c r="O25" s="25"/>
      <c r="Q25" s="21"/>
      <c r="T25" s="47"/>
      <c r="V25" s="11"/>
      <c r="X25" s="26"/>
      <c r="Z25" s="6"/>
    </row>
    <row r="26" spans="1:26" x14ac:dyDescent="0.2">
      <c r="B26" s="47"/>
      <c r="D26" s="11"/>
      <c r="F26" s="26"/>
      <c r="H26" s="21"/>
      <c r="K26" s="47"/>
      <c r="M26" s="11"/>
      <c r="O26" s="26"/>
      <c r="Q26" s="21"/>
      <c r="T26" s="47"/>
      <c r="V26" s="11"/>
      <c r="X26" s="26"/>
      <c r="Z26" s="6"/>
    </row>
    <row r="27" spans="1:26" x14ac:dyDescent="0.2">
      <c r="B27" t="s">
        <v>44</v>
      </c>
      <c r="D27" s="11"/>
      <c r="F27" s="15"/>
      <c r="H27" s="21">
        <v>0</v>
      </c>
      <c r="K27" t="s">
        <v>44</v>
      </c>
      <c r="M27" s="11"/>
      <c r="O27" s="15"/>
      <c r="Q27" s="21">
        <f>H27</f>
        <v>0</v>
      </c>
      <c r="T27" s="47"/>
      <c r="V27" s="11"/>
      <c r="X27" s="26"/>
      <c r="Z27" s="6"/>
    </row>
    <row r="28" spans="1:26" x14ac:dyDescent="0.2">
      <c r="B28" t="s">
        <v>46</v>
      </c>
      <c r="D28" s="11"/>
      <c r="F28" s="15"/>
      <c r="H28" s="21">
        <v>1236070</v>
      </c>
      <c r="K28" t="s">
        <v>46</v>
      </c>
      <c r="M28" s="11"/>
      <c r="O28" s="15"/>
      <c r="Q28" s="21">
        <v>1236070</v>
      </c>
    </row>
    <row r="29" spans="1:26" x14ac:dyDescent="0.2">
      <c r="B29" s="47" t="s">
        <v>116</v>
      </c>
      <c r="D29" s="11"/>
      <c r="F29" s="15"/>
      <c r="H29" s="21">
        <v>-59784</v>
      </c>
      <c r="K29" s="47" t="s">
        <v>116</v>
      </c>
      <c r="M29" s="11"/>
      <c r="O29" s="15"/>
      <c r="Q29" s="21">
        <v>-59784</v>
      </c>
    </row>
    <row r="30" spans="1:26" x14ac:dyDescent="0.2">
      <c r="B30" s="47" t="s">
        <v>117</v>
      </c>
      <c r="H30" s="21">
        <v>-69456</v>
      </c>
      <c r="K30" s="47" t="s">
        <v>117</v>
      </c>
      <c r="Q30" s="21">
        <v>-69456</v>
      </c>
      <c r="V30" s="11"/>
      <c r="X30" s="15"/>
      <c r="Z30" s="6"/>
    </row>
    <row r="31" spans="1:26" x14ac:dyDescent="0.2">
      <c r="B31" t="s">
        <v>118</v>
      </c>
      <c r="H31" s="21">
        <v>40644</v>
      </c>
      <c r="K31" t="s">
        <v>118</v>
      </c>
      <c r="Q31" s="21">
        <v>40644</v>
      </c>
      <c r="V31" s="11"/>
      <c r="X31" s="15"/>
      <c r="Z31" s="6"/>
    </row>
    <row r="32" spans="1:26" x14ac:dyDescent="0.2">
      <c r="B32" s="47" t="s">
        <v>119</v>
      </c>
      <c r="H32" s="21">
        <v>19400</v>
      </c>
      <c r="K32" s="47" t="s">
        <v>119</v>
      </c>
      <c r="Q32" s="21">
        <v>19400</v>
      </c>
    </row>
    <row r="33" spans="1:26" x14ac:dyDescent="0.2">
      <c r="B33" s="47" t="s">
        <v>120</v>
      </c>
      <c r="H33" s="21">
        <v>455911.12500000029</v>
      </c>
      <c r="K33" s="47" t="s">
        <v>120</v>
      </c>
      <c r="Q33" s="21">
        <v>455911.12500000029</v>
      </c>
    </row>
    <row r="34" spans="1:26" x14ac:dyDescent="0.2">
      <c r="H34" s="21"/>
      <c r="Q34" s="21"/>
    </row>
    <row r="35" spans="1:26" ht="13.5" thickBot="1" x14ac:dyDescent="0.25">
      <c r="B35" s="1" t="s">
        <v>51</v>
      </c>
      <c r="H35" s="37">
        <f>H10+H13+H16+H21+H22+H23+H24+H27+H28+H29+H30+H31+H32+H33</f>
        <v>13169150.989388999</v>
      </c>
      <c r="K35" s="1" t="s">
        <v>51</v>
      </c>
      <c r="Q35" s="37">
        <f>H35</f>
        <v>13169150.989388999</v>
      </c>
    </row>
    <row r="36" spans="1:26" ht="13.5" thickTop="1" x14ac:dyDescent="0.2">
      <c r="K36" s="1"/>
      <c r="Q36" s="6"/>
    </row>
    <row r="37" spans="1:26" x14ac:dyDescent="0.2">
      <c r="H37" s="14"/>
      <c r="K37" t="s">
        <v>52</v>
      </c>
      <c r="M37" s="7"/>
      <c r="O37" s="14"/>
      <c r="Q37" s="14">
        <f>Q35-H35</f>
        <v>0</v>
      </c>
    </row>
    <row r="38" spans="1:26" x14ac:dyDescent="0.2">
      <c r="H38" s="6"/>
      <c r="T38" s="1"/>
      <c r="Z38" s="6"/>
    </row>
    <row r="39" spans="1:26" x14ac:dyDescent="0.2">
      <c r="K39" t="s">
        <v>6</v>
      </c>
      <c r="Q39" s="18">
        <f>Q37/H35</f>
        <v>0</v>
      </c>
      <c r="T39" s="1"/>
      <c r="Z39" s="6"/>
    </row>
    <row r="40" spans="1:26" x14ac:dyDescent="0.2">
      <c r="H40" s="17"/>
      <c r="V40" s="7"/>
      <c r="X40" s="14"/>
      <c r="Z40" s="14"/>
    </row>
    <row r="42" spans="1:26" x14ac:dyDescent="0.2">
      <c r="Z42" s="17"/>
    </row>
    <row r="44" spans="1:26" x14ac:dyDescent="0.2">
      <c r="Q44" s="4"/>
      <c r="Z44" s="14"/>
    </row>
    <row r="45" spans="1:26" x14ac:dyDescent="0.2">
      <c r="A45" s="47" t="str">
        <f>A2</f>
        <v>Special Contract - Pumping Stations</v>
      </c>
    </row>
    <row r="46" spans="1:26" x14ac:dyDescent="0.2">
      <c r="B46" s="47"/>
      <c r="Q46" s="4"/>
      <c r="Z46" s="14"/>
    </row>
    <row r="47" spans="1:26" x14ac:dyDescent="0.2">
      <c r="B47" s="3" t="s">
        <v>121</v>
      </c>
      <c r="D47" s="3" t="s">
        <v>122</v>
      </c>
      <c r="F47" s="3" t="s">
        <v>72</v>
      </c>
      <c r="H47" s="3" t="s">
        <v>56</v>
      </c>
    </row>
    <row r="48" spans="1:26" x14ac:dyDescent="0.2">
      <c r="A48" t="s">
        <v>58</v>
      </c>
      <c r="B48" s="5">
        <v>3106382</v>
      </c>
      <c r="D48" s="5">
        <v>3399368</v>
      </c>
      <c r="F48" s="5">
        <v>38597</v>
      </c>
      <c r="H48" s="23">
        <v>682995.55000876135</v>
      </c>
    </row>
    <row r="49" spans="1:26" x14ac:dyDescent="0.2">
      <c r="A49" t="s">
        <v>59</v>
      </c>
      <c r="B49" s="5">
        <v>5472024</v>
      </c>
      <c r="D49" s="5">
        <v>6209646</v>
      </c>
      <c r="F49" s="5">
        <v>43191</v>
      </c>
      <c r="H49" s="23">
        <v>733273.383748336</v>
      </c>
    </row>
    <row r="50" spans="1:26" x14ac:dyDescent="0.2">
      <c r="A50" t="s">
        <v>60</v>
      </c>
      <c r="B50" s="5">
        <v>6685574</v>
      </c>
      <c r="D50" s="5">
        <v>7005679</v>
      </c>
      <c r="F50" s="5">
        <v>38569</v>
      </c>
      <c r="H50" s="23">
        <v>929297.03574338637</v>
      </c>
    </row>
    <row r="51" spans="1:26" x14ac:dyDescent="0.2">
      <c r="A51" t="s">
        <v>61</v>
      </c>
      <c r="B51" s="5">
        <v>6685402</v>
      </c>
      <c r="D51" s="5">
        <v>8920955</v>
      </c>
      <c r="F51" s="5">
        <v>42941</v>
      </c>
      <c r="H51" s="23">
        <v>1231831.8467386009</v>
      </c>
    </row>
    <row r="52" spans="1:26" x14ac:dyDescent="0.2">
      <c r="A52" t="s">
        <v>62</v>
      </c>
      <c r="B52" s="5">
        <v>7576413</v>
      </c>
      <c r="D52" s="5">
        <v>8664028</v>
      </c>
      <c r="F52" s="5">
        <v>43126</v>
      </c>
      <c r="H52" s="23">
        <v>1126972.2895375486</v>
      </c>
    </row>
    <row r="53" spans="1:26" x14ac:dyDescent="0.2">
      <c r="A53" t="s">
        <v>63</v>
      </c>
      <c r="B53" s="5">
        <v>7951377</v>
      </c>
      <c r="D53" s="5">
        <v>9641174</v>
      </c>
      <c r="F53" s="5">
        <v>43641</v>
      </c>
      <c r="H53" s="23">
        <v>1270868.3089771201</v>
      </c>
    </row>
    <row r="54" spans="1:26" x14ac:dyDescent="0.2">
      <c r="A54" t="s">
        <v>64</v>
      </c>
      <c r="B54" s="5">
        <v>6082474</v>
      </c>
      <c r="D54" s="5">
        <v>9749276</v>
      </c>
      <c r="F54" s="5">
        <v>43632</v>
      </c>
      <c r="H54" s="23">
        <v>1434275.7996159361</v>
      </c>
    </row>
    <row r="55" spans="1:26" x14ac:dyDescent="0.2">
      <c r="A55" t="s">
        <v>65</v>
      </c>
      <c r="B55" s="5">
        <v>8400191</v>
      </c>
      <c r="D55" s="5">
        <v>9338066</v>
      </c>
      <c r="F55" s="5">
        <v>43375</v>
      </c>
      <c r="H55" s="23">
        <v>1128116.7907195175</v>
      </c>
    </row>
    <row r="56" spans="1:26" x14ac:dyDescent="0.2">
      <c r="A56" t="s">
        <v>66</v>
      </c>
      <c r="B56" s="5">
        <v>6387049</v>
      </c>
      <c r="D56" s="5">
        <v>8095013</v>
      </c>
      <c r="F56" s="5">
        <v>43494</v>
      </c>
      <c r="H56" s="23">
        <v>921942.10508619808</v>
      </c>
    </row>
    <row r="57" spans="1:26" x14ac:dyDescent="0.2">
      <c r="A57" t="s">
        <v>67</v>
      </c>
      <c r="B57" s="5">
        <v>6761211</v>
      </c>
      <c r="D57" s="5">
        <v>8002397</v>
      </c>
      <c r="F57" s="5">
        <v>43810</v>
      </c>
      <c r="H57" s="23">
        <v>1153056.982441874</v>
      </c>
    </row>
    <row r="58" spans="1:26" x14ac:dyDescent="0.2">
      <c r="A58" t="s">
        <v>68</v>
      </c>
      <c r="B58" s="5">
        <v>8773089</v>
      </c>
      <c r="D58" s="5">
        <v>10658715</v>
      </c>
      <c r="F58" s="5">
        <v>43858</v>
      </c>
      <c r="H58" s="23">
        <v>1292002.4395272213</v>
      </c>
    </row>
    <row r="59" spans="1:26" x14ac:dyDescent="0.2">
      <c r="A59" t="s">
        <v>69</v>
      </c>
      <c r="B59" s="8">
        <v>8511299</v>
      </c>
      <c r="D59" s="8">
        <v>10964906</v>
      </c>
      <c r="F59" s="8">
        <v>43645</v>
      </c>
      <c r="H59" s="30">
        <v>1264518.3938519841</v>
      </c>
    </row>
    <row r="60" spans="1:26" x14ac:dyDescent="0.2">
      <c r="B60" s="5">
        <f t="shared" ref="B60:D60" si="2">SUM(B48:B59)</f>
        <v>82392485</v>
      </c>
      <c r="D60" s="5">
        <f t="shared" si="2"/>
        <v>100649223</v>
      </c>
      <c r="F60" s="5">
        <f t="shared" ref="F60" si="3">SUM(F48:F59)</f>
        <v>511879</v>
      </c>
      <c r="H60" s="23">
        <f>SUM(H48:H59)</f>
        <v>13169150.925996486</v>
      </c>
    </row>
    <row r="62" spans="1:26" x14ac:dyDescent="0.2">
      <c r="B62" s="47"/>
      <c r="Q62" s="4"/>
      <c r="Z62" s="14"/>
    </row>
    <row r="63" spans="1:26" x14ac:dyDescent="0.2">
      <c r="B63" s="3" t="s">
        <v>123</v>
      </c>
      <c r="D63" s="3" t="s">
        <v>124</v>
      </c>
      <c r="F63" s="3"/>
      <c r="H63" s="3"/>
    </row>
    <row r="64" spans="1:26" x14ac:dyDescent="0.2">
      <c r="A64" t="s">
        <v>58</v>
      </c>
      <c r="B64" s="5">
        <v>3300911</v>
      </c>
      <c r="C64" s="5"/>
      <c r="D64" s="5">
        <v>3739574</v>
      </c>
      <c r="F64" s="11"/>
      <c r="H64" s="22"/>
    </row>
    <row r="65" spans="1:8" x14ac:dyDescent="0.2">
      <c r="A65" t="s">
        <v>59</v>
      </c>
      <c r="B65" s="5">
        <v>2510565</v>
      </c>
      <c r="C65" s="5"/>
      <c r="D65" s="5">
        <v>2699381</v>
      </c>
      <c r="F65" s="11"/>
      <c r="H65" s="22"/>
    </row>
    <row r="66" spans="1:8" x14ac:dyDescent="0.2">
      <c r="A66" t="s">
        <v>60</v>
      </c>
      <c r="B66" s="5">
        <v>3457328</v>
      </c>
      <c r="C66" s="5"/>
      <c r="D66" s="5">
        <v>3492330</v>
      </c>
      <c r="F66" s="11"/>
      <c r="H66" s="22"/>
    </row>
    <row r="67" spans="1:8" x14ac:dyDescent="0.2">
      <c r="A67" t="s">
        <v>61</v>
      </c>
      <c r="B67" s="5">
        <v>3950321</v>
      </c>
      <c r="C67" s="5"/>
      <c r="D67" s="5">
        <v>4967241</v>
      </c>
      <c r="F67" s="11"/>
      <c r="H67" s="22"/>
    </row>
    <row r="68" spans="1:8" x14ac:dyDescent="0.2">
      <c r="A68" t="s">
        <v>62</v>
      </c>
      <c r="B68" s="5">
        <v>4157659</v>
      </c>
      <c r="C68" s="5"/>
      <c r="D68" s="5">
        <v>4758327</v>
      </c>
      <c r="F68" s="11"/>
      <c r="H68" s="22"/>
    </row>
    <row r="69" spans="1:8" x14ac:dyDescent="0.2">
      <c r="A69" t="s">
        <v>63</v>
      </c>
      <c r="B69" s="5">
        <v>4517838</v>
      </c>
      <c r="C69" s="5"/>
      <c r="D69" s="5">
        <v>4734872</v>
      </c>
      <c r="F69" s="11"/>
      <c r="H69" s="22"/>
    </row>
    <row r="70" spans="1:8" x14ac:dyDescent="0.2">
      <c r="A70" t="s">
        <v>64</v>
      </c>
      <c r="B70" s="5">
        <v>3281213</v>
      </c>
      <c r="C70" s="5"/>
      <c r="D70" s="5">
        <v>5126874</v>
      </c>
      <c r="F70" s="11"/>
      <c r="H70" s="22"/>
    </row>
    <row r="71" spans="1:8" x14ac:dyDescent="0.2">
      <c r="A71" t="s">
        <v>65</v>
      </c>
      <c r="B71" s="5">
        <v>2818111</v>
      </c>
      <c r="C71" s="5"/>
      <c r="D71" s="5">
        <v>3387011</v>
      </c>
      <c r="F71" s="11"/>
      <c r="H71" s="22"/>
    </row>
    <row r="72" spans="1:8" x14ac:dyDescent="0.2">
      <c r="A72" t="s">
        <v>66</v>
      </c>
      <c r="B72" s="5">
        <v>2302055</v>
      </c>
      <c r="C72" s="5"/>
      <c r="D72" s="5">
        <v>2989252</v>
      </c>
      <c r="F72" s="11"/>
      <c r="H72" s="22"/>
    </row>
    <row r="73" spans="1:8" x14ac:dyDescent="0.2">
      <c r="A73" t="s">
        <v>67</v>
      </c>
      <c r="B73" s="5">
        <v>4538278</v>
      </c>
      <c r="C73" s="5"/>
      <c r="D73" s="5">
        <v>5032257</v>
      </c>
      <c r="F73" s="11"/>
      <c r="H73" s="22"/>
    </row>
    <row r="74" spans="1:8" x14ac:dyDescent="0.2">
      <c r="A74" t="s">
        <v>68</v>
      </c>
      <c r="B74" s="5">
        <v>4409835</v>
      </c>
      <c r="C74" s="5"/>
      <c r="D74" s="5">
        <v>5064474</v>
      </c>
      <c r="F74" s="11"/>
      <c r="H74" s="22"/>
    </row>
    <row r="75" spans="1:8" x14ac:dyDescent="0.2">
      <c r="A75" t="s">
        <v>69</v>
      </c>
      <c r="B75" s="8">
        <v>3824478</v>
      </c>
      <c r="C75" s="8"/>
      <c r="D75" s="8">
        <v>5329559</v>
      </c>
      <c r="F75" s="11"/>
      <c r="H75" s="22"/>
    </row>
    <row r="76" spans="1:8" x14ac:dyDescent="0.2">
      <c r="B76" s="5">
        <f>SUM(B64:B75)</f>
        <v>43068592</v>
      </c>
      <c r="C76" s="5"/>
      <c r="D76" s="5">
        <f t="shared" ref="D76" si="4">SUM(D64:D75)</f>
        <v>51321152</v>
      </c>
      <c r="F76" s="11"/>
      <c r="H76" s="22"/>
    </row>
    <row r="78" spans="1:8" x14ac:dyDescent="0.2">
      <c r="A78" s="47" t="s">
        <v>73</v>
      </c>
    </row>
    <row r="79" spans="1:8" x14ac:dyDescent="0.2">
      <c r="B79" s="3" t="s">
        <v>74</v>
      </c>
      <c r="C79" s="1"/>
      <c r="D79" s="3" t="s">
        <v>44</v>
      </c>
    </row>
    <row r="80" spans="1:8" x14ac:dyDescent="0.2">
      <c r="A80" t="s">
        <v>58</v>
      </c>
      <c r="B80" s="11">
        <f>B64+D64</f>
        <v>7040485</v>
      </c>
      <c r="D80" s="32">
        <v>0</v>
      </c>
      <c r="H80" s="19">
        <f>B80*D80</f>
        <v>0</v>
      </c>
    </row>
    <row r="81" spans="1:8" x14ac:dyDescent="0.2">
      <c r="A81" t="s">
        <v>59</v>
      </c>
      <c r="B81" s="11">
        <f t="shared" ref="B81:B91" si="5">B65+D65</f>
        <v>5209946</v>
      </c>
      <c r="D81" s="32">
        <v>0</v>
      </c>
      <c r="H81" s="19">
        <f t="shared" ref="H81:H91" si="6">B81*D81</f>
        <v>0</v>
      </c>
    </row>
    <row r="82" spans="1:8" x14ac:dyDescent="0.2">
      <c r="A82" t="s">
        <v>60</v>
      </c>
      <c r="B82" s="11">
        <f t="shared" si="5"/>
        <v>6949658</v>
      </c>
      <c r="D82" s="32">
        <v>0</v>
      </c>
      <c r="H82" s="19">
        <f t="shared" si="6"/>
        <v>0</v>
      </c>
    </row>
    <row r="83" spans="1:8" x14ac:dyDescent="0.2">
      <c r="A83" t="s">
        <v>61</v>
      </c>
      <c r="B83" s="11">
        <f t="shared" si="5"/>
        <v>8917562</v>
      </c>
      <c r="D83" s="32">
        <v>0</v>
      </c>
      <c r="H83" s="19">
        <f t="shared" si="6"/>
        <v>0</v>
      </c>
    </row>
    <row r="84" spans="1:8" x14ac:dyDescent="0.2">
      <c r="A84" t="s">
        <v>62</v>
      </c>
      <c r="B84" s="11">
        <f t="shared" si="5"/>
        <v>8915986</v>
      </c>
      <c r="D84" s="32">
        <v>0</v>
      </c>
      <c r="H84" s="19">
        <f t="shared" si="6"/>
        <v>0</v>
      </c>
    </row>
    <row r="85" spans="1:8" x14ac:dyDescent="0.2">
      <c r="A85" t="s">
        <v>63</v>
      </c>
      <c r="B85" s="11">
        <f t="shared" si="5"/>
        <v>9252710</v>
      </c>
      <c r="D85" s="32">
        <v>0</v>
      </c>
      <c r="H85" s="19">
        <f t="shared" si="6"/>
        <v>0</v>
      </c>
    </row>
    <row r="86" spans="1:8" x14ac:dyDescent="0.2">
      <c r="A86" t="s">
        <v>64</v>
      </c>
      <c r="B86" s="11">
        <f t="shared" si="5"/>
        <v>8408087</v>
      </c>
      <c r="D86" s="32">
        <v>0</v>
      </c>
      <c r="H86" s="19">
        <f t="shared" si="6"/>
        <v>0</v>
      </c>
    </row>
    <row r="87" spans="1:8" x14ac:dyDescent="0.2">
      <c r="A87" t="s">
        <v>65</v>
      </c>
      <c r="B87" s="11">
        <f t="shared" si="5"/>
        <v>6205122</v>
      </c>
      <c r="D87" s="32">
        <v>0</v>
      </c>
      <c r="H87" s="19">
        <f t="shared" si="6"/>
        <v>0</v>
      </c>
    </row>
    <row r="88" spans="1:8" x14ac:dyDescent="0.2">
      <c r="A88" t="s">
        <v>66</v>
      </c>
      <c r="B88" s="11">
        <f t="shared" si="5"/>
        <v>5291307</v>
      </c>
      <c r="D88" s="32">
        <v>0</v>
      </c>
      <c r="H88" s="19">
        <f t="shared" si="6"/>
        <v>0</v>
      </c>
    </row>
    <row r="89" spans="1:8" x14ac:dyDescent="0.2">
      <c r="A89" t="s">
        <v>67</v>
      </c>
      <c r="B89" s="11">
        <f t="shared" si="5"/>
        <v>9570535</v>
      </c>
      <c r="D89" s="32">
        <v>0</v>
      </c>
      <c r="H89" s="19">
        <f t="shared" si="6"/>
        <v>0</v>
      </c>
    </row>
    <row r="90" spans="1:8" x14ac:dyDescent="0.2">
      <c r="A90" t="s">
        <v>68</v>
      </c>
      <c r="B90" s="11">
        <f t="shared" si="5"/>
        <v>9474309</v>
      </c>
      <c r="D90" s="32">
        <v>0</v>
      </c>
      <c r="H90" s="19">
        <f t="shared" si="6"/>
        <v>0</v>
      </c>
    </row>
    <row r="91" spans="1:8" x14ac:dyDescent="0.2">
      <c r="A91" t="s">
        <v>69</v>
      </c>
      <c r="B91" s="8">
        <f t="shared" si="5"/>
        <v>9154037</v>
      </c>
      <c r="D91" s="32">
        <v>0</v>
      </c>
      <c r="H91" s="20">
        <f t="shared" si="6"/>
        <v>0</v>
      </c>
    </row>
    <row r="92" spans="1:8" x14ac:dyDescent="0.2">
      <c r="B92" s="7">
        <f>SUM(B80:B91)</f>
        <v>94389744</v>
      </c>
      <c r="H92" s="19">
        <f>SUM(H80:H91)</f>
        <v>0</v>
      </c>
    </row>
  </sheetData>
  <mergeCells count="3">
    <mergeCell ref="X4:Z5"/>
    <mergeCell ref="D4:H5"/>
    <mergeCell ref="M4:Q5"/>
  </mergeCells>
  <pageMargins left="0.75" right="0.75" top="1" bottom="1" header="0.5" footer="0.5"/>
  <pageSetup scale="70" orientation="landscape" r:id="rId1"/>
  <headerFooter alignWithMargins="0">
    <oddFooter>&amp;RExhibit JWW-4
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A993B-92C5-4782-8A25-B7458906C3B4}">
  <sheetPr>
    <tabColor rgb="FFFFC000"/>
    <pageSetUpPr fitToPage="1"/>
  </sheetPr>
  <dimension ref="A1:Z80"/>
  <sheetViews>
    <sheetView view="pageBreakPreview" topLeftCell="J15" zoomScaleNormal="100" zoomScaleSheetLayoutView="100" workbookViewId="0">
      <selection activeCell="J1" sqref="J1"/>
    </sheetView>
  </sheetViews>
  <sheetFormatPr defaultRowHeight="12.75" x14ac:dyDescent="0.2"/>
  <cols>
    <col min="1" max="1" width="9.140625" hidden="1" customWidth="1"/>
    <col min="2" max="2" width="29.42578125" hidden="1" customWidth="1"/>
    <col min="3" max="3" width="2.7109375" hidden="1" customWidth="1"/>
    <col min="4" max="4" width="16" hidden="1" customWidth="1"/>
    <col min="5" max="5" width="2.7109375" hidden="1" customWidth="1"/>
    <col min="6" max="6" width="13.28515625" hidden="1" customWidth="1"/>
    <col min="7" max="7" width="2.7109375" hidden="1" customWidth="1"/>
    <col min="8" max="8" width="18.42578125" hidden="1" customWidth="1"/>
    <col min="9" max="9" width="2.7109375" hidden="1" customWidth="1"/>
    <col min="10" max="11" width="18.42578125" customWidth="1"/>
    <col min="12" max="12" width="2.7109375" customWidth="1"/>
    <col min="13" max="13" width="16" customWidth="1"/>
    <col min="14" max="14" width="2.7109375" customWidth="1"/>
    <col min="15" max="15" width="13.28515625" customWidth="1"/>
    <col min="16" max="16" width="2.7109375" customWidth="1"/>
    <col min="17" max="17" width="18.42578125" customWidth="1"/>
    <col min="18" max="18" width="3.28515625" customWidth="1"/>
    <col min="19" max="19" width="9" customWidth="1"/>
    <col min="20" max="20" width="21.85546875" customWidth="1"/>
    <col min="21" max="21" width="2.85546875" customWidth="1"/>
    <col min="22" max="22" width="12.5703125" customWidth="1"/>
    <col min="23" max="23" width="2.7109375" customWidth="1"/>
    <col min="24" max="24" width="11.28515625" customWidth="1"/>
    <col min="25" max="25" width="2.7109375" customWidth="1"/>
    <col min="26" max="26" width="14.7109375" customWidth="1"/>
  </cols>
  <sheetData>
    <row r="1" spans="1:26" x14ac:dyDescent="0.2">
      <c r="A1" s="1" t="s">
        <v>0</v>
      </c>
      <c r="J1" s="1" t="s">
        <v>0</v>
      </c>
      <c r="S1" s="1"/>
    </row>
    <row r="2" spans="1:26" x14ac:dyDescent="0.2">
      <c r="A2" s="1" t="s">
        <v>24</v>
      </c>
      <c r="J2" s="1" t="s">
        <v>24</v>
      </c>
      <c r="S2" s="1"/>
    </row>
    <row r="3" spans="1:26" ht="13.5" thickBot="1" x14ac:dyDescent="0.25">
      <c r="A3" s="1"/>
      <c r="J3" s="1"/>
      <c r="S3" s="1"/>
    </row>
    <row r="4" spans="1:26" ht="12.75" customHeight="1" x14ac:dyDescent="0.2">
      <c r="A4" s="1"/>
      <c r="F4" s="68" t="s">
        <v>125</v>
      </c>
      <c r="G4" s="69"/>
      <c r="H4" s="70"/>
      <c r="J4" s="16"/>
      <c r="M4" s="55" t="s">
        <v>27</v>
      </c>
      <c r="N4" s="56"/>
      <c r="O4" s="56"/>
      <c r="P4" s="56"/>
      <c r="Q4" s="57"/>
      <c r="S4" s="16"/>
      <c r="V4" s="61" t="s">
        <v>109</v>
      </c>
      <c r="W4" s="62"/>
      <c r="X4" s="62"/>
      <c r="Y4" s="62"/>
      <c r="Z4" s="63"/>
    </row>
    <row r="5" spans="1:26" ht="13.5" thickBot="1" x14ac:dyDescent="0.25">
      <c r="F5" s="71"/>
      <c r="G5" s="72"/>
      <c r="H5" s="73"/>
      <c r="J5" s="16"/>
      <c r="M5" s="58"/>
      <c r="N5" s="59"/>
      <c r="O5" s="59"/>
      <c r="P5" s="59"/>
      <c r="Q5" s="60"/>
      <c r="S5" s="16"/>
      <c r="V5" s="64"/>
      <c r="W5" s="65"/>
      <c r="X5" s="65"/>
      <c r="Y5" s="65"/>
      <c r="Z5" s="66"/>
    </row>
    <row r="6" spans="1:26" x14ac:dyDescent="0.2">
      <c r="A6" s="1" t="s">
        <v>30</v>
      </c>
      <c r="D6" s="2" t="s">
        <v>31</v>
      </c>
      <c r="F6" s="3" t="s">
        <v>32</v>
      </c>
      <c r="H6" s="2" t="s">
        <v>126</v>
      </c>
      <c r="J6" s="1" t="s">
        <v>30</v>
      </c>
      <c r="M6" s="2" t="s">
        <v>31</v>
      </c>
      <c r="O6" s="3" t="s">
        <v>32</v>
      </c>
      <c r="Q6" s="2" t="s">
        <v>33</v>
      </c>
      <c r="S6" s="1" t="s">
        <v>30</v>
      </c>
      <c r="V6" s="2" t="s">
        <v>31</v>
      </c>
      <c r="X6" s="3" t="s">
        <v>32</v>
      </c>
      <c r="Z6" s="2" t="s">
        <v>34</v>
      </c>
    </row>
    <row r="9" spans="1:26" x14ac:dyDescent="0.2">
      <c r="A9" s="1" t="s">
        <v>35</v>
      </c>
      <c r="J9" s="1" t="s">
        <v>35</v>
      </c>
      <c r="S9" s="1" t="s">
        <v>35</v>
      </c>
    </row>
    <row r="10" spans="1:26" x14ac:dyDescent="0.2">
      <c r="B10" t="s">
        <v>36</v>
      </c>
      <c r="D10" s="5">
        <v>12</v>
      </c>
      <c r="F10" s="4">
        <v>0</v>
      </c>
      <c r="H10" s="6">
        <f>D10*F10</f>
        <v>0</v>
      </c>
      <c r="K10" t="s">
        <v>36</v>
      </c>
      <c r="M10" s="5">
        <v>12</v>
      </c>
      <c r="O10" s="4">
        <v>0</v>
      </c>
      <c r="Q10" s="21">
        <f>M10*O10</f>
        <v>0</v>
      </c>
      <c r="T10" t="s">
        <v>36</v>
      </c>
      <c r="V10" s="5">
        <f>D10</f>
        <v>12</v>
      </c>
      <c r="X10" s="4">
        <v>0</v>
      </c>
      <c r="Z10" s="21">
        <f>V10*X10</f>
        <v>0</v>
      </c>
    </row>
    <row r="11" spans="1:26" x14ac:dyDescent="0.2">
      <c r="D11" s="5"/>
      <c r="F11" s="4"/>
      <c r="H11" s="6"/>
      <c r="M11" s="5"/>
      <c r="O11" s="4"/>
      <c r="Q11" s="21"/>
      <c r="V11" s="5"/>
      <c r="X11" s="4"/>
      <c r="Z11" s="21"/>
    </row>
    <row r="12" spans="1:26" x14ac:dyDescent="0.2">
      <c r="A12" s="1" t="s">
        <v>37</v>
      </c>
      <c r="D12" s="11"/>
      <c r="F12" s="14"/>
      <c r="H12" s="6"/>
      <c r="J12" s="1" t="s">
        <v>37</v>
      </c>
      <c r="M12" s="11"/>
      <c r="O12" s="14"/>
      <c r="Q12" s="21"/>
      <c r="S12" s="1" t="s">
        <v>37</v>
      </c>
      <c r="V12" s="11"/>
      <c r="X12" s="14"/>
      <c r="Z12" s="21"/>
    </row>
    <row r="13" spans="1:26" x14ac:dyDescent="0.2">
      <c r="A13" s="1"/>
      <c r="B13" s="47" t="s">
        <v>127</v>
      </c>
      <c r="D13" s="7">
        <f>D64</f>
        <v>3437.3548199999996</v>
      </c>
      <c r="F13" s="14">
        <v>604.75</v>
      </c>
      <c r="H13" s="6">
        <f>D13*F13</f>
        <v>2078740.3273949998</v>
      </c>
      <c r="J13" s="1"/>
      <c r="K13" s="47" t="s">
        <v>127</v>
      </c>
      <c r="M13" s="7">
        <f>D13</f>
        <v>3437.3548199999996</v>
      </c>
      <c r="O13" s="14">
        <v>604.75</v>
      </c>
      <c r="Q13" s="21">
        <f>M13*O13</f>
        <v>2078740.3273949998</v>
      </c>
      <c r="S13" s="1"/>
      <c r="T13" t="s">
        <v>110</v>
      </c>
      <c r="V13" s="7">
        <f>D13</f>
        <v>3437.3548199999996</v>
      </c>
      <c r="X13" s="14">
        <v>800.14</v>
      </c>
      <c r="Z13" s="21">
        <f>V13*X13</f>
        <v>2750365.0856747995</v>
      </c>
    </row>
    <row r="14" spans="1:26" x14ac:dyDescent="0.2">
      <c r="A14" s="1"/>
      <c r="B14" s="47"/>
      <c r="D14" s="7"/>
      <c r="F14" s="14"/>
      <c r="H14" s="6"/>
      <c r="J14" s="1"/>
      <c r="K14" s="47"/>
      <c r="M14" s="7"/>
      <c r="O14" s="14"/>
      <c r="Q14" s="21"/>
      <c r="S14" s="1"/>
      <c r="V14" s="7"/>
      <c r="X14" s="14"/>
      <c r="Z14" s="21"/>
    </row>
    <row r="15" spans="1:26" x14ac:dyDescent="0.2">
      <c r="A15" s="1" t="s">
        <v>41</v>
      </c>
      <c r="D15" s="47" t="s">
        <v>128</v>
      </c>
      <c r="J15" s="1" t="s">
        <v>41</v>
      </c>
      <c r="M15" s="47" t="s">
        <v>128</v>
      </c>
      <c r="Q15" s="21"/>
      <c r="S15" s="1" t="s">
        <v>41</v>
      </c>
      <c r="V15" s="47" t="s">
        <v>128</v>
      </c>
      <c r="Z15" s="21"/>
    </row>
    <row r="16" spans="1:26" x14ac:dyDescent="0.2">
      <c r="B16" s="47" t="s">
        <v>127</v>
      </c>
      <c r="D16" s="11">
        <f>H48</f>
        <v>1853440</v>
      </c>
      <c r="F16" s="40">
        <v>4.266</v>
      </c>
      <c r="H16" s="6">
        <f>D16*F16</f>
        <v>7906775.04</v>
      </c>
      <c r="K16" s="47" t="s">
        <v>127</v>
      </c>
      <c r="M16" s="11">
        <f>D16</f>
        <v>1853440</v>
      </c>
      <c r="O16" s="40">
        <v>5.391</v>
      </c>
      <c r="Q16" s="21">
        <f>M16*O16</f>
        <v>9991895.0399999991</v>
      </c>
      <c r="T16" s="47" t="s">
        <v>127</v>
      </c>
      <c r="V16" s="11">
        <v>1853440</v>
      </c>
      <c r="X16" s="40">
        <v>5.7539999999999996</v>
      </c>
      <c r="Z16" s="21">
        <f>V16*X16</f>
        <v>10664693.76</v>
      </c>
    </row>
    <row r="17" spans="2:26" x14ac:dyDescent="0.2">
      <c r="Q17" s="21"/>
      <c r="Z17" s="21"/>
    </row>
    <row r="18" spans="2:26" x14ac:dyDescent="0.2">
      <c r="B18" s="47" t="s">
        <v>44</v>
      </c>
      <c r="D18" s="11">
        <f>B48</f>
        <v>195743512</v>
      </c>
      <c r="F18" s="33">
        <v>1.0593047681075272E-2</v>
      </c>
      <c r="H18" s="6">
        <f>D18*F18</f>
        <v>2073520.3558771296</v>
      </c>
      <c r="K18" s="47" t="s">
        <v>44</v>
      </c>
      <c r="M18" s="11"/>
      <c r="O18" s="33"/>
      <c r="Q18" s="21">
        <v>-11599.64</v>
      </c>
      <c r="S18" s="1"/>
      <c r="T18" s="47" t="s">
        <v>44</v>
      </c>
      <c r="V18" s="11"/>
      <c r="X18" s="33"/>
      <c r="Z18" s="21">
        <f>Q18</f>
        <v>-11599.64</v>
      </c>
    </row>
    <row r="19" spans="2:26" x14ac:dyDescent="0.2">
      <c r="Q19" s="21"/>
      <c r="Z19" s="21"/>
    </row>
    <row r="20" spans="2:26" x14ac:dyDescent="0.2">
      <c r="B20" s="47" t="s">
        <v>129</v>
      </c>
      <c r="D20" s="11">
        <f>SUM(H13:H18)</f>
        <v>12059035.72327213</v>
      </c>
      <c r="F20" s="17">
        <v>0.1565</v>
      </c>
      <c r="H20" s="6">
        <f>D20*F20</f>
        <v>1887239.0906920882</v>
      </c>
      <c r="K20" s="47" t="s">
        <v>129</v>
      </c>
      <c r="M20" s="11"/>
      <c r="O20" s="17"/>
      <c r="Q20" s="21">
        <f>H20</f>
        <v>1887239.0906920882</v>
      </c>
      <c r="T20" s="47" t="s">
        <v>129</v>
      </c>
      <c r="V20" s="11"/>
      <c r="X20" s="17"/>
      <c r="Z20" s="21">
        <f>H20</f>
        <v>1887239.0906920882</v>
      </c>
    </row>
    <row r="21" spans="2:26" x14ac:dyDescent="0.2">
      <c r="B21" s="47"/>
      <c r="D21" s="11"/>
      <c r="F21" s="26"/>
      <c r="H21" s="6"/>
      <c r="K21" s="47"/>
      <c r="M21" s="11"/>
      <c r="O21" s="26"/>
      <c r="Q21" s="21"/>
      <c r="T21" s="47"/>
      <c r="V21" s="5"/>
      <c r="X21" s="25"/>
      <c r="Z21" s="21"/>
    </row>
    <row r="22" spans="2:26" x14ac:dyDescent="0.2">
      <c r="Q22" s="21"/>
      <c r="Z22" s="21"/>
    </row>
    <row r="23" spans="2:26" ht="13.5" thickBot="1" x14ac:dyDescent="0.25">
      <c r="B23" s="1" t="s">
        <v>51</v>
      </c>
      <c r="H23" s="10">
        <f>H13+H16+H18+H20</f>
        <v>13946274.813964218</v>
      </c>
      <c r="K23" s="1" t="s">
        <v>51</v>
      </c>
      <c r="Q23" s="37">
        <f>Q13+Q16+Q18+Q20</f>
        <v>13946274.818087086</v>
      </c>
      <c r="T23" s="1" t="s">
        <v>51</v>
      </c>
      <c r="Z23" s="37">
        <f>Z13+Z16+Z18+Z20</f>
        <v>15290698.296366887</v>
      </c>
    </row>
    <row r="24" spans="2:26" ht="13.5" thickTop="1" x14ac:dyDescent="0.2">
      <c r="T24" s="1"/>
      <c r="Z24" s="21"/>
    </row>
    <row r="25" spans="2:26" x14ac:dyDescent="0.2">
      <c r="B25" t="s">
        <v>130</v>
      </c>
      <c r="H25" s="13">
        <f>J48</f>
        <v>13946504.359532349</v>
      </c>
      <c r="Q25" s="14"/>
      <c r="T25" t="s">
        <v>52</v>
      </c>
      <c r="V25" s="7"/>
      <c r="X25" s="14"/>
      <c r="Z25" s="22">
        <f>Z23-Q23</f>
        <v>1344423.4782798011</v>
      </c>
    </row>
    <row r="26" spans="2:26" x14ac:dyDescent="0.2">
      <c r="B26" t="s">
        <v>5</v>
      </c>
      <c r="H26" s="6">
        <f>H25-H23</f>
        <v>229.5455681309104</v>
      </c>
      <c r="Q26" s="6"/>
    </row>
    <row r="27" spans="2:26" x14ac:dyDescent="0.2">
      <c r="Q27" s="12"/>
      <c r="T27" t="s">
        <v>6</v>
      </c>
      <c r="Z27" s="18">
        <f>Z25/Q23</f>
        <v>9.6400185412681139E-2</v>
      </c>
    </row>
    <row r="28" spans="2:26" x14ac:dyDescent="0.2">
      <c r="B28" t="s">
        <v>131</v>
      </c>
      <c r="H28" s="12">
        <f>H26/H25</f>
        <v>1.6459003791442366E-5</v>
      </c>
      <c r="Q28" s="12"/>
    </row>
    <row r="30" spans="2:26" x14ac:dyDescent="0.2">
      <c r="Z30" s="23"/>
    </row>
    <row r="32" spans="2:26" x14ac:dyDescent="0.2">
      <c r="Z32" s="4"/>
    </row>
    <row r="33" spans="1:26" x14ac:dyDescent="0.2">
      <c r="A33" s="47" t="str">
        <f>A2</f>
        <v>Steam Service</v>
      </c>
    </row>
    <row r="34" spans="1:26" x14ac:dyDescent="0.2">
      <c r="B34" s="47"/>
      <c r="Z34" s="4"/>
    </row>
    <row r="35" spans="1:26" x14ac:dyDescent="0.2">
      <c r="B35" s="3" t="s">
        <v>55</v>
      </c>
      <c r="D35" s="3" t="s">
        <v>72</v>
      </c>
      <c r="F35" s="3" t="s">
        <v>132</v>
      </c>
      <c r="H35" s="3" t="s">
        <v>133</v>
      </c>
      <c r="J35" s="3" t="s">
        <v>57</v>
      </c>
      <c r="K35" s="3"/>
      <c r="M35" s="3"/>
      <c r="O35" s="3"/>
      <c r="Q35" s="3"/>
    </row>
    <row r="36" spans="1:26" x14ac:dyDescent="0.2">
      <c r="A36" t="s">
        <v>58</v>
      </c>
      <c r="B36" s="5">
        <v>18945198</v>
      </c>
      <c r="C36" s="5"/>
      <c r="D36" s="5">
        <v>32663.909</v>
      </c>
      <c r="F36" s="5">
        <v>299.39999999999998</v>
      </c>
      <c r="H36" s="5">
        <v>176432</v>
      </c>
      <c r="I36" s="5"/>
      <c r="J36" s="23">
        <v>1562972.3768713975</v>
      </c>
      <c r="K36" s="5"/>
      <c r="L36" s="5"/>
      <c r="M36" s="5"/>
      <c r="O36" s="5"/>
      <c r="Q36" s="5"/>
      <c r="X36" s="39"/>
      <c r="Z36" s="6"/>
    </row>
    <row r="37" spans="1:26" x14ac:dyDescent="0.2">
      <c r="A37" t="s">
        <v>59</v>
      </c>
      <c r="B37" s="5">
        <v>17689543</v>
      </c>
      <c r="C37" s="5"/>
      <c r="D37" s="5">
        <v>32075.307000000001</v>
      </c>
      <c r="F37" s="5">
        <v>294.39999999999998</v>
      </c>
      <c r="H37" s="5">
        <v>165284</v>
      </c>
      <c r="I37" s="5"/>
      <c r="J37" s="23">
        <v>1195825.0958700387</v>
      </c>
      <c r="K37" s="5"/>
      <c r="L37" s="5"/>
      <c r="M37" s="5"/>
      <c r="O37" s="5"/>
      <c r="Q37" s="5"/>
    </row>
    <row r="38" spans="1:26" x14ac:dyDescent="0.2">
      <c r="A38" t="s">
        <v>60</v>
      </c>
      <c r="B38" s="5">
        <v>18551221</v>
      </c>
      <c r="C38" s="5"/>
      <c r="D38" s="5">
        <v>34939.947999999997</v>
      </c>
      <c r="F38" s="5">
        <v>321.39999999999998</v>
      </c>
      <c r="H38" s="5">
        <v>174059</v>
      </c>
      <c r="I38" s="5"/>
      <c r="J38" s="23">
        <v>1242493.2619012319</v>
      </c>
      <c r="K38" s="5"/>
      <c r="L38" s="5"/>
      <c r="M38" s="5"/>
      <c r="O38" s="5"/>
      <c r="Q38" s="5"/>
      <c r="X38" s="39"/>
      <c r="Z38" s="6"/>
    </row>
    <row r="39" spans="1:26" x14ac:dyDescent="0.2">
      <c r="A39" t="s">
        <v>61</v>
      </c>
      <c r="B39" s="5">
        <v>15906287</v>
      </c>
      <c r="C39" s="5"/>
      <c r="D39" s="5">
        <v>31161.688999999998</v>
      </c>
      <c r="F39" s="5">
        <v>286.7</v>
      </c>
      <c r="H39" s="5">
        <v>149271</v>
      </c>
      <c r="I39" s="5"/>
      <c r="J39" s="23">
        <v>1126456.6084347283</v>
      </c>
      <c r="K39" s="5"/>
      <c r="L39" s="5"/>
      <c r="M39" s="5"/>
      <c r="O39" s="5"/>
      <c r="Q39" s="5"/>
    </row>
    <row r="40" spans="1:26" x14ac:dyDescent="0.2">
      <c r="A40" t="s">
        <v>62</v>
      </c>
      <c r="B40" s="5">
        <v>16004797</v>
      </c>
      <c r="C40" s="5"/>
      <c r="D40" s="5">
        <v>27941.266</v>
      </c>
      <c r="F40" s="5">
        <v>257.12</v>
      </c>
      <c r="H40" s="5">
        <v>150224</v>
      </c>
      <c r="I40" s="5"/>
      <c r="J40" s="23">
        <v>1137606.1856342985</v>
      </c>
      <c r="K40" s="5"/>
      <c r="L40" s="5"/>
      <c r="M40" s="5"/>
      <c r="O40" s="5"/>
      <c r="Q40" s="5"/>
    </row>
    <row r="41" spans="1:26" x14ac:dyDescent="0.2">
      <c r="A41" t="s">
        <v>63</v>
      </c>
      <c r="B41" s="5">
        <v>14501663</v>
      </c>
      <c r="C41" s="5"/>
      <c r="D41" s="5">
        <v>29150.857</v>
      </c>
      <c r="F41" s="5">
        <v>269.2</v>
      </c>
      <c r="H41" s="5">
        <v>137133</v>
      </c>
      <c r="I41" s="5"/>
      <c r="J41" s="23">
        <v>973015.8138445717</v>
      </c>
      <c r="K41" s="5"/>
      <c r="L41" s="5"/>
      <c r="M41" s="5"/>
      <c r="O41" s="5"/>
      <c r="Q41" s="5"/>
    </row>
    <row r="42" spans="1:26" x14ac:dyDescent="0.2">
      <c r="A42" t="s">
        <v>64</v>
      </c>
      <c r="B42" s="5">
        <v>15532219</v>
      </c>
      <c r="C42" s="5"/>
      <c r="D42" s="5">
        <v>27776.577000000001</v>
      </c>
      <c r="F42" s="5">
        <v>257.12</v>
      </c>
      <c r="H42" s="5">
        <v>147516</v>
      </c>
      <c r="I42" s="5"/>
      <c r="J42" s="23">
        <v>1071664.2471356676</v>
      </c>
      <c r="K42" s="5"/>
      <c r="L42" s="5"/>
      <c r="M42" s="5"/>
      <c r="O42" s="5"/>
      <c r="Q42" s="5"/>
    </row>
    <row r="43" spans="1:26" x14ac:dyDescent="0.2">
      <c r="A43" t="s">
        <v>65</v>
      </c>
      <c r="B43" s="5">
        <v>15219343</v>
      </c>
      <c r="C43" s="5"/>
      <c r="D43" s="5">
        <v>29844.763999999999</v>
      </c>
      <c r="F43" s="5">
        <v>277</v>
      </c>
      <c r="H43" s="5">
        <v>145353</v>
      </c>
      <c r="I43" s="5"/>
      <c r="J43" s="23">
        <v>1154954.5854317762</v>
      </c>
      <c r="K43" s="5"/>
      <c r="L43" s="5"/>
      <c r="M43" s="5"/>
      <c r="O43" s="5"/>
      <c r="Q43" s="5"/>
    </row>
    <row r="44" spans="1:26" x14ac:dyDescent="0.2">
      <c r="A44" t="s">
        <v>66</v>
      </c>
      <c r="B44" s="5">
        <v>11411802</v>
      </c>
      <c r="C44" s="5"/>
      <c r="D44" s="5">
        <v>27533.152999999998</v>
      </c>
      <c r="F44" s="5">
        <v>257.12</v>
      </c>
      <c r="H44" s="5">
        <v>110300</v>
      </c>
      <c r="I44" s="5"/>
      <c r="J44" s="23">
        <v>867910.26369393675</v>
      </c>
      <c r="K44" s="5"/>
      <c r="L44" s="5"/>
      <c r="M44" s="5"/>
      <c r="O44" s="5"/>
      <c r="Q44" s="5"/>
    </row>
    <row r="45" spans="1:26" x14ac:dyDescent="0.2">
      <c r="A45" t="s">
        <v>67</v>
      </c>
      <c r="B45" s="5">
        <v>16875670</v>
      </c>
      <c r="C45" s="5"/>
      <c r="D45" s="5">
        <v>28401.05</v>
      </c>
      <c r="F45" s="5">
        <v>264.89999999999998</v>
      </c>
      <c r="H45" s="5">
        <v>162753</v>
      </c>
      <c r="I45" s="5"/>
      <c r="J45" s="23">
        <v>1209070.6042105197</v>
      </c>
      <c r="K45" s="5"/>
      <c r="L45" s="5"/>
      <c r="M45" s="5"/>
      <c r="O45" s="5"/>
      <c r="Q45" s="5"/>
    </row>
    <row r="46" spans="1:26" x14ac:dyDescent="0.2">
      <c r="A46" t="s">
        <v>68</v>
      </c>
      <c r="B46" s="5">
        <v>16816912</v>
      </c>
      <c r="C46" s="5"/>
      <c r="D46" s="5">
        <v>30358.972000000002</v>
      </c>
      <c r="F46" s="5">
        <v>282.2</v>
      </c>
      <c r="H46" s="5">
        <v>161167</v>
      </c>
      <c r="I46" s="5"/>
      <c r="J46" s="23">
        <v>1178500.7774461352</v>
      </c>
      <c r="K46" s="5"/>
      <c r="L46" s="11"/>
      <c r="M46" s="11"/>
      <c r="O46" s="11"/>
      <c r="Q46" s="11"/>
    </row>
    <row r="47" spans="1:26" x14ac:dyDescent="0.2">
      <c r="A47" t="s">
        <v>69</v>
      </c>
      <c r="B47" s="8">
        <v>18288857</v>
      </c>
      <c r="C47" s="8"/>
      <c r="D47" s="8">
        <v>31065.357</v>
      </c>
      <c r="F47" s="8">
        <v>287.7</v>
      </c>
      <c r="H47" s="8">
        <v>173948</v>
      </c>
      <c r="I47" s="8"/>
      <c r="J47" s="30">
        <v>1226034.5390580446</v>
      </c>
      <c r="K47" s="11"/>
      <c r="L47" s="11"/>
      <c r="M47" s="11"/>
      <c r="O47" s="11"/>
      <c r="Q47" s="11"/>
    </row>
    <row r="48" spans="1:26" x14ac:dyDescent="0.2">
      <c r="B48" s="5">
        <f>SUM(B36:B47)</f>
        <v>195743512</v>
      </c>
      <c r="C48" s="5"/>
      <c r="D48" s="5">
        <f t="shared" ref="D48:H48" si="0">SUM(D36:D47)</f>
        <v>362912.84899999999</v>
      </c>
      <c r="F48" s="5">
        <f t="shared" si="0"/>
        <v>3354.2599999999998</v>
      </c>
      <c r="H48" s="5">
        <f t="shared" si="0"/>
        <v>1853440</v>
      </c>
      <c r="I48" s="5"/>
      <c r="J48" s="23">
        <f>SUM(J36:J47)</f>
        <v>13946504.359532349</v>
      </c>
      <c r="K48" s="5"/>
      <c r="L48" s="11"/>
      <c r="M48" s="11"/>
      <c r="O48" s="11"/>
      <c r="Q48" s="11"/>
    </row>
    <row r="50" spans="1:26" x14ac:dyDescent="0.2">
      <c r="B50" s="47"/>
      <c r="D50" s="3" t="s">
        <v>134</v>
      </c>
      <c r="M50" s="3"/>
      <c r="Z50" s="4"/>
    </row>
    <row r="51" spans="1:26" x14ac:dyDescent="0.2">
      <c r="B51" s="3" t="s">
        <v>135</v>
      </c>
      <c r="D51" s="3" t="s">
        <v>132</v>
      </c>
      <c r="H51" s="3"/>
      <c r="J51" s="3"/>
      <c r="K51" s="3"/>
      <c r="M51" s="3"/>
      <c r="Q51" s="3"/>
    </row>
    <row r="52" spans="1:26" x14ac:dyDescent="0.2">
      <c r="A52" t="s">
        <v>58</v>
      </c>
      <c r="B52" s="31">
        <v>1.016</v>
      </c>
      <c r="C52" s="5"/>
      <c r="D52" s="11">
        <f t="shared" ref="D52:D63" si="1">B52*F36</f>
        <v>304.19039999999995</v>
      </c>
      <c r="H52" s="22"/>
      <c r="I52" s="5"/>
      <c r="J52" s="22"/>
      <c r="K52" s="22"/>
      <c r="L52" s="5"/>
      <c r="M52" s="11"/>
      <c r="Q52" s="22"/>
    </row>
    <row r="53" spans="1:26" x14ac:dyDescent="0.2">
      <c r="A53" t="s">
        <v>59</v>
      </c>
      <c r="B53" s="31">
        <v>1.018</v>
      </c>
      <c r="C53" s="5"/>
      <c r="D53" s="11">
        <f t="shared" si="1"/>
        <v>299.69919999999996</v>
      </c>
      <c r="H53" s="22"/>
      <c r="I53" s="5"/>
      <c r="J53" s="22"/>
      <c r="K53" s="22"/>
      <c r="L53" s="5"/>
      <c r="M53" s="11"/>
      <c r="Q53" s="22"/>
    </row>
    <row r="54" spans="1:26" x14ac:dyDescent="0.2">
      <c r="A54" t="s">
        <v>60</v>
      </c>
      <c r="B54" s="31">
        <v>1.02</v>
      </c>
      <c r="C54" s="5"/>
      <c r="D54" s="11">
        <f t="shared" si="1"/>
        <v>327.82799999999997</v>
      </c>
      <c r="H54" s="22"/>
      <c r="I54" s="5"/>
      <c r="J54" s="22"/>
      <c r="K54" s="22"/>
      <c r="L54" s="5"/>
      <c r="M54" s="11"/>
      <c r="Q54" s="22"/>
    </row>
    <row r="55" spans="1:26" x14ac:dyDescent="0.2">
      <c r="A55" t="s">
        <v>61</v>
      </c>
      <c r="B55" s="31">
        <v>1.02</v>
      </c>
      <c r="C55" s="5"/>
      <c r="D55" s="11">
        <f t="shared" si="1"/>
        <v>292.43399999999997</v>
      </c>
      <c r="H55" s="22"/>
      <c r="I55" s="5"/>
      <c r="J55" s="22"/>
      <c r="K55" s="22"/>
      <c r="L55" s="5"/>
      <c r="M55" s="11"/>
      <c r="Q55" s="22"/>
    </row>
    <row r="56" spans="1:26" x14ac:dyDescent="0.2">
      <c r="A56" t="s">
        <v>62</v>
      </c>
      <c r="B56" s="31">
        <v>1.02</v>
      </c>
      <c r="C56" s="5"/>
      <c r="D56" s="11">
        <f t="shared" si="1"/>
        <v>262.26240000000001</v>
      </c>
      <c r="H56" s="22"/>
      <c r="I56" s="5"/>
      <c r="J56" s="22"/>
      <c r="K56" s="22"/>
      <c r="L56" s="5"/>
      <c r="M56" s="11"/>
      <c r="Q56" s="22"/>
    </row>
    <row r="57" spans="1:26" x14ac:dyDescent="0.2">
      <c r="A57" t="s">
        <v>63</v>
      </c>
      <c r="B57" s="31">
        <v>1.024</v>
      </c>
      <c r="C57" s="5"/>
      <c r="D57" s="11">
        <f t="shared" si="1"/>
        <v>275.66079999999999</v>
      </c>
      <c r="H57" s="22"/>
      <c r="I57" s="5"/>
      <c r="J57" s="22"/>
      <c r="K57" s="22"/>
      <c r="L57" s="5"/>
      <c r="M57" s="11"/>
      <c r="Q57" s="22"/>
    </row>
    <row r="58" spans="1:26" x14ac:dyDescent="0.2">
      <c r="A58" t="s">
        <v>64</v>
      </c>
      <c r="B58" s="31">
        <v>1.026</v>
      </c>
      <c r="C58" s="5"/>
      <c r="D58" s="11">
        <f t="shared" si="1"/>
        <v>263.80511999999999</v>
      </c>
      <c r="H58" s="22"/>
      <c r="I58" s="5"/>
      <c r="J58" s="22"/>
      <c r="K58" s="22"/>
      <c r="L58" s="5"/>
      <c r="M58" s="11"/>
      <c r="Q58" s="22"/>
    </row>
    <row r="59" spans="1:26" x14ac:dyDescent="0.2">
      <c r="A59" t="s">
        <v>65</v>
      </c>
      <c r="B59" s="31">
        <v>1.0289999999999999</v>
      </c>
      <c r="C59" s="5"/>
      <c r="D59" s="11">
        <f t="shared" si="1"/>
        <v>285.03299999999996</v>
      </c>
      <c r="H59" s="22"/>
      <c r="I59" s="5"/>
      <c r="J59" s="22"/>
      <c r="K59" s="22"/>
      <c r="L59" s="5"/>
      <c r="M59" s="11"/>
      <c r="Q59" s="22"/>
    </row>
    <row r="60" spans="1:26" x14ac:dyDescent="0.2">
      <c r="A60" t="s">
        <v>66</v>
      </c>
      <c r="B60" s="31">
        <v>1.0349999999999999</v>
      </c>
      <c r="C60" s="5"/>
      <c r="D60" s="11">
        <f t="shared" si="1"/>
        <v>266.11919999999998</v>
      </c>
      <c r="H60" s="22"/>
      <c r="I60" s="5"/>
      <c r="J60" s="22"/>
      <c r="K60" s="22"/>
      <c r="L60" s="5"/>
      <c r="M60" s="11"/>
      <c r="Q60" s="22"/>
    </row>
    <row r="61" spans="1:26" x14ac:dyDescent="0.2">
      <c r="A61" t="s">
        <v>67</v>
      </c>
      <c r="B61" s="31">
        <v>1.034</v>
      </c>
      <c r="C61" s="5"/>
      <c r="D61" s="11">
        <f t="shared" si="1"/>
        <v>273.90659999999997</v>
      </c>
      <c r="H61" s="22"/>
      <c r="I61" s="5"/>
      <c r="J61" s="22"/>
      <c r="K61" s="22"/>
      <c r="L61" s="5"/>
      <c r="M61" s="11"/>
      <c r="Q61" s="22"/>
    </row>
    <row r="62" spans="1:26" x14ac:dyDescent="0.2">
      <c r="A62" t="s">
        <v>68</v>
      </c>
      <c r="B62" s="31">
        <v>1.0309999999999999</v>
      </c>
      <c r="C62" s="5"/>
      <c r="D62" s="11">
        <f t="shared" si="1"/>
        <v>290.94819999999999</v>
      </c>
      <c r="H62" s="22"/>
      <c r="I62" s="5"/>
      <c r="J62" s="22"/>
      <c r="K62" s="22"/>
      <c r="L62" s="5"/>
      <c r="M62" s="11"/>
      <c r="Q62" s="22"/>
    </row>
    <row r="63" spans="1:26" x14ac:dyDescent="0.2">
      <c r="A63" t="s">
        <v>69</v>
      </c>
      <c r="B63" s="34">
        <v>1.0269999999999999</v>
      </c>
      <c r="C63" s="8"/>
      <c r="D63" s="8">
        <f t="shared" si="1"/>
        <v>295.46789999999999</v>
      </c>
      <c r="H63" s="22"/>
      <c r="I63" s="11"/>
      <c r="J63" s="22"/>
      <c r="K63" s="22"/>
      <c r="L63" s="11"/>
      <c r="M63" s="11"/>
      <c r="Q63" s="22"/>
    </row>
    <row r="64" spans="1:26" x14ac:dyDescent="0.2">
      <c r="B64" s="31">
        <f t="shared" ref="B64" si="2">SUM(B52:B63)</f>
        <v>12.299999999999999</v>
      </c>
      <c r="C64" s="5"/>
      <c r="D64" s="5">
        <f t="shared" ref="D64" si="3">SUM(D52:D63)</f>
        <v>3437.3548199999996</v>
      </c>
      <c r="H64" s="22"/>
      <c r="I64" s="5"/>
      <c r="J64" s="22"/>
      <c r="K64" s="22"/>
      <c r="L64" s="5"/>
      <c r="M64" s="5"/>
      <c r="Q64" s="22"/>
    </row>
    <row r="66" spans="1:17" x14ac:dyDescent="0.2">
      <c r="A66" s="47" t="s">
        <v>73</v>
      </c>
    </row>
    <row r="67" spans="1:17" x14ac:dyDescent="0.2">
      <c r="B67" s="3" t="s">
        <v>74</v>
      </c>
      <c r="C67" s="1"/>
      <c r="D67" s="3" t="s">
        <v>44</v>
      </c>
      <c r="I67" s="1"/>
      <c r="L67" s="1"/>
      <c r="M67" s="3"/>
    </row>
    <row r="68" spans="1:17" x14ac:dyDescent="0.2">
      <c r="A68" t="s">
        <v>58</v>
      </c>
      <c r="B68" s="11">
        <v>53458889</v>
      </c>
      <c r="D68">
        <v>2.2550000000000001E-2</v>
      </c>
      <c r="H68" s="19">
        <f t="shared" ref="H68:H79" si="4">B68*D68</f>
        <v>1205497.94695</v>
      </c>
      <c r="J68" s="19"/>
      <c r="K68" s="19"/>
      <c r="Q68" s="19"/>
    </row>
    <row r="69" spans="1:17" x14ac:dyDescent="0.2">
      <c r="A69" t="s">
        <v>59</v>
      </c>
      <c r="B69" s="11">
        <v>46273428</v>
      </c>
      <c r="D69">
        <v>1.1480000000000001E-2</v>
      </c>
      <c r="H69" s="19">
        <f t="shared" si="4"/>
        <v>531218.95344000007</v>
      </c>
      <c r="J69" s="19"/>
      <c r="K69" s="19"/>
      <c r="Q69" s="19"/>
    </row>
    <row r="70" spans="1:17" x14ac:dyDescent="0.2">
      <c r="A70" t="s">
        <v>60</v>
      </c>
      <c r="B70" s="11">
        <v>48308944</v>
      </c>
      <c r="D70">
        <v>8.9300000000000004E-3</v>
      </c>
      <c r="H70" s="19">
        <f t="shared" si="4"/>
        <v>431398.86992000003</v>
      </c>
      <c r="J70" s="19"/>
      <c r="K70" s="19"/>
      <c r="Q70" s="19"/>
    </row>
    <row r="71" spans="1:17" x14ac:dyDescent="0.2">
      <c r="A71" t="s">
        <v>61</v>
      </c>
      <c r="B71" s="11">
        <v>49729517</v>
      </c>
      <c r="D71">
        <v>9.5600000000000008E-3</v>
      </c>
      <c r="H71" s="19">
        <f t="shared" si="4"/>
        <v>475414.18252000003</v>
      </c>
      <c r="J71" s="19"/>
      <c r="K71" s="19"/>
      <c r="Q71" s="19"/>
    </row>
    <row r="72" spans="1:17" x14ac:dyDescent="0.2">
      <c r="A72" t="s">
        <v>62</v>
      </c>
      <c r="B72" s="11">
        <v>48208135</v>
      </c>
      <c r="D72">
        <v>1.119E-2</v>
      </c>
      <c r="H72" s="19">
        <f t="shared" si="4"/>
        <v>539449.03064999997</v>
      </c>
      <c r="J72" s="19"/>
      <c r="K72" s="19"/>
      <c r="Q72" s="19"/>
    </row>
    <row r="73" spans="1:17" x14ac:dyDescent="0.2">
      <c r="A73" t="s">
        <v>63</v>
      </c>
      <c r="B73" s="11">
        <v>40086544</v>
      </c>
      <c r="D73">
        <v>4.5799999999999999E-3</v>
      </c>
      <c r="H73" s="19">
        <f t="shared" si="4"/>
        <v>183596.37151999999</v>
      </c>
      <c r="J73" s="19"/>
      <c r="K73" s="19"/>
      <c r="Q73" s="19"/>
    </row>
    <row r="74" spans="1:17" x14ac:dyDescent="0.2">
      <c r="A74" t="s">
        <v>64</v>
      </c>
      <c r="B74" s="11">
        <v>53606412</v>
      </c>
      <c r="D74">
        <v>6.8399999999999997E-3</v>
      </c>
      <c r="H74" s="19">
        <f t="shared" si="4"/>
        <v>366667.85807999998</v>
      </c>
      <c r="J74" s="19"/>
      <c r="K74" s="19"/>
      <c r="Q74" s="19"/>
    </row>
    <row r="75" spans="1:17" x14ac:dyDescent="0.2">
      <c r="A75" t="s">
        <v>65</v>
      </c>
      <c r="B75" s="11">
        <v>57156216</v>
      </c>
      <c r="D75">
        <v>1.1169999999999999E-2</v>
      </c>
      <c r="H75" s="19">
        <f t="shared" si="4"/>
        <v>638434.93271999992</v>
      </c>
      <c r="J75" s="19"/>
      <c r="K75" s="19"/>
      <c r="Q75" s="19"/>
    </row>
    <row r="76" spans="1:17" x14ac:dyDescent="0.2">
      <c r="A76" t="s">
        <v>66</v>
      </c>
      <c r="B76" s="11">
        <v>55900254</v>
      </c>
      <c r="D76">
        <v>1.035E-2</v>
      </c>
      <c r="H76" s="19">
        <f t="shared" si="4"/>
        <v>578567.62890000001</v>
      </c>
      <c r="J76" s="19"/>
      <c r="K76" s="19"/>
      <c r="Q76" s="19"/>
    </row>
    <row r="77" spans="1:17" x14ac:dyDescent="0.2">
      <c r="A77" t="s">
        <v>67</v>
      </c>
      <c r="B77" s="11">
        <v>66924470</v>
      </c>
      <c r="D77">
        <v>1.108E-2</v>
      </c>
      <c r="H77" s="19">
        <f t="shared" si="4"/>
        <v>741523.12760000001</v>
      </c>
      <c r="J77" s="19"/>
      <c r="K77" s="19"/>
      <c r="Q77" s="19"/>
    </row>
    <row r="78" spans="1:17" x14ac:dyDescent="0.2">
      <c r="A78" t="s">
        <v>68</v>
      </c>
      <c r="B78" s="11">
        <v>63653558</v>
      </c>
      <c r="D78">
        <v>8.0599999999999995E-3</v>
      </c>
      <c r="H78" s="19">
        <f t="shared" si="4"/>
        <v>513047.67747999995</v>
      </c>
      <c r="J78" s="19"/>
      <c r="K78" s="19"/>
      <c r="Q78" s="19"/>
    </row>
    <row r="79" spans="1:17" x14ac:dyDescent="0.2">
      <c r="A79" t="s">
        <v>69</v>
      </c>
      <c r="B79" s="8">
        <v>62507052</v>
      </c>
      <c r="D79">
        <v>6.3200000000000001E-3</v>
      </c>
      <c r="H79" s="20">
        <f t="shared" si="4"/>
        <v>395044.56864000001</v>
      </c>
      <c r="J79" s="19"/>
      <c r="K79" s="19"/>
      <c r="Q79" s="20"/>
    </row>
    <row r="80" spans="1:17" x14ac:dyDescent="0.2">
      <c r="B80" s="7">
        <f>SUM(B68:B79)</f>
        <v>645813419</v>
      </c>
      <c r="H80" s="19">
        <f>SUM(H68:H79)</f>
        <v>6599861.1484200004</v>
      </c>
      <c r="J80" s="19"/>
      <c r="K80" s="19"/>
      <c r="Q80" s="19"/>
    </row>
  </sheetData>
  <mergeCells count="3">
    <mergeCell ref="F4:H5"/>
    <mergeCell ref="M4:Q5"/>
    <mergeCell ref="V4:Z5"/>
  </mergeCells>
  <pageMargins left="0.75" right="0.75" top="1" bottom="1" header="0.5" footer="0.5"/>
  <pageSetup scale="71" orientation="landscape" r:id="rId1"/>
  <headerFooter alignWithMargins="0">
    <oddFooter>&amp;RExhibit JWW-4
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F1761B99A93040A03A8E42C6E42200" ma:contentTypeVersion="17" ma:contentTypeDescription="Create a new document." ma:contentTypeScope="" ma:versionID="1198eab32e112d88ee73eb89ed2f82dc">
  <xsd:schema xmlns:xsd="http://www.w3.org/2001/XMLSchema" xmlns:xs="http://www.w3.org/2001/XMLSchema" xmlns:p="http://schemas.microsoft.com/office/2006/metadata/properties" xmlns:ns2="ae06fcea-541a-49e3-952a-5eaf56d381f3" xmlns:ns3="daea435f-7073-4c60-9060-e78a3a9f8d50" targetNamespace="http://schemas.microsoft.com/office/2006/metadata/properties" ma:root="true" ma:fieldsID="439480ed946fb21b291420ccb990d1b2" ns2:_="" ns3:_="">
    <xsd:import namespace="ae06fcea-541a-49e3-952a-5eaf56d381f3"/>
    <xsd:import namespace="daea435f-7073-4c60-9060-e78a3a9f8d50"/>
    <xsd:element name="properties">
      <xsd:complexType>
        <xsd:sequence>
          <xsd:element name="documentManagement">
            <xsd:complexType>
              <xsd:all>
                <xsd:element ref="ns2:Comment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6fcea-541a-49e3-952a-5eaf56d381f3" elementFormDefault="qualified">
    <xsd:import namespace="http://schemas.microsoft.com/office/2006/documentManagement/types"/>
    <xsd:import namespace="http://schemas.microsoft.com/office/infopath/2007/PartnerControls"/>
    <xsd:element name="Comment" ma:index="3" nillable="true" ma:displayName="Comment" ma:internalName="Comment" ma:readOnly="false">
      <xsd:simpleType>
        <xsd:restriction base="dms:Text">
          <xsd:maxLength value="255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a2f345f3-6a94-45cd-9be3-ab551ccca9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ea435f-7073-4c60-9060-e78a3a9f8d5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c3f6179-9671-476d-b47b-6bb1899845eb}" ma:internalName="TaxCatchAll" ma:readOnly="false" ma:showField="CatchAllData" ma:web="daea435f-7073-4c60-9060-e78a3a9f8d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e06fcea-541a-49e3-952a-5eaf56d381f3">
      <Terms xmlns="http://schemas.microsoft.com/office/infopath/2007/PartnerControls"/>
    </lcf76f155ced4ddcb4097134ff3c332f>
    <TaxCatchAll xmlns="daea435f-7073-4c60-9060-e78a3a9f8d50" xsi:nil="true"/>
    <Comment xmlns="ae06fcea-541a-49e3-952a-5eaf56d381f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56E36F-A77F-4EC3-8121-1CA36A3069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06fcea-541a-49e3-952a-5eaf56d381f3"/>
    <ds:schemaRef ds:uri="daea435f-7073-4c60-9060-e78a3a9f8d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354B1B-FBCF-4FA0-8D51-1DB5D5C92AE1}">
  <ds:schemaRefs>
    <ds:schemaRef ds:uri="http://schemas.microsoft.com/office/2006/metadata/properties"/>
    <ds:schemaRef ds:uri="http://schemas.microsoft.com/office/infopath/2007/PartnerControls"/>
    <ds:schemaRef ds:uri="ae06fcea-541a-49e3-952a-5eaf56d381f3"/>
    <ds:schemaRef ds:uri="daea435f-7073-4c60-9060-e78a3a9f8d50"/>
  </ds:schemaRefs>
</ds:datastoreItem>
</file>

<file path=customXml/itemProps3.xml><?xml version="1.0" encoding="utf-8"?>
<ds:datastoreItem xmlns:ds="http://schemas.openxmlformats.org/officeDocument/2006/customXml" ds:itemID="{21F4CEC1-F731-4FC8-AB49-481BCF96D6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EKPC Summary</vt:lpstr>
      <vt:lpstr>Rate B</vt:lpstr>
      <vt:lpstr>Rate C</vt:lpstr>
      <vt:lpstr>Rate G</vt:lpstr>
      <vt:lpstr>Rate E </vt:lpstr>
      <vt:lpstr>Special Contract</vt:lpstr>
      <vt:lpstr>Pumping Stations</vt:lpstr>
      <vt:lpstr>Steam</vt:lpstr>
      <vt:lpstr>'EKPC Summary'!Print_Area</vt:lpstr>
      <vt:lpstr>'Pumping Stations'!Print_Area</vt:lpstr>
      <vt:lpstr>'Rate B'!Print_Area</vt:lpstr>
      <vt:lpstr>'Rate C'!Print_Area</vt:lpstr>
      <vt:lpstr>'Rate E '!Print_Area</vt:lpstr>
      <vt:lpstr>'Rate G'!Print_Area</vt:lpstr>
      <vt:lpstr>'Special Contract'!Print_Area</vt:lpstr>
      <vt:lpstr>Steam!Print_Area</vt:lpstr>
    </vt:vector>
  </TitlesOfParts>
  <Manager/>
  <Company>Dell Computer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Preferred Customer</dc:creator>
  <cp:keywords/>
  <dc:description/>
  <cp:lastModifiedBy>Jeff Wernert</cp:lastModifiedBy>
  <cp:revision/>
  <dcterms:created xsi:type="dcterms:W3CDTF">2000-08-08T17:19:06Z</dcterms:created>
  <dcterms:modified xsi:type="dcterms:W3CDTF">2025-11-22T17:08:05Z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0x0101002BF1761B99A93040A03A8E42C6E42200</vt:lpwstr>
  </property>
</Properties>
</file>