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PSC Case 2025-00208 - Rate Case\Settlement\Testimony Draft\v4\"/>
    </mc:Choice>
  </mc:AlternateContent>
  <xr:revisionPtr revIDLastSave="0" documentId="13_ncr:1_{FD0837B1-4A6D-4340-B5C0-85435BEA85F9}" xr6:coauthVersionLast="47" xr6:coauthVersionMax="47" xr10:uidLastSave="{00000000-0000-0000-0000-000000000000}"/>
  <bookViews>
    <workbookView xWindow="2205" yWindow="2205" windowWidth="38700" windowHeight="15285" xr2:uid="{65574512-74F2-485E-84EB-85E72F6B3BC8}"/>
  </bookViews>
  <sheets>
    <sheet name="Summary" sheetId="1" r:id="rId1"/>
    <sheet name="1.01" sheetId="2" r:id="rId2"/>
    <sheet name="1.02" sheetId="3" r:id="rId3"/>
    <sheet name="1.03" sheetId="12" r:id="rId4"/>
    <sheet name="1.04" sheetId="5" r:id="rId5"/>
    <sheet name="1.05" sheetId="6" r:id="rId6"/>
    <sheet name="1.06" sheetId="8" r:id="rId7"/>
  </sheets>
  <definedNames>
    <definedName name="_xlnm._FilterDatabase" localSheetId="3" hidden="1">'1.03'!$A$8:$R$281</definedName>
    <definedName name="_xlnm.Print_Area" localSheetId="2">'1.02'!$A$1:$G$20</definedName>
    <definedName name="_xlnm.Print_Area" localSheetId="3">'1.03'!$A$1:$P$279</definedName>
    <definedName name="_xlnm.Print_Area" localSheetId="5">'1.05'!$A$1:$H$34</definedName>
    <definedName name="_xlnm.Print_Area" localSheetId="0">Summary!$A$1:$F$9</definedName>
    <definedName name="_xlnm.Print_Titles" localSheetId="3">'1.03'!$1:$10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D5" i="1"/>
  <c r="N13" i="12"/>
  <c r="P13" i="12"/>
  <c r="E15" i="12"/>
  <c r="G15" i="12"/>
  <c r="L15" i="12"/>
  <c r="I15" i="12" s="1"/>
  <c r="N15" i="12"/>
  <c r="P15" i="12"/>
  <c r="N20" i="12"/>
  <c r="N26" i="12" s="1"/>
  <c r="P20" i="12"/>
  <c r="Q20" i="12"/>
  <c r="N21" i="12"/>
  <c r="P21" i="12"/>
  <c r="Q21" i="12"/>
  <c r="G22" i="12"/>
  <c r="G26" i="12" s="1"/>
  <c r="N22" i="12"/>
  <c r="P22" i="12"/>
  <c r="Q22" i="12"/>
  <c r="N23" i="12"/>
  <c r="P23" i="12"/>
  <c r="Q23" i="12"/>
  <c r="N24" i="12"/>
  <c r="P24" i="12" s="1"/>
  <c r="Q24" i="12"/>
  <c r="E26" i="12"/>
  <c r="L26" i="12"/>
  <c r="I26" i="12" s="1"/>
  <c r="N29" i="12"/>
  <c r="N40" i="12" s="1"/>
  <c r="P29" i="12"/>
  <c r="P40" i="12" s="1"/>
  <c r="Q29" i="12"/>
  <c r="Q40" i="12" s="1"/>
  <c r="N30" i="12"/>
  <c r="P30" i="12"/>
  <c r="Q30" i="12"/>
  <c r="N31" i="12"/>
  <c r="P31" i="12"/>
  <c r="Q31" i="12"/>
  <c r="G32" i="12"/>
  <c r="N32" i="12"/>
  <c r="P32" i="12"/>
  <c r="Q32" i="12"/>
  <c r="N33" i="12"/>
  <c r="P33" i="12"/>
  <c r="Q33" i="12"/>
  <c r="N34" i="12"/>
  <c r="P34" i="12"/>
  <c r="Q34" i="12"/>
  <c r="N35" i="12"/>
  <c r="P35" i="12"/>
  <c r="Q35" i="12"/>
  <c r="N36" i="12"/>
  <c r="P36" i="12"/>
  <c r="Q36" i="12"/>
  <c r="N37" i="12"/>
  <c r="P37" i="12"/>
  <c r="Q37" i="12"/>
  <c r="N38" i="12"/>
  <c r="P38" i="12"/>
  <c r="Q38" i="12"/>
  <c r="E40" i="12"/>
  <c r="E92" i="12" s="1"/>
  <c r="G40" i="12"/>
  <c r="L40" i="12"/>
  <c r="L92" i="12" s="1"/>
  <c r="N43" i="12"/>
  <c r="P43" i="12"/>
  <c r="P55" i="12" s="1"/>
  <c r="Q43" i="12"/>
  <c r="Q55" i="12" s="1"/>
  <c r="N44" i="12"/>
  <c r="P44" i="12"/>
  <c r="Q44" i="12"/>
  <c r="N45" i="12"/>
  <c r="P45" i="12"/>
  <c r="Q45" i="12"/>
  <c r="N46" i="12"/>
  <c r="P46" i="12"/>
  <c r="Q46" i="12"/>
  <c r="G47" i="12"/>
  <c r="N47" i="12"/>
  <c r="P47" i="12"/>
  <c r="Q47" i="12"/>
  <c r="N48" i="12"/>
  <c r="P48" i="12"/>
  <c r="Q48" i="12"/>
  <c r="N49" i="12"/>
  <c r="P49" i="12"/>
  <c r="Q49" i="12"/>
  <c r="G50" i="12"/>
  <c r="N50" i="12"/>
  <c r="P50" i="12"/>
  <c r="Q50" i="12"/>
  <c r="G51" i="12"/>
  <c r="N51" i="12"/>
  <c r="P51" i="12"/>
  <c r="Q51" i="12"/>
  <c r="N52" i="12"/>
  <c r="P52" i="12"/>
  <c r="Q52" i="12"/>
  <c r="N53" i="12"/>
  <c r="P53" i="12"/>
  <c r="Q53" i="12"/>
  <c r="E55" i="12"/>
  <c r="G55" i="12"/>
  <c r="L55" i="12"/>
  <c r="I55" i="12" s="1"/>
  <c r="N55" i="12"/>
  <c r="N58" i="12"/>
  <c r="P58" i="12"/>
  <c r="P64" i="12" s="1"/>
  <c r="Q58" i="12"/>
  <c r="Q64" i="12" s="1"/>
  <c r="N59" i="12"/>
  <c r="P59" i="12"/>
  <c r="Q59" i="12"/>
  <c r="N60" i="12"/>
  <c r="P60" i="12"/>
  <c r="Q60" i="12"/>
  <c r="N61" i="12"/>
  <c r="P61" i="12"/>
  <c r="Q61" i="12"/>
  <c r="N62" i="12"/>
  <c r="P62" i="12"/>
  <c r="Q62" i="12"/>
  <c r="E64" i="12"/>
  <c r="G64" i="12"/>
  <c r="L64" i="12"/>
  <c r="I64" i="12" s="1"/>
  <c r="N64" i="12"/>
  <c r="N67" i="12"/>
  <c r="P67" i="12"/>
  <c r="Q67" i="12"/>
  <c r="N68" i="12"/>
  <c r="P68" i="12"/>
  <c r="Q68" i="12"/>
  <c r="N69" i="12"/>
  <c r="P69" i="12"/>
  <c r="Q69" i="12"/>
  <c r="N70" i="12"/>
  <c r="P70" i="12"/>
  <c r="Q70" i="12"/>
  <c r="N71" i="12"/>
  <c r="P71" i="12"/>
  <c r="Q71" i="12"/>
  <c r="N72" i="12"/>
  <c r="N78" i="12" s="1"/>
  <c r="P72" i="12"/>
  <c r="P78" i="12" s="1"/>
  <c r="Q72" i="12"/>
  <c r="Q78" i="12" s="1"/>
  <c r="N73" i="12"/>
  <c r="P73" i="12"/>
  <c r="Q73" i="12"/>
  <c r="N74" i="12"/>
  <c r="P74" i="12"/>
  <c r="Q74" i="12"/>
  <c r="N75" i="12"/>
  <c r="P75" i="12"/>
  <c r="Q75" i="12"/>
  <c r="N76" i="12"/>
  <c r="P76" i="12"/>
  <c r="Q76" i="12"/>
  <c r="E78" i="12"/>
  <c r="G78" i="12"/>
  <c r="L78" i="12"/>
  <c r="I78" i="12" s="1"/>
  <c r="N81" i="12"/>
  <c r="N90" i="12" s="1"/>
  <c r="P81" i="12"/>
  <c r="P90" i="12" s="1"/>
  <c r="Q81" i="12"/>
  <c r="Q90" i="12" s="1"/>
  <c r="N82" i="12"/>
  <c r="P82" i="12"/>
  <c r="Q82" i="12"/>
  <c r="N83" i="12"/>
  <c r="P83" i="12"/>
  <c r="Q83" i="12"/>
  <c r="N84" i="12"/>
  <c r="P84" i="12"/>
  <c r="Q84" i="12"/>
  <c r="N85" i="12"/>
  <c r="P85" i="12"/>
  <c r="Q85" i="12"/>
  <c r="N86" i="12"/>
  <c r="P86" i="12"/>
  <c r="Q86" i="12"/>
  <c r="N87" i="12"/>
  <c r="P87" i="12"/>
  <c r="Q87" i="12"/>
  <c r="N88" i="12"/>
  <c r="P88" i="12"/>
  <c r="Q88" i="12"/>
  <c r="E90" i="12"/>
  <c r="G90" i="12"/>
  <c r="I90" i="12"/>
  <c r="L90" i="12"/>
  <c r="N97" i="12"/>
  <c r="N117" i="12" s="1"/>
  <c r="P97" i="12"/>
  <c r="Q97" i="12"/>
  <c r="N98" i="12"/>
  <c r="P98" i="12"/>
  <c r="Q98" i="12"/>
  <c r="N99" i="12"/>
  <c r="P99" i="12"/>
  <c r="Q99" i="12"/>
  <c r="N100" i="12"/>
  <c r="P100" i="12"/>
  <c r="Q100" i="12"/>
  <c r="N101" i="12"/>
  <c r="P101" i="12"/>
  <c r="Q101" i="12"/>
  <c r="N102" i="12"/>
  <c r="P102" i="12"/>
  <c r="Q102" i="12"/>
  <c r="N103" i="12"/>
  <c r="P103" i="12"/>
  <c r="Q103" i="12"/>
  <c r="N104" i="12"/>
  <c r="P104" i="12"/>
  <c r="Q104" i="12"/>
  <c r="N105" i="12"/>
  <c r="P105" i="12"/>
  <c r="Q105" i="12"/>
  <c r="N106" i="12"/>
  <c r="P106" i="12"/>
  <c r="Q106" i="12"/>
  <c r="N107" i="12"/>
  <c r="P107" i="12"/>
  <c r="Q107" i="12"/>
  <c r="N108" i="12"/>
  <c r="P108" i="12"/>
  <c r="Q108" i="12"/>
  <c r="N109" i="12"/>
  <c r="P109" i="12"/>
  <c r="Q109" i="12"/>
  <c r="N110" i="12"/>
  <c r="P110" i="12"/>
  <c r="Q110" i="12"/>
  <c r="N111" i="12"/>
  <c r="P111" i="12"/>
  <c r="Q111" i="12"/>
  <c r="N112" i="12"/>
  <c r="P112" i="12"/>
  <c r="Q112" i="12"/>
  <c r="N113" i="12"/>
  <c r="P113" i="12"/>
  <c r="Q113" i="12"/>
  <c r="N114" i="12"/>
  <c r="P114" i="12"/>
  <c r="Q114" i="12"/>
  <c r="N115" i="12"/>
  <c r="P115" i="12" s="1"/>
  <c r="Q115" i="12"/>
  <c r="E117" i="12"/>
  <c r="G117" i="12"/>
  <c r="L117" i="12"/>
  <c r="I117" i="12" s="1"/>
  <c r="N120" i="12"/>
  <c r="P120" i="12"/>
  <c r="Q120" i="12"/>
  <c r="N121" i="12"/>
  <c r="P121" i="12"/>
  <c r="Q121" i="12"/>
  <c r="N122" i="12"/>
  <c r="N128" i="12" s="1"/>
  <c r="P122" i="12"/>
  <c r="P128" i="12" s="1"/>
  <c r="Q122" i="12"/>
  <c r="N123" i="12"/>
  <c r="P123" i="12"/>
  <c r="Q123" i="12"/>
  <c r="N124" i="12"/>
  <c r="P124" i="12"/>
  <c r="Q124" i="12"/>
  <c r="N125" i="12"/>
  <c r="P125" i="12"/>
  <c r="Q125" i="12"/>
  <c r="N126" i="12"/>
  <c r="P126" i="12"/>
  <c r="Q126" i="12"/>
  <c r="E128" i="12"/>
  <c r="G128" i="12"/>
  <c r="L128" i="12"/>
  <c r="I128" i="12" s="1"/>
  <c r="N131" i="12"/>
  <c r="N150" i="12" s="1"/>
  <c r="P131" i="12"/>
  <c r="P150" i="12" s="1"/>
  <c r="Q131" i="12"/>
  <c r="N132" i="12"/>
  <c r="P132" i="12"/>
  <c r="Q132" i="12"/>
  <c r="N133" i="12"/>
  <c r="P133" i="12"/>
  <c r="Q133" i="12"/>
  <c r="N134" i="12"/>
  <c r="P134" i="12"/>
  <c r="Q134" i="12"/>
  <c r="N135" i="12"/>
  <c r="P135" i="12"/>
  <c r="Q135" i="12"/>
  <c r="N136" i="12"/>
  <c r="P136" i="12"/>
  <c r="Q136" i="12"/>
  <c r="N137" i="12"/>
  <c r="P137" i="12"/>
  <c r="Q137" i="12"/>
  <c r="N138" i="12"/>
  <c r="P138" i="12"/>
  <c r="Q138" i="12"/>
  <c r="N139" i="12"/>
  <c r="P139" i="12"/>
  <c r="Q139" i="12"/>
  <c r="N140" i="12"/>
  <c r="P140" i="12"/>
  <c r="Q140" i="12"/>
  <c r="N141" i="12"/>
  <c r="P141" i="12" s="1"/>
  <c r="Q141" i="12"/>
  <c r="N142" i="12"/>
  <c r="P142" i="12"/>
  <c r="Q142" i="12"/>
  <c r="N143" i="12"/>
  <c r="P143" i="12"/>
  <c r="Q143" i="12"/>
  <c r="N144" i="12"/>
  <c r="P144" i="12"/>
  <c r="Q144" i="12"/>
  <c r="N145" i="12"/>
  <c r="P145" i="12"/>
  <c r="Q145" i="12"/>
  <c r="N146" i="12"/>
  <c r="P146" i="12"/>
  <c r="Q146" i="12"/>
  <c r="N147" i="12"/>
  <c r="P147" i="12"/>
  <c r="Q147" i="12"/>
  <c r="N148" i="12"/>
  <c r="P148" i="12"/>
  <c r="Q148" i="12"/>
  <c r="E150" i="12"/>
  <c r="G150" i="12"/>
  <c r="L150" i="12"/>
  <c r="I150" i="12" s="1"/>
  <c r="N153" i="12"/>
  <c r="N174" i="12" s="1"/>
  <c r="P153" i="12"/>
  <c r="P174" i="12" s="1"/>
  <c r="Q153" i="12"/>
  <c r="N154" i="12"/>
  <c r="P154" i="12"/>
  <c r="Q154" i="12"/>
  <c r="N155" i="12"/>
  <c r="P155" i="12"/>
  <c r="Q155" i="12"/>
  <c r="N156" i="12"/>
  <c r="P156" i="12"/>
  <c r="Q156" i="12"/>
  <c r="N157" i="12"/>
  <c r="P157" i="12"/>
  <c r="Q157" i="12"/>
  <c r="N158" i="12"/>
  <c r="P158" i="12"/>
  <c r="Q158" i="12"/>
  <c r="N159" i="12"/>
  <c r="P159" i="12"/>
  <c r="Q159" i="12"/>
  <c r="N160" i="12"/>
  <c r="P160" i="12"/>
  <c r="Q160" i="12"/>
  <c r="N161" i="12"/>
  <c r="P161" i="12"/>
  <c r="Q161" i="12"/>
  <c r="N162" i="12"/>
  <c r="P162" i="12"/>
  <c r="Q162" i="12"/>
  <c r="N163" i="12"/>
  <c r="P163" i="12"/>
  <c r="Q163" i="12"/>
  <c r="N164" i="12"/>
  <c r="P164" i="12"/>
  <c r="Q164" i="12"/>
  <c r="N165" i="12"/>
  <c r="P165" i="12" s="1"/>
  <c r="Q165" i="12"/>
  <c r="N166" i="12"/>
  <c r="P166" i="12"/>
  <c r="Q166" i="12"/>
  <c r="N167" i="12"/>
  <c r="P167" i="12"/>
  <c r="Q167" i="12"/>
  <c r="N168" i="12"/>
  <c r="P168" i="12"/>
  <c r="Q168" i="12"/>
  <c r="N169" i="12"/>
  <c r="P169" i="12"/>
  <c r="Q169" i="12"/>
  <c r="N170" i="12"/>
  <c r="P170" i="12"/>
  <c r="Q170" i="12"/>
  <c r="N171" i="12"/>
  <c r="P171" i="12"/>
  <c r="Q171" i="12"/>
  <c r="N172" i="12"/>
  <c r="P172" i="12"/>
  <c r="Q172" i="12"/>
  <c r="E174" i="12"/>
  <c r="G174" i="12"/>
  <c r="L174" i="12"/>
  <c r="I174" i="12" s="1"/>
  <c r="N177" i="12"/>
  <c r="N197" i="12" s="1"/>
  <c r="P177" i="12"/>
  <c r="Q177" i="12"/>
  <c r="N178" i="12"/>
  <c r="P178" i="12"/>
  <c r="Q178" i="12"/>
  <c r="N179" i="12"/>
  <c r="P179" i="12"/>
  <c r="Q179" i="12"/>
  <c r="N180" i="12"/>
  <c r="P180" i="12"/>
  <c r="Q180" i="12"/>
  <c r="N181" i="12"/>
  <c r="P181" i="12"/>
  <c r="Q181" i="12"/>
  <c r="N182" i="12"/>
  <c r="P182" i="12"/>
  <c r="Q182" i="12"/>
  <c r="N183" i="12"/>
  <c r="P183" i="12"/>
  <c r="Q183" i="12"/>
  <c r="N184" i="12"/>
  <c r="P184" i="12"/>
  <c r="Q184" i="12"/>
  <c r="N185" i="12"/>
  <c r="P185" i="12"/>
  <c r="Q185" i="12"/>
  <c r="N186" i="12"/>
  <c r="P186" i="12"/>
  <c r="Q186" i="12"/>
  <c r="N187" i="12"/>
  <c r="P187" i="12"/>
  <c r="Q187" i="12"/>
  <c r="N188" i="12"/>
  <c r="P188" i="12"/>
  <c r="Q188" i="12"/>
  <c r="N189" i="12"/>
  <c r="P189" i="12" s="1"/>
  <c r="Q189" i="12"/>
  <c r="N190" i="12"/>
  <c r="P190" i="12"/>
  <c r="Q190" i="12"/>
  <c r="N191" i="12"/>
  <c r="P191" i="12"/>
  <c r="Q191" i="12"/>
  <c r="N192" i="12"/>
  <c r="P192" i="12"/>
  <c r="Q192" i="12"/>
  <c r="N193" i="12"/>
  <c r="P193" i="12"/>
  <c r="Q193" i="12"/>
  <c r="N194" i="12"/>
  <c r="P194" i="12"/>
  <c r="Q194" i="12"/>
  <c r="N195" i="12"/>
  <c r="P195" i="12"/>
  <c r="Q195" i="12"/>
  <c r="E197" i="12"/>
  <c r="E211" i="12" s="1"/>
  <c r="G197" i="12"/>
  <c r="G211" i="12" s="1"/>
  <c r="L197" i="12"/>
  <c r="I197" i="12" s="1"/>
  <c r="N200" i="12"/>
  <c r="P200" i="12"/>
  <c r="Q200" i="12"/>
  <c r="N201" i="12"/>
  <c r="P201" i="12"/>
  <c r="Q201" i="12"/>
  <c r="N202" i="12"/>
  <c r="P202" i="12"/>
  <c r="Q202" i="12"/>
  <c r="N203" i="12"/>
  <c r="N209" i="12" s="1"/>
  <c r="P203" i="12"/>
  <c r="P209" i="12" s="1"/>
  <c r="Q203" i="12"/>
  <c r="N204" i="12"/>
  <c r="P204" i="12"/>
  <c r="Q204" i="12"/>
  <c r="N205" i="12"/>
  <c r="P205" i="12"/>
  <c r="Q205" i="12"/>
  <c r="N206" i="12"/>
  <c r="P206" i="12"/>
  <c r="Q206" i="12"/>
  <c r="N207" i="12"/>
  <c r="P207" i="12"/>
  <c r="Q207" i="12"/>
  <c r="E209" i="12"/>
  <c r="G209" i="12"/>
  <c r="L209" i="12"/>
  <c r="I209" i="12" s="1"/>
  <c r="L211" i="12"/>
  <c r="G215" i="12"/>
  <c r="G222" i="12" s="1"/>
  <c r="N215" i="12"/>
  <c r="P215" i="12"/>
  <c r="Q215" i="12"/>
  <c r="N216" i="12"/>
  <c r="P216" i="12"/>
  <c r="Q216" i="12"/>
  <c r="N217" i="12"/>
  <c r="P217" i="12"/>
  <c r="Q217" i="12"/>
  <c r="N218" i="12"/>
  <c r="P218" i="12"/>
  <c r="Q218" i="12"/>
  <c r="N219" i="12"/>
  <c r="P219" i="12"/>
  <c r="Q219" i="12"/>
  <c r="N220" i="12"/>
  <c r="P220" i="12"/>
  <c r="Q220" i="12"/>
  <c r="E222" i="12"/>
  <c r="L222" i="12"/>
  <c r="I222" i="12" s="1"/>
  <c r="N222" i="12"/>
  <c r="P222" i="12"/>
  <c r="N226" i="12"/>
  <c r="P226" i="12" s="1"/>
  <c r="P230" i="12" s="1"/>
  <c r="Q226" i="12"/>
  <c r="N227" i="12"/>
  <c r="P227" i="12"/>
  <c r="Q227" i="12"/>
  <c r="N228" i="12"/>
  <c r="P228" i="12"/>
  <c r="Q228" i="12"/>
  <c r="N229" i="12"/>
  <c r="P229" i="12"/>
  <c r="E230" i="12"/>
  <c r="G230" i="12"/>
  <c r="L230" i="12"/>
  <c r="I230" i="12" s="1"/>
  <c r="N234" i="12"/>
  <c r="N245" i="12" s="1"/>
  <c r="P234" i="12"/>
  <c r="P245" i="12" s="1"/>
  <c r="Q234" i="12"/>
  <c r="N235" i="12"/>
  <c r="P235" i="12"/>
  <c r="Q235" i="12"/>
  <c r="N236" i="12"/>
  <c r="P236" i="12"/>
  <c r="Q236" i="12"/>
  <c r="N237" i="12"/>
  <c r="P237" i="12"/>
  <c r="Q237" i="12"/>
  <c r="N238" i="12"/>
  <c r="P238" i="12"/>
  <c r="Q238" i="12"/>
  <c r="N239" i="12"/>
  <c r="P239" i="12"/>
  <c r="Q239" i="12"/>
  <c r="N240" i="12"/>
  <c r="P240" i="12"/>
  <c r="Q240" i="12"/>
  <c r="N241" i="12"/>
  <c r="P241" i="12"/>
  <c r="Q241" i="12"/>
  <c r="N242" i="12"/>
  <c r="P242" i="12"/>
  <c r="Q242" i="12"/>
  <c r="N243" i="12"/>
  <c r="P243" i="12" s="1"/>
  <c r="Q243" i="12"/>
  <c r="E245" i="12"/>
  <c r="G245" i="12"/>
  <c r="L245" i="12"/>
  <c r="I245" i="12" s="1"/>
  <c r="P249" i="12"/>
  <c r="P250" i="12"/>
  <c r="P251" i="12"/>
  <c r="P252" i="12"/>
  <c r="P253" i="12"/>
  <c r="P254" i="12"/>
  <c r="P255" i="12"/>
  <c r="G257" i="12"/>
  <c r="L257" i="12"/>
  <c r="N257" i="12"/>
  <c r="P257" i="12"/>
  <c r="E274" i="12"/>
  <c r="E259" i="12" l="1"/>
  <c r="N211" i="12"/>
  <c r="P26" i="12"/>
  <c r="P92" i="12" s="1"/>
  <c r="I211" i="12"/>
  <c r="P117" i="12"/>
  <c r="P211" i="12" s="1"/>
  <c r="I92" i="12"/>
  <c r="L259" i="12"/>
  <c r="N92" i="12"/>
  <c r="P197" i="12"/>
  <c r="I40" i="12"/>
  <c r="N230" i="12"/>
  <c r="N259" i="12" s="1"/>
  <c r="Q26" i="12"/>
  <c r="E276" i="12"/>
  <c r="G92" i="12"/>
  <c r="G259" i="12" s="1"/>
  <c r="D8" i="1"/>
  <c r="E21" i="8"/>
  <c r="E23" i="8"/>
  <c r="H17" i="6"/>
  <c r="H18" i="6"/>
  <c r="H19" i="6"/>
  <c r="H20" i="6"/>
  <c r="H21" i="6"/>
  <c r="H22" i="6"/>
  <c r="H23" i="6"/>
  <c r="H24" i="6"/>
  <c r="H26" i="6"/>
  <c r="H30" i="6"/>
  <c r="H34" i="6" s="1"/>
  <c r="H32" i="6"/>
  <c r="H8" i="6"/>
  <c r="E18" i="8"/>
  <c r="E17" i="8"/>
  <c r="D19" i="8"/>
  <c r="C19" i="8"/>
  <c r="E12" i="8"/>
  <c r="E13" i="8"/>
  <c r="E14" i="8"/>
  <c r="E15" i="8"/>
  <c r="E16" i="8"/>
  <c r="P259" i="12" l="1"/>
  <c r="G276" i="12"/>
  <c r="Q92" i="12"/>
  <c r="Q259" i="12" s="1"/>
  <c r="Q261" i="12" s="1"/>
  <c r="E8" i="8"/>
  <c r="E9" i="8"/>
  <c r="E10" i="8"/>
  <c r="E11" i="8"/>
  <c r="E7" i="8"/>
  <c r="C8" i="5"/>
  <c r="D6" i="1" s="1"/>
  <c r="H9" i="6"/>
  <c r="H10" i="6" s="1"/>
  <c r="H11" i="6" s="1"/>
  <c r="H12" i="6" s="1"/>
  <c r="H13" i="6" s="1"/>
  <c r="H14" i="6" s="1"/>
  <c r="H15" i="6" s="1"/>
  <c r="H16" i="6" s="1"/>
  <c r="E19" i="8" l="1"/>
  <c r="D7" i="1"/>
  <c r="G11" i="3"/>
  <c r="G18" i="3" s="1"/>
  <c r="G12" i="3"/>
  <c r="G13" i="3"/>
  <c r="G14" i="3"/>
  <c r="G10" i="3"/>
  <c r="D42" i="2"/>
  <c r="D21" i="2"/>
  <c r="D25" i="2"/>
  <c r="D28" i="2"/>
  <c r="E18" i="2"/>
  <c r="E17" i="2"/>
  <c r="E21" i="2" s="1"/>
  <c r="E25" i="2" s="1"/>
  <c r="E28" i="2" s="1"/>
  <c r="D17" i="2"/>
  <c r="G16" i="3" l="1"/>
  <c r="G20" i="3" s="1"/>
  <c r="D4" i="1" s="1"/>
  <c r="E32" i="2"/>
  <c r="D30" i="2"/>
  <c r="D32" i="2" s="1"/>
  <c r="D36" i="2" l="1"/>
  <c r="D38" i="2" s="1"/>
  <c r="D44" i="2" l="1"/>
  <c r="D3" i="1" s="1"/>
  <c r="D9" i="1" s="1"/>
  <c r="F4" i="1" s="1"/>
  <c r="F6" i="1" s="1"/>
</calcChain>
</file>

<file path=xl/sharedStrings.xml><?xml version="1.0" encoding="utf-8"?>
<sst xmlns="http://schemas.openxmlformats.org/spreadsheetml/2006/main" count="332" uniqueCount="190">
  <si>
    <t>SETTLEMENT REVENUE AND ADJUSTMENTS</t>
  </si>
  <si>
    <t>Adj. Tab</t>
  </si>
  <si>
    <t>Description of Adjustments</t>
  </si>
  <si>
    <t>Amount</t>
  </si>
  <si>
    <t>Revenue Settlement</t>
  </si>
  <si>
    <t>1.26 Gen. Maintenance 6-year Amortization</t>
  </si>
  <si>
    <t>EKPC Proposed Revenue</t>
  </si>
  <si>
    <t>1.27 Gen. Maintenance Adjustment 5-year Average</t>
  </si>
  <si>
    <t>Settlement Adjustments</t>
  </si>
  <si>
    <t>Reduce Depreciation Expense to Remove Terminal Net Salvage</t>
  </si>
  <si>
    <t>PSC Assessment</t>
  </si>
  <si>
    <t>Remove Amortization Expense Associated With Prior Rate Case Deferred Costs</t>
  </si>
  <si>
    <t>Total Settlement Revenue</t>
  </si>
  <si>
    <t>Reduce Amortization Expense for Deferred Smith 1 Cancellation Costs Becoming Fully Amortized (6-year Amortization)</t>
  </si>
  <si>
    <t xml:space="preserve">2025-00193 RTEP Reg Asset 6-year Amortization ($20,165,905) </t>
  </si>
  <si>
    <t xml:space="preserve">            </t>
  </si>
  <si>
    <t>Schedule 1.26</t>
  </si>
  <si>
    <t>East Kentucky Power Cooperative, Inc.</t>
  </si>
  <si>
    <t>Settlement Adjustment to Amortize Generation Maintenance Regulatory Asset</t>
  </si>
  <si>
    <t>Case No. 2025-00208</t>
  </si>
  <si>
    <t>Account</t>
  </si>
  <si>
    <t>Total Gen Maint Exp</t>
  </si>
  <si>
    <t>Less: Spurlock 2019 Maint Amortization</t>
  </si>
  <si>
    <t>Less: ES Gen Maint Projects</t>
  </si>
  <si>
    <t>Base Rate Gen Maintenance Expense</t>
  </si>
  <si>
    <t>Normalized Gen Maintenance Threshold</t>
  </si>
  <si>
    <t>Gen Maintenance Exp in Excess of Threshold</t>
  </si>
  <si>
    <t>Limit Established per Case No. 2021-00103</t>
  </si>
  <si>
    <t>Annual Generation Maintenance Reg Asset</t>
  </si>
  <si>
    <t>Gen Maintenance Reg Asset Balance - Beg of Year</t>
  </si>
  <si>
    <t>Gen Maintenance Reg Asset Balance - End of Year</t>
  </si>
  <si>
    <t>Amortization Period</t>
  </si>
  <si>
    <t>years</t>
  </si>
  <si>
    <t>Annual Amortization</t>
  </si>
  <si>
    <t>Proposed Adjustment</t>
  </si>
  <si>
    <t>Adjust of Difference Between Proposed and Settlement</t>
  </si>
  <si>
    <t>Settlement Adjustment to Normalize Generation Maintenance Expense</t>
  </si>
  <si>
    <t>Total</t>
  </si>
  <si>
    <t>Expense</t>
  </si>
  <si>
    <t>Less:</t>
  </si>
  <si>
    <t xml:space="preserve">All </t>
  </si>
  <si>
    <t>Spurlock 2019</t>
  </si>
  <si>
    <t>ES</t>
  </si>
  <si>
    <t>Remaining</t>
  </si>
  <si>
    <t>Units</t>
  </si>
  <si>
    <t>Maint Amortization</t>
  </si>
  <si>
    <t>Projects</t>
  </si>
  <si>
    <t>2020 Generation Maintenance Expense</t>
  </si>
  <si>
    <t>2021 Generation Maintenance Expense</t>
  </si>
  <si>
    <t>2022 Generation Maintenance Expense</t>
  </si>
  <si>
    <t>2023 Generation Maintenance Expense</t>
  </si>
  <si>
    <t>2024 Generation Maintenance Expense</t>
  </si>
  <si>
    <t>4 Yr Average Generation Maintenance Expense - As Filed in Application</t>
  </si>
  <si>
    <t>5 Yr Average Generation Maintenance Expense - 2020 - 2024</t>
  </si>
  <si>
    <t>Reduction in Average from Test Year</t>
  </si>
  <si>
    <t>EAST KENTUCKY POWER COOPERATIVE, INC.</t>
  </si>
  <si>
    <t xml:space="preserve"> DEPRECIATION STUDY ORIGINAL COST AND ANNUAL DEPRECIATION ACCRUAL ADJUSTED FOR ENVIRONMENTAL SURCHARGE (ES)</t>
  </si>
  <si>
    <t>ORIGINAL COST</t>
  </si>
  <si>
    <t>ORIGINAL COST IN ES</t>
  </si>
  <si>
    <t>Accrual Rate</t>
  </si>
  <si>
    <t xml:space="preserve">CALCULATED ANNUAL </t>
  </si>
  <si>
    <t xml:space="preserve">AS OF </t>
  </si>
  <si>
    <t>ACCRUAL</t>
  </si>
  <si>
    <t>With</t>
  </si>
  <si>
    <t>TOTAL ACCRUAL</t>
  </si>
  <si>
    <t xml:space="preserve">ES ACCRUAL </t>
  </si>
  <si>
    <t>NET ACCRUAL</t>
  </si>
  <si>
    <t xml:space="preserve">ES Related </t>
  </si>
  <si>
    <t>ACCOUNT</t>
  </si>
  <si>
    <t>DECEMBER 31, 2023</t>
  </si>
  <si>
    <t>RATE</t>
  </si>
  <si>
    <t>No Terminal Salvage</t>
  </si>
  <si>
    <t>AMOUNT</t>
  </si>
  <si>
    <t>Terminal Salvage</t>
  </si>
  <si>
    <t>INTANGIBLE PLANT</t>
  </si>
  <si>
    <t>MISCELLANEOUS INTANGIBLE PLANT</t>
  </si>
  <si>
    <t>TOTAL INTANGIBLE PLANT</t>
  </si>
  <si>
    <t xml:space="preserve">STEAM PRODUCTION PLANT </t>
  </si>
  <si>
    <t>LAND AND LAND RIGHTS</t>
  </si>
  <si>
    <t>COOPER COMMON - LANDFILL</t>
  </si>
  <si>
    <t>COOPER COMMON - ACCESS ROAD</t>
  </si>
  <si>
    <t>SPURLOCK COMMON - LANDFILL</t>
  </si>
  <si>
    <t>SPURLOCK COMMON - AMMONIA CONTAINMENT</t>
  </si>
  <si>
    <t>SMITH COMMON - LANDFILL</t>
  </si>
  <si>
    <t>TOTAL LAND AND LAND RIGHTS</t>
  </si>
  <si>
    <t>STRUCTURES AND IMPROVEMENTS</t>
  </si>
  <si>
    <t>CENTRAL LAB</t>
  </si>
  <si>
    <t>COOPER COMMON</t>
  </si>
  <si>
    <t>COOPER UNIT 2 SCRUBBER</t>
  </si>
  <si>
    <t>SPURLOCK COMMON</t>
  </si>
  <si>
    <t>SPURLOCK UNIT 1</t>
  </si>
  <si>
    <t>SPURLOCK UNIT 2</t>
  </si>
  <si>
    <t>SPURLOCK UNIT 3</t>
  </si>
  <si>
    <t>SPURLOCK UNIT 4</t>
  </si>
  <si>
    <t>SPURLOCK UNIT 1 SCRUBBER</t>
  </si>
  <si>
    <t>SPURLOCK UNIT 2 SCRUBBER</t>
  </si>
  <si>
    <t>TOTAL STRUCTURES AND IMPROVEMENTS</t>
  </si>
  <si>
    <t>BOILER PLANT EQUIPMENT</t>
  </si>
  <si>
    <t>COOPER UNIT 1</t>
  </si>
  <si>
    <t>COOPER UNIT 2</t>
  </si>
  <si>
    <t>TOTAL BOILER PLANT EQUIPMENT</t>
  </si>
  <si>
    <t>TURBOGENERATOR UNITS</t>
  </si>
  <si>
    <t>TOTAL TURBOGENERATOR UNITS</t>
  </si>
  <si>
    <t>ACCESSORY ELECTRIC EQUIPMENT</t>
  </si>
  <si>
    <t>TOTAL ACCESSORY ELECTRIC EQUIPMENT</t>
  </si>
  <si>
    <t>MISCELLANEOUS POWER PLANT EQUIPMENT</t>
  </si>
  <si>
    <t>TOTAL MISCELLANEOUS POWER PLANT EQUIPMENT</t>
  </si>
  <si>
    <t xml:space="preserve">TOTAL STEAM PRODUCTION PLANT </t>
  </si>
  <si>
    <t xml:space="preserve">OTHER PRODUCTION PLANT </t>
  </si>
  <si>
    <t>SMITH CT COMMON</t>
  </si>
  <si>
    <t>SMITH CT UNIT 1</t>
  </si>
  <si>
    <t>SMITH CT UNIT 2</t>
  </si>
  <si>
    <t>SMITH CT UNIT 3</t>
  </si>
  <si>
    <t>SMITH CT UNIT 4</t>
  </si>
  <si>
    <t>SMITH CT UNIT 5</t>
  </si>
  <si>
    <t>SMITH CT UNIT 6</t>
  </si>
  <si>
    <t>SMITH CT UNIT 7</t>
  </si>
  <si>
    <t>SMITH CT UNIT 9</t>
  </si>
  <si>
    <t>SMITH CT UNIT 10</t>
  </si>
  <si>
    <t>GREEN VALLEY LANDFILL</t>
  </si>
  <si>
    <t>BAVARIAN LANDFILL</t>
  </si>
  <si>
    <t>PEARL HOLLOW LANDFILL</t>
  </si>
  <si>
    <t>PENDLETON COUNTY LANDFILL</t>
  </si>
  <si>
    <t>BLUEGRASS OLDHAM COMMON</t>
  </si>
  <si>
    <t>BLUEGRASS OLDHAM UNIT 1</t>
  </si>
  <si>
    <t>BLUEGRASS OLDHAM UNIT 2</t>
  </si>
  <si>
    <t>BLUEGRASS OLDHAM UNIT 3</t>
  </si>
  <si>
    <t>COOPERATIVE SOLAR</t>
  </si>
  <si>
    <t>FUEL HOLDERS AND ACCESSORIES</t>
  </si>
  <si>
    <t>TOTAL FUEL HOLDERS AND ACCESSORIES</t>
  </si>
  <si>
    <t>PRIME MOVERS</t>
  </si>
  <si>
    <t>TOTAL PRIME MOVERS</t>
  </si>
  <si>
    <t>GENERATORS</t>
  </si>
  <si>
    <t>GLASGOW LANDFILL</t>
  </si>
  <si>
    <t>TOTAL GENERATORS</t>
  </si>
  <si>
    <t>LAUREL RIDGE LANDFILL</t>
  </si>
  <si>
    <t xml:space="preserve">TOTAL OTHER PRODUCTION PLANT </t>
  </si>
  <si>
    <t xml:space="preserve">TRANSMISSION PLANT </t>
  </si>
  <si>
    <t xml:space="preserve">STATION EQUIPMENT                   </t>
  </si>
  <si>
    <t xml:space="preserve">STATION EQUIPMENT - ECS                   </t>
  </si>
  <si>
    <t xml:space="preserve">TOWERS AND FIXTURES                 </t>
  </si>
  <si>
    <t xml:space="preserve">POLES AND FIXTURES                  </t>
  </si>
  <si>
    <t xml:space="preserve">OVERHEAD CONDUCTORS AND DEVICES     </t>
  </si>
  <si>
    <t>ROADS AND TRAILS</t>
  </si>
  <si>
    <t xml:space="preserve">TOTAL TRANSMISSION PLANT </t>
  </si>
  <si>
    <t xml:space="preserve">DISTRIBUTION PLANT </t>
  </si>
  <si>
    <t>STATION EQUIPMENT - SCADA</t>
  </si>
  <si>
    <t>LINE TRANSFORMERS</t>
  </si>
  <si>
    <t xml:space="preserve">TOTAL DISTRIBUTION PLANT </t>
  </si>
  <si>
    <t xml:space="preserve">GENERAL PLANT </t>
  </si>
  <si>
    <t>OFFICE STRUCTURES AND IMPROVEMENTS</t>
  </si>
  <si>
    <t xml:space="preserve">OFFICE FURNITURE AND EQUIPMENT             </t>
  </si>
  <si>
    <t>OFFICE FURNITURE AND EQUIPMENT - PEOPLESOFT</t>
  </si>
  <si>
    <t xml:space="preserve">TRANSPORTATION EQUIPMENT                   </t>
  </si>
  <si>
    <t xml:space="preserve">STORES EQUIPMENT                           </t>
  </si>
  <si>
    <t xml:space="preserve">TOOLS, SHOP, AND GARAGE EQUIPMENT          </t>
  </si>
  <si>
    <t xml:space="preserve">LABORATORY EQUIPMENT                       </t>
  </si>
  <si>
    <t xml:space="preserve">POWER OPERATED EQUIPMENT                   </t>
  </si>
  <si>
    <t xml:space="preserve">COMMUNICATION EQUIPMENT                    </t>
  </si>
  <si>
    <t xml:space="preserve">MISCELLANEOUS EQUIPMENT                    </t>
  </si>
  <si>
    <t xml:space="preserve">TOTAL GENERAL PLANT </t>
  </si>
  <si>
    <t>RESERVE ADJUSTMENT FOR AMORTIZATION</t>
  </si>
  <si>
    <t>TOTAL RESERVE ADJUSTMENT FOR AMORTIZATION</t>
  </si>
  <si>
    <t xml:space="preserve">TOTAL DEPRECIABLE PLANT </t>
  </si>
  <si>
    <t>NONDEPRECIABLE PLANT AND ACCOUNTS NOT STUDIED</t>
  </si>
  <si>
    <t>ORGANIZATION</t>
  </si>
  <si>
    <t>LAND</t>
  </si>
  <si>
    <t>TOWERS AND FIXTURES - LEASED</t>
  </si>
  <si>
    <t>MISCELLANEOUS EQUIPMENT - LEASED</t>
  </si>
  <si>
    <t>TOTAL NONDEPRECIABLE PLANT AND ACCOUNTS NOT STUDIED</t>
  </si>
  <si>
    <t xml:space="preserve">TOTAL ELECTRIC PLANT </t>
  </si>
  <si>
    <t>Settlement Recommendation to Reduce 2021 Rate Case Expense (Case No. 2021-00103)</t>
  </si>
  <si>
    <t>Case Number 2025-00208</t>
  </si>
  <si>
    <t>Monthly Expense</t>
  </si>
  <si>
    <t>2021 Rate Case Expense</t>
  </si>
  <si>
    <t>Total Expense Removed</t>
  </si>
  <si>
    <t>East Kentucky Power Cooperative</t>
  </si>
  <si>
    <t>Settlement Recommendation to Decrease Amortization of Deferred Costs</t>
  </si>
  <si>
    <t>Unamortized Balance of Smith 1 Cancellation Costs as of July 31, 2025</t>
  </si>
  <si>
    <t>Less: Amortization</t>
  </si>
  <si>
    <t>Unamortized Balance of Smith 1 Cancellation Costs Deferral as of May 31, 2026</t>
  </si>
  <si>
    <t>Amortization of Remaining Balance as of May 31, 2026 Over Five Years</t>
  </si>
  <si>
    <t>Amortization Expense Included in the Test Year by EKPC</t>
  </si>
  <si>
    <t>Recommended Reduction in Test Year Expense - Smith 1 Cancellation Expenses</t>
  </si>
  <si>
    <t>Settlement Recommendation to Amortize RTEP Expenses from 2025-00193</t>
  </si>
  <si>
    <t>October 31, 2025 Updated Amounts</t>
  </si>
  <si>
    <t>Total 2025</t>
  </si>
  <si>
    <t>Annualized 2025 RTEP</t>
  </si>
  <si>
    <t>Recovered in base rates in 2021-00103 Rate Case filing</t>
  </si>
  <si>
    <t>Case No. 2025-00193 Filing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</si>
</sst>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.000_);_(* \(#,##0.000\);_(* &quot;-&quot;??_);_(@_)"/>
    <numFmt numFmtId="166" formatCode="0.0"/>
    <numFmt numFmtId="167" formatCode="#,##0.000000_);[Red]\(#,##0.000000\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Arial"/>
      <family val="2"/>
    </font>
    <font>
      <sz val="12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13" fillId="0" borderId="0"/>
    <xf numFmtId="44" fontId="5" fillId="0" borderId="0" applyFont="0" applyFill="0" applyBorder="0" applyAlignment="0" applyProtection="0"/>
  </cellStyleXfs>
  <cellXfs count="128">
    <xf numFmtId="0" fontId="0" fillId="0" borderId="0" xfId="0"/>
    <xf numFmtId="38" fontId="9" fillId="0" borderId="0" xfId="0" applyNumberFormat="1" applyFont="1"/>
    <xf numFmtId="38" fontId="9" fillId="0" borderId="0" xfId="3" applyNumberFormat="1" applyFont="1"/>
    <xf numFmtId="38" fontId="9" fillId="0" borderId="0" xfId="0" applyNumberFormat="1" applyFont="1" applyAlignment="1">
      <alignment horizontal="center"/>
    </xf>
    <xf numFmtId="38" fontId="10" fillId="0" borderId="1" xfId="3" applyNumberFormat="1" applyFont="1" applyBorder="1"/>
    <xf numFmtId="38" fontId="10" fillId="0" borderId="1" xfId="3" applyNumberFormat="1" applyFont="1" applyBorder="1" applyAlignment="1">
      <alignment horizontal="center" vertical="center"/>
    </xf>
    <xf numFmtId="40" fontId="9" fillId="2" borderId="0" xfId="0" applyNumberFormat="1" applyFont="1" applyFill="1" applyAlignment="1">
      <alignment horizontal="center"/>
    </xf>
    <xf numFmtId="38" fontId="9" fillId="0" borderId="2" xfId="3" applyNumberFormat="1" applyFont="1" applyBorder="1"/>
    <xf numFmtId="0" fontId="9" fillId="0" borderId="0" xfId="0" applyFont="1"/>
    <xf numFmtId="16" fontId="11" fillId="0" borderId="0" xfId="0" applyNumberFormat="1" applyFont="1"/>
    <xf numFmtId="6" fontId="11" fillId="0" borderId="0" xfId="0" applyNumberFormat="1" applyFont="1"/>
    <xf numFmtId="6" fontId="9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right"/>
    </xf>
    <xf numFmtId="6" fontId="11" fillId="0" borderId="5" xfId="0" applyNumberFormat="1" applyFont="1" applyBorder="1"/>
    <xf numFmtId="0" fontId="11" fillId="0" borderId="1" xfId="0" applyFont="1" applyBorder="1"/>
    <xf numFmtId="6" fontId="11" fillId="0" borderId="1" xfId="0" applyNumberFormat="1" applyFont="1" applyBorder="1"/>
    <xf numFmtId="0" fontId="9" fillId="0" borderId="0" xfId="0" applyFont="1" applyAlignment="1">
      <alignment wrapText="1"/>
    </xf>
    <xf numFmtId="0" fontId="9" fillId="0" borderId="0" xfId="7" applyFont="1"/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Fill="1"/>
    <xf numFmtId="165" fontId="9" fillId="0" borderId="1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38" fontId="9" fillId="0" borderId="0" xfId="1" applyNumberFormat="1" applyFont="1" applyFill="1"/>
    <xf numFmtId="38" fontId="9" fillId="0" borderId="0" xfId="1" applyNumberFormat="1" applyFont="1" applyFill="1" applyBorder="1"/>
    <xf numFmtId="38" fontId="9" fillId="0" borderId="1" xfId="1" applyNumberFormat="1" applyFont="1" applyFill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6" applyFont="1" applyBorder="1" applyAlignment="1">
      <alignment horizontal="center"/>
    </xf>
    <xf numFmtId="0" fontId="9" fillId="0" borderId="1" xfId="0" applyFont="1" applyBorder="1"/>
    <xf numFmtId="0" fontId="9" fillId="0" borderId="0" xfId="6" applyFont="1" applyAlignment="1">
      <alignment horizontal="center"/>
    </xf>
    <xf numFmtId="164" fontId="9" fillId="0" borderId="0" xfId="6" applyNumberFormat="1" applyFont="1"/>
    <xf numFmtId="0" fontId="9" fillId="0" borderId="1" xfId="6" applyFont="1" applyBorder="1" applyAlignment="1">
      <alignment horizontal="center"/>
    </xf>
    <xf numFmtId="164" fontId="9" fillId="0" borderId="1" xfId="6" applyNumberFormat="1" applyFont="1" applyBorder="1"/>
    <xf numFmtId="0" fontId="9" fillId="0" borderId="0" xfId="6" applyFont="1" applyAlignment="1">
      <alignment horizontal="right"/>
    </xf>
    <xf numFmtId="0" fontId="9" fillId="0" borderId="0" xfId="0" applyFont="1" applyAlignment="1">
      <alignment horizontal="right"/>
    </xf>
    <xf numFmtId="9" fontId="9" fillId="0" borderId="1" xfId="0" applyNumberFormat="1" applyFont="1" applyBorder="1"/>
    <xf numFmtId="164" fontId="9" fillId="0" borderId="2" xfId="6" applyNumberFormat="1" applyFont="1" applyBorder="1"/>
    <xf numFmtId="164" fontId="9" fillId="0" borderId="2" xfId="0" applyNumberFormat="1" applyFont="1" applyBorder="1"/>
    <xf numFmtId="164" fontId="9" fillId="0" borderId="0" xfId="0" applyNumberFormat="1" applyFont="1"/>
    <xf numFmtId="38" fontId="9" fillId="0" borderId="0" xfId="3" applyNumberFormat="1" applyFont="1" applyFill="1"/>
    <xf numFmtId="38" fontId="9" fillId="0" borderId="2" xfId="1" applyNumberFormat="1" applyFont="1" applyFill="1" applyBorder="1"/>
    <xf numFmtId="167" fontId="9" fillId="0" borderId="2" xfId="0" applyNumberFormat="1" applyFont="1" applyBorder="1"/>
    <xf numFmtId="39" fontId="5" fillId="0" borderId="0" xfId="9" applyNumberFormat="1" applyFont="1"/>
    <xf numFmtId="39" fontId="12" fillId="0" borderId="2" xfId="9" applyNumberFormat="1" applyFont="1" applyBorder="1"/>
    <xf numFmtId="39" fontId="12" fillId="0" borderId="0" xfId="9" applyNumberFormat="1" applyFont="1"/>
    <xf numFmtId="39" fontId="12" fillId="0" borderId="1" xfId="9" applyNumberFormat="1" applyFont="1" applyBorder="1"/>
    <xf numFmtId="39" fontId="12" fillId="0" borderId="3" xfId="9" applyNumberFormat="1" applyFont="1" applyBorder="1"/>
    <xf numFmtId="39" fontId="5" fillId="0" borderId="3" xfId="9" applyNumberFormat="1" applyFont="1" applyBorder="1"/>
    <xf numFmtId="37" fontId="5" fillId="0" borderId="0" xfId="9" applyNumberFormat="1" applyFont="1"/>
    <xf numFmtId="0" fontId="5" fillId="0" borderId="0" xfId="9" applyFont="1"/>
    <xf numFmtId="37" fontId="5" fillId="0" borderId="1" xfId="9" applyNumberFormat="1" applyFont="1" applyBorder="1"/>
    <xf numFmtId="39" fontId="5" fillId="0" borderId="1" xfId="9" applyNumberFormat="1" applyFont="1" applyBorder="1"/>
    <xf numFmtId="37" fontId="12" fillId="0" borderId="0" xfId="9" applyNumberFormat="1" applyFont="1"/>
    <xf numFmtId="0" fontId="12" fillId="0" borderId="0" xfId="9" applyFont="1"/>
    <xf numFmtId="10" fontId="9" fillId="0" borderId="0" xfId="2" applyNumberFormat="1" applyFont="1"/>
    <xf numFmtId="40" fontId="9" fillId="0" borderId="0" xfId="0" applyNumberFormat="1" applyFont="1"/>
    <xf numFmtId="40" fontId="8" fillId="0" borderId="0" xfId="0" applyNumberFormat="1" applyFont="1"/>
    <xf numFmtId="40" fontId="9" fillId="0" borderId="0" xfId="1" applyNumberFormat="1" applyFont="1" applyFill="1" applyBorder="1"/>
    <xf numFmtId="40" fontId="9" fillId="0" borderId="0" xfId="1" applyNumberFormat="1" applyFont="1" applyFill="1"/>
    <xf numFmtId="0" fontId="5" fillId="0" borderId="0" xfId="8"/>
    <xf numFmtId="43" fontId="0" fillId="0" borderId="0" xfId="11" applyNumberFormat="1" applyFont="1"/>
    <xf numFmtId="37" fontId="5" fillId="0" borderId="0" xfId="8" applyNumberFormat="1"/>
    <xf numFmtId="0" fontId="5" fillId="0" borderId="0" xfId="8" applyAlignment="1">
      <alignment horizontal="right"/>
    </xf>
    <xf numFmtId="0" fontId="5" fillId="0" borderId="0" xfId="8" applyAlignment="1">
      <alignment horizontal="left"/>
    </xf>
    <xf numFmtId="0" fontId="12" fillId="0" borderId="0" xfId="8" applyFont="1"/>
    <xf numFmtId="37" fontId="12" fillId="0" borderId="0" xfId="8" applyNumberFormat="1" applyFont="1"/>
    <xf numFmtId="43" fontId="5" fillId="0" borderId="0" xfId="8" applyNumberFormat="1"/>
    <xf numFmtId="0" fontId="12" fillId="0" borderId="0" xfId="8" applyFont="1" applyAlignment="1">
      <alignment horizontal="left"/>
    </xf>
    <xf numFmtId="39" fontId="12" fillId="3" borderId="2" xfId="9" applyNumberFormat="1" applyFont="1" applyFill="1" applyBorder="1"/>
    <xf numFmtId="43" fontId="12" fillId="3" borderId="0" xfId="8" applyNumberFormat="1" applyFont="1" applyFill="1"/>
    <xf numFmtId="43" fontId="12" fillId="3" borderId="1" xfId="8" applyNumberFormat="1" applyFont="1" applyFill="1" applyBorder="1"/>
    <xf numFmtId="43" fontId="5" fillId="3" borderId="1" xfId="8" applyNumberFormat="1" applyFill="1" applyBorder="1"/>
    <xf numFmtId="2" fontId="5" fillId="0" borderId="0" xfId="8" applyNumberFormat="1"/>
    <xf numFmtId="43" fontId="5" fillId="3" borderId="0" xfId="8" applyNumberFormat="1" applyFill="1"/>
    <xf numFmtId="43" fontId="12" fillId="0" borderId="0" xfId="8" applyNumberFormat="1" applyFont="1"/>
    <xf numFmtId="0" fontId="12" fillId="0" borderId="1" xfId="8" applyFont="1" applyBorder="1" applyAlignment="1">
      <alignment horizontal="center"/>
    </xf>
    <xf numFmtId="44" fontId="0" fillId="0" borderId="0" xfId="11" applyFont="1"/>
    <xf numFmtId="37" fontId="12" fillId="0" borderId="2" xfId="8" applyNumberFormat="1" applyFont="1" applyBorder="1"/>
    <xf numFmtId="41" fontId="5" fillId="0" borderId="0" xfId="8" applyNumberFormat="1"/>
    <xf numFmtId="41" fontId="5" fillId="3" borderId="0" xfId="8" applyNumberFormat="1" applyFill="1"/>
    <xf numFmtId="37" fontId="12" fillId="0" borderId="1" xfId="8" applyNumberFormat="1" applyFont="1" applyBorder="1"/>
    <xf numFmtId="41" fontId="12" fillId="3" borderId="1" xfId="8" applyNumberFormat="1" applyFont="1" applyFill="1" applyBorder="1"/>
    <xf numFmtId="37" fontId="12" fillId="0" borderId="3" xfId="8" applyNumberFormat="1" applyFont="1" applyBorder="1"/>
    <xf numFmtId="41" fontId="5" fillId="0" borderId="1" xfId="8" applyNumberFormat="1" applyBorder="1"/>
    <xf numFmtId="41" fontId="5" fillId="3" borderId="1" xfId="8" applyNumberFormat="1" applyFill="1" applyBorder="1"/>
    <xf numFmtId="41" fontId="12" fillId="3" borderId="0" xfId="8" applyNumberFormat="1" applyFont="1" applyFill="1"/>
    <xf numFmtId="43" fontId="12" fillId="3" borderId="0" xfId="9" applyNumberFormat="1" applyFont="1" applyFill="1"/>
    <xf numFmtId="37" fontId="5" fillId="0" borderId="3" xfId="8" applyNumberFormat="1" applyBorder="1"/>
    <xf numFmtId="43" fontId="5" fillId="0" borderId="0" xfId="11" applyNumberFormat="1" applyFont="1"/>
    <xf numFmtId="43" fontId="5" fillId="3" borderId="1" xfId="9" applyNumberFormat="1" applyFont="1" applyFill="1" applyBorder="1"/>
    <xf numFmtId="43" fontId="5" fillId="3" borderId="0" xfId="9" applyNumberFormat="1" applyFont="1" applyFill="1"/>
    <xf numFmtId="0" fontId="12" fillId="0" borderId="4" xfId="8" applyFont="1" applyBorder="1" applyAlignment="1">
      <alignment horizontal="center"/>
    </xf>
    <xf numFmtId="0" fontId="12" fillId="0" borderId="0" xfId="8" applyFont="1" applyAlignment="1">
      <alignment horizontal="center"/>
    </xf>
    <xf numFmtId="37" fontId="5" fillId="0" borderId="4" xfId="8" applyNumberFormat="1" applyBorder="1"/>
    <xf numFmtId="39" fontId="12" fillId="3" borderId="0" xfId="9" applyNumberFormat="1" applyFont="1" applyFill="1"/>
    <xf numFmtId="41" fontId="5" fillId="3" borderId="1" xfId="9" applyNumberFormat="1" applyFont="1" applyFill="1" applyBorder="1"/>
    <xf numFmtId="0" fontId="5" fillId="0" borderId="0" xfId="8" applyAlignment="1">
      <alignment horizontal="left" indent="1"/>
    </xf>
    <xf numFmtId="41" fontId="5" fillId="3" borderId="0" xfId="9" applyNumberFormat="1" applyFont="1" applyFill="1"/>
    <xf numFmtId="43" fontId="12" fillId="0" borderId="0" xfId="11" applyNumberFormat="1" applyFont="1"/>
    <xf numFmtId="43" fontId="5" fillId="0" borderId="1" xfId="11" applyNumberFormat="1" applyFont="1" applyBorder="1"/>
    <xf numFmtId="39" fontId="5" fillId="3" borderId="1" xfId="9" applyNumberFormat="1" applyFont="1" applyFill="1" applyBorder="1"/>
    <xf numFmtId="39" fontId="5" fillId="3" borderId="0" xfId="9" applyNumberFormat="1" applyFont="1" applyFill="1"/>
    <xf numFmtId="166" fontId="5" fillId="0" borderId="0" xfId="8" applyNumberFormat="1"/>
    <xf numFmtId="3" fontId="12" fillId="0" borderId="0" xfId="8" applyNumberFormat="1" applyFont="1" applyAlignment="1">
      <alignment horizontal="center"/>
    </xf>
    <xf numFmtId="37" fontId="12" fillId="0" borderId="0" xfId="8" applyNumberFormat="1" applyFont="1" applyAlignment="1">
      <alignment horizontal="center"/>
    </xf>
    <xf numFmtId="43" fontId="12" fillId="3" borderId="0" xfId="8" applyNumberFormat="1" applyFont="1" applyFill="1" applyAlignment="1">
      <alignment horizontal="center"/>
    </xf>
    <xf numFmtId="41" fontId="12" fillId="3" borderId="0" xfId="9" applyNumberFormat="1" applyFont="1" applyFill="1"/>
    <xf numFmtId="37" fontId="12" fillId="0" borderId="4" xfId="8" applyNumberFormat="1" applyFont="1" applyBorder="1" applyAlignment="1">
      <alignment horizontal="center"/>
    </xf>
    <xf numFmtId="3" fontId="12" fillId="0" borderId="4" xfId="8" applyNumberFormat="1" applyFont="1" applyBorder="1" applyAlignment="1">
      <alignment horizontal="center"/>
    </xf>
    <xf numFmtId="43" fontId="12" fillId="0" borderId="1" xfId="11" applyNumberFormat="1" applyFont="1" applyBorder="1" applyAlignment="1">
      <alignment horizontal="center"/>
    </xf>
    <xf numFmtId="41" fontId="12" fillId="0" borderId="1" xfId="8" applyNumberFormat="1" applyFont="1" applyBorder="1" applyAlignment="1">
      <alignment horizontal="center"/>
    </xf>
    <xf numFmtId="41" fontId="12" fillId="3" borderId="1" xfId="8" applyNumberFormat="1" applyFont="1" applyFill="1" applyBorder="1" applyAlignment="1">
      <alignment horizontal="center"/>
    </xf>
    <xf numFmtId="49" fontId="12" fillId="0" borderId="0" xfId="8" applyNumberFormat="1" applyFont="1" applyAlignment="1">
      <alignment horizontal="center"/>
    </xf>
    <xf numFmtId="43" fontId="12" fillId="0" borderId="0" xfId="11" applyNumberFormat="1" applyFont="1" applyAlignment="1">
      <alignment horizontal="center"/>
    </xf>
    <xf numFmtId="41" fontId="12" fillId="0" borderId="0" xfId="8" applyNumberFormat="1" applyFont="1" applyAlignment="1">
      <alignment horizontal="center"/>
    </xf>
    <xf numFmtId="41" fontId="12" fillId="3" borderId="0" xfId="8" applyNumberFormat="1" applyFont="1" applyFill="1" applyAlignment="1">
      <alignment horizontal="center"/>
    </xf>
    <xf numFmtId="0" fontId="5" fillId="0" borderId="0" xfId="8" applyAlignment="1">
      <alignment horizontal="centerContinuous"/>
    </xf>
    <xf numFmtId="37" fontId="5" fillId="0" borderId="0" xfId="8" applyNumberFormat="1" applyAlignment="1">
      <alignment horizontal="centerContinuous"/>
    </xf>
    <xf numFmtId="0" fontId="12" fillId="0" borderId="0" xfId="8" applyFont="1" applyAlignment="1">
      <alignment horizontal="centerContinuous"/>
    </xf>
    <xf numFmtId="17" fontId="14" fillId="0" borderId="0" xfId="0" applyNumberFormat="1" applyFont="1"/>
    <xf numFmtId="38" fontId="9" fillId="0" borderId="0" xfId="1" applyNumberFormat="1" applyFont="1" applyBorder="1"/>
    <xf numFmtId="38" fontId="10" fillId="0" borderId="0" xfId="3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7" applyFont="1" applyAlignment="1">
      <alignment horizontal="center"/>
    </xf>
    <xf numFmtId="37" fontId="12" fillId="0" borderId="1" xfId="8" applyNumberFormat="1" applyFont="1" applyBorder="1" applyAlignment="1">
      <alignment horizontal="center"/>
    </xf>
    <xf numFmtId="38" fontId="7" fillId="0" borderId="0" xfId="0" applyNumberFormat="1" applyFont="1" applyAlignment="1">
      <alignment horizontal="center"/>
    </xf>
    <xf numFmtId="40" fontId="7" fillId="0" borderId="0" xfId="0" applyNumberFormat="1" applyFont="1" applyAlignment="1">
      <alignment horizontal="center"/>
    </xf>
  </cellXfs>
  <cellStyles count="12">
    <cellStyle name="Comma" xfId="1" builtinId="3"/>
    <cellStyle name="Currency 2" xfId="3" xr:uid="{7B8D06BA-77F8-4588-B5BA-985E508B2209}"/>
    <cellStyle name="Currency 3" xfId="11" xr:uid="{829DEB30-ECFD-45DF-A699-47A5E3A86E67}"/>
    <cellStyle name="Normal" xfId="0" builtinId="0"/>
    <cellStyle name="Normal 10" xfId="5" xr:uid="{0CFAD948-5EE1-48BA-8F86-0C5EF9E4836F}"/>
    <cellStyle name="Normal 2" xfId="8" xr:uid="{BAE7EAA6-6E12-4B74-961E-DE45442BBC2B}"/>
    <cellStyle name="Normal 3" xfId="6" xr:uid="{1D4EA6B7-3D1D-42D9-ABB2-C74856E0740D}"/>
    <cellStyle name="Normal 37" xfId="7" xr:uid="{2DF97890-5151-44D8-A142-A5D7BAB11881}"/>
    <cellStyle name="Normal 4" xfId="10" xr:uid="{427D2B61-598F-4A76-9722-86B5E44CA50B}"/>
    <cellStyle name="Normal_Iowa ASL GPAMORT" xfId="9" xr:uid="{2BBBD997-FB8E-47A2-9D8F-B06935AF2175}"/>
    <cellStyle name="Percent" xfId="2" builtinId="5"/>
    <cellStyle name="Percent 2" xfId="4" xr:uid="{9CD852ED-759B-4A02-8237-492FE77D9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94BD-51D9-4886-BD10-CD50B6705AF4}">
  <dimension ref="A1:G11"/>
  <sheetViews>
    <sheetView tabSelected="1" zoomScaleNormal="100" zoomScaleSheetLayoutView="110" workbookViewId="0">
      <selection activeCell="C6" sqref="C6"/>
    </sheetView>
  </sheetViews>
  <sheetFormatPr defaultColWidth="9.125" defaultRowHeight="15.75"/>
  <cols>
    <col min="1" max="1" width="2.5" style="1" bestFit="1" customWidth="1"/>
    <col min="2" max="2" width="9.25" style="1" bestFit="1" customWidth="1"/>
    <col min="3" max="3" width="113.75" style="1" bestFit="1" customWidth="1"/>
    <col min="4" max="4" width="15.375" style="1" bestFit="1" customWidth="1"/>
    <col min="5" max="5" width="9.125" style="1"/>
    <col min="6" max="6" width="24.375" style="1" bestFit="1" customWidth="1"/>
    <col min="7" max="16384" width="9.125" style="1"/>
  </cols>
  <sheetData>
    <row r="1" spans="1:7">
      <c r="A1" s="1">
        <v>1</v>
      </c>
      <c r="C1" s="122" t="s">
        <v>0</v>
      </c>
      <c r="D1" s="122"/>
      <c r="E1" s="2"/>
      <c r="F1" s="2"/>
      <c r="G1" s="2"/>
    </row>
    <row r="2" spans="1:7">
      <c r="A2" s="1">
        <v>2</v>
      </c>
      <c r="B2" s="3" t="s">
        <v>1</v>
      </c>
      <c r="C2" s="4" t="s">
        <v>2</v>
      </c>
      <c r="D2" s="5" t="s">
        <v>3</v>
      </c>
      <c r="E2" s="2"/>
      <c r="F2" s="2" t="s">
        <v>4</v>
      </c>
      <c r="G2" s="2"/>
    </row>
    <row r="3" spans="1:7">
      <c r="A3" s="1">
        <v>3</v>
      </c>
      <c r="B3" s="6">
        <v>1.01</v>
      </c>
      <c r="C3" s="2" t="s">
        <v>5</v>
      </c>
      <c r="D3" s="2">
        <f>'1.01'!D44</f>
        <v>-4583042</v>
      </c>
      <c r="E3" s="2"/>
      <c r="F3" s="2">
        <v>79757474</v>
      </c>
      <c r="G3" s="2" t="s">
        <v>6</v>
      </c>
    </row>
    <row r="4" spans="1:7">
      <c r="A4" s="1">
        <v>4</v>
      </c>
      <c r="B4" s="6">
        <v>1.02</v>
      </c>
      <c r="C4" s="2" t="s">
        <v>7</v>
      </c>
      <c r="D4" s="2">
        <f>'1.02'!G20</f>
        <v>-2367854.049999997</v>
      </c>
      <c r="E4" s="2"/>
      <c r="F4" s="1">
        <f>D9</f>
        <v>-16005420.556122666</v>
      </c>
      <c r="G4" s="1" t="s">
        <v>8</v>
      </c>
    </row>
    <row r="5" spans="1:7" ht="16.5" thickBot="1">
      <c r="A5" s="1">
        <v>5</v>
      </c>
      <c r="B5" s="6">
        <v>1.03</v>
      </c>
      <c r="C5" s="2" t="s">
        <v>9</v>
      </c>
      <c r="D5" s="2">
        <f>-'1.03'!Q261</f>
        <v>-2559120.3894560002</v>
      </c>
      <c r="E5" s="2"/>
      <c r="F5" s="42">
        <v>1.0015540000000001</v>
      </c>
      <c r="G5" s="1" t="s">
        <v>10</v>
      </c>
    </row>
    <row r="6" spans="1:7" ht="16.5" thickTop="1">
      <c r="A6" s="1">
        <v>6</v>
      </c>
      <c r="B6" s="6">
        <v>1.04</v>
      </c>
      <c r="C6" s="2" t="s">
        <v>11</v>
      </c>
      <c r="D6" s="2">
        <f>'1.04'!C8</f>
        <v>-247497.96000000002</v>
      </c>
      <c r="E6" s="2"/>
      <c r="F6" s="40">
        <f>F3+(F4*F5)</f>
        <v>63727181.020333119</v>
      </c>
      <c r="G6" s="2" t="s">
        <v>12</v>
      </c>
    </row>
    <row r="7" spans="1:7">
      <c r="A7" s="1">
        <v>7</v>
      </c>
      <c r="B7" s="6">
        <v>1.05</v>
      </c>
      <c r="C7" s="2" t="s">
        <v>13</v>
      </c>
      <c r="D7" s="2">
        <f>'1.05'!H34</f>
        <v>-9608890.3233333323</v>
      </c>
      <c r="E7" s="2"/>
      <c r="F7" s="55">
        <f>F6/F3</f>
        <v>0.79901202764186241</v>
      </c>
      <c r="G7" s="2"/>
    </row>
    <row r="8" spans="1:7" ht="16.5" thickBot="1">
      <c r="A8" s="1">
        <v>8</v>
      </c>
      <c r="B8" s="6">
        <v>1.06</v>
      </c>
      <c r="C8" s="2" t="s">
        <v>14</v>
      </c>
      <c r="D8" s="7">
        <f>'1.06'!E44/6</f>
        <v>3360984.1666666665</v>
      </c>
      <c r="E8" s="2"/>
      <c r="F8" s="2"/>
      <c r="G8" s="2"/>
    </row>
    <row r="9" spans="1:7" ht="16.5" thickTop="1">
      <c r="A9" s="1">
        <v>9</v>
      </c>
      <c r="B9"/>
      <c r="C9" s="2" t="s">
        <v>15</v>
      </c>
      <c r="D9" s="2">
        <f>SUM(D3:D8)</f>
        <v>-16005420.556122666</v>
      </c>
      <c r="E9" s="2"/>
    </row>
    <row r="10" spans="1:7">
      <c r="E10" s="2"/>
    </row>
    <row r="11" spans="1:7">
      <c r="E11" s="2"/>
      <c r="F11" s="2"/>
      <c r="G11" s="2"/>
    </row>
  </sheetData>
  <mergeCells count="1">
    <mergeCell ref="C1:D1"/>
  </mergeCells>
  <pageMargins left="0.7" right="0.7" top="0.75" bottom="0.75" header="0.3" footer="0.3"/>
  <pageSetup scale="46" orientation="portrait" horizontalDpi="1200" verticalDpi="120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9468-502B-4748-B13E-661D4BA4CCDC}">
  <sheetPr>
    <tabColor rgb="FF92D050"/>
  </sheetPr>
  <dimension ref="A1:G48"/>
  <sheetViews>
    <sheetView zoomScaleNormal="100" zoomScaleSheetLayoutView="110" workbookViewId="0">
      <selection activeCell="C20" sqref="C20"/>
    </sheetView>
  </sheetViews>
  <sheetFormatPr defaultColWidth="17.875" defaultRowHeight="15.75"/>
  <cols>
    <col min="1" max="1" width="3.5" style="8" bestFit="1" customWidth="1"/>
    <col min="2" max="2" width="54.625" style="8" bestFit="1" customWidth="1"/>
    <col min="3" max="3" width="3.625" style="8" customWidth="1"/>
    <col min="4" max="7" width="20.125" style="8" customWidth="1"/>
    <col min="8" max="16384" width="17.875" style="8"/>
  </cols>
  <sheetData>
    <row r="1" spans="1:7">
      <c r="A1" s="1">
        <v>1</v>
      </c>
      <c r="G1" s="26" t="s">
        <v>16</v>
      </c>
    </row>
    <row r="2" spans="1:7">
      <c r="A2" s="1">
        <v>2</v>
      </c>
      <c r="B2" s="123" t="s">
        <v>17</v>
      </c>
      <c r="C2" s="123"/>
      <c r="D2" s="123"/>
      <c r="E2" s="123"/>
      <c r="F2" s="123"/>
      <c r="G2" s="123"/>
    </row>
    <row r="3" spans="1:7">
      <c r="A3" s="1">
        <v>3</v>
      </c>
      <c r="B3" s="123" t="s">
        <v>18</v>
      </c>
      <c r="C3" s="123"/>
      <c r="D3" s="123"/>
      <c r="E3" s="123"/>
      <c r="F3" s="123"/>
      <c r="G3" s="123"/>
    </row>
    <row r="4" spans="1:7">
      <c r="A4" s="1">
        <v>4</v>
      </c>
      <c r="B4" s="123" t="s">
        <v>19</v>
      </c>
      <c r="C4" s="123"/>
      <c r="D4" s="123"/>
      <c r="E4" s="123"/>
      <c r="F4" s="123"/>
      <c r="G4" s="123"/>
    </row>
    <row r="5" spans="1:7">
      <c r="A5" s="1">
        <v>5</v>
      </c>
      <c r="B5" s="27"/>
      <c r="C5" s="27"/>
      <c r="D5" s="27"/>
      <c r="E5" s="27"/>
      <c r="F5" s="27"/>
      <c r="G5" s="27"/>
    </row>
    <row r="6" spans="1:7">
      <c r="A6" s="1">
        <v>6</v>
      </c>
      <c r="B6" s="28" t="s">
        <v>20</v>
      </c>
      <c r="C6" s="29"/>
      <c r="D6" s="29">
        <v>2023</v>
      </c>
      <c r="E6" s="29">
        <v>2022</v>
      </c>
    </row>
    <row r="7" spans="1:7">
      <c r="A7" s="1">
        <v>7</v>
      </c>
      <c r="B7" s="30"/>
    </row>
    <row r="8" spans="1:7">
      <c r="A8" s="1">
        <v>8</v>
      </c>
      <c r="B8" s="30">
        <v>413200</v>
      </c>
      <c r="D8" s="31">
        <v>41449</v>
      </c>
      <c r="E8" s="31">
        <v>271089</v>
      </c>
    </row>
    <row r="9" spans="1:7">
      <c r="A9" s="1">
        <v>9</v>
      </c>
      <c r="B9" s="30">
        <v>510000</v>
      </c>
      <c r="D9" s="31">
        <v>3775554</v>
      </c>
      <c r="E9" s="31">
        <v>3667652</v>
      </c>
    </row>
    <row r="10" spans="1:7">
      <c r="A10" s="1">
        <v>10</v>
      </c>
      <c r="B10" s="30">
        <v>511000</v>
      </c>
      <c r="D10" s="31">
        <v>7381253</v>
      </c>
      <c r="E10" s="31">
        <v>7006708</v>
      </c>
    </row>
    <row r="11" spans="1:7">
      <c r="A11" s="1">
        <v>11</v>
      </c>
      <c r="B11" s="30">
        <v>512000</v>
      </c>
      <c r="D11" s="31">
        <v>61760196</v>
      </c>
      <c r="E11" s="31">
        <v>57426176</v>
      </c>
    </row>
    <row r="12" spans="1:7">
      <c r="A12" s="1">
        <v>12</v>
      </c>
      <c r="B12" s="30">
        <v>513000</v>
      </c>
      <c r="D12" s="31">
        <v>23685335</v>
      </c>
      <c r="E12" s="31">
        <v>17208953</v>
      </c>
    </row>
    <row r="13" spans="1:7">
      <c r="A13" s="1">
        <v>13</v>
      </c>
      <c r="B13" s="30">
        <v>551000</v>
      </c>
      <c r="D13" s="31">
        <v>620018.82999999996</v>
      </c>
      <c r="E13" s="31">
        <v>546728</v>
      </c>
    </row>
    <row r="14" spans="1:7">
      <c r="A14" s="1">
        <v>14</v>
      </c>
      <c r="B14" s="30">
        <v>552000</v>
      </c>
      <c r="D14" s="31">
        <v>1650833</v>
      </c>
      <c r="E14" s="31">
        <v>1037052</v>
      </c>
    </row>
    <row r="15" spans="1:7">
      <c r="A15" s="1">
        <v>15</v>
      </c>
      <c r="B15" s="32">
        <v>553000</v>
      </c>
      <c r="C15" s="29"/>
      <c r="D15" s="33">
        <v>12453758</v>
      </c>
      <c r="E15" s="33">
        <v>12681751</v>
      </c>
    </row>
    <row r="16" spans="1:7">
      <c r="A16" s="1">
        <v>16</v>
      </c>
    </row>
    <row r="17" spans="1:6">
      <c r="A17" s="1">
        <v>17</v>
      </c>
      <c r="B17" s="34" t="s">
        <v>21</v>
      </c>
      <c r="D17" s="31">
        <f>SUM(D8:D15)</f>
        <v>111368396.83</v>
      </c>
      <c r="E17" s="31">
        <f>SUM(E8:E15)</f>
        <v>99846109</v>
      </c>
    </row>
    <row r="18" spans="1:6">
      <c r="A18" s="1">
        <v>18</v>
      </c>
      <c r="B18" s="34" t="s">
        <v>22</v>
      </c>
      <c r="D18" s="11">
        <v>-905523</v>
      </c>
      <c r="E18" s="11">
        <f>D18</f>
        <v>-905523</v>
      </c>
    </row>
    <row r="19" spans="1:6">
      <c r="A19" s="1">
        <v>19</v>
      </c>
      <c r="B19" s="34" t="s">
        <v>23</v>
      </c>
      <c r="D19" s="11">
        <v>-22267417</v>
      </c>
      <c r="E19" s="11">
        <v>-22786421</v>
      </c>
    </row>
    <row r="20" spans="1:6">
      <c r="A20" s="1">
        <v>20</v>
      </c>
      <c r="B20" s="35"/>
      <c r="E20" s="11"/>
    </row>
    <row r="21" spans="1:6">
      <c r="A21" s="1">
        <v>21</v>
      </c>
      <c r="B21" s="34" t="s">
        <v>24</v>
      </c>
      <c r="D21" s="31">
        <f>SUM(D17:D19)</f>
        <v>88195456.829999998</v>
      </c>
      <c r="E21" s="31">
        <f>SUM(E17:E19)</f>
        <v>76154165</v>
      </c>
    </row>
    <row r="22" spans="1:6">
      <c r="A22" s="1">
        <v>22</v>
      </c>
      <c r="B22" s="35"/>
      <c r="E22" s="11"/>
    </row>
    <row r="23" spans="1:6">
      <c r="A23" s="1">
        <v>23</v>
      </c>
      <c r="B23" s="34" t="s">
        <v>25</v>
      </c>
      <c r="D23" s="31">
        <v>63842645</v>
      </c>
      <c r="E23" s="31">
        <v>63842645</v>
      </c>
    </row>
    <row r="24" spans="1:6">
      <c r="A24" s="1">
        <v>24</v>
      </c>
    </row>
    <row r="25" spans="1:6">
      <c r="A25" s="1">
        <v>25</v>
      </c>
      <c r="B25" s="34" t="s">
        <v>26</v>
      </c>
      <c r="D25" s="31">
        <f>D21-D23</f>
        <v>24352811.829999998</v>
      </c>
      <c r="E25" s="31">
        <f>E21-E23</f>
        <v>12311520</v>
      </c>
      <c r="F25" s="31"/>
    </row>
    <row r="26" spans="1:6">
      <c r="A26" s="1">
        <v>26</v>
      </c>
      <c r="B26" s="34" t="s">
        <v>27</v>
      </c>
      <c r="D26" s="36">
        <v>0.75</v>
      </c>
      <c r="E26" s="36">
        <v>0.75</v>
      </c>
    </row>
    <row r="27" spans="1:6">
      <c r="A27" s="1">
        <v>27</v>
      </c>
    </row>
    <row r="28" spans="1:6">
      <c r="A28" s="1">
        <v>28</v>
      </c>
      <c r="B28" s="34" t="s">
        <v>28</v>
      </c>
      <c r="D28" s="31">
        <f>D25*D26</f>
        <v>18264608.872499999</v>
      </c>
      <c r="E28" s="31">
        <f>E25*E26</f>
        <v>9233640</v>
      </c>
    </row>
    <row r="29" spans="1:6">
      <c r="A29" s="1">
        <v>29</v>
      </c>
    </row>
    <row r="30" spans="1:6">
      <c r="A30" s="1">
        <v>30</v>
      </c>
      <c r="B30" s="34" t="s">
        <v>29</v>
      </c>
      <c r="D30" s="31">
        <f>E28</f>
        <v>9233640</v>
      </c>
      <c r="E30" s="31"/>
    </row>
    <row r="31" spans="1:6">
      <c r="A31" s="1">
        <v>31</v>
      </c>
    </row>
    <row r="32" spans="1:6" ht="16.5" thickBot="1">
      <c r="A32" s="1">
        <v>32</v>
      </c>
      <c r="B32" s="34" t="s">
        <v>30</v>
      </c>
      <c r="D32" s="37">
        <f>D28+D30</f>
        <v>27498248.872499999</v>
      </c>
      <c r="E32" s="37">
        <f>E28+E30</f>
        <v>9233640</v>
      </c>
    </row>
    <row r="33" spans="1:5" ht="16.5" thickTop="1">
      <c r="A33" s="1">
        <v>33</v>
      </c>
    </row>
    <row r="34" spans="1:5">
      <c r="A34" s="1">
        <v>34</v>
      </c>
      <c r="B34" s="35" t="s">
        <v>31</v>
      </c>
      <c r="D34" s="8">
        <v>3</v>
      </c>
      <c r="E34" s="8" t="s">
        <v>32</v>
      </c>
    </row>
    <row r="35" spans="1:5">
      <c r="A35" s="1">
        <v>35</v>
      </c>
      <c r="B35" s="35"/>
    </row>
    <row r="36" spans="1:5" ht="16.5" thickBot="1">
      <c r="A36" s="1">
        <v>36</v>
      </c>
      <c r="B36" s="35" t="s">
        <v>33</v>
      </c>
      <c r="D36" s="38">
        <f>ROUND(D32/D34,0)</f>
        <v>9166083</v>
      </c>
    </row>
    <row r="37" spans="1:5" ht="16.5" thickTop="1">
      <c r="A37" s="1">
        <v>37</v>
      </c>
      <c r="B37" s="35"/>
    </row>
    <row r="38" spans="1:5" ht="16.5" thickBot="1">
      <c r="A38" s="1">
        <v>38</v>
      </c>
      <c r="B38" s="35" t="s">
        <v>34</v>
      </c>
      <c r="D38" s="38">
        <f>D36</f>
        <v>9166083</v>
      </c>
    </row>
    <row r="39" spans="1:5" ht="16.5" thickTop="1">
      <c r="A39" s="1">
        <v>39</v>
      </c>
      <c r="B39" s="35"/>
    </row>
    <row r="40" spans="1:5">
      <c r="A40" s="1">
        <v>40</v>
      </c>
      <c r="B40" s="35" t="s">
        <v>31</v>
      </c>
      <c r="D40" s="8">
        <v>6</v>
      </c>
      <c r="E40" s="8" t="s">
        <v>32</v>
      </c>
    </row>
    <row r="41" spans="1:5">
      <c r="A41" s="1">
        <v>41</v>
      </c>
      <c r="B41" s="35"/>
    </row>
    <row r="42" spans="1:5" ht="16.5" thickBot="1">
      <c r="A42" s="1">
        <v>42</v>
      </c>
      <c r="B42" s="35" t="s">
        <v>33</v>
      </c>
      <c r="D42" s="38">
        <f>ROUND(D32/D40,0)</f>
        <v>4583041</v>
      </c>
    </row>
    <row r="43" spans="1:5" ht="16.5" thickTop="1">
      <c r="A43" s="1">
        <v>43</v>
      </c>
      <c r="B43" s="35"/>
    </row>
    <row r="44" spans="1:5">
      <c r="A44" s="1">
        <v>44</v>
      </c>
      <c r="B44" s="35" t="s">
        <v>35</v>
      </c>
      <c r="D44" s="11">
        <f>D42-D36</f>
        <v>-4583042</v>
      </c>
    </row>
    <row r="48" spans="1:5">
      <c r="D48" s="39"/>
    </row>
  </sheetData>
  <mergeCells count="3">
    <mergeCell ref="B3:G3"/>
    <mergeCell ref="B2:G2"/>
    <mergeCell ref="B4:G4"/>
  </mergeCells>
  <pageMargins left="0.7" right="0.7" top="0.75" bottom="0.75" header="0.3" footer="0.3"/>
  <pageSetup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9D6-00C2-4C1D-A6DB-F91F7C9EB1BF}">
  <sheetPr>
    <tabColor rgb="FF92D050"/>
  </sheetPr>
  <dimension ref="A1:I21"/>
  <sheetViews>
    <sheetView zoomScaleNormal="100" zoomScaleSheetLayoutView="190" workbookViewId="0">
      <selection activeCell="C20" sqref="C20"/>
    </sheetView>
  </sheetViews>
  <sheetFormatPr defaultColWidth="9" defaultRowHeight="15.75"/>
  <cols>
    <col min="1" max="1" width="2.875" style="8" bestFit="1" customWidth="1"/>
    <col min="2" max="2" width="34" style="8" customWidth="1"/>
    <col min="3" max="3" width="9" style="8"/>
    <col min="4" max="4" width="20.375" style="8" bestFit="1" customWidth="1"/>
    <col min="5" max="5" width="18.25" style="8" bestFit="1" customWidth="1"/>
    <col min="6" max="6" width="17" style="8" customWidth="1"/>
    <col min="7" max="7" width="15.75" style="8" bestFit="1" customWidth="1"/>
    <col min="8" max="8" width="14.75" style="8" bestFit="1" customWidth="1"/>
    <col min="9" max="16384" width="9" style="8"/>
  </cols>
  <sheetData>
    <row r="1" spans="1:9">
      <c r="A1" s="8">
        <v>1</v>
      </c>
      <c r="B1" s="124" t="s">
        <v>17</v>
      </c>
      <c r="C1" s="124"/>
      <c r="D1" s="124"/>
      <c r="E1" s="124"/>
      <c r="F1" s="124"/>
      <c r="G1" s="124"/>
    </row>
    <row r="2" spans="1:9">
      <c r="A2" s="8">
        <v>2</v>
      </c>
      <c r="B2" s="124" t="s">
        <v>36</v>
      </c>
      <c r="C2" s="124"/>
      <c r="D2" s="124"/>
      <c r="E2" s="124"/>
      <c r="F2" s="124"/>
      <c r="G2" s="124"/>
    </row>
    <row r="3" spans="1:9">
      <c r="A3" s="8">
        <v>3</v>
      </c>
      <c r="B3" s="124" t="s">
        <v>19</v>
      </c>
      <c r="C3" s="124"/>
      <c r="D3" s="124"/>
      <c r="E3" s="124"/>
      <c r="F3" s="124"/>
      <c r="G3" s="124"/>
    </row>
    <row r="4" spans="1:9">
      <c r="A4" s="8">
        <v>4</v>
      </c>
    </row>
    <row r="5" spans="1:9">
      <c r="A5" s="8">
        <v>5</v>
      </c>
      <c r="B5" s="18"/>
      <c r="C5" s="18"/>
      <c r="D5" s="19" t="s">
        <v>37</v>
      </c>
      <c r="E5" s="20"/>
      <c r="F5" s="20"/>
      <c r="G5" s="20"/>
    </row>
    <row r="6" spans="1:9">
      <c r="A6" s="8">
        <v>6</v>
      </c>
      <c r="B6" s="18"/>
      <c r="C6" s="18"/>
      <c r="D6" s="19" t="s">
        <v>38</v>
      </c>
      <c r="E6" s="19" t="s">
        <v>39</v>
      </c>
      <c r="F6" s="19" t="s">
        <v>39</v>
      </c>
      <c r="G6" s="19" t="s">
        <v>37</v>
      </c>
    </row>
    <row r="7" spans="1:9">
      <c r="A7" s="8">
        <v>7</v>
      </c>
      <c r="B7" s="18"/>
      <c r="C7" s="18"/>
      <c r="D7" s="19" t="s">
        <v>40</v>
      </c>
      <c r="E7" s="19" t="s">
        <v>41</v>
      </c>
      <c r="F7" s="19" t="s">
        <v>42</v>
      </c>
      <c r="G7" s="19" t="s">
        <v>43</v>
      </c>
    </row>
    <row r="8" spans="1:9">
      <c r="A8" s="8">
        <v>8</v>
      </c>
      <c r="B8" s="18"/>
      <c r="C8" s="18"/>
      <c r="D8" s="21" t="s">
        <v>44</v>
      </c>
      <c r="E8" s="21" t="s">
        <v>45</v>
      </c>
      <c r="F8" s="21" t="s">
        <v>46</v>
      </c>
      <c r="G8" s="21" t="s">
        <v>44</v>
      </c>
    </row>
    <row r="9" spans="1:9">
      <c r="A9" s="8">
        <v>9</v>
      </c>
      <c r="B9" s="18"/>
      <c r="C9" s="18"/>
      <c r="D9" s="22"/>
      <c r="E9" s="22"/>
      <c r="F9" s="22"/>
      <c r="G9" s="22"/>
    </row>
    <row r="10" spans="1:9">
      <c r="A10" s="8">
        <v>10</v>
      </c>
      <c r="B10" s="18" t="s">
        <v>47</v>
      </c>
      <c r="C10" s="18"/>
      <c r="D10" s="23">
        <v>76334482</v>
      </c>
      <c r="E10" s="23">
        <v>-905523</v>
      </c>
      <c r="F10" s="23">
        <v>-16381302</v>
      </c>
      <c r="G10" s="1">
        <f>SUM(D10:F10)</f>
        <v>59047657</v>
      </c>
      <c r="I10" s="1"/>
    </row>
    <row r="11" spans="1:9">
      <c r="A11" s="8">
        <v>11</v>
      </c>
      <c r="B11" s="18" t="s">
        <v>48</v>
      </c>
      <c r="C11" s="18"/>
      <c r="D11" s="23">
        <v>104359426</v>
      </c>
      <c r="E11" s="23">
        <v>-905523</v>
      </c>
      <c r="F11" s="23">
        <v>-18825621</v>
      </c>
      <c r="G11" s="1">
        <f>SUM(D11:F11)</f>
        <v>84628282</v>
      </c>
      <c r="I11" s="1"/>
    </row>
    <row r="12" spans="1:9">
      <c r="A12" s="8">
        <v>12</v>
      </c>
      <c r="B12" s="18" t="s">
        <v>49</v>
      </c>
      <c r="C12" s="18"/>
      <c r="D12" s="23">
        <v>99846109</v>
      </c>
      <c r="E12" s="23">
        <v>-905523</v>
      </c>
      <c r="F12" s="23">
        <v>-22786421</v>
      </c>
      <c r="G12" s="1">
        <f>SUM(D12:F12)</f>
        <v>76154165</v>
      </c>
      <c r="I12" s="1"/>
    </row>
    <row r="13" spans="1:9">
      <c r="A13" s="8">
        <v>13</v>
      </c>
      <c r="B13" s="18" t="s">
        <v>50</v>
      </c>
      <c r="C13" s="18"/>
      <c r="D13" s="23">
        <v>111368397</v>
      </c>
      <c r="E13" s="23">
        <v>-905523</v>
      </c>
      <c r="F13" s="23">
        <v>-22267417</v>
      </c>
      <c r="G13" s="1">
        <f>SUM(D13:F13)</f>
        <v>88195457</v>
      </c>
      <c r="I13" s="1"/>
    </row>
    <row r="14" spans="1:9">
      <c r="A14" s="8">
        <v>14</v>
      </c>
      <c r="B14" s="18" t="s">
        <v>51</v>
      </c>
      <c r="C14" s="18"/>
      <c r="D14" s="25">
        <v>90189218</v>
      </c>
      <c r="E14" s="23">
        <v>-905523</v>
      </c>
      <c r="F14" s="24">
        <v>-24116575</v>
      </c>
      <c r="G14" s="1">
        <f>SUM(D14:F14)</f>
        <v>65167120</v>
      </c>
      <c r="I14" s="1"/>
    </row>
    <row r="15" spans="1:9">
      <c r="A15" s="8">
        <v>15</v>
      </c>
      <c r="B15" s="18"/>
      <c r="C15" s="18"/>
      <c r="D15" s="24"/>
      <c r="E15" s="24"/>
      <c r="F15" s="24"/>
      <c r="G15" s="24"/>
    </row>
    <row r="16" spans="1:9">
      <c r="A16" s="8">
        <v>16</v>
      </c>
      <c r="B16" s="18" t="s">
        <v>52</v>
      </c>
      <c r="C16" s="18"/>
      <c r="D16" s="23"/>
      <c r="E16" s="23"/>
      <c r="F16" s="23"/>
      <c r="G16" s="24">
        <f>AVERAGE(G10:G13)</f>
        <v>77006390.25</v>
      </c>
    </row>
    <row r="17" spans="1:7">
      <c r="A17" s="8">
        <v>17</v>
      </c>
      <c r="B17" s="18"/>
      <c r="C17" s="18"/>
      <c r="D17" s="23"/>
      <c r="E17" s="23"/>
      <c r="F17" s="23"/>
      <c r="G17" s="24"/>
    </row>
    <row r="18" spans="1:7">
      <c r="A18" s="8">
        <v>18</v>
      </c>
      <c r="B18" s="18" t="s">
        <v>53</v>
      </c>
      <c r="C18" s="18"/>
      <c r="D18" s="23"/>
      <c r="E18" s="23"/>
      <c r="F18" s="23"/>
      <c r="G18" s="25">
        <f>AVERAGE(G10:G14)</f>
        <v>74638536.200000003</v>
      </c>
    </row>
    <row r="19" spans="1:7">
      <c r="A19" s="8">
        <v>19</v>
      </c>
      <c r="B19" s="18"/>
      <c r="C19" s="18"/>
      <c r="D19" s="23"/>
      <c r="E19" s="23"/>
      <c r="F19" s="23"/>
      <c r="G19" s="24"/>
    </row>
    <row r="20" spans="1:7" ht="16.5" thickBot="1">
      <c r="A20" s="8">
        <v>20</v>
      </c>
      <c r="B20" s="18" t="s">
        <v>54</v>
      </c>
      <c r="C20" s="18"/>
      <c r="D20" s="23"/>
      <c r="E20" s="23"/>
      <c r="F20" s="23"/>
      <c r="G20" s="41">
        <f>G18-G16</f>
        <v>-2367854.049999997</v>
      </c>
    </row>
    <row r="21" spans="1:7" ht="16.5" thickTop="1"/>
  </sheetData>
  <mergeCells count="3">
    <mergeCell ref="B2:G2"/>
    <mergeCell ref="B3:G3"/>
    <mergeCell ref="B1:G1"/>
  </mergeCells>
  <pageMargins left="0.7" right="0.7" top="0.75" bottom="0.75" header="0.3" footer="0.3"/>
  <pageSetup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1FC6-29D1-43B3-A57A-81CFC2100B15}">
  <sheetPr>
    <tabColor rgb="FF92D050"/>
    <pageSetUpPr fitToPage="1"/>
  </sheetPr>
  <dimension ref="A1:R280"/>
  <sheetViews>
    <sheetView topLeftCell="F225" zoomScaleNormal="100" workbookViewId="0">
      <selection activeCell="C20" sqref="C20"/>
    </sheetView>
  </sheetViews>
  <sheetFormatPr defaultColWidth="12" defaultRowHeight="15"/>
  <cols>
    <col min="1" max="1" width="7.25" style="60" bestFit="1" customWidth="1"/>
    <col min="2" max="2" width="3.625" style="60" customWidth="1"/>
    <col min="3" max="3" width="70.25" style="60" customWidth="1"/>
    <col min="4" max="4" width="3.375" style="60" customWidth="1"/>
    <col min="5" max="5" width="29.625" style="60" customWidth="1"/>
    <col min="6" max="6" width="3.375" style="60" customWidth="1"/>
    <col min="7" max="7" width="26.25" style="62" bestFit="1" customWidth="1"/>
    <col min="8" max="8" width="3.375" style="62" customWidth="1"/>
    <col min="9" max="9" width="15.375" style="60" customWidth="1"/>
    <col min="10" max="10" width="3.375" style="60" customWidth="1"/>
    <col min="11" max="11" width="23.875" style="60" customWidth="1"/>
    <col min="12" max="12" width="21" style="62" customWidth="1"/>
    <col min="13" max="13" width="3.375" style="60" customWidth="1"/>
    <col min="14" max="14" width="18.25" style="60" customWidth="1"/>
    <col min="15" max="15" width="2.875" style="60" customWidth="1"/>
    <col min="16" max="16" width="29.125" style="60" customWidth="1"/>
    <col min="17" max="17" width="20.25" style="61" bestFit="1" customWidth="1"/>
    <col min="18" max="18" width="17.875" style="60" bestFit="1" customWidth="1"/>
    <col min="19" max="16384" width="12" style="60"/>
  </cols>
  <sheetData>
    <row r="1" spans="1:17" ht="15.75">
      <c r="A1" s="119" t="s">
        <v>55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P1" s="119"/>
    </row>
    <row r="2" spans="1:17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P2" s="119"/>
    </row>
    <row r="3" spans="1:17" ht="15.75">
      <c r="A3" s="119" t="s">
        <v>56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19"/>
    </row>
    <row r="4" spans="1:17" ht="15.7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19"/>
    </row>
    <row r="5" spans="1:17" ht="15.75">
      <c r="A5" s="119"/>
      <c r="B5" s="117"/>
      <c r="C5" s="117"/>
      <c r="D5" s="117"/>
      <c r="E5" s="117"/>
      <c r="F5" s="117"/>
      <c r="G5" s="118"/>
      <c r="H5" s="118"/>
    </row>
    <row r="6" spans="1:17" ht="15.75">
      <c r="B6" s="65"/>
      <c r="C6" s="93"/>
      <c r="D6" s="93"/>
      <c r="E6" s="93" t="s">
        <v>57</v>
      </c>
      <c r="F6" s="93"/>
      <c r="G6" s="106" t="s">
        <v>58</v>
      </c>
      <c r="H6" s="105"/>
      <c r="I6" s="117"/>
      <c r="J6" s="117"/>
      <c r="K6" s="93" t="s">
        <v>59</v>
      </c>
      <c r="L6" s="125" t="s">
        <v>60</v>
      </c>
      <c r="M6" s="125"/>
      <c r="N6" s="125"/>
      <c r="O6" s="125"/>
      <c r="P6" s="125"/>
    </row>
    <row r="7" spans="1:17" ht="15.75">
      <c r="B7" s="65"/>
      <c r="C7" s="93"/>
      <c r="D7" s="93"/>
      <c r="E7" s="93" t="s">
        <v>61</v>
      </c>
      <c r="F7" s="93"/>
      <c r="G7" s="106" t="s">
        <v>61</v>
      </c>
      <c r="H7" s="105"/>
      <c r="I7" s="92" t="s">
        <v>62</v>
      </c>
      <c r="J7" s="93"/>
      <c r="K7" s="93" t="s">
        <v>63</v>
      </c>
      <c r="L7" s="105" t="s">
        <v>64</v>
      </c>
      <c r="M7" s="93"/>
      <c r="N7" s="116" t="s">
        <v>65</v>
      </c>
      <c r="P7" s="115" t="s">
        <v>66</v>
      </c>
      <c r="Q7" s="114" t="s">
        <v>67</v>
      </c>
    </row>
    <row r="8" spans="1:17" ht="15.75">
      <c r="B8" s="65"/>
      <c r="C8" s="93" t="s">
        <v>68</v>
      </c>
      <c r="D8" s="93"/>
      <c r="E8" s="113" t="s">
        <v>69</v>
      </c>
      <c r="F8" s="93"/>
      <c r="G8" s="106" t="s">
        <v>69</v>
      </c>
      <c r="H8" s="105"/>
      <c r="I8" s="93" t="s">
        <v>70</v>
      </c>
      <c r="J8" s="93"/>
      <c r="K8" s="93" t="s">
        <v>71</v>
      </c>
      <c r="L8" s="105" t="s">
        <v>72</v>
      </c>
      <c r="M8" s="93"/>
      <c r="N8" s="112" t="s">
        <v>72</v>
      </c>
      <c r="P8" s="111" t="s">
        <v>72</v>
      </c>
      <c r="Q8" s="110" t="s">
        <v>73</v>
      </c>
    </row>
    <row r="9" spans="1:17" ht="15.75">
      <c r="B9" s="65"/>
      <c r="C9" s="108"/>
      <c r="D9" s="104"/>
      <c r="E9" s="108"/>
      <c r="F9" s="105"/>
      <c r="G9" s="106"/>
      <c r="H9" s="105"/>
      <c r="I9" s="109"/>
      <c r="J9" s="104"/>
      <c r="K9" s="104"/>
      <c r="L9" s="108"/>
      <c r="M9" s="104"/>
      <c r="N9" s="80"/>
      <c r="P9" s="79"/>
    </row>
    <row r="10" spans="1:17" ht="15.75">
      <c r="B10" s="65"/>
      <c r="C10" s="104"/>
      <c r="D10" s="104"/>
      <c r="E10" s="104"/>
      <c r="F10" s="104"/>
      <c r="G10" s="106"/>
      <c r="H10" s="105"/>
      <c r="I10" s="104"/>
      <c r="J10" s="104"/>
      <c r="K10" s="104"/>
      <c r="L10" s="105"/>
      <c r="M10" s="104"/>
      <c r="N10" s="80"/>
      <c r="P10" s="79"/>
    </row>
    <row r="11" spans="1:17" ht="15.75">
      <c r="B11" s="65"/>
      <c r="C11" s="76" t="s">
        <v>74</v>
      </c>
      <c r="D11" s="104"/>
      <c r="E11" s="104"/>
      <c r="F11" s="104"/>
      <c r="G11" s="106"/>
      <c r="H11" s="105"/>
      <c r="I11" s="104"/>
      <c r="J11" s="104"/>
      <c r="K11" s="104"/>
      <c r="L11" s="105"/>
      <c r="M11" s="104"/>
      <c r="N11" s="80"/>
      <c r="P11" s="79"/>
    </row>
    <row r="12" spans="1:17" ht="15.75">
      <c r="B12" s="65"/>
      <c r="C12" s="104"/>
      <c r="D12" s="104"/>
      <c r="E12" s="104"/>
      <c r="F12" s="104"/>
      <c r="G12" s="106"/>
      <c r="H12" s="105"/>
      <c r="I12" s="104"/>
      <c r="J12" s="104"/>
      <c r="K12" s="104"/>
      <c r="L12" s="105"/>
      <c r="M12" s="104"/>
      <c r="N12" s="80"/>
      <c r="P12" s="79"/>
    </row>
    <row r="13" spans="1:17" ht="15.75">
      <c r="A13" s="73">
        <v>303</v>
      </c>
      <c r="C13" s="60" t="s">
        <v>75</v>
      </c>
      <c r="D13" s="104"/>
      <c r="E13" s="52">
        <v>20095177.920000002</v>
      </c>
      <c r="F13" s="50"/>
      <c r="G13" s="90">
        <v>0</v>
      </c>
      <c r="H13" s="49"/>
      <c r="I13" s="67">
        <v>3.66</v>
      </c>
      <c r="J13" s="67"/>
      <c r="K13" s="67">
        <v>3.66</v>
      </c>
      <c r="L13" s="51">
        <v>735656</v>
      </c>
      <c r="N13" s="85">
        <f>ROUND(G13*(I13/100),0)</f>
        <v>0</v>
      </c>
      <c r="P13" s="84">
        <f>L13-N13</f>
        <v>735656</v>
      </c>
      <c r="Q13" s="89"/>
    </row>
    <row r="14" spans="1:17" ht="15.75">
      <c r="B14" s="65"/>
      <c r="C14" s="104"/>
      <c r="D14" s="104"/>
      <c r="E14" s="104"/>
      <c r="F14" s="104"/>
      <c r="G14" s="106"/>
      <c r="H14" s="105"/>
      <c r="I14" s="104"/>
      <c r="J14" s="104"/>
      <c r="K14" s="104"/>
      <c r="L14" s="105"/>
      <c r="M14" s="104"/>
      <c r="N14" s="80"/>
      <c r="P14" s="79"/>
    </row>
    <row r="15" spans="1:17" ht="15.75">
      <c r="B15" s="65"/>
      <c r="C15" s="68" t="s">
        <v>76</v>
      </c>
      <c r="D15" s="104"/>
      <c r="E15" s="45">
        <f>SUBTOTAL(9,E13:E14)</f>
        <v>20095177.920000002</v>
      </c>
      <c r="F15" s="54"/>
      <c r="G15" s="95">
        <f>SUBTOTAL(9,G13:G14)</f>
        <v>0</v>
      </c>
      <c r="H15" s="53"/>
      <c r="I15" s="75">
        <f>+ROUND(L15/E15*100,2)</f>
        <v>3.66</v>
      </c>
      <c r="J15" s="75"/>
      <c r="K15" s="75">
        <v>3.66</v>
      </c>
      <c r="L15" s="53">
        <f>SUBTOTAL(9,L13:L14)</f>
        <v>735656</v>
      </c>
      <c r="M15" s="65"/>
      <c r="N15" s="107">
        <f>SUBTOTAL(9,N13:N14)</f>
        <v>0</v>
      </c>
      <c r="P15" s="53">
        <f>SUBTOTAL(9,P13:P14)</f>
        <v>735656</v>
      </c>
    </row>
    <row r="16" spans="1:17" ht="15.75">
      <c r="B16" s="65"/>
      <c r="C16" s="104"/>
      <c r="D16" s="104"/>
      <c r="E16" s="104"/>
      <c r="F16" s="104"/>
      <c r="G16" s="106"/>
      <c r="H16" s="105"/>
      <c r="I16" s="104"/>
      <c r="J16" s="104"/>
      <c r="K16" s="104"/>
      <c r="L16" s="105"/>
      <c r="M16" s="104"/>
      <c r="N16" s="80"/>
      <c r="P16" s="79"/>
    </row>
    <row r="17" spans="1:17" ht="15.75">
      <c r="C17" s="93" t="s">
        <v>77</v>
      </c>
      <c r="G17" s="74"/>
      <c r="I17" s="103"/>
      <c r="J17" s="103"/>
      <c r="K17" s="103"/>
      <c r="N17" s="80"/>
      <c r="P17" s="79"/>
    </row>
    <row r="18" spans="1:17" ht="15.75">
      <c r="C18" s="92"/>
      <c r="G18" s="74"/>
      <c r="I18" s="67"/>
      <c r="J18" s="67"/>
      <c r="K18" s="67"/>
      <c r="N18" s="80"/>
      <c r="P18" s="79"/>
    </row>
    <row r="19" spans="1:17">
      <c r="A19" s="73">
        <v>310.10000000000002</v>
      </c>
      <c r="C19" s="60" t="s">
        <v>78</v>
      </c>
      <c r="G19" s="74"/>
      <c r="I19" s="67"/>
      <c r="J19" s="67"/>
      <c r="K19" s="67"/>
      <c r="N19" s="80"/>
      <c r="P19" s="79"/>
    </row>
    <row r="20" spans="1:17">
      <c r="C20" s="97" t="s">
        <v>79</v>
      </c>
      <c r="E20" s="43">
        <v>5325571.5599999996</v>
      </c>
      <c r="F20" s="50"/>
      <c r="G20" s="91">
        <v>5325571.5599999996</v>
      </c>
      <c r="H20" s="49"/>
      <c r="I20" s="67">
        <v>3.37</v>
      </c>
      <c r="J20" s="67"/>
      <c r="K20" s="67">
        <v>3.37</v>
      </c>
      <c r="L20" s="49">
        <v>179435</v>
      </c>
      <c r="N20" s="80">
        <f>ROUND(G20*(I20/100),0)-37</f>
        <v>179435</v>
      </c>
      <c r="P20" s="79">
        <f>L20-N20</f>
        <v>0</v>
      </c>
      <c r="Q20" s="89">
        <f>(I20-K20)*G20</f>
        <v>0</v>
      </c>
    </row>
    <row r="21" spans="1:17">
      <c r="C21" s="97" t="s">
        <v>80</v>
      </c>
      <c r="E21" s="43">
        <v>480134.08</v>
      </c>
      <c r="F21" s="50"/>
      <c r="G21" s="91">
        <v>0</v>
      </c>
      <c r="H21" s="49"/>
      <c r="I21" s="67">
        <v>2.19</v>
      </c>
      <c r="J21" s="67"/>
      <c r="K21" s="67">
        <v>2.19</v>
      </c>
      <c r="L21" s="49">
        <v>10494</v>
      </c>
      <c r="N21" s="80">
        <f>ROUND(G21*(I21/100),0)</f>
        <v>0</v>
      </c>
      <c r="P21" s="79">
        <f>L21-N21</f>
        <v>10494</v>
      </c>
      <c r="Q21" s="89">
        <f>(I21-K21)*G21</f>
        <v>0</v>
      </c>
    </row>
    <row r="22" spans="1:17">
      <c r="C22" s="97" t="s">
        <v>81</v>
      </c>
      <c r="E22" s="43">
        <v>54040615.270000003</v>
      </c>
      <c r="F22" s="50"/>
      <c r="G22" s="91">
        <f>24117699.5-1050779.86</f>
        <v>23066919.640000001</v>
      </c>
      <c r="H22" s="49"/>
      <c r="I22" s="67">
        <v>3.41</v>
      </c>
      <c r="J22" s="67"/>
      <c r="K22" s="67">
        <v>3.41</v>
      </c>
      <c r="L22" s="49">
        <v>1840731</v>
      </c>
      <c r="N22" s="80">
        <f>ROUND(G22*(I22/100),0)</f>
        <v>786582</v>
      </c>
      <c r="P22" s="79">
        <f>L22-N22</f>
        <v>1054149</v>
      </c>
      <c r="Q22" s="89">
        <f>(I22-K22)*G22</f>
        <v>0</v>
      </c>
    </row>
    <row r="23" spans="1:17">
      <c r="C23" s="97" t="s">
        <v>82</v>
      </c>
      <c r="E23" s="43">
        <v>1050779.8600000001</v>
      </c>
      <c r="F23" s="50"/>
      <c r="G23" s="91">
        <v>1050779.8600000001</v>
      </c>
      <c r="H23" s="49"/>
      <c r="I23" s="67">
        <v>3.26</v>
      </c>
      <c r="J23" s="67"/>
      <c r="K23" s="67">
        <v>3.26</v>
      </c>
      <c r="L23" s="49">
        <v>34284</v>
      </c>
      <c r="N23" s="80">
        <f>ROUND(G23*(I23/100),0)-38</f>
        <v>34217</v>
      </c>
      <c r="P23" s="79">
        <f>L23-N23</f>
        <v>67</v>
      </c>
      <c r="Q23" s="89">
        <f>(I23-K23)*G23</f>
        <v>0</v>
      </c>
    </row>
    <row r="24" spans="1:17">
      <c r="C24" s="97" t="s">
        <v>83</v>
      </c>
      <c r="E24" s="52">
        <v>6050424.8700000001</v>
      </c>
      <c r="F24" s="50"/>
      <c r="G24" s="90">
        <v>6050424.8700000001</v>
      </c>
      <c r="H24" s="49"/>
      <c r="I24" s="67">
        <v>13.44</v>
      </c>
      <c r="J24" s="67"/>
      <c r="K24" s="67">
        <v>13.44</v>
      </c>
      <c r="L24" s="51">
        <v>812946</v>
      </c>
      <c r="N24" s="85">
        <f>ROUND(G24*(I24/100),0)-231</f>
        <v>812946</v>
      </c>
      <c r="P24" s="84">
        <f>L24-N24</f>
        <v>0</v>
      </c>
      <c r="Q24" s="89">
        <f>(I24-K24)*G24</f>
        <v>0</v>
      </c>
    </row>
    <row r="25" spans="1:17">
      <c r="E25" s="43"/>
      <c r="F25" s="50"/>
      <c r="G25" s="91"/>
      <c r="H25" s="49"/>
      <c r="I25" s="67"/>
      <c r="J25" s="67"/>
      <c r="K25" s="67"/>
      <c r="L25" s="49"/>
      <c r="N25" s="80"/>
      <c r="P25" s="79"/>
      <c r="Q25" s="89"/>
    </row>
    <row r="26" spans="1:17">
      <c r="C26" s="60" t="s">
        <v>84</v>
      </c>
      <c r="E26" s="43">
        <f>SUBTOTAL(9,E20:E25)</f>
        <v>66947525.640000001</v>
      </c>
      <c r="F26" s="50"/>
      <c r="G26" s="102">
        <f>SUBTOTAL(9,G20:G25)</f>
        <v>35493695.93</v>
      </c>
      <c r="H26" s="49"/>
      <c r="I26" s="67">
        <f>+ROUND(L26/E26*100,2)</f>
        <v>4.3</v>
      </c>
      <c r="J26" s="67"/>
      <c r="K26" s="67">
        <v>4.3</v>
      </c>
      <c r="L26" s="49">
        <f>SUBTOTAL(9,L20:L25)</f>
        <v>2877890</v>
      </c>
      <c r="N26" s="98">
        <f>SUBTOTAL(9,N20:N25)</f>
        <v>1813180</v>
      </c>
      <c r="P26" s="49">
        <f>SUBTOTAL(9,P20:P25)</f>
        <v>1064710</v>
      </c>
      <c r="Q26" s="89">
        <f>SUBTOTAL(9,Q20:Q25)</f>
        <v>0</v>
      </c>
    </row>
    <row r="27" spans="1:17" ht="15.75">
      <c r="C27" s="93"/>
      <c r="G27" s="74"/>
      <c r="I27" s="67"/>
      <c r="J27" s="67"/>
      <c r="K27" s="67"/>
      <c r="N27" s="80"/>
      <c r="P27" s="79"/>
    </row>
    <row r="28" spans="1:17">
      <c r="A28" s="73">
        <v>311</v>
      </c>
      <c r="C28" s="60" t="s">
        <v>85</v>
      </c>
      <c r="G28" s="74"/>
      <c r="I28" s="67"/>
      <c r="J28" s="67"/>
      <c r="K28" s="67"/>
      <c r="N28" s="80"/>
      <c r="P28" s="79"/>
      <c r="Q28" s="89"/>
    </row>
    <row r="29" spans="1:17">
      <c r="A29" s="73"/>
      <c r="C29" s="97" t="s">
        <v>86</v>
      </c>
      <c r="E29" s="43">
        <v>619445.56000000006</v>
      </c>
      <c r="F29" s="50"/>
      <c r="G29" s="91">
        <v>0</v>
      </c>
      <c r="H29" s="49"/>
      <c r="I29" s="67">
        <v>1.7</v>
      </c>
      <c r="J29" s="67"/>
      <c r="K29" s="67">
        <v>1.7</v>
      </c>
      <c r="L29" s="49">
        <v>10555</v>
      </c>
      <c r="N29" s="80">
        <f>ROUND(G29*(I29/100),0)</f>
        <v>0</v>
      </c>
      <c r="P29" s="79">
        <f t="shared" ref="P29:P38" si="0">L29-N29</f>
        <v>10555</v>
      </c>
      <c r="Q29" s="89">
        <f>(I29-K29)*G29</f>
        <v>0</v>
      </c>
    </row>
    <row r="30" spans="1:17">
      <c r="A30" s="73"/>
      <c r="C30" s="97" t="s">
        <v>87</v>
      </c>
      <c r="E30" s="43">
        <v>11594469.07</v>
      </c>
      <c r="F30" s="50"/>
      <c r="G30" s="91">
        <v>1242055.47</v>
      </c>
      <c r="H30" s="49"/>
      <c r="I30" s="67">
        <v>0.75</v>
      </c>
      <c r="J30" s="67"/>
      <c r="K30" s="67">
        <v>0.54</v>
      </c>
      <c r="L30" s="49">
        <v>86379</v>
      </c>
      <c r="N30" s="80">
        <f>ROUND(G30*(I30/100),0)</f>
        <v>9315</v>
      </c>
      <c r="P30" s="79">
        <f t="shared" si="0"/>
        <v>77064</v>
      </c>
      <c r="Q30" s="89">
        <f t="shared" ref="Q30:Q38" si="1">(I30-K30)*G30/100</f>
        <v>2608.3164869999996</v>
      </c>
    </row>
    <row r="31" spans="1:17">
      <c r="A31" s="73"/>
      <c r="C31" s="97" t="s">
        <v>88</v>
      </c>
      <c r="E31" s="43">
        <v>16839214.859999999</v>
      </c>
      <c r="F31" s="50"/>
      <c r="G31" s="91">
        <v>16839214.859999999</v>
      </c>
      <c r="H31" s="49"/>
      <c r="I31" s="67">
        <v>2.83</v>
      </c>
      <c r="J31" s="67"/>
      <c r="K31" s="67">
        <v>2.63</v>
      </c>
      <c r="L31" s="49">
        <v>476319</v>
      </c>
      <c r="N31" s="80">
        <f>ROUND(G31*(I31/100),0)-231</f>
        <v>476319</v>
      </c>
      <c r="P31" s="79">
        <f t="shared" si="0"/>
        <v>0</v>
      </c>
      <c r="Q31" s="89">
        <f t="shared" si="1"/>
        <v>33678.429720000029</v>
      </c>
    </row>
    <row r="32" spans="1:17">
      <c r="A32" s="73"/>
      <c r="C32" s="97" t="s">
        <v>89</v>
      </c>
      <c r="E32" s="43">
        <v>71702335.620000005</v>
      </c>
      <c r="F32" s="50"/>
      <c r="G32" s="91">
        <f>30007411.31+11436007.12</f>
        <v>41443418.43</v>
      </c>
      <c r="H32" s="49"/>
      <c r="I32" s="67">
        <v>3.46</v>
      </c>
      <c r="J32" s="67"/>
      <c r="K32" s="67">
        <v>3.38</v>
      </c>
      <c r="L32" s="49">
        <v>2480647</v>
      </c>
      <c r="N32" s="80">
        <f>ROUND(G32*(I32/100),0)</f>
        <v>1433942</v>
      </c>
      <c r="P32" s="79">
        <f t="shared" si="0"/>
        <v>1046705</v>
      </c>
      <c r="Q32" s="89">
        <f t="shared" si="1"/>
        <v>33154.73474400003</v>
      </c>
    </row>
    <row r="33" spans="1:18">
      <c r="A33" s="73"/>
      <c r="C33" s="97" t="s">
        <v>90</v>
      </c>
      <c r="E33" s="43">
        <v>27725671.460000001</v>
      </c>
      <c r="F33" s="50"/>
      <c r="G33" s="91">
        <v>728752.53</v>
      </c>
      <c r="H33" s="49"/>
      <c r="I33" s="67">
        <v>1.75</v>
      </c>
      <c r="J33" s="67"/>
      <c r="K33" s="67">
        <v>1.64</v>
      </c>
      <c r="L33" s="49">
        <v>486535</v>
      </c>
      <c r="N33" s="80">
        <f>ROUND(G33*(I33/100),0)</f>
        <v>12753</v>
      </c>
      <c r="P33" s="79">
        <f t="shared" si="0"/>
        <v>473782</v>
      </c>
      <c r="Q33" s="89">
        <f t="shared" si="1"/>
        <v>801.62778300000082</v>
      </c>
    </row>
    <row r="34" spans="1:18">
      <c r="A34" s="73"/>
      <c r="C34" s="97" t="s">
        <v>91</v>
      </c>
      <c r="E34" s="43">
        <v>33813856.219999999</v>
      </c>
      <c r="F34" s="50"/>
      <c r="G34" s="91">
        <v>145128.04</v>
      </c>
      <c r="H34" s="49"/>
      <c r="I34" s="67">
        <v>1.7</v>
      </c>
      <c r="J34" s="67"/>
      <c r="K34" s="67">
        <v>1.59</v>
      </c>
      <c r="L34" s="49">
        <v>576217</v>
      </c>
      <c r="N34" s="80">
        <f>ROUND(G34*(I34/100),0)</f>
        <v>2467</v>
      </c>
      <c r="P34" s="79">
        <f t="shared" si="0"/>
        <v>573750</v>
      </c>
      <c r="Q34" s="89">
        <f t="shared" si="1"/>
        <v>159.64084399999984</v>
      </c>
    </row>
    <row r="35" spans="1:18">
      <c r="A35" s="73"/>
      <c r="C35" s="97" t="s">
        <v>92</v>
      </c>
      <c r="E35" s="43">
        <v>135449284.44</v>
      </c>
      <c r="F35" s="50"/>
      <c r="G35" s="91">
        <v>35755613</v>
      </c>
      <c r="H35" s="49"/>
      <c r="I35" s="67">
        <v>2.76</v>
      </c>
      <c r="J35" s="67"/>
      <c r="K35" s="67">
        <v>2.64</v>
      </c>
      <c r="L35" s="49">
        <v>3734493</v>
      </c>
      <c r="N35" s="80">
        <f>ROUND(G35*(I35/100),0)</f>
        <v>986855</v>
      </c>
      <c r="P35" s="79">
        <f t="shared" si="0"/>
        <v>2747638</v>
      </c>
      <c r="Q35" s="89">
        <f t="shared" si="1"/>
        <v>42906.735599999876</v>
      </c>
    </row>
    <row r="36" spans="1:18">
      <c r="A36" s="73"/>
      <c r="C36" s="97" t="s">
        <v>93</v>
      </c>
      <c r="E36" s="43">
        <v>91570829.790000007</v>
      </c>
      <c r="F36" s="50"/>
      <c r="G36" s="91">
        <v>14367458.42</v>
      </c>
      <c r="H36" s="49"/>
      <c r="I36" s="67">
        <v>3</v>
      </c>
      <c r="J36" s="67"/>
      <c r="K36" s="67">
        <v>2.88</v>
      </c>
      <c r="L36" s="49">
        <v>2745653</v>
      </c>
      <c r="N36" s="80">
        <f>ROUND(G36*(I36/100),0)</f>
        <v>431024</v>
      </c>
      <c r="P36" s="79">
        <f t="shared" si="0"/>
        <v>2314629</v>
      </c>
      <c r="Q36" s="89">
        <f t="shared" si="1"/>
        <v>17240.950104000014</v>
      </c>
    </row>
    <row r="37" spans="1:18">
      <c r="A37" s="73"/>
      <c r="C37" s="97" t="s">
        <v>94</v>
      </c>
      <c r="E37" s="43">
        <v>25327525.350000001</v>
      </c>
      <c r="F37" s="50"/>
      <c r="G37" s="91">
        <v>25327525.350000001</v>
      </c>
      <c r="H37" s="49"/>
      <c r="I37" s="67">
        <v>2.98</v>
      </c>
      <c r="J37" s="67"/>
      <c r="K37" s="67">
        <v>2.88</v>
      </c>
      <c r="L37" s="49">
        <v>755743</v>
      </c>
      <c r="N37" s="80">
        <f>ROUND(G37*(I37/100),0)+983</f>
        <v>755743</v>
      </c>
      <c r="P37" s="79">
        <f t="shared" si="0"/>
        <v>0</v>
      </c>
      <c r="Q37" s="89">
        <f t="shared" si="1"/>
        <v>25327.525350000025</v>
      </c>
    </row>
    <row r="38" spans="1:18">
      <c r="A38" s="73"/>
      <c r="C38" s="97" t="s">
        <v>95</v>
      </c>
      <c r="E38" s="52">
        <v>22295947.370000001</v>
      </c>
      <c r="F38" s="50"/>
      <c r="G38" s="90">
        <v>22295947.370000001</v>
      </c>
      <c r="H38" s="49"/>
      <c r="I38" s="67">
        <v>3.03</v>
      </c>
      <c r="J38" s="67"/>
      <c r="K38" s="67">
        <v>2.87</v>
      </c>
      <c r="L38" s="51">
        <v>674665</v>
      </c>
      <c r="N38" s="85">
        <f>ROUND(G38*(I38/100),0)-902</f>
        <v>674665</v>
      </c>
      <c r="P38" s="84">
        <f t="shared" si="0"/>
        <v>0</v>
      </c>
      <c r="Q38" s="89">
        <f t="shared" si="1"/>
        <v>35673.515791999933</v>
      </c>
    </row>
    <row r="39" spans="1:18">
      <c r="A39" s="73"/>
      <c r="E39" s="43"/>
      <c r="F39" s="50"/>
      <c r="G39" s="91"/>
      <c r="H39" s="49"/>
      <c r="I39" s="67"/>
      <c r="J39" s="67"/>
      <c r="K39" s="67"/>
      <c r="L39" s="49"/>
      <c r="N39" s="80"/>
      <c r="P39" s="79"/>
      <c r="Q39" s="89"/>
    </row>
    <row r="40" spans="1:18">
      <c r="A40" s="73"/>
      <c r="C40" s="60" t="s">
        <v>96</v>
      </c>
      <c r="E40" s="43">
        <f>SUBTOTAL(9,E29:E39)</f>
        <v>436938579.74000007</v>
      </c>
      <c r="F40" s="50"/>
      <c r="G40" s="102">
        <f>SUBTOTAL(9,G29:G39)</f>
        <v>158145113.47</v>
      </c>
      <c r="H40" s="49"/>
      <c r="I40" s="67">
        <f>+ROUND(L40/E40*100,2)</f>
        <v>2.75</v>
      </c>
      <c r="J40" s="67"/>
      <c r="K40" s="67">
        <v>2.63</v>
      </c>
      <c r="L40" s="49">
        <f>SUBTOTAL(9,L29:L39)</f>
        <v>12027206</v>
      </c>
      <c r="N40" s="98">
        <f>SUBTOTAL(9,N29:N39)</f>
        <v>4783083</v>
      </c>
      <c r="P40" s="49">
        <f>SUBTOTAL(9,P29:P39)</f>
        <v>7244123</v>
      </c>
      <c r="Q40" s="89">
        <f>SUBTOTAL(9,Q29:Q39)</f>
        <v>191551.47642399993</v>
      </c>
      <c r="R40" s="67"/>
    </row>
    <row r="41" spans="1:18">
      <c r="A41" s="73"/>
      <c r="E41" s="43"/>
      <c r="F41" s="50"/>
      <c r="G41" s="91"/>
      <c r="H41" s="49"/>
      <c r="I41" s="67"/>
      <c r="J41" s="67"/>
      <c r="K41" s="67"/>
      <c r="L41" s="49"/>
      <c r="N41" s="80"/>
      <c r="P41" s="79"/>
      <c r="Q41" s="89"/>
    </row>
    <row r="42" spans="1:18">
      <c r="A42" s="73">
        <v>312</v>
      </c>
      <c r="C42" s="60" t="s">
        <v>97</v>
      </c>
      <c r="E42" s="43"/>
      <c r="F42" s="50"/>
      <c r="G42" s="91"/>
      <c r="H42" s="49"/>
      <c r="I42" s="67"/>
      <c r="J42" s="67"/>
      <c r="K42" s="67"/>
      <c r="L42" s="49"/>
      <c r="N42" s="80"/>
      <c r="P42" s="79"/>
      <c r="Q42" s="89"/>
    </row>
    <row r="43" spans="1:18">
      <c r="A43" s="73"/>
      <c r="C43" s="97" t="s">
        <v>87</v>
      </c>
      <c r="E43" s="43">
        <v>101123705.05</v>
      </c>
      <c r="F43" s="50"/>
      <c r="G43" s="91">
        <v>17023483.719999999</v>
      </c>
      <c r="H43" s="49"/>
      <c r="I43" s="67">
        <v>1.81</v>
      </c>
      <c r="J43" s="67"/>
      <c r="K43" s="67">
        <v>1.6</v>
      </c>
      <c r="L43" s="49">
        <v>1834258</v>
      </c>
      <c r="N43" s="80">
        <f t="shared" ref="N43:N51" si="2">ROUND(G43*(I43/100),0)</f>
        <v>308125</v>
      </c>
      <c r="P43" s="79">
        <f t="shared" ref="P43:P53" si="3">L43-N43</f>
        <v>1526133</v>
      </c>
      <c r="Q43" s="89">
        <f t="shared" ref="Q43:Q53" si="4">(I43-K43)*G43/100</f>
        <v>35749.315811999986</v>
      </c>
    </row>
    <row r="44" spans="1:18">
      <c r="A44" s="73"/>
      <c r="C44" s="97" t="s">
        <v>98</v>
      </c>
      <c r="E44" s="43">
        <v>7772878.4500000002</v>
      </c>
      <c r="F44" s="50"/>
      <c r="G44" s="91">
        <v>657445.13</v>
      </c>
      <c r="H44" s="49"/>
      <c r="I44" s="67">
        <v>0.22</v>
      </c>
      <c r="J44" s="67"/>
      <c r="K44" s="67">
        <v>0</v>
      </c>
      <c r="L44" s="49">
        <v>17189</v>
      </c>
      <c r="N44" s="80">
        <f t="shared" si="2"/>
        <v>1446</v>
      </c>
      <c r="P44" s="79">
        <f t="shared" si="3"/>
        <v>15743</v>
      </c>
      <c r="Q44" s="89">
        <f t="shared" si="4"/>
        <v>1446.3792860000001</v>
      </c>
    </row>
    <row r="45" spans="1:18">
      <c r="A45" s="73"/>
      <c r="C45" s="97" t="s">
        <v>99</v>
      </c>
      <c r="E45" s="43">
        <v>10041434.960000001</v>
      </c>
      <c r="F45" s="50"/>
      <c r="G45" s="91">
        <v>0</v>
      </c>
      <c r="H45" s="49"/>
      <c r="I45" s="67">
        <v>1.77</v>
      </c>
      <c r="J45" s="67"/>
      <c r="K45" s="67">
        <v>1.56</v>
      </c>
      <c r="L45" s="49">
        <v>178164</v>
      </c>
      <c r="N45" s="80">
        <f t="shared" si="2"/>
        <v>0</v>
      </c>
      <c r="P45" s="79">
        <f t="shared" si="3"/>
        <v>178164</v>
      </c>
      <c r="Q45" s="89">
        <f t="shared" si="4"/>
        <v>0</v>
      </c>
    </row>
    <row r="46" spans="1:18">
      <c r="A46" s="73"/>
      <c r="C46" s="97" t="s">
        <v>88</v>
      </c>
      <c r="E46" s="43">
        <v>193947398</v>
      </c>
      <c r="F46" s="50"/>
      <c r="G46" s="91">
        <v>192819702.47999999</v>
      </c>
      <c r="H46" s="49"/>
      <c r="I46" s="67">
        <v>2.92</v>
      </c>
      <c r="J46" s="67"/>
      <c r="K46" s="67">
        <v>2.71</v>
      </c>
      <c r="L46" s="49">
        <v>5656492</v>
      </c>
      <c r="N46" s="80">
        <f t="shared" si="2"/>
        <v>5630335</v>
      </c>
      <c r="P46" s="79">
        <f t="shared" si="3"/>
        <v>26157</v>
      </c>
      <c r="Q46" s="89">
        <f t="shared" si="4"/>
        <v>404921.37520799995</v>
      </c>
    </row>
    <row r="47" spans="1:18">
      <c r="A47" s="73"/>
      <c r="C47" s="97" t="s">
        <v>89</v>
      </c>
      <c r="E47" s="43">
        <v>242346947.83000001</v>
      </c>
      <c r="F47" s="50"/>
      <c r="G47" s="91">
        <f>175143735.76+15413511.76</f>
        <v>190557247.51999998</v>
      </c>
      <c r="H47" s="49"/>
      <c r="I47" s="67">
        <v>3.71</v>
      </c>
      <c r="J47" s="67"/>
      <c r="K47" s="67">
        <v>3.63</v>
      </c>
      <c r="L47" s="49">
        <v>8983272</v>
      </c>
      <c r="N47" s="80">
        <f t="shared" si="2"/>
        <v>7069674</v>
      </c>
      <c r="P47" s="79">
        <f t="shared" si="3"/>
        <v>1913598</v>
      </c>
      <c r="Q47" s="89">
        <f t="shared" si="4"/>
        <v>152445.79801600013</v>
      </c>
    </row>
    <row r="48" spans="1:18">
      <c r="A48" s="73"/>
      <c r="C48" s="97" t="s">
        <v>90</v>
      </c>
      <c r="E48" s="43">
        <v>234286878.19</v>
      </c>
      <c r="F48" s="50"/>
      <c r="G48" s="91">
        <v>123665493.19</v>
      </c>
      <c r="H48" s="49"/>
      <c r="I48" s="67">
        <v>2.9</v>
      </c>
      <c r="J48" s="67"/>
      <c r="K48" s="67">
        <v>2.79</v>
      </c>
      <c r="L48" s="49">
        <v>6801846</v>
      </c>
      <c r="N48" s="80">
        <f t="shared" si="2"/>
        <v>3586299</v>
      </c>
      <c r="P48" s="79">
        <f t="shared" si="3"/>
        <v>3215547</v>
      </c>
      <c r="Q48" s="89">
        <f t="shared" si="4"/>
        <v>136032.04250899985</v>
      </c>
    </row>
    <row r="49" spans="1:18">
      <c r="A49" s="73"/>
      <c r="C49" s="97" t="s">
        <v>91</v>
      </c>
      <c r="E49" s="43">
        <v>298973833.27999997</v>
      </c>
      <c r="F49" s="50"/>
      <c r="G49" s="91">
        <v>71310904.580000028</v>
      </c>
      <c r="H49" s="49"/>
      <c r="I49" s="67">
        <v>2.77</v>
      </c>
      <c r="J49" s="67"/>
      <c r="K49" s="67">
        <v>2.65</v>
      </c>
      <c r="L49" s="49">
        <v>8269671</v>
      </c>
      <c r="N49" s="80">
        <f t="shared" si="2"/>
        <v>1975312</v>
      </c>
      <c r="P49" s="79">
        <f t="shared" si="3"/>
        <v>6294359</v>
      </c>
      <c r="Q49" s="89">
        <f t="shared" si="4"/>
        <v>85573.085496000102</v>
      </c>
    </row>
    <row r="50" spans="1:18">
      <c r="A50" s="73"/>
      <c r="C50" s="97" t="s">
        <v>92</v>
      </c>
      <c r="E50" s="43">
        <v>204062486.12</v>
      </c>
      <c r="F50" s="50"/>
      <c r="G50" s="91">
        <f>39753052.16+2098741.85</f>
        <v>41851794.009999998</v>
      </c>
      <c r="H50" s="49"/>
      <c r="I50" s="67">
        <v>3.11</v>
      </c>
      <c r="J50" s="67"/>
      <c r="K50" s="67">
        <v>2.98</v>
      </c>
      <c r="L50" s="49">
        <v>6348373</v>
      </c>
      <c r="N50" s="80">
        <f t="shared" si="2"/>
        <v>1301591</v>
      </c>
      <c r="P50" s="79">
        <f t="shared" si="3"/>
        <v>5046782</v>
      </c>
      <c r="Q50" s="89">
        <f t="shared" si="4"/>
        <v>54407.332212999958</v>
      </c>
    </row>
    <row r="51" spans="1:18">
      <c r="A51" s="73"/>
      <c r="C51" s="97" t="s">
        <v>93</v>
      </c>
      <c r="E51" s="43">
        <v>302101587.54000002</v>
      </c>
      <c r="F51" s="50"/>
      <c r="G51" s="91">
        <f>78611765.97+2098741.85</f>
        <v>80710507.819999993</v>
      </c>
      <c r="H51" s="49"/>
      <c r="I51" s="67">
        <v>3.26</v>
      </c>
      <c r="J51" s="67"/>
      <c r="K51" s="67">
        <v>3.13</v>
      </c>
      <c r="L51" s="49">
        <v>9837787</v>
      </c>
      <c r="N51" s="80">
        <f t="shared" si="2"/>
        <v>2631163</v>
      </c>
      <c r="P51" s="79">
        <f t="shared" si="3"/>
        <v>7206624</v>
      </c>
      <c r="Q51" s="89">
        <f t="shared" si="4"/>
        <v>104923.6601659999</v>
      </c>
    </row>
    <row r="52" spans="1:18">
      <c r="A52" s="73"/>
      <c r="C52" s="97" t="s">
        <v>94</v>
      </c>
      <c r="E52" s="43">
        <v>101115917.65000001</v>
      </c>
      <c r="F52" s="50"/>
      <c r="G52" s="91">
        <v>101115917.65000001</v>
      </c>
      <c r="H52" s="49"/>
      <c r="I52" s="67">
        <v>3.14</v>
      </c>
      <c r="J52" s="67"/>
      <c r="K52" s="67">
        <v>3.03</v>
      </c>
      <c r="L52" s="49">
        <v>3178413</v>
      </c>
      <c r="N52" s="80">
        <f>ROUND(G52*(I52/100),0)+3406-33</f>
        <v>3178413</v>
      </c>
      <c r="P52" s="79">
        <f t="shared" si="3"/>
        <v>0</v>
      </c>
      <c r="Q52" s="89">
        <f t="shared" si="4"/>
        <v>111227.50941500033</v>
      </c>
    </row>
    <row r="53" spans="1:18">
      <c r="A53" s="73"/>
      <c r="C53" s="97" t="s">
        <v>95</v>
      </c>
      <c r="E53" s="52">
        <v>156122871.75</v>
      </c>
      <c r="F53" s="50"/>
      <c r="G53" s="90">
        <v>156122871.75</v>
      </c>
      <c r="H53" s="49"/>
      <c r="I53" s="67">
        <v>3.19</v>
      </c>
      <c r="J53" s="67"/>
      <c r="K53" s="67">
        <v>3.02</v>
      </c>
      <c r="L53" s="51">
        <v>4976241</v>
      </c>
      <c r="N53" s="85">
        <f>ROUND(G53*(I53/100),0)-4079</f>
        <v>4976241</v>
      </c>
      <c r="P53" s="84">
        <f t="shared" si="3"/>
        <v>0</v>
      </c>
      <c r="Q53" s="89">
        <f t="shared" si="4"/>
        <v>265408.88197499991</v>
      </c>
    </row>
    <row r="54" spans="1:18">
      <c r="A54" s="73"/>
      <c r="E54" s="43"/>
      <c r="F54" s="50"/>
      <c r="G54" s="91"/>
      <c r="H54" s="49"/>
      <c r="I54" s="67"/>
      <c r="J54" s="67"/>
      <c r="K54" s="67"/>
      <c r="L54" s="49"/>
      <c r="N54" s="80"/>
      <c r="P54" s="79"/>
      <c r="Q54" s="89"/>
    </row>
    <row r="55" spans="1:18">
      <c r="A55" s="73"/>
      <c r="C55" s="60" t="s">
        <v>100</v>
      </c>
      <c r="E55" s="43">
        <f>SUBTOTAL(9,E43:E54)</f>
        <v>1851895938.8200002</v>
      </c>
      <c r="F55" s="50"/>
      <c r="G55" s="102">
        <f>SUBTOTAL(9,G43:G54)</f>
        <v>975835367.85000002</v>
      </c>
      <c r="H55" s="49"/>
      <c r="I55" s="67">
        <f>+ROUND(L55/E55*100,2)</f>
        <v>3.03</v>
      </c>
      <c r="J55" s="67"/>
      <c r="K55" s="67">
        <v>2.89</v>
      </c>
      <c r="L55" s="49">
        <f>SUBTOTAL(9,L43:L54)</f>
        <v>56081706</v>
      </c>
      <c r="N55" s="98">
        <f>SUBTOTAL(9,N43:N54)</f>
        <v>30658599</v>
      </c>
      <c r="P55" s="49">
        <f>SUBTOTAL(9,P43:P54)</f>
        <v>25423107</v>
      </c>
      <c r="Q55" s="89">
        <f>SUBTOTAL(9,Q43:Q54)</f>
        <v>1352135.3800960002</v>
      </c>
      <c r="R55" s="67"/>
    </row>
    <row r="56" spans="1:18">
      <c r="A56" s="73"/>
      <c r="E56" s="43"/>
      <c r="F56" s="50"/>
      <c r="G56" s="91"/>
      <c r="H56" s="49"/>
      <c r="I56" s="67"/>
      <c r="J56" s="67"/>
      <c r="K56" s="67"/>
      <c r="L56" s="49"/>
      <c r="N56" s="80"/>
      <c r="P56" s="79"/>
      <c r="Q56" s="89"/>
    </row>
    <row r="57" spans="1:18">
      <c r="A57" s="73">
        <v>314</v>
      </c>
      <c r="C57" s="60" t="s">
        <v>101</v>
      </c>
      <c r="E57" s="43"/>
      <c r="F57" s="50"/>
      <c r="G57" s="91"/>
      <c r="H57" s="49"/>
      <c r="I57" s="67"/>
      <c r="J57" s="67"/>
      <c r="K57" s="67"/>
      <c r="L57" s="49"/>
      <c r="N57" s="80"/>
      <c r="P57" s="79"/>
      <c r="Q57" s="89"/>
    </row>
    <row r="58" spans="1:18">
      <c r="A58" s="73"/>
      <c r="C58" s="97" t="s">
        <v>87</v>
      </c>
      <c r="E58" s="43">
        <v>23714956.780000001</v>
      </c>
      <c r="F58" s="50"/>
      <c r="G58" s="91">
        <v>0</v>
      </c>
      <c r="H58" s="49"/>
      <c r="I58" s="67">
        <v>0.69</v>
      </c>
      <c r="J58" s="67"/>
      <c r="K58" s="67">
        <v>0.48</v>
      </c>
      <c r="L58" s="49">
        <v>164115</v>
      </c>
      <c r="N58" s="80">
        <f>ROUND(G58*(I58/100),0)</f>
        <v>0</v>
      </c>
      <c r="P58" s="79">
        <f>L58-N58</f>
        <v>164115</v>
      </c>
      <c r="Q58" s="89">
        <f>(I58-K58)*G58/100</f>
        <v>0</v>
      </c>
    </row>
    <row r="59" spans="1:18">
      <c r="A59" s="73"/>
      <c r="C59" s="97" t="s">
        <v>90</v>
      </c>
      <c r="E59" s="43">
        <v>42923558.049999997</v>
      </c>
      <c r="F59" s="50"/>
      <c r="G59" s="91">
        <v>0</v>
      </c>
      <c r="H59" s="49"/>
      <c r="I59" s="67">
        <v>2.68</v>
      </c>
      <c r="J59" s="67"/>
      <c r="K59" s="67">
        <v>2.5499999999999998</v>
      </c>
      <c r="L59" s="49">
        <v>1149095</v>
      </c>
      <c r="N59" s="80">
        <f>ROUND(G59*(I59/100),0)</f>
        <v>0</v>
      </c>
      <c r="P59" s="79">
        <f>L59-N59</f>
        <v>1149095</v>
      </c>
      <c r="Q59" s="89">
        <f>(I59-K59)*G59/100</f>
        <v>0</v>
      </c>
    </row>
    <row r="60" spans="1:18">
      <c r="A60" s="73"/>
      <c r="C60" s="97" t="s">
        <v>91</v>
      </c>
      <c r="E60" s="43">
        <v>78018528.159999996</v>
      </c>
      <c r="F60" s="50"/>
      <c r="G60" s="91">
        <v>0</v>
      </c>
      <c r="H60" s="49"/>
      <c r="I60" s="67">
        <v>3.08</v>
      </c>
      <c r="J60" s="67"/>
      <c r="K60" s="67">
        <v>2.96</v>
      </c>
      <c r="L60" s="49">
        <v>2404254</v>
      </c>
      <c r="N60" s="80">
        <f>ROUND(G60*(I60/100),0)</f>
        <v>0</v>
      </c>
      <c r="P60" s="79">
        <f>L60-N60</f>
        <v>2404254</v>
      </c>
      <c r="Q60" s="89">
        <f>(I60-K60)*G60/100</f>
        <v>0</v>
      </c>
    </row>
    <row r="61" spans="1:18">
      <c r="A61" s="73"/>
      <c r="C61" s="97" t="s">
        <v>92</v>
      </c>
      <c r="E61" s="43">
        <v>81735044.379999995</v>
      </c>
      <c r="F61" s="50"/>
      <c r="G61" s="91">
        <v>0</v>
      </c>
      <c r="H61" s="49"/>
      <c r="I61" s="67">
        <v>3.07</v>
      </c>
      <c r="J61" s="67"/>
      <c r="K61" s="67">
        <v>2.94</v>
      </c>
      <c r="L61" s="49">
        <v>2509979</v>
      </c>
      <c r="N61" s="80">
        <f>ROUND(G61*(I61/100),0)</f>
        <v>0</v>
      </c>
      <c r="P61" s="79">
        <f>L61-N61</f>
        <v>2509979</v>
      </c>
      <c r="Q61" s="89">
        <f>(I61-K61)*G61/100</f>
        <v>0</v>
      </c>
    </row>
    <row r="62" spans="1:18">
      <c r="A62" s="73"/>
      <c r="C62" s="97" t="s">
        <v>93</v>
      </c>
      <c r="E62" s="52">
        <v>80326528.049999997</v>
      </c>
      <c r="F62" s="50"/>
      <c r="G62" s="90">
        <v>0</v>
      </c>
      <c r="H62" s="49"/>
      <c r="I62" s="67">
        <v>3.41</v>
      </c>
      <c r="J62" s="67"/>
      <c r="K62" s="67">
        <v>3.28</v>
      </c>
      <c r="L62" s="51">
        <v>2739311</v>
      </c>
      <c r="N62" s="85">
        <f>ROUND(G62*(I62/100),0)</f>
        <v>0</v>
      </c>
      <c r="P62" s="84">
        <f>L62-N62</f>
        <v>2739311</v>
      </c>
      <c r="Q62" s="89">
        <f>(I62-K62)*G62/100</f>
        <v>0</v>
      </c>
    </row>
    <row r="63" spans="1:18">
      <c r="A63" s="73"/>
      <c r="E63" s="43"/>
      <c r="F63" s="50"/>
      <c r="G63" s="91"/>
      <c r="H63" s="49"/>
      <c r="I63" s="67"/>
      <c r="J63" s="67"/>
      <c r="K63" s="67"/>
      <c r="L63" s="49"/>
      <c r="N63" s="80"/>
      <c r="P63" s="79"/>
      <c r="Q63" s="89"/>
    </row>
    <row r="64" spans="1:18">
      <c r="A64" s="73"/>
      <c r="C64" s="60" t="s">
        <v>102</v>
      </c>
      <c r="E64" s="43">
        <f>SUBTOTAL(9,E58:E63)</f>
        <v>306718615.42000002</v>
      </c>
      <c r="F64" s="50"/>
      <c r="G64" s="91">
        <f>SUBTOTAL(9,G58:G63)</f>
        <v>0</v>
      </c>
      <c r="H64" s="49"/>
      <c r="I64" s="67">
        <f>+ROUND(L64/E64*100,2)</f>
        <v>2.92</v>
      </c>
      <c r="J64" s="67"/>
      <c r="K64" s="67">
        <v>2.79</v>
      </c>
      <c r="L64" s="49">
        <f>SUBTOTAL(9,L58:L63)</f>
        <v>8966754</v>
      </c>
      <c r="N64" s="98">
        <f>SUBTOTAL(9,N58:N63)</f>
        <v>0</v>
      </c>
      <c r="P64" s="49">
        <f>SUBTOTAL(9,P58:P63)</f>
        <v>8966754</v>
      </c>
      <c r="Q64" s="89">
        <f>SUBTOTAL(9,Q58:Q63)</f>
        <v>0</v>
      </c>
      <c r="R64" s="67"/>
    </row>
    <row r="65" spans="1:18">
      <c r="A65" s="73"/>
      <c r="E65" s="43"/>
      <c r="F65" s="50"/>
      <c r="G65" s="91"/>
      <c r="H65" s="49"/>
      <c r="I65" s="67"/>
      <c r="J65" s="67"/>
      <c r="K65" s="67"/>
      <c r="L65" s="49"/>
      <c r="N65" s="80"/>
      <c r="P65" s="79"/>
      <c r="Q65" s="89"/>
    </row>
    <row r="66" spans="1:18">
      <c r="A66" s="73">
        <v>315</v>
      </c>
      <c r="C66" s="60" t="s">
        <v>103</v>
      </c>
      <c r="E66" s="43"/>
      <c r="F66" s="50"/>
      <c r="G66" s="91"/>
      <c r="H66" s="49"/>
      <c r="I66" s="67"/>
      <c r="J66" s="67"/>
      <c r="K66" s="67"/>
      <c r="L66" s="49"/>
      <c r="N66" s="80"/>
      <c r="P66" s="79"/>
      <c r="Q66" s="89"/>
    </row>
    <row r="67" spans="1:18">
      <c r="A67" s="73"/>
      <c r="C67" s="97" t="s">
        <v>87</v>
      </c>
      <c r="E67" s="43">
        <v>3473012</v>
      </c>
      <c r="F67" s="50"/>
      <c r="G67" s="91">
        <v>0</v>
      </c>
      <c r="H67" s="49"/>
      <c r="I67" s="67">
        <v>0.4</v>
      </c>
      <c r="J67" s="67"/>
      <c r="K67" s="67">
        <v>0.2</v>
      </c>
      <c r="L67" s="49">
        <v>13878</v>
      </c>
      <c r="N67" s="80">
        <f>ROUND(G67*(I67/100),0)</f>
        <v>0</v>
      </c>
      <c r="P67" s="79">
        <f t="shared" ref="P67:P76" si="5">L67-N67</f>
        <v>13878</v>
      </c>
      <c r="Q67" s="89">
        <f t="shared" ref="Q67:Q76" si="6">(I67-K67)*G67/100</f>
        <v>0</v>
      </c>
    </row>
    <row r="68" spans="1:18">
      <c r="A68" s="73"/>
      <c r="C68" s="97" t="s">
        <v>98</v>
      </c>
      <c r="E68" s="43">
        <v>108139.1</v>
      </c>
      <c r="F68" s="50"/>
      <c r="G68" s="91">
        <v>0</v>
      </c>
      <c r="H68" s="49"/>
      <c r="I68" s="67">
        <v>5.58</v>
      </c>
      <c r="J68" s="67"/>
      <c r="K68" s="67">
        <v>5.15</v>
      </c>
      <c r="L68" s="49">
        <v>6032</v>
      </c>
      <c r="N68" s="80">
        <f>ROUND(G68*(I68/100),0)</f>
        <v>0</v>
      </c>
      <c r="P68" s="79">
        <f t="shared" si="5"/>
        <v>6032</v>
      </c>
      <c r="Q68" s="89">
        <f t="shared" si="6"/>
        <v>0</v>
      </c>
    </row>
    <row r="69" spans="1:18">
      <c r="A69" s="73"/>
      <c r="C69" s="97" t="s">
        <v>99</v>
      </c>
      <c r="E69" s="43">
        <v>108269.09</v>
      </c>
      <c r="F69" s="50"/>
      <c r="G69" s="91">
        <v>0</v>
      </c>
      <c r="H69" s="49"/>
      <c r="I69" s="67">
        <v>4.32</v>
      </c>
      <c r="J69" s="67"/>
      <c r="K69" s="67">
        <v>4.12</v>
      </c>
      <c r="L69" s="49">
        <v>4679</v>
      </c>
      <c r="N69" s="80">
        <f>ROUND(G69*(I69/100),0)</f>
        <v>0</v>
      </c>
      <c r="P69" s="79">
        <f t="shared" si="5"/>
        <v>4679</v>
      </c>
      <c r="Q69" s="89">
        <f t="shared" si="6"/>
        <v>0</v>
      </c>
    </row>
    <row r="70" spans="1:18">
      <c r="A70" s="73"/>
      <c r="C70" s="97" t="s">
        <v>88</v>
      </c>
      <c r="E70" s="43">
        <v>12060627.85</v>
      </c>
      <c r="F70" s="50"/>
      <c r="G70" s="91">
        <v>12060627.850000001</v>
      </c>
      <c r="H70" s="49"/>
      <c r="I70" s="67">
        <v>2.84</v>
      </c>
      <c r="J70" s="67"/>
      <c r="K70" s="67">
        <v>2.63</v>
      </c>
      <c r="L70" s="49">
        <v>342027</v>
      </c>
      <c r="N70" s="80">
        <f>ROUND(G70*(I70/100),0)-495</f>
        <v>342027</v>
      </c>
      <c r="P70" s="79">
        <f t="shared" si="5"/>
        <v>0</v>
      </c>
      <c r="Q70" s="89">
        <f t="shared" si="6"/>
        <v>25327.318485</v>
      </c>
    </row>
    <row r="71" spans="1:18">
      <c r="A71" s="73"/>
      <c r="C71" s="97" t="s">
        <v>90</v>
      </c>
      <c r="E71" s="43">
        <v>10670855.65</v>
      </c>
      <c r="F71" s="50"/>
      <c r="G71" s="91">
        <v>3643762.64</v>
      </c>
      <c r="H71" s="49"/>
      <c r="I71" s="67">
        <v>1.94</v>
      </c>
      <c r="J71" s="67"/>
      <c r="K71" s="67">
        <v>1.83</v>
      </c>
      <c r="L71" s="49">
        <v>207347</v>
      </c>
      <c r="N71" s="80">
        <f>ROUND(G71*(I71/100),0)</f>
        <v>70689</v>
      </c>
      <c r="P71" s="79">
        <f t="shared" si="5"/>
        <v>136658</v>
      </c>
      <c r="Q71" s="89">
        <f t="shared" si="6"/>
        <v>4008.1389039999958</v>
      </c>
    </row>
    <row r="72" spans="1:18">
      <c r="A72" s="73"/>
      <c r="C72" s="97" t="s">
        <v>91</v>
      </c>
      <c r="E72" s="43">
        <v>23193967.98</v>
      </c>
      <c r="F72" s="50"/>
      <c r="G72" s="91">
        <v>0</v>
      </c>
      <c r="H72" s="49"/>
      <c r="I72" s="67">
        <v>2.0299999999999998</v>
      </c>
      <c r="J72" s="67"/>
      <c r="K72" s="67">
        <v>1.91</v>
      </c>
      <c r="L72" s="49">
        <v>470160</v>
      </c>
      <c r="N72" s="80">
        <f>ROUND(G72*(I72/100),0)</f>
        <v>0</v>
      </c>
      <c r="P72" s="79">
        <f t="shared" si="5"/>
        <v>470160</v>
      </c>
      <c r="Q72" s="89">
        <f t="shared" si="6"/>
        <v>0</v>
      </c>
    </row>
    <row r="73" spans="1:18">
      <c r="A73" s="73"/>
      <c r="C73" s="97" t="s">
        <v>92</v>
      </c>
      <c r="E73" s="43">
        <v>25044774.100000001</v>
      </c>
      <c r="F73" s="50"/>
      <c r="G73" s="91">
        <v>0</v>
      </c>
      <c r="H73" s="49"/>
      <c r="I73" s="67">
        <v>2.88</v>
      </c>
      <c r="J73" s="67"/>
      <c r="K73" s="67">
        <v>2.76</v>
      </c>
      <c r="L73" s="49">
        <v>720761</v>
      </c>
      <c r="N73" s="80">
        <f>ROUND(G73*(I73/100),0)</f>
        <v>0</v>
      </c>
      <c r="P73" s="79">
        <f t="shared" si="5"/>
        <v>720761</v>
      </c>
      <c r="Q73" s="89">
        <f t="shared" si="6"/>
        <v>0</v>
      </c>
    </row>
    <row r="74" spans="1:18">
      <c r="A74" s="73"/>
      <c r="C74" s="97" t="s">
        <v>93</v>
      </c>
      <c r="E74" s="43">
        <v>12751242.41</v>
      </c>
      <c r="F74" s="50"/>
      <c r="G74" s="91">
        <v>50263.03</v>
      </c>
      <c r="H74" s="49"/>
      <c r="I74" s="67">
        <v>3.01</v>
      </c>
      <c r="J74" s="67"/>
      <c r="K74" s="67">
        <v>2.9</v>
      </c>
      <c r="L74" s="49">
        <v>384418</v>
      </c>
      <c r="N74" s="80">
        <f>ROUND(G74*(I74/100),0)</f>
        <v>1513</v>
      </c>
      <c r="P74" s="79">
        <f t="shared" si="5"/>
        <v>382905</v>
      </c>
      <c r="Q74" s="89">
        <f t="shared" si="6"/>
        <v>55.289332999999935</v>
      </c>
    </row>
    <row r="75" spans="1:18">
      <c r="A75" s="73"/>
      <c r="C75" s="97" t="s">
        <v>94</v>
      </c>
      <c r="E75" s="43">
        <v>12513473.779999999</v>
      </c>
      <c r="F75" s="50"/>
      <c r="G75" s="91">
        <v>12513473.779999999</v>
      </c>
      <c r="H75" s="49"/>
      <c r="I75" s="67">
        <v>3.01</v>
      </c>
      <c r="J75" s="67"/>
      <c r="K75" s="67">
        <v>2.9</v>
      </c>
      <c r="L75" s="49">
        <v>376037</v>
      </c>
      <c r="N75" s="80">
        <f>ROUND(G75*(I75/100),0)-619</f>
        <v>376037</v>
      </c>
      <c r="P75" s="79">
        <f t="shared" si="5"/>
        <v>0</v>
      </c>
      <c r="Q75" s="89">
        <f t="shared" si="6"/>
        <v>13764.821157999984</v>
      </c>
    </row>
    <row r="76" spans="1:18">
      <c r="A76" s="73"/>
      <c r="C76" s="97" t="s">
        <v>95</v>
      </c>
      <c r="E76" s="52">
        <v>17711668.739999998</v>
      </c>
      <c r="F76" s="50"/>
      <c r="G76" s="90">
        <v>17711668.740000002</v>
      </c>
      <c r="H76" s="49"/>
      <c r="I76" s="67">
        <v>3.05</v>
      </c>
      <c r="J76" s="67"/>
      <c r="K76" s="67">
        <v>2.89</v>
      </c>
      <c r="L76" s="51">
        <v>539744</v>
      </c>
      <c r="N76" s="85">
        <f>ROUND(G76*(I76/100),0)-462</f>
        <v>539744</v>
      </c>
      <c r="P76" s="84">
        <f t="shared" si="5"/>
        <v>0</v>
      </c>
      <c r="Q76" s="89">
        <f t="shared" si="6"/>
        <v>28338.669983999949</v>
      </c>
    </row>
    <row r="77" spans="1:18">
      <c r="A77" s="73"/>
      <c r="E77" s="43"/>
      <c r="F77" s="50"/>
      <c r="G77" s="91"/>
      <c r="H77" s="49"/>
      <c r="I77" s="67"/>
      <c r="J77" s="67"/>
      <c r="K77" s="67"/>
      <c r="L77" s="49"/>
      <c r="N77" s="80"/>
      <c r="P77" s="79"/>
      <c r="Q77" s="89"/>
    </row>
    <row r="78" spans="1:18">
      <c r="A78" s="73"/>
      <c r="C78" s="60" t="s">
        <v>104</v>
      </c>
      <c r="E78" s="43">
        <f>SUBTOTAL(9,E67:E77)</f>
        <v>117636030.7</v>
      </c>
      <c r="F78" s="50"/>
      <c r="G78" s="102">
        <f>SUBTOTAL(9,G67:G77)</f>
        <v>45979796.040000007</v>
      </c>
      <c r="H78" s="49"/>
      <c r="I78" s="67">
        <f>+ROUND(L78/E78*100,2)</f>
        <v>2.61</v>
      </c>
      <c r="J78" s="67"/>
      <c r="K78" s="67">
        <v>2.4700000000000002</v>
      </c>
      <c r="L78" s="49">
        <f>SUBTOTAL(9,L67:L77)</f>
        <v>3065083</v>
      </c>
      <c r="N78" s="98">
        <f>SUBTOTAL(9,N67:N77)</f>
        <v>1330010</v>
      </c>
      <c r="P78" s="49">
        <f>SUBTOTAL(9,P67:P77)</f>
        <v>1735073</v>
      </c>
      <c r="Q78" s="89">
        <f>SUBTOTAL(9,Q67:Q77)</f>
        <v>71494.237863999937</v>
      </c>
      <c r="R78" s="67"/>
    </row>
    <row r="79" spans="1:18">
      <c r="A79" s="73"/>
      <c r="E79" s="43"/>
      <c r="F79" s="50"/>
      <c r="G79" s="91"/>
      <c r="H79" s="49"/>
      <c r="I79" s="67"/>
      <c r="J79" s="67"/>
      <c r="K79" s="67"/>
      <c r="L79" s="49"/>
      <c r="N79" s="80"/>
      <c r="P79" s="79"/>
      <c r="Q79" s="89"/>
    </row>
    <row r="80" spans="1:18">
      <c r="A80" s="73">
        <v>316</v>
      </c>
      <c r="C80" s="60" t="s">
        <v>105</v>
      </c>
      <c r="E80" s="43"/>
      <c r="G80" s="74"/>
      <c r="I80" s="67"/>
      <c r="J80" s="67"/>
      <c r="K80" s="67"/>
      <c r="N80" s="80"/>
      <c r="P80" s="79"/>
      <c r="Q80" s="89"/>
    </row>
    <row r="81" spans="1:18">
      <c r="A81" s="73"/>
      <c r="C81" s="97" t="s">
        <v>86</v>
      </c>
      <c r="E81" s="43">
        <v>1167329.42</v>
      </c>
      <c r="F81" s="50"/>
      <c r="G81" s="91">
        <v>0</v>
      </c>
      <c r="H81" s="49"/>
      <c r="I81" s="67">
        <v>4.3899999999999997</v>
      </c>
      <c r="J81" s="67"/>
      <c r="K81" s="67">
        <v>4.3899999999999997</v>
      </c>
      <c r="L81" s="49">
        <v>51254</v>
      </c>
      <c r="N81" s="80">
        <f>ROUND(G81*(I81/100),0)</f>
        <v>0</v>
      </c>
      <c r="P81" s="79">
        <f t="shared" ref="P81:P88" si="7">L81-N81</f>
        <v>51254</v>
      </c>
      <c r="Q81" s="89">
        <f t="shared" ref="Q81:Q88" si="8">(I81-K81)*G81/100</f>
        <v>0</v>
      </c>
    </row>
    <row r="82" spans="1:18">
      <c r="A82" s="73"/>
      <c r="C82" s="97" t="s">
        <v>87</v>
      </c>
      <c r="E82" s="43">
        <v>2918709.21</v>
      </c>
      <c r="F82" s="50"/>
      <c r="G82" s="91">
        <v>0</v>
      </c>
      <c r="H82" s="49"/>
      <c r="I82" s="67">
        <v>3.11</v>
      </c>
      <c r="J82" s="67"/>
      <c r="K82" s="67">
        <v>2.86</v>
      </c>
      <c r="L82" s="49">
        <v>90809</v>
      </c>
      <c r="N82" s="80">
        <f>ROUND(G82*(I82/100),0)</f>
        <v>0</v>
      </c>
      <c r="P82" s="79">
        <f t="shared" si="7"/>
        <v>90809</v>
      </c>
      <c r="Q82" s="89">
        <f t="shared" si="8"/>
        <v>0</v>
      </c>
    </row>
    <row r="83" spans="1:18">
      <c r="A83" s="73"/>
      <c r="C83" s="97" t="s">
        <v>98</v>
      </c>
      <c r="E83" s="43">
        <v>2010174.77</v>
      </c>
      <c r="F83" s="50"/>
      <c r="G83" s="91">
        <v>0</v>
      </c>
      <c r="H83" s="49"/>
      <c r="I83" s="67">
        <v>13.7</v>
      </c>
      <c r="J83" s="67"/>
      <c r="K83" s="67">
        <v>13.27</v>
      </c>
      <c r="L83" s="49">
        <v>275439</v>
      </c>
      <c r="N83" s="80">
        <f>ROUND(G83*(I83/100),0)</f>
        <v>0</v>
      </c>
      <c r="P83" s="79">
        <f t="shared" si="7"/>
        <v>275439</v>
      </c>
      <c r="Q83" s="89">
        <f t="shared" si="8"/>
        <v>0</v>
      </c>
    </row>
    <row r="84" spans="1:18">
      <c r="A84" s="73"/>
      <c r="C84" s="97" t="s">
        <v>88</v>
      </c>
      <c r="E84" s="43">
        <v>2139985.1800000002</v>
      </c>
      <c r="F84" s="50"/>
      <c r="G84" s="91">
        <v>2139985.1800000002</v>
      </c>
      <c r="H84" s="49"/>
      <c r="I84" s="67">
        <v>3.27</v>
      </c>
      <c r="J84" s="67"/>
      <c r="K84" s="67">
        <v>3.03</v>
      </c>
      <c r="L84" s="49">
        <v>69957</v>
      </c>
      <c r="N84" s="80">
        <f>ROUND(G84*(I84/100),0)-21</f>
        <v>69957</v>
      </c>
      <c r="P84" s="79">
        <f t="shared" si="7"/>
        <v>0</v>
      </c>
      <c r="Q84" s="89">
        <f t="shared" si="8"/>
        <v>5135.9644320000052</v>
      </c>
    </row>
    <row r="85" spans="1:18">
      <c r="A85" s="73"/>
      <c r="C85" s="97" t="s">
        <v>89</v>
      </c>
      <c r="E85" s="43">
        <v>8375944.4500000002</v>
      </c>
      <c r="F85" s="50"/>
      <c r="G85" s="91">
        <v>837074.2</v>
      </c>
      <c r="H85" s="49"/>
      <c r="I85" s="67">
        <v>4.1900000000000004</v>
      </c>
      <c r="J85" s="67"/>
      <c r="K85" s="67">
        <v>4.07</v>
      </c>
      <c r="L85" s="49">
        <v>350766</v>
      </c>
      <c r="N85" s="80">
        <f>ROUND(G85*(I85/100),0)</f>
        <v>35073</v>
      </c>
      <c r="P85" s="79">
        <f t="shared" si="7"/>
        <v>315693</v>
      </c>
      <c r="Q85" s="89">
        <f t="shared" si="8"/>
        <v>1004.4890400000008</v>
      </c>
    </row>
    <row r="86" spans="1:18">
      <c r="A86" s="73"/>
      <c r="C86" s="97" t="s">
        <v>90</v>
      </c>
      <c r="E86" s="43">
        <v>182562.7</v>
      </c>
      <c r="F86" s="50"/>
      <c r="G86" s="91">
        <v>0</v>
      </c>
      <c r="H86" s="49"/>
      <c r="I86" s="67">
        <v>2.89</v>
      </c>
      <c r="J86" s="67"/>
      <c r="K86" s="67">
        <v>2.68</v>
      </c>
      <c r="L86" s="49">
        <v>5273</v>
      </c>
      <c r="N86" s="80">
        <f>ROUND(G86*(I86/100),0)</f>
        <v>0</v>
      </c>
      <c r="P86" s="79">
        <f t="shared" si="7"/>
        <v>5273</v>
      </c>
      <c r="Q86" s="89">
        <f t="shared" si="8"/>
        <v>0</v>
      </c>
    </row>
    <row r="87" spans="1:18">
      <c r="A87" s="73"/>
      <c r="C87" s="97" t="s">
        <v>92</v>
      </c>
      <c r="E87" s="43">
        <v>2192469.65</v>
      </c>
      <c r="F87" s="50"/>
      <c r="G87" s="91">
        <v>0</v>
      </c>
      <c r="H87" s="49"/>
      <c r="I87" s="67">
        <v>4.33</v>
      </c>
      <c r="J87" s="67"/>
      <c r="K87" s="67">
        <v>4.22</v>
      </c>
      <c r="L87" s="49">
        <v>94877</v>
      </c>
      <c r="N87" s="80">
        <f>ROUND(G87*(I87/100),0)</f>
        <v>0</v>
      </c>
      <c r="P87" s="79">
        <f t="shared" si="7"/>
        <v>94877</v>
      </c>
      <c r="Q87" s="89">
        <f t="shared" si="8"/>
        <v>0</v>
      </c>
    </row>
    <row r="88" spans="1:18">
      <c r="A88" s="73"/>
      <c r="C88" s="97" t="s">
        <v>93</v>
      </c>
      <c r="E88" s="52">
        <v>2721199.41</v>
      </c>
      <c r="F88" s="50"/>
      <c r="G88" s="90">
        <v>1536289.1800000002</v>
      </c>
      <c r="H88" s="49"/>
      <c r="I88" s="67">
        <v>4.3</v>
      </c>
      <c r="J88" s="67"/>
      <c r="K88" s="67">
        <v>4.1399999999999997</v>
      </c>
      <c r="L88" s="51">
        <v>117145</v>
      </c>
      <c r="N88" s="85">
        <f>ROUND(G88*(I88/100),0)</f>
        <v>66060</v>
      </c>
      <c r="P88" s="84">
        <f t="shared" si="7"/>
        <v>51085</v>
      </c>
      <c r="Q88" s="89">
        <f t="shared" si="8"/>
        <v>2458.0626880000027</v>
      </c>
    </row>
    <row r="89" spans="1:18">
      <c r="A89" s="73"/>
      <c r="E89" s="43"/>
      <c r="F89" s="50"/>
      <c r="G89" s="91"/>
      <c r="H89" s="49"/>
      <c r="I89" s="67"/>
      <c r="J89" s="67"/>
      <c r="K89" s="67"/>
      <c r="L89" s="49"/>
      <c r="N89" s="80"/>
      <c r="P89" s="79"/>
      <c r="Q89" s="89"/>
    </row>
    <row r="90" spans="1:18">
      <c r="A90" s="73"/>
      <c r="C90" s="60" t="s">
        <v>106</v>
      </c>
      <c r="E90" s="52">
        <f>SUBTOTAL(9,E81:E89)</f>
        <v>21708374.789999999</v>
      </c>
      <c r="F90" s="50"/>
      <c r="G90" s="101">
        <f>SUBTOTAL(9,G81:G89)</f>
        <v>4513348.5600000005</v>
      </c>
      <c r="H90" s="49"/>
      <c r="I90" s="67">
        <f>+ROUND(L90/E90*100,2)</f>
        <v>4.8600000000000003</v>
      </c>
      <c r="J90" s="67"/>
      <c r="K90" s="67">
        <v>4.6900000000000004</v>
      </c>
      <c r="L90" s="51">
        <f>SUBTOTAL(9,L81:L89)</f>
        <v>1055520</v>
      </c>
      <c r="N90" s="96">
        <f>SUBTOTAL(9,N81:N89)</f>
        <v>171090</v>
      </c>
      <c r="P90" s="51">
        <f>SUBTOTAL(9,P81:P89)</f>
        <v>884430</v>
      </c>
      <c r="Q90" s="100">
        <f>SUBTOTAL(9,Q81:Q89)</f>
        <v>8598.5161600000101</v>
      </c>
      <c r="R90" s="67"/>
    </row>
    <row r="91" spans="1:18" ht="15.75">
      <c r="C91" s="93"/>
      <c r="E91" s="43"/>
      <c r="F91" s="50"/>
      <c r="G91" s="91"/>
      <c r="H91" s="49"/>
      <c r="I91" s="67"/>
      <c r="J91" s="67"/>
      <c r="K91" s="67"/>
      <c r="L91" s="49"/>
      <c r="N91" s="80"/>
      <c r="P91" s="79"/>
    </row>
    <row r="92" spans="1:18" ht="15.75">
      <c r="A92" s="73"/>
      <c r="C92" s="68" t="s">
        <v>107</v>
      </c>
      <c r="E92" s="45">
        <f>SUBTOTAL(9,E20:E91)</f>
        <v>2801845065.1100001</v>
      </c>
      <c r="F92" s="65"/>
      <c r="G92" s="95">
        <f>SUBTOTAL(9,G20:G91)</f>
        <v>1219967321.8500001</v>
      </c>
      <c r="H92" s="66"/>
      <c r="I92" s="75">
        <f>+ROUND(L92/E92*100,2)</f>
        <v>3</v>
      </c>
      <c r="J92" s="75"/>
      <c r="K92" s="75">
        <v>2.87</v>
      </c>
      <c r="L92" s="66">
        <f>SUBTOTAL(9,L20:L91)</f>
        <v>84074159</v>
      </c>
      <c r="N92" s="86">
        <f>SUBTOTAL(9,N20:N91)</f>
        <v>38755962</v>
      </c>
      <c r="P92" s="66">
        <f>SUBTOTAL(9,P20:P91)</f>
        <v>45318197</v>
      </c>
      <c r="Q92" s="99">
        <f>SUBTOTAL(9,Q20:Q91)</f>
        <v>1623779.6105439998</v>
      </c>
    </row>
    <row r="93" spans="1:18">
      <c r="A93" s="73"/>
      <c r="C93" s="64"/>
      <c r="E93" s="43"/>
      <c r="G93" s="74"/>
      <c r="I93" s="67"/>
      <c r="J93" s="67"/>
      <c r="K93" s="67"/>
      <c r="N93" s="80"/>
      <c r="P93" s="79"/>
      <c r="Q93" s="89"/>
    </row>
    <row r="94" spans="1:18" ht="15.75">
      <c r="C94" s="93" t="s">
        <v>108</v>
      </c>
      <c r="G94" s="74"/>
      <c r="I94" s="67"/>
      <c r="J94" s="67"/>
      <c r="K94" s="67"/>
      <c r="N94" s="80"/>
      <c r="P94" s="79"/>
    </row>
    <row r="95" spans="1:18" ht="15.75">
      <c r="C95" s="92"/>
      <c r="G95" s="74"/>
      <c r="I95" s="67"/>
      <c r="J95" s="67"/>
      <c r="K95" s="67"/>
      <c r="N95" s="80"/>
      <c r="P95" s="79"/>
    </row>
    <row r="96" spans="1:18">
      <c r="A96" s="73">
        <v>341</v>
      </c>
      <c r="C96" s="60" t="s">
        <v>85</v>
      </c>
      <c r="G96" s="74"/>
      <c r="I96" s="67"/>
      <c r="J96" s="67"/>
      <c r="K96" s="67"/>
      <c r="N96" s="80"/>
      <c r="P96" s="79"/>
      <c r="Q96" s="89"/>
    </row>
    <row r="97" spans="1:17">
      <c r="A97" s="73"/>
      <c r="C97" s="97" t="s">
        <v>109</v>
      </c>
      <c r="E97" s="43">
        <v>18449493.530000001</v>
      </c>
      <c r="F97" s="50"/>
      <c r="G97" s="91">
        <v>0</v>
      </c>
      <c r="H97" s="49"/>
      <c r="I97" s="67">
        <v>2.91</v>
      </c>
      <c r="J97" s="67"/>
      <c r="K97" s="67">
        <v>2.87</v>
      </c>
      <c r="L97" s="49">
        <v>537108</v>
      </c>
      <c r="N97" s="80">
        <f t="shared" ref="N97:N115" si="9">ROUND(G97*(I97/100),0)</f>
        <v>0</v>
      </c>
      <c r="P97" s="79">
        <f t="shared" ref="P97:P115" si="10">L97-N97</f>
        <v>537108</v>
      </c>
      <c r="Q97" s="89">
        <f t="shared" ref="Q97:Q115" si="11">(I97-K97)*G97/100</f>
        <v>0</v>
      </c>
    </row>
    <row r="98" spans="1:17">
      <c r="A98" s="73"/>
      <c r="C98" s="97" t="s">
        <v>110</v>
      </c>
      <c r="E98" s="43">
        <v>2666719.81</v>
      </c>
      <c r="F98" s="50"/>
      <c r="G98" s="91">
        <v>0</v>
      </c>
      <c r="H98" s="49"/>
      <c r="I98" s="67">
        <v>3.81</v>
      </c>
      <c r="J98" s="67"/>
      <c r="K98" s="67">
        <v>3.64</v>
      </c>
      <c r="L98" s="49">
        <v>101616</v>
      </c>
      <c r="N98" s="80">
        <f t="shared" si="9"/>
        <v>0</v>
      </c>
      <c r="P98" s="79">
        <f t="shared" si="10"/>
        <v>101616</v>
      </c>
      <c r="Q98" s="89">
        <f t="shared" si="11"/>
        <v>0</v>
      </c>
    </row>
    <row r="99" spans="1:17">
      <c r="A99" s="73"/>
      <c r="C99" s="97" t="s">
        <v>111</v>
      </c>
      <c r="E99" s="43">
        <v>2666719.81</v>
      </c>
      <c r="F99" s="50"/>
      <c r="G99" s="91">
        <v>0</v>
      </c>
      <c r="H99" s="49"/>
      <c r="I99" s="67">
        <v>3.74</v>
      </c>
      <c r="J99" s="67"/>
      <c r="K99" s="67">
        <v>3.57</v>
      </c>
      <c r="L99" s="49">
        <v>99819</v>
      </c>
      <c r="N99" s="80">
        <f t="shared" si="9"/>
        <v>0</v>
      </c>
      <c r="P99" s="79">
        <f t="shared" si="10"/>
        <v>99819</v>
      </c>
      <c r="Q99" s="89">
        <f t="shared" si="11"/>
        <v>0</v>
      </c>
    </row>
    <row r="100" spans="1:17">
      <c r="A100" s="73"/>
      <c r="C100" s="97" t="s">
        <v>112</v>
      </c>
      <c r="E100" s="43">
        <v>2666719.81</v>
      </c>
      <c r="F100" s="50"/>
      <c r="G100" s="91">
        <v>0</v>
      </c>
      <c r="H100" s="49"/>
      <c r="I100" s="67">
        <v>3.91</v>
      </c>
      <c r="J100" s="67"/>
      <c r="K100" s="67">
        <v>3.74</v>
      </c>
      <c r="L100" s="49">
        <v>104219</v>
      </c>
      <c r="N100" s="80">
        <f t="shared" si="9"/>
        <v>0</v>
      </c>
      <c r="P100" s="79">
        <f t="shared" si="10"/>
        <v>104219</v>
      </c>
      <c r="Q100" s="89">
        <f t="shared" si="11"/>
        <v>0</v>
      </c>
    </row>
    <row r="101" spans="1:17">
      <c r="A101" s="73"/>
      <c r="C101" s="97" t="s">
        <v>113</v>
      </c>
      <c r="E101" s="43">
        <v>1937757.41</v>
      </c>
      <c r="F101" s="50"/>
      <c r="G101" s="91">
        <v>0</v>
      </c>
      <c r="H101" s="49"/>
      <c r="I101" s="67">
        <v>3.46</v>
      </c>
      <c r="J101" s="67"/>
      <c r="K101" s="67">
        <v>3.4</v>
      </c>
      <c r="L101" s="49">
        <v>67013</v>
      </c>
      <c r="N101" s="80">
        <f t="shared" si="9"/>
        <v>0</v>
      </c>
      <c r="P101" s="79">
        <f t="shared" si="10"/>
        <v>67013</v>
      </c>
      <c r="Q101" s="89">
        <f t="shared" si="11"/>
        <v>0</v>
      </c>
    </row>
    <row r="102" spans="1:17">
      <c r="A102" s="73"/>
      <c r="C102" s="97" t="s">
        <v>114</v>
      </c>
      <c r="E102" s="43">
        <v>1599135.43</v>
      </c>
      <c r="F102" s="50"/>
      <c r="G102" s="91">
        <v>0</v>
      </c>
      <c r="H102" s="49"/>
      <c r="I102" s="67">
        <v>3.47</v>
      </c>
      <c r="J102" s="67"/>
      <c r="K102" s="67">
        <v>3.41</v>
      </c>
      <c r="L102" s="49">
        <v>55507</v>
      </c>
      <c r="N102" s="80">
        <f t="shared" si="9"/>
        <v>0</v>
      </c>
      <c r="P102" s="79">
        <f t="shared" si="10"/>
        <v>55507</v>
      </c>
      <c r="Q102" s="89">
        <f t="shared" si="11"/>
        <v>0</v>
      </c>
    </row>
    <row r="103" spans="1:17">
      <c r="A103" s="73"/>
      <c r="C103" s="97" t="s">
        <v>115</v>
      </c>
      <c r="E103" s="43">
        <v>303524.78000000003</v>
      </c>
      <c r="F103" s="50"/>
      <c r="G103" s="91">
        <v>0</v>
      </c>
      <c r="H103" s="49"/>
      <c r="I103" s="67">
        <v>3.33</v>
      </c>
      <c r="J103" s="67"/>
      <c r="K103" s="67">
        <v>3.27</v>
      </c>
      <c r="L103" s="49">
        <v>10096</v>
      </c>
      <c r="N103" s="80">
        <f t="shared" si="9"/>
        <v>0</v>
      </c>
      <c r="P103" s="79">
        <f t="shared" si="10"/>
        <v>10096</v>
      </c>
      <c r="Q103" s="89">
        <f t="shared" si="11"/>
        <v>0</v>
      </c>
    </row>
    <row r="104" spans="1:17">
      <c r="A104" s="73"/>
      <c r="C104" s="97" t="s">
        <v>116</v>
      </c>
      <c r="E104" s="43">
        <v>303524.78000000003</v>
      </c>
      <c r="F104" s="50"/>
      <c r="G104" s="91">
        <v>0</v>
      </c>
      <c r="H104" s="49"/>
      <c r="I104" s="67">
        <v>3.32</v>
      </c>
      <c r="J104" s="67"/>
      <c r="K104" s="67">
        <v>3.27</v>
      </c>
      <c r="L104" s="49">
        <v>10082</v>
      </c>
      <c r="N104" s="80">
        <f t="shared" si="9"/>
        <v>0</v>
      </c>
      <c r="P104" s="79">
        <f t="shared" si="10"/>
        <v>10082</v>
      </c>
      <c r="Q104" s="89">
        <f t="shared" si="11"/>
        <v>0</v>
      </c>
    </row>
    <row r="105" spans="1:17">
      <c r="A105" s="73"/>
      <c r="C105" s="97" t="s">
        <v>117</v>
      </c>
      <c r="E105" s="43">
        <v>4625823.04</v>
      </c>
      <c r="F105" s="50"/>
      <c r="G105" s="91">
        <v>0</v>
      </c>
      <c r="H105" s="49"/>
      <c r="I105" s="67">
        <v>3.41</v>
      </c>
      <c r="J105" s="67"/>
      <c r="K105" s="67">
        <v>3.33</v>
      </c>
      <c r="L105" s="49">
        <v>157809</v>
      </c>
      <c r="N105" s="80">
        <f t="shared" si="9"/>
        <v>0</v>
      </c>
      <c r="P105" s="79">
        <f t="shared" si="10"/>
        <v>157809</v>
      </c>
      <c r="Q105" s="89">
        <f t="shared" si="11"/>
        <v>0</v>
      </c>
    </row>
    <row r="106" spans="1:17">
      <c r="A106" s="73"/>
      <c r="C106" s="97" t="s">
        <v>118</v>
      </c>
      <c r="E106" s="43">
        <v>224532.24</v>
      </c>
      <c r="F106" s="50"/>
      <c r="G106" s="91">
        <v>0</v>
      </c>
      <c r="H106" s="49"/>
      <c r="I106" s="67">
        <v>3.38</v>
      </c>
      <c r="J106" s="67"/>
      <c r="K106" s="67">
        <v>3.34</v>
      </c>
      <c r="L106" s="49">
        <v>7587</v>
      </c>
      <c r="N106" s="80">
        <f t="shared" si="9"/>
        <v>0</v>
      </c>
      <c r="P106" s="79">
        <f t="shared" si="10"/>
        <v>7587</v>
      </c>
      <c r="Q106" s="89">
        <f t="shared" si="11"/>
        <v>0</v>
      </c>
    </row>
    <row r="107" spans="1:17">
      <c r="A107" s="73"/>
      <c r="C107" s="97" t="s">
        <v>119</v>
      </c>
      <c r="E107" s="43">
        <v>1119860.8</v>
      </c>
      <c r="F107" s="50"/>
      <c r="G107" s="91">
        <v>0</v>
      </c>
      <c r="H107" s="49"/>
      <c r="I107" s="67">
        <v>4.83</v>
      </c>
      <c r="J107" s="67"/>
      <c r="K107" s="67">
        <v>4.76</v>
      </c>
      <c r="L107" s="49">
        <v>54118</v>
      </c>
      <c r="N107" s="80">
        <f t="shared" si="9"/>
        <v>0</v>
      </c>
      <c r="P107" s="79">
        <f t="shared" si="10"/>
        <v>54118</v>
      </c>
      <c r="Q107" s="89">
        <f t="shared" si="11"/>
        <v>0</v>
      </c>
    </row>
    <row r="108" spans="1:17">
      <c r="A108" s="73"/>
      <c r="C108" s="97" t="s">
        <v>120</v>
      </c>
      <c r="E108" s="43">
        <v>1135966.24</v>
      </c>
      <c r="F108" s="50"/>
      <c r="G108" s="91">
        <v>0</v>
      </c>
      <c r="H108" s="49"/>
      <c r="I108" s="67">
        <v>4.83</v>
      </c>
      <c r="J108" s="67"/>
      <c r="K108" s="67">
        <v>4.76</v>
      </c>
      <c r="L108" s="49">
        <v>54896</v>
      </c>
      <c r="N108" s="80">
        <f t="shared" si="9"/>
        <v>0</v>
      </c>
      <c r="P108" s="79">
        <f t="shared" si="10"/>
        <v>54896</v>
      </c>
      <c r="Q108" s="89">
        <f t="shared" si="11"/>
        <v>0</v>
      </c>
    </row>
    <row r="109" spans="1:17">
      <c r="A109" s="73"/>
      <c r="C109" s="97" t="s">
        <v>121</v>
      </c>
      <c r="E109" s="43">
        <v>1465228.09</v>
      </c>
      <c r="F109" s="50"/>
      <c r="G109" s="91">
        <v>0</v>
      </c>
      <c r="H109" s="49"/>
      <c r="I109" s="67">
        <v>4.37</v>
      </c>
      <c r="J109" s="67"/>
      <c r="K109" s="67">
        <v>4.37</v>
      </c>
      <c r="L109" s="49">
        <v>63993</v>
      </c>
      <c r="N109" s="80">
        <f t="shared" si="9"/>
        <v>0</v>
      </c>
      <c r="P109" s="79">
        <f t="shared" si="10"/>
        <v>63993</v>
      </c>
      <c r="Q109" s="89">
        <f t="shared" si="11"/>
        <v>0</v>
      </c>
    </row>
    <row r="110" spans="1:17">
      <c r="A110" s="73"/>
      <c r="C110" s="97" t="s">
        <v>122</v>
      </c>
      <c r="E110" s="43">
        <v>2033652.36</v>
      </c>
      <c r="F110" s="50"/>
      <c r="G110" s="91">
        <v>0</v>
      </c>
      <c r="H110" s="49"/>
      <c r="I110" s="67">
        <v>4.8899999999999997</v>
      </c>
      <c r="J110" s="67"/>
      <c r="K110" s="67">
        <v>4.83</v>
      </c>
      <c r="L110" s="49">
        <v>99377</v>
      </c>
      <c r="N110" s="80">
        <f t="shared" si="9"/>
        <v>0</v>
      </c>
      <c r="P110" s="79">
        <f t="shared" si="10"/>
        <v>99377</v>
      </c>
      <c r="Q110" s="89">
        <f t="shared" si="11"/>
        <v>0</v>
      </c>
    </row>
    <row r="111" spans="1:17">
      <c r="A111" s="73"/>
      <c r="C111" s="97" t="s">
        <v>123</v>
      </c>
      <c r="E111" s="43">
        <v>7836172.29</v>
      </c>
      <c r="F111" s="50"/>
      <c r="G111" s="91">
        <v>0</v>
      </c>
      <c r="H111" s="49"/>
      <c r="I111" s="67">
        <v>3.81</v>
      </c>
      <c r="J111" s="67"/>
      <c r="K111" s="67">
        <v>3.71</v>
      </c>
      <c r="L111" s="49">
        <v>298583</v>
      </c>
      <c r="N111" s="80">
        <f t="shared" si="9"/>
        <v>0</v>
      </c>
      <c r="P111" s="79">
        <f t="shared" si="10"/>
        <v>298583</v>
      </c>
      <c r="Q111" s="89">
        <f t="shared" si="11"/>
        <v>0</v>
      </c>
    </row>
    <row r="112" spans="1:17">
      <c r="A112" s="73"/>
      <c r="C112" s="97" t="s">
        <v>124</v>
      </c>
      <c r="E112" s="43">
        <v>933680.4</v>
      </c>
      <c r="F112" s="50"/>
      <c r="G112" s="91">
        <v>0</v>
      </c>
      <c r="H112" s="49"/>
      <c r="I112" s="67">
        <v>3.22</v>
      </c>
      <c r="J112" s="67"/>
      <c r="K112" s="67">
        <v>3.11</v>
      </c>
      <c r="L112" s="49">
        <v>30021</v>
      </c>
      <c r="N112" s="80">
        <f t="shared" si="9"/>
        <v>0</v>
      </c>
      <c r="P112" s="79">
        <f t="shared" si="10"/>
        <v>30021</v>
      </c>
      <c r="Q112" s="89">
        <f t="shared" si="11"/>
        <v>0</v>
      </c>
    </row>
    <row r="113" spans="1:17">
      <c r="A113" s="73"/>
      <c r="C113" s="97" t="s">
        <v>125</v>
      </c>
      <c r="E113" s="43">
        <v>933680.4</v>
      </c>
      <c r="F113" s="50"/>
      <c r="G113" s="91">
        <v>0</v>
      </c>
      <c r="H113" s="49"/>
      <c r="I113" s="67">
        <v>2.84</v>
      </c>
      <c r="J113" s="67"/>
      <c r="K113" s="67">
        <v>2.73</v>
      </c>
      <c r="L113" s="49">
        <v>26472</v>
      </c>
      <c r="N113" s="80">
        <f t="shared" si="9"/>
        <v>0</v>
      </c>
      <c r="P113" s="79">
        <f t="shared" si="10"/>
        <v>26472</v>
      </c>
      <c r="Q113" s="89">
        <f t="shared" si="11"/>
        <v>0</v>
      </c>
    </row>
    <row r="114" spans="1:17">
      <c r="A114" s="73"/>
      <c r="C114" s="97" t="s">
        <v>126</v>
      </c>
      <c r="E114" s="43">
        <v>933680.4</v>
      </c>
      <c r="F114" s="50"/>
      <c r="G114" s="91">
        <v>0</v>
      </c>
      <c r="H114" s="49"/>
      <c r="I114" s="67">
        <v>2.4700000000000002</v>
      </c>
      <c r="J114" s="67"/>
      <c r="K114" s="67">
        <v>2.37</v>
      </c>
      <c r="L114" s="49">
        <v>23072</v>
      </c>
      <c r="N114" s="80">
        <f t="shared" si="9"/>
        <v>0</v>
      </c>
      <c r="P114" s="79">
        <f t="shared" si="10"/>
        <v>23072</v>
      </c>
      <c r="Q114" s="89">
        <f t="shared" si="11"/>
        <v>0</v>
      </c>
    </row>
    <row r="115" spans="1:17">
      <c r="A115" s="73"/>
      <c r="C115" s="97" t="s">
        <v>127</v>
      </c>
      <c r="E115" s="52">
        <v>625882</v>
      </c>
      <c r="F115" s="50"/>
      <c r="G115" s="90">
        <v>0</v>
      </c>
      <c r="H115" s="49"/>
      <c r="I115" s="67">
        <v>3.48</v>
      </c>
      <c r="J115" s="67"/>
      <c r="K115" s="67">
        <v>3.44</v>
      </c>
      <c r="L115" s="51">
        <v>21795</v>
      </c>
      <c r="N115" s="85">
        <f t="shared" si="9"/>
        <v>0</v>
      </c>
      <c r="P115" s="84">
        <f t="shared" si="10"/>
        <v>21795</v>
      </c>
      <c r="Q115" s="89">
        <f t="shared" si="11"/>
        <v>0</v>
      </c>
    </row>
    <row r="116" spans="1:17">
      <c r="A116" s="73"/>
      <c r="E116" s="43"/>
      <c r="F116" s="50"/>
      <c r="G116" s="91"/>
      <c r="H116" s="49"/>
      <c r="I116" s="67"/>
      <c r="J116" s="67"/>
      <c r="K116" s="67"/>
      <c r="L116" s="49"/>
      <c r="N116" s="80"/>
      <c r="P116" s="79"/>
      <c r="Q116" s="89"/>
    </row>
    <row r="117" spans="1:17">
      <c r="A117" s="73"/>
      <c r="C117" s="60" t="s">
        <v>96</v>
      </c>
      <c r="E117" s="43">
        <f>SUBTOTAL(9,E97:E116)</f>
        <v>52461753.619999997</v>
      </c>
      <c r="F117" s="50"/>
      <c r="G117" s="91">
        <f>SUBTOTAL(9,G97:G116)</f>
        <v>0</v>
      </c>
      <c r="H117" s="49"/>
      <c r="I117" s="67">
        <f>+ROUND(L117/E117*100,2)</f>
        <v>3.48</v>
      </c>
      <c r="J117" s="67"/>
      <c r="K117" s="67">
        <v>3.39</v>
      </c>
      <c r="L117" s="49">
        <f>SUBTOTAL(9,L97:L116)</f>
        <v>1823183</v>
      </c>
      <c r="N117" s="98">
        <f>SUBTOTAL(9,N97:N116)</f>
        <v>0</v>
      </c>
      <c r="P117" s="49">
        <f>SUBTOTAL(9,P97:P116)</f>
        <v>1823183</v>
      </c>
      <c r="Q117" s="89"/>
    </row>
    <row r="118" spans="1:17">
      <c r="A118" s="73"/>
      <c r="E118" s="43"/>
      <c r="F118" s="50"/>
      <c r="G118" s="91"/>
      <c r="H118" s="49"/>
      <c r="I118" s="67"/>
      <c r="J118" s="67"/>
      <c r="K118" s="67"/>
      <c r="L118" s="49"/>
      <c r="N118" s="80"/>
      <c r="P118" s="79"/>
      <c r="Q118" s="89"/>
    </row>
    <row r="119" spans="1:17">
      <c r="A119" s="73">
        <v>342</v>
      </c>
      <c r="C119" s="60" t="s">
        <v>128</v>
      </c>
      <c r="G119" s="74"/>
      <c r="I119" s="67"/>
      <c r="J119" s="67"/>
      <c r="K119" s="67"/>
      <c r="N119" s="80"/>
      <c r="P119" s="79"/>
      <c r="Q119" s="89"/>
    </row>
    <row r="120" spans="1:17">
      <c r="A120" s="73"/>
      <c r="C120" s="97" t="s">
        <v>109</v>
      </c>
      <c r="E120" s="43">
        <v>13766120.51</v>
      </c>
      <c r="F120" s="50"/>
      <c r="G120" s="91">
        <v>0</v>
      </c>
      <c r="H120" s="49"/>
      <c r="I120" s="67">
        <v>2.71</v>
      </c>
      <c r="J120" s="67"/>
      <c r="K120" s="67">
        <v>2.67</v>
      </c>
      <c r="L120" s="49">
        <v>373566</v>
      </c>
      <c r="N120" s="80">
        <f t="shared" ref="N120:N126" si="12">ROUND(G120*(I120/100),0)</f>
        <v>0</v>
      </c>
      <c r="P120" s="79">
        <f t="shared" ref="P120:P126" si="13">L120-N120</f>
        <v>373566</v>
      </c>
      <c r="Q120" s="89">
        <f t="shared" ref="Q120:Q126" si="14">(I120-K120)*G120/100</f>
        <v>0</v>
      </c>
    </row>
    <row r="121" spans="1:17">
      <c r="A121" s="73"/>
      <c r="C121" s="97" t="s">
        <v>115</v>
      </c>
      <c r="E121" s="43">
        <v>70051.649999999994</v>
      </c>
      <c r="F121" s="50"/>
      <c r="G121" s="91">
        <v>0</v>
      </c>
      <c r="H121" s="49"/>
      <c r="I121" s="67">
        <v>3.08</v>
      </c>
      <c r="J121" s="67"/>
      <c r="K121" s="67">
        <v>3.03</v>
      </c>
      <c r="L121" s="49">
        <v>2158</v>
      </c>
      <c r="N121" s="80">
        <f t="shared" si="12"/>
        <v>0</v>
      </c>
      <c r="P121" s="79">
        <f t="shared" si="13"/>
        <v>2158</v>
      </c>
      <c r="Q121" s="89">
        <f t="shared" si="14"/>
        <v>0</v>
      </c>
    </row>
    <row r="122" spans="1:17">
      <c r="A122" s="73"/>
      <c r="C122" s="97" t="s">
        <v>116</v>
      </c>
      <c r="E122" s="43">
        <v>70051.649999999994</v>
      </c>
      <c r="F122" s="50"/>
      <c r="G122" s="91">
        <v>0</v>
      </c>
      <c r="H122" s="49"/>
      <c r="I122" s="67">
        <v>3.08</v>
      </c>
      <c r="J122" s="67"/>
      <c r="K122" s="67">
        <v>3.03</v>
      </c>
      <c r="L122" s="49">
        <v>2155</v>
      </c>
      <c r="N122" s="80">
        <f t="shared" si="12"/>
        <v>0</v>
      </c>
      <c r="P122" s="79">
        <f t="shared" si="13"/>
        <v>2155</v>
      </c>
      <c r="Q122" s="89">
        <f t="shared" si="14"/>
        <v>0</v>
      </c>
    </row>
    <row r="123" spans="1:17">
      <c r="A123" s="73"/>
      <c r="C123" s="97" t="s">
        <v>117</v>
      </c>
      <c r="E123" s="43">
        <v>2384532.85</v>
      </c>
      <c r="F123" s="50"/>
      <c r="G123" s="91">
        <v>0</v>
      </c>
      <c r="H123" s="49"/>
      <c r="I123" s="67">
        <v>3.16</v>
      </c>
      <c r="J123" s="67"/>
      <c r="K123" s="67">
        <v>3.08</v>
      </c>
      <c r="L123" s="49">
        <v>75281</v>
      </c>
      <c r="N123" s="80">
        <f t="shared" si="12"/>
        <v>0</v>
      </c>
      <c r="P123" s="79">
        <f t="shared" si="13"/>
        <v>75281</v>
      </c>
      <c r="Q123" s="89">
        <f t="shared" si="14"/>
        <v>0</v>
      </c>
    </row>
    <row r="124" spans="1:17">
      <c r="A124" s="73"/>
      <c r="C124" s="97" t="s">
        <v>118</v>
      </c>
      <c r="E124" s="43">
        <v>2116650.59</v>
      </c>
      <c r="F124" s="50"/>
      <c r="G124" s="91">
        <v>0</v>
      </c>
      <c r="H124" s="49"/>
      <c r="I124" s="67">
        <v>2.82</v>
      </c>
      <c r="J124" s="67"/>
      <c r="K124" s="67">
        <v>2.78</v>
      </c>
      <c r="L124" s="49">
        <v>59717</v>
      </c>
      <c r="N124" s="80">
        <f t="shared" si="12"/>
        <v>0</v>
      </c>
      <c r="P124" s="79">
        <f t="shared" si="13"/>
        <v>59717</v>
      </c>
      <c r="Q124" s="89">
        <f t="shared" si="14"/>
        <v>0</v>
      </c>
    </row>
    <row r="125" spans="1:17">
      <c r="A125" s="73"/>
      <c r="C125" s="97" t="s">
        <v>120</v>
      </c>
      <c r="E125" s="43">
        <v>357670.24</v>
      </c>
      <c r="F125" s="50"/>
      <c r="G125" s="91">
        <v>0</v>
      </c>
      <c r="H125" s="49"/>
      <c r="I125" s="67">
        <v>4.58</v>
      </c>
      <c r="J125" s="67"/>
      <c r="K125" s="67">
        <v>4.51</v>
      </c>
      <c r="L125" s="49">
        <v>16399</v>
      </c>
      <c r="N125" s="80">
        <f t="shared" si="12"/>
        <v>0</v>
      </c>
      <c r="P125" s="79">
        <f t="shared" si="13"/>
        <v>16399</v>
      </c>
      <c r="Q125" s="89">
        <f t="shared" si="14"/>
        <v>0</v>
      </c>
    </row>
    <row r="126" spans="1:17">
      <c r="A126" s="73"/>
      <c r="C126" s="97" t="s">
        <v>123</v>
      </c>
      <c r="E126" s="52">
        <v>1162203.57</v>
      </c>
      <c r="F126" s="50"/>
      <c r="G126" s="90">
        <v>0</v>
      </c>
      <c r="H126" s="49"/>
      <c r="I126" s="67">
        <v>3.57</v>
      </c>
      <c r="J126" s="67"/>
      <c r="K126" s="67">
        <v>3.47</v>
      </c>
      <c r="L126" s="51">
        <v>41477</v>
      </c>
      <c r="N126" s="85">
        <f t="shared" si="12"/>
        <v>0</v>
      </c>
      <c r="P126" s="84">
        <f t="shared" si="13"/>
        <v>41477</v>
      </c>
      <c r="Q126" s="89">
        <f t="shared" si="14"/>
        <v>0</v>
      </c>
    </row>
    <row r="127" spans="1:17">
      <c r="A127" s="73"/>
      <c r="E127" s="43"/>
      <c r="F127" s="50"/>
      <c r="G127" s="91"/>
      <c r="H127" s="49"/>
      <c r="I127" s="67"/>
      <c r="J127" s="67"/>
      <c r="K127" s="67"/>
      <c r="L127" s="49"/>
      <c r="N127" s="80"/>
      <c r="P127" s="79"/>
      <c r="Q127" s="89"/>
    </row>
    <row r="128" spans="1:17">
      <c r="A128" s="73"/>
      <c r="C128" s="60" t="s">
        <v>129</v>
      </c>
      <c r="E128" s="43">
        <f>SUBTOTAL(9,E120:E127)</f>
        <v>19927281.059999999</v>
      </c>
      <c r="F128" s="50"/>
      <c r="G128" s="91">
        <f>SUBTOTAL(9,G120:G127)</f>
        <v>0</v>
      </c>
      <c r="H128" s="49"/>
      <c r="I128" s="67">
        <f>+ROUND(L128/E128*100,2)</f>
        <v>2.86</v>
      </c>
      <c r="J128" s="67"/>
      <c r="K128" s="67">
        <v>2.81</v>
      </c>
      <c r="L128" s="49">
        <f>SUBTOTAL(9,L120:L127)</f>
        <v>570753</v>
      </c>
      <c r="N128" s="98">
        <f>SUBTOTAL(9,N120:N127)</f>
        <v>0</v>
      </c>
      <c r="P128" s="49">
        <f>SUBTOTAL(9,P120:P127)</f>
        <v>570753</v>
      </c>
      <c r="Q128" s="89"/>
    </row>
    <row r="129" spans="1:17">
      <c r="A129" s="73"/>
      <c r="E129" s="43"/>
      <c r="F129" s="50"/>
      <c r="G129" s="91"/>
      <c r="H129" s="49"/>
      <c r="I129" s="67"/>
      <c r="J129" s="67"/>
      <c r="K129" s="67"/>
      <c r="L129" s="49"/>
      <c r="N129" s="80"/>
      <c r="P129" s="79"/>
      <c r="Q129" s="89"/>
    </row>
    <row r="130" spans="1:17">
      <c r="A130" s="73">
        <v>343</v>
      </c>
      <c r="C130" s="60" t="s">
        <v>130</v>
      </c>
      <c r="G130" s="74"/>
      <c r="I130" s="67"/>
      <c r="J130" s="67"/>
      <c r="K130" s="67"/>
      <c r="N130" s="80"/>
      <c r="P130" s="79"/>
      <c r="Q130" s="89"/>
    </row>
    <row r="131" spans="1:17">
      <c r="A131" s="73"/>
      <c r="C131" s="97" t="s">
        <v>109</v>
      </c>
      <c r="E131" s="43">
        <v>21780283.59</v>
      </c>
      <c r="F131" s="50"/>
      <c r="G131" s="91">
        <v>0</v>
      </c>
      <c r="H131" s="49"/>
      <c r="I131" s="67">
        <v>2.75</v>
      </c>
      <c r="J131" s="67"/>
      <c r="K131" s="67">
        <v>2.7</v>
      </c>
      <c r="L131" s="49">
        <v>598492</v>
      </c>
      <c r="N131" s="80">
        <f t="shared" ref="N131:N148" si="15">ROUND(G131*(I131/100),0)</f>
        <v>0</v>
      </c>
      <c r="P131" s="79">
        <f t="shared" ref="P131:P148" si="16">L131-N131</f>
        <v>598492</v>
      </c>
      <c r="Q131" s="89">
        <f t="shared" ref="Q131:Q148" si="17">(I131-K131)*G131/100</f>
        <v>0</v>
      </c>
    </row>
    <row r="132" spans="1:17">
      <c r="A132" s="73"/>
      <c r="C132" s="97" t="s">
        <v>110</v>
      </c>
      <c r="E132" s="43">
        <v>24250302.120000001</v>
      </c>
      <c r="F132" s="50"/>
      <c r="G132" s="91">
        <v>0</v>
      </c>
      <c r="H132" s="49"/>
      <c r="I132" s="67">
        <v>4.5599999999999996</v>
      </c>
      <c r="J132" s="67"/>
      <c r="K132" s="67">
        <v>4.4000000000000004</v>
      </c>
      <c r="L132" s="49">
        <v>1105177</v>
      </c>
      <c r="N132" s="80">
        <f t="shared" si="15"/>
        <v>0</v>
      </c>
      <c r="P132" s="79">
        <f t="shared" si="16"/>
        <v>1105177</v>
      </c>
      <c r="Q132" s="89">
        <f t="shared" si="17"/>
        <v>0</v>
      </c>
    </row>
    <row r="133" spans="1:17">
      <c r="A133" s="73"/>
      <c r="C133" s="97" t="s">
        <v>111</v>
      </c>
      <c r="E133" s="43">
        <v>16948244.77</v>
      </c>
      <c r="F133" s="50"/>
      <c r="G133" s="91">
        <v>0</v>
      </c>
      <c r="H133" s="49"/>
      <c r="I133" s="67">
        <v>3.52</v>
      </c>
      <c r="J133" s="67"/>
      <c r="K133" s="67">
        <v>3.36</v>
      </c>
      <c r="L133" s="49">
        <v>596612</v>
      </c>
      <c r="N133" s="80">
        <f t="shared" si="15"/>
        <v>0</v>
      </c>
      <c r="P133" s="79">
        <f t="shared" si="16"/>
        <v>596612</v>
      </c>
      <c r="Q133" s="89">
        <f t="shared" si="17"/>
        <v>0</v>
      </c>
    </row>
    <row r="134" spans="1:17">
      <c r="A134" s="73"/>
      <c r="C134" s="97" t="s">
        <v>112</v>
      </c>
      <c r="E134" s="43">
        <v>16247189.43</v>
      </c>
      <c r="F134" s="50"/>
      <c r="G134" s="91">
        <v>0</v>
      </c>
      <c r="H134" s="49"/>
      <c r="I134" s="67">
        <v>3.71</v>
      </c>
      <c r="J134" s="67"/>
      <c r="K134" s="67">
        <v>3.54</v>
      </c>
      <c r="L134" s="49">
        <v>602129</v>
      </c>
      <c r="N134" s="80">
        <f t="shared" si="15"/>
        <v>0</v>
      </c>
      <c r="P134" s="79">
        <f t="shared" si="16"/>
        <v>602129</v>
      </c>
      <c r="Q134" s="89">
        <f t="shared" si="17"/>
        <v>0</v>
      </c>
    </row>
    <row r="135" spans="1:17">
      <c r="A135" s="73"/>
      <c r="C135" s="97" t="s">
        <v>113</v>
      </c>
      <c r="E135" s="43">
        <v>25858484.41</v>
      </c>
      <c r="F135" s="50"/>
      <c r="G135" s="91">
        <v>0</v>
      </c>
      <c r="H135" s="49"/>
      <c r="I135" s="67">
        <v>3.3</v>
      </c>
      <c r="J135" s="67"/>
      <c r="K135" s="67">
        <v>3.24</v>
      </c>
      <c r="L135" s="49">
        <v>852617</v>
      </c>
      <c r="N135" s="80">
        <f t="shared" si="15"/>
        <v>0</v>
      </c>
      <c r="P135" s="79">
        <f t="shared" si="16"/>
        <v>852617</v>
      </c>
      <c r="Q135" s="89">
        <f t="shared" si="17"/>
        <v>0</v>
      </c>
    </row>
    <row r="136" spans="1:17">
      <c r="A136" s="73"/>
      <c r="C136" s="97" t="s">
        <v>114</v>
      </c>
      <c r="E136" s="43">
        <v>21295538.73</v>
      </c>
      <c r="F136" s="50"/>
      <c r="G136" s="91">
        <v>0</v>
      </c>
      <c r="H136" s="49"/>
      <c r="I136" s="67">
        <v>3.28</v>
      </c>
      <c r="J136" s="67"/>
      <c r="K136" s="67">
        <v>3.22</v>
      </c>
      <c r="L136" s="49">
        <v>698328</v>
      </c>
      <c r="N136" s="80">
        <f t="shared" si="15"/>
        <v>0</v>
      </c>
      <c r="P136" s="79">
        <f t="shared" si="16"/>
        <v>698328</v>
      </c>
      <c r="Q136" s="89">
        <f t="shared" si="17"/>
        <v>0</v>
      </c>
    </row>
    <row r="137" spans="1:17">
      <c r="A137" s="73"/>
      <c r="C137" s="97" t="s">
        <v>115</v>
      </c>
      <c r="E137" s="43">
        <v>18332746.16</v>
      </c>
      <c r="F137" s="50"/>
      <c r="G137" s="91">
        <v>0</v>
      </c>
      <c r="H137" s="49"/>
      <c r="I137" s="67">
        <v>3.28</v>
      </c>
      <c r="J137" s="67"/>
      <c r="K137" s="67">
        <v>3.23</v>
      </c>
      <c r="L137" s="49">
        <v>600986</v>
      </c>
      <c r="N137" s="80">
        <f t="shared" si="15"/>
        <v>0</v>
      </c>
      <c r="P137" s="79">
        <f t="shared" si="16"/>
        <v>600986</v>
      </c>
      <c r="Q137" s="89">
        <f t="shared" si="17"/>
        <v>0</v>
      </c>
    </row>
    <row r="138" spans="1:17">
      <c r="A138" s="73"/>
      <c r="C138" s="97" t="s">
        <v>116</v>
      </c>
      <c r="E138" s="43">
        <v>16754183.57</v>
      </c>
      <c r="F138" s="50"/>
      <c r="G138" s="91">
        <v>0</v>
      </c>
      <c r="H138" s="49"/>
      <c r="I138" s="67">
        <v>3.16</v>
      </c>
      <c r="J138" s="67"/>
      <c r="K138" s="67">
        <v>3.11</v>
      </c>
      <c r="L138" s="49">
        <v>530174</v>
      </c>
      <c r="N138" s="80">
        <f t="shared" si="15"/>
        <v>0</v>
      </c>
      <c r="P138" s="79">
        <f t="shared" si="16"/>
        <v>530174</v>
      </c>
      <c r="Q138" s="89">
        <f t="shared" si="17"/>
        <v>0</v>
      </c>
    </row>
    <row r="139" spans="1:17">
      <c r="A139" s="73"/>
      <c r="C139" s="97" t="s">
        <v>117</v>
      </c>
      <c r="E139" s="43">
        <v>41179391.759999998</v>
      </c>
      <c r="F139" s="50"/>
      <c r="G139" s="91">
        <v>0</v>
      </c>
      <c r="H139" s="49"/>
      <c r="I139" s="67">
        <v>3.32</v>
      </c>
      <c r="J139" s="67"/>
      <c r="K139" s="67">
        <v>3.24</v>
      </c>
      <c r="L139" s="49">
        <v>1367228</v>
      </c>
      <c r="N139" s="80">
        <f t="shared" si="15"/>
        <v>0</v>
      </c>
      <c r="P139" s="79">
        <f t="shared" si="16"/>
        <v>1367228</v>
      </c>
      <c r="Q139" s="89">
        <f t="shared" si="17"/>
        <v>0</v>
      </c>
    </row>
    <row r="140" spans="1:17">
      <c r="A140" s="73"/>
      <c r="C140" s="97" t="s">
        <v>118</v>
      </c>
      <c r="E140" s="43">
        <v>38525568.210000001</v>
      </c>
      <c r="F140" s="50"/>
      <c r="G140" s="91">
        <v>0</v>
      </c>
      <c r="H140" s="49"/>
      <c r="I140" s="67">
        <v>3.01</v>
      </c>
      <c r="J140" s="67"/>
      <c r="K140" s="67">
        <v>2.97</v>
      </c>
      <c r="L140" s="49">
        <v>1157887</v>
      </c>
      <c r="N140" s="80">
        <f t="shared" si="15"/>
        <v>0</v>
      </c>
      <c r="P140" s="79">
        <f t="shared" si="16"/>
        <v>1157887</v>
      </c>
      <c r="Q140" s="89">
        <f t="shared" si="17"/>
        <v>0</v>
      </c>
    </row>
    <row r="141" spans="1:17">
      <c r="A141" s="73"/>
      <c r="C141" s="97" t="s">
        <v>119</v>
      </c>
      <c r="E141" s="43">
        <v>354200.3</v>
      </c>
      <c r="F141" s="50"/>
      <c r="G141" s="91">
        <v>0</v>
      </c>
      <c r="H141" s="49"/>
      <c r="I141" s="67">
        <v>4.78</v>
      </c>
      <c r="J141" s="67"/>
      <c r="K141" s="67">
        <v>4.7</v>
      </c>
      <c r="L141" s="49">
        <v>16918</v>
      </c>
      <c r="N141" s="80">
        <f t="shared" si="15"/>
        <v>0</v>
      </c>
      <c r="P141" s="79">
        <f t="shared" si="16"/>
        <v>16918</v>
      </c>
      <c r="Q141" s="89">
        <f t="shared" si="17"/>
        <v>0</v>
      </c>
    </row>
    <row r="142" spans="1:17">
      <c r="A142" s="73"/>
      <c r="C142" s="97" t="s">
        <v>120</v>
      </c>
      <c r="E142" s="43">
        <v>387999.31</v>
      </c>
      <c r="F142" s="50"/>
      <c r="G142" s="91">
        <v>0</v>
      </c>
      <c r="H142" s="49"/>
      <c r="I142" s="67">
        <v>4.82</v>
      </c>
      <c r="J142" s="67"/>
      <c r="K142" s="67">
        <v>4.75</v>
      </c>
      <c r="L142" s="49">
        <v>18696</v>
      </c>
      <c r="N142" s="80">
        <f t="shared" si="15"/>
        <v>0</v>
      </c>
      <c r="P142" s="79">
        <f t="shared" si="16"/>
        <v>18696</v>
      </c>
      <c r="Q142" s="89">
        <f t="shared" si="17"/>
        <v>0</v>
      </c>
    </row>
    <row r="143" spans="1:17">
      <c r="A143" s="73"/>
      <c r="C143" s="97" t="s">
        <v>121</v>
      </c>
      <c r="E143" s="43">
        <v>201654.6</v>
      </c>
      <c r="F143" s="50"/>
      <c r="G143" s="91">
        <v>0</v>
      </c>
      <c r="H143" s="49"/>
      <c r="I143" s="67">
        <v>4.2</v>
      </c>
      <c r="J143" s="67"/>
      <c r="K143" s="67">
        <v>4.2</v>
      </c>
      <c r="L143" s="49">
        <v>8461</v>
      </c>
      <c r="N143" s="80">
        <f t="shared" si="15"/>
        <v>0</v>
      </c>
      <c r="P143" s="79">
        <f t="shared" si="16"/>
        <v>8461</v>
      </c>
      <c r="Q143" s="89">
        <f t="shared" si="17"/>
        <v>0</v>
      </c>
    </row>
    <row r="144" spans="1:17">
      <c r="A144" s="73"/>
      <c r="C144" s="97" t="s">
        <v>122</v>
      </c>
      <c r="E144" s="43">
        <v>275099.08</v>
      </c>
      <c r="F144" s="50"/>
      <c r="G144" s="91">
        <v>0</v>
      </c>
      <c r="H144" s="49"/>
      <c r="I144" s="67">
        <v>4.07</v>
      </c>
      <c r="J144" s="67"/>
      <c r="K144" s="67">
        <v>4.0199999999999996</v>
      </c>
      <c r="L144" s="49">
        <v>11209</v>
      </c>
      <c r="N144" s="80">
        <f t="shared" si="15"/>
        <v>0</v>
      </c>
      <c r="P144" s="79">
        <f t="shared" si="16"/>
        <v>11209</v>
      </c>
      <c r="Q144" s="89">
        <f t="shared" si="17"/>
        <v>0</v>
      </c>
    </row>
    <row r="145" spans="1:17">
      <c r="A145" s="73"/>
      <c r="C145" s="97" t="s">
        <v>123</v>
      </c>
      <c r="E145" s="43">
        <v>57861908.030000001</v>
      </c>
      <c r="F145" s="50"/>
      <c r="G145" s="91">
        <v>0</v>
      </c>
      <c r="H145" s="49"/>
      <c r="I145" s="67">
        <v>4.3099999999999996</v>
      </c>
      <c r="J145" s="67"/>
      <c r="K145" s="67">
        <v>4.21</v>
      </c>
      <c r="L145" s="49">
        <v>2493372</v>
      </c>
      <c r="N145" s="80">
        <f t="shared" si="15"/>
        <v>0</v>
      </c>
      <c r="P145" s="79">
        <f t="shared" si="16"/>
        <v>2493372</v>
      </c>
      <c r="Q145" s="89">
        <f t="shared" si="17"/>
        <v>0</v>
      </c>
    </row>
    <row r="146" spans="1:17">
      <c r="A146" s="73"/>
      <c r="C146" s="97" t="s">
        <v>124</v>
      </c>
      <c r="E146" s="43">
        <v>44185201.950000003</v>
      </c>
      <c r="F146" s="50"/>
      <c r="G146" s="91">
        <v>0</v>
      </c>
      <c r="H146" s="49"/>
      <c r="I146" s="67">
        <v>3.26</v>
      </c>
      <c r="J146" s="67"/>
      <c r="K146" s="67">
        <v>3.16</v>
      </c>
      <c r="L146" s="49">
        <v>1440118</v>
      </c>
      <c r="N146" s="80">
        <f t="shared" si="15"/>
        <v>0</v>
      </c>
      <c r="P146" s="79">
        <f t="shared" si="16"/>
        <v>1440118</v>
      </c>
      <c r="Q146" s="89">
        <f t="shared" si="17"/>
        <v>0</v>
      </c>
    </row>
    <row r="147" spans="1:17">
      <c r="A147" s="73"/>
      <c r="C147" s="97" t="s">
        <v>125</v>
      </c>
      <c r="E147" s="43">
        <v>45507960.020000003</v>
      </c>
      <c r="F147" s="50"/>
      <c r="G147" s="91">
        <v>0</v>
      </c>
      <c r="H147" s="49"/>
      <c r="I147" s="67">
        <v>2.92</v>
      </c>
      <c r="J147" s="67"/>
      <c r="K147" s="67">
        <v>2.82</v>
      </c>
      <c r="L147" s="49">
        <v>1326570</v>
      </c>
      <c r="N147" s="80">
        <f t="shared" si="15"/>
        <v>0</v>
      </c>
      <c r="P147" s="79">
        <f t="shared" si="16"/>
        <v>1326570</v>
      </c>
      <c r="Q147" s="89">
        <f t="shared" si="17"/>
        <v>0</v>
      </c>
    </row>
    <row r="148" spans="1:17">
      <c r="A148" s="73"/>
      <c r="C148" s="97" t="s">
        <v>126</v>
      </c>
      <c r="E148" s="52">
        <v>39171021.640000001</v>
      </c>
      <c r="F148" s="50"/>
      <c r="G148" s="90">
        <v>0</v>
      </c>
      <c r="H148" s="49"/>
      <c r="I148" s="67">
        <v>2.64</v>
      </c>
      <c r="J148" s="67"/>
      <c r="K148" s="67">
        <v>2.54</v>
      </c>
      <c r="L148" s="51">
        <v>1034641</v>
      </c>
      <c r="N148" s="85">
        <f t="shared" si="15"/>
        <v>0</v>
      </c>
      <c r="P148" s="84">
        <f t="shared" si="16"/>
        <v>1034641</v>
      </c>
      <c r="Q148" s="89">
        <f t="shared" si="17"/>
        <v>0</v>
      </c>
    </row>
    <row r="149" spans="1:17">
      <c r="A149" s="73"/>
      <c r="E149" s="43"/>
      <c r="F149" s="50"/>
      <c r="G149" s="91"/>
      <c r="H149" s="49"/>
      <c r="I149" s="67"/>
      <c r="J149" s="67"/>
      <c r="K149" s="67"/>
      <c r="L149" s="49"/>
      <c r="N149" s="80"/>
      <c r="P149" s="79"/>
      <c r="Q149" s="89"/>
    </row>
    <row r="150" spans="1:17">
      <c r="A150" s="73"/>
      <c r="C150" s="60" t="s">
        <v>131</v>
      </c>
      <c r="E150" s="43">
        <f>SUBTOTAL(9,E131:E149)</f>
        <v>429116977.68000001</v>
      </c>
      <c r="F150" s="50"/>
      <c r="G150" s="91">
        <f>SUBTOTAL(9,G131:G149)</f>
        <v>0</v>
      </c>
      <c r="H150" s="49"/>
      <c r="I150" s="67">
        <f>+ROUND(L150/E150*100,2)</f>
        <v>3.37</v>
      </c>
      <c r="J150" s="67"/>
      <c r="K150" s="67">
        <v>3.28</v>
      </c>
      <c r="L150" s="49">
        <f>SUBTOTAL(9,L131:L149)</f>
        <v>14459615</v>
      </c>
      <c r="N150" s="98">
        <f>SUBTOTAL(9,N131:N149)</f>
        <v>0</v>
      </c>
      <c r="P150" s="49">
        <f>SUBTOTAL(9,P131:P149)</f>
        <v>14459615</v>
      </c>
      <c r="Q150" s="89"/>
    </row>
    <row r="151" spans="1:17">
      <c r="A151" s="73"/>
      <c r="E151" s="43"/>
      <c r="F151" s="50"/>
      <c r="G151" s="91"/>
      <c r="H151" s="49"/>
      <c r="I151" s="67"/>
      <c r="J151" s="67"/>
      <c r="K151" s="67"/>
      <c r="L151" s="49"/>
      <c r="N151" s="80"/>
      <c r="P151" s="79"/>
      <c r="Q151" s="89"/>
    </row>
    <row r="152" spans="1:17">
      <c r="A152" s="73">
        <v>344</v>
      </c>
      <c r="C152" s="60" t="s">
        <v>132</v>
      </c>
      <c r="G152" s="74"/>
      <c r="I152" s="67"/>
      <c r="J152" s="67"/>
      <c r="K152" s="67"/>
      <c r="N152" s="80"/>
      <c r="P152" s="79"/>
      <c r="Q152" s="89"/>
    </row>
    <row r="153" spans="1:17">
      <c r="A153" s="73"/>
      <c r="C153" s="97" t="s">
        <v>109</v>
      </c>
      <c r="E153" s="43">
        <v>385287.95</v>
      </c>
      <c r="F153" s="50"/>
      <c r="G153" s="91">
        <v>0</v>
      </c>
      <c r="H153" s="49"/>
      <c r="I153" s="67">
        <v>3.08</v>
      </c>
      <c r="J153" s="67"/>
      <c r="K153" s="67">
        <v>3.04</v>
      </c>
      <c r="L153" s="49">
        <v>11864</v>
      </c>
      <c r="N153" s="80">
        <f t="shared" ref="N153:N172" si="18">ROUND(G153*(I153/100),0)</f>
        <v>0</v>
      </c>
      <c r="P153" s="79">
        <f t="shared" ref="P153:P172" si="19">L153-N153</f>
        <v>11864</v>
      </c>
      <c r="Q153" s="89">
        <f t="shared" ref="Q153:Q172" si="20">(I153-K153)*G153/100</f>
        <v>0</v>
      </c>
    </row>
    <row r="154" spans="1:17">
      <c r="A154" s="73"/>
      <c r="C154" s="97" t="s">
        <v>110</v>
      </c>
      <c r="E154" s="43">
        <v>4960295.58</v>
      </c>
      <c r="F154" s="50"/>
      <c r="G154" s="91">
        <v>0</v>
      </c>
      <c r="H154" s="49"/>
      <c r="I154" s="67">
        <v>3.57</v>
      </c>
      <c r="J154" s="67"/>
      <c r="K154" s="67">
        <v>3.41</v>
      </c>
      <c r="L154" s="49">
        <v>177234</v>
      </c>
      <c r="N154" s="80">
        <f t="shared" si="18"/>
        <v>0</v>
      </c>
      <c r="P154" s="79">
        <f t="shared" si="19"/>
        <v>177234</v>
      </c>
      <c r="Q154" s="89">
        <f t="shared" si="20"/>
        <v>0</v>
      </c>
    </row>
    <row r="155" spans="1:17">
      <c r="A155" s="73"/>
      <c r="C155" s="97" t="s">
        <v>111</v>
      </c>
      <c r="E155" s="43">
        <v>5083402.2400000002</v>
      </c>
      <c r="F155" s="50"/>
      <c r="G155" s="91">
        <v>0</v>
      </c>
      <c r="H155" s="49"/>
      <c r="I155" s="67">
        <v>3.58</v>
      </c>
      <c r="J155" s="67"/>
      <c r="K155" s="67">
        <v>3.41</v>
      </c>
      <c r="L155" s="49">
        <v>181954</v>
      </c>
      <c r="N155" s="80">
        <f t="shared" si="18"/>
        <v>0</v>
      </c>
      <c r="P155" s="79">
        <f t="shared" si="19"/>
        <v>181954</v>
      </c>
      <c r="Q155" s="89">
        <f t="shared" si="20"/>
        <v>0</v>
      </c>
    </row>
    <row r="156" spans="1:17">
      <c r="A156" s="73"/>
      <c r="C156" s="97" t="s">
        <v>112</v>
      </c>
      <c r="E156" s="43">
        <v>2283154.23</v>
      </c>
      <c r="F156" s="50"/>
      <c r="G156" s="91">
        <v>0</v>
      </c>
      <c r="H156" s="49"/>
      <c r="I156" s="67">
        <v>4.43</v>
      </c>
      <c r="J156" s="67"/>
      <c r="K156" s="67">
        <v>4.2699999999999996</v>
      </c>
      <c r="L156" s="49">
        <v>101252</v>
      </c>
      <c r="N156" s="80">
        <f t="shared" si="18"/>
        <v>0</v>
      </c>
      <c r="P156" s="79">
        <f t="shared" si="19"/>
        <v>101252</v>
      </c>
      <c r="Q156" s="89">
        <f t="shared" si="20"/>
        <v>0</v>
      </c>
    </row>
    <row r="157" spans="1:17">
      <c r="A157" s="73"/>
      <c r="C157" s="97" t="s">
        <v>113</v>
      </c>
      <c r="E157" s="43">
        <v>7839449.8600000003</v>
      </c>
      <c r="F157" s="50"/>
      <c r="G157" s="91">
        <v>0</v>
      </c>
      <c r="H157" s="49"/>
      <c r="I157" s="67">
        <v>3.29</v>
      </c>
      <c r="J157" s="67"/>
      <c r="K157" s="67">
        <v>3.22</v>
      </c>
      <c r="L157" s="49">
        <v>257680</v>
      </c>
      <c r="N157" s="80">
        <f t="shared" si="18"/>
        <v>0</v>
      </c>
      <c r="P157" s="79">
        <f t="shared" si="19"/>
        <v>257680</v>
      </c>
      <c r="Q157" s="89">
        <f t="shared" si="20"/>
        <v>0</v>
      </c>
    </row>
    <row r="158" spans="1:17">
      <c r="A158" s="73"/>
      <c r="C158" s="97" t="s">
        <v>114</v>
      </c>
      <c r="E158" s="43">
        <v>7775759.6900000004</v>
      </c>
      <c r="F158" s="50"/>
      <c r="G158" s="91">
        <v>0</v>
      </c>
      <c r="H158" s="49"/>
      <c r="I158" s="67">
        <v>3.29</v>
      </c>
      <c r="J158" s="67"/>
      <c r="K158" s="67">
        <v>3.22</v>
      </c>
      <c r="L158" s="49">
        <v>255573</v>
      </c>
      <c r="N158" s="80">
        <f t="shared" si="18"/>
        <v>0</v>
      </c>
      <c r="P158" s="79">
        <f t="shared" si="19"/>
        <v>255573</v>
      </c>
      <c r="Q158" s="89">
        <f t="shared" si="20"/>
        <v>0</v>
      </c>
    </row>
    <row r="159" spans="1:17">
      <c r="A159" s="73"/>
      <c r="C159" s="97" t="s">
        <v>115</v>
      </c>
      <c r="E159" s="43">
        <v>4831725.68</v>
      </c>
      <c r="F159" s="50"/>
      <c r="G159" s="91">
        <v>0</v>
      </c>
      <c r="H159" s="49"/>
      <c r="I159" s="67">
        <v>3.14</v>
      </c>
      <c r="J159" s="67"/>
      <c r="K159" s="67">
        <v>3.08</v>
      </c>
      <c r="L159" s="49">
        <v>151529</v>
      </c>
      <c r="N159" s="80">
        <f t="shared" si="18"/>
        <v>0</v>
      </c>
      <c r="P159" s="79">
        <f t="shared" si="19"/>
        <v>151529</v>
      </c>
      <c r="Q159" s="89">
        <f t="shared" si="20"/>
        <v>0</v>
      </c>
    </row>
    <row r="160" spans="1:17">
      <c r="A160" s="73"/>
      <c r="C160" s="97" t="s">
        <v>116</v>
      </c>
      <c r="E160" s="43">
        <v>4838938.32</v>
      </c>
      <c r="F160" s="50"/>
      <c r="G160" s="91">
        <v>0</v>
      </c>
      <c r="H160" s="49"/>
      <c r="I160" s="67">
        <v>3.13</v>
      </c>
      <c r="J160" s="67"/>
      <c r="K160" s="67">
        <v>3.08</v>
      </c>
      <c r="L160" s="49">
        <v>151531</v>
      </c>
      <c r="N160" s="80">
        <f t="shared" si="18"/>
        <v>0</v>
      </c>
      <c r="P160" s="79">
        <f t="shared" si="19"/>
        <v>151531</v>
      </c>
      <c r="Q160" s="89">
        <f t="shared" si="20"/>
        <v>0</v>
      </c>
    </row>
    <row r="161" spans="1:17">
      <c r="A161" s="73"/>
      <c r="C161" s="97" t="s">
        <v>117</v>
      </c>
      <c r="E161" s="43">
        <v>4442193.82</v>
      </c>
      <c r="F161" s="50"/>
      <c r="G161" s="91">
        <v>0</v>
      </c>
      <c r="H161" s="49"/>
      <c r="I161" s="67">
        <v>3.27</v>
      </c>
      <c r="J161" s="67"/>
      <c r="K161" s="67">
        <v>3.19</v>
      </c>
      <c r="L161" s="49">
        <v>145333</v>
      </c>
      <c r="N161" s="80">
        <f t="shared" si="18"/>
        <v>0</v>
      </c>
      <c r="P161" s="79">
        <f t="shared" si="19"/>
        <v>145333</v>
      </c>
      <c r="Q161" s="89">
        <f t="shared" si="20"/>
        <v>0</v>
      </c>
    </row>
    <row r="162" spans="1:17">
      <c r="A162" s="73"/>
      <c r="C162" s="97" t="s">
        <v>118</v>
      </c>
      <c r="E162" s="43">
        <v>4442193.82</v>
      </c>
      <c r="F162" s="50"/>
      <c r="G162" s="91">
        <v>0</v>
      </c>
      <c r="H162" s="49"/>
      <c r="I162" s="67">
        <v>2.91</v>
      </c>
      <c r="J162" s="67"/>
      <c r="K162" s="67">
        <v>2.87</v>
      </c>
      <c r="L162" s="49">
        <v>129177</v>
      </c>
      <c r="N162" s="80">
        <f t="shared" si="18"/>
        <v>0</v>
      </c>
      <c r="P162" s="79">
        <f t="shared" si="19"/>
        <v>129177</v>
      </c>
      <c r="Q162" s="89">
        <f t="shared" si="20"/>
        <v>0</v>
      </c>
    </row>
    <row r="163" spans="1:17">
      <c r="A163" s="73"/>
      <c r="C163" s="97" t="s">
        <v>119</v>
      </c>
      <c r="E163" s="43">
        <v>1098205.33</v>
      </c>
      <c r="F163" s="50"/>
      <c r="G163" s="91">
        <v>0</v>
      </c>
      <c r="H163" s="49"/>
      <c r="I163" s="67">
        <v>4.6100000000000003</v>
      </c>
      <c r="J163" s="67"/>
      <c r="K163" s="67">
        <v>4.53</v>
      </c>
      <c r="L163" s="49">
        <v>50606</v>
      </c>
      <c r="N163" s="80">
        <f t="shared" si="18"/>
        <v>0</v>
      </c>
      <c r="P163" s="79">
        <f t="shared" si="19"/>
        <v>50606</v>
      </c>
      <c r="Q163" s="89">
        <f t="shared" si="20"/>
        <v>0</v>
      </c>
    </row>
    <row r="164" spans="1:17">
      <c r="A164" s="73"/>
      <c r="C164" s="97" t="s">
        <v>120</v>
      </c>
      <c r="E164" s="43">
        <v>4525028.84</v>
      </c>
      <c r="F164" s="50"/>
      <c r="G164" s="91">
        <v>0</v>
      </c>
      <c r="H164" s="49"/>
      <c r="I164" s="67">
        <v>5.12</v>
      </c>
      <c r="J164" s="67"/>
      <c r="K164" s="67">
        <v>5.04</v>
      </c>
      <c r="L164" s="49">
        <v>231537</v>
      </c>
      <c r="N164" s="80">
        <f t="shared" si="18"/>
        <v>0</v>
      </c>
      <c r="P164" s="79">
        <f t="shared" si="19"/>
        <v>231537</v>
      </c>
      <c r="Q164" s="89">
        <f t="shared" si="20"/>
        <v>0</v>
      </c>
    </row>
    <row r="165" spans="1:17">
      <c r="A165" s="73"/>
      <c r="C165" s="97" t="s">
        <v>121</v>
      </c>
      <c r="E165" s="43">
        <v>3171144.21</v>
      </c>
      <c r="F165" s="50"/>
      <c r="G165" s="91">
        <v>0</v>
      </c>
      <c r="H165" s="49"/>
      <c r="I165" s="67">
        <v>4.1100000000000003</v>
      </c>
      <c r="J165" s="67"/>
      <c r="K165" s="67">
        <v>4.1100000000000003</v>
      </c>
      <c r="L165" s="49">
        <v>130246</v>
      </c>
      <c r="N165" s="80">
        <f t="shared" si="18"/>
        <v>0</v>
      </c>
      <c r="P165" s="79">
        <f t="shared" si="19"/>
        <v>130246</v>
      </c>
      <c r="Q165" s="89">
        <f t="shared" si="20"/>
        <v>0</v>
      </c>
    </row>
    <row r="166" spans="1:17">
      <c r="A166" s="73"/>
      <c r="C166" s="97" t="s">
        <v>122</v>
      </c>
      <c r="E166" s="43">
        <v>1684823.61</v>
      </c>
      <c r="F166" s="50"/>
      <c r="G166" s="91">
        <v>0</v>
      </c>
      <c r="H166" s="49"/>
      <c r="I166" s="67">
        <v>4.0599999999999996</v>
      </c>
      <c r="J166" s="67"/>
      <c r="K166" s="67">
        <v>4.01</v>
      </c>
      <c r="L166" s="49">
        <v>68466</v>
      </c>
      <c r="N166" s="80">
        <f t="shared" si="18"/>
        <v>0</v>
      </c>
      <c r="P166" s="79">
        <f t="shared" si="19"/>
        <v>68466</v>
      </c>
      <c r="Q166" s="89">
        <f t="shared" si="20"/>
        <v>0</v>
      </c>
    </row>
    <row r="167" spans="1:17">
      <c r="A167" s="73"/>
      <c r="C167" s="97" t="s">
        <v>133</v>
      </c>
      <c r="E167" s="43">
        <v>2993753.87</v>
      </c>
      <c r="F167" s="50"/>
      <c r="G167" s="91">
        <v>0</v>
      </c>
      <c r="H167" s="49"/>
      <c r="I167" s="67">
        <v>3.87</v>
      </c>
      <c r="J167" s="67"/>
      <c r="K167" s="67">
        <v>3.82</v>
      </c>
      <c r="L167" s="49">
        <v>115787</v>
      </c>
      <c r="N167" s="80">
        <f t="shared" si="18"/>
        <v>0</v>
      </c>
      <c r="P167" s="79">
        <f t="shared" si="19"/>
        <v>115787</v>
      </c>
      <c r="Q167" s="89">
        <f t="shared" si="20"/>
        <v>0</v>
      </c>
    </row>
    <row r="168" spans="1:17">
      <c r="A168" s="73"/>
      <c r="C168" s="97" t="s">
        <v>123</v>
      </c>
      <c r="E168" s="43">
        <v>17086.14</v>
      </c>
      <c r="F168" s="50"/>
      <c r="G168" s="91">
        <v>0</v>
      </c>
      <c r="H168" s="49"/>
      <c r="I168" s="67">
        <v>3.75</v>
      </c>
      <c r="J168" s="67"/>
      <c r="K168" s="67">
        <v>3.65</v>
      </c>
      <c r="L168" s="49">
        <v>640</v>
      </c>
      <c r="N168" s="80">
        <f t="shared" si="18"/>
        <v>0</v>
      </c>
      <c r="P168" s="79">
        <f t="shared" si="19"/>
        <v>640</v>
      </c>
      <c r="Q168" s="89">
        <f t="shared" si="20"/>
        <v>0</v>
      </c>
    </row>
    <row r="169" spans="1:17">
      <c r="A169" s="73"/>
      <c r="C169" s="97" t="s">
        <v>124</v>
      </c>
      <c r="E169" s="43">
        <v>12907984.9</v>
      </c>
      <c r="F169" s="50"/>
      <c r="G169" s="91">
        <v>0</v>
      </c>
      <c r="H169" s="49"/>
      <c r="I169" s="67">
        <v>3.81</v>
      </c>
      <c r="J169" s="67"/>
      <c r="K169" s="67">
        <v>3.71</v>
      </c>
      <c r="L169" s="49">
        <v>492333</v>
      </c>
      <c r="N169" s="80">
        <f t="shared" si="18"/>
        <v>0</v>
      </c>
      <c r="P169" s="79">
        <f t="shared" si="19"/>
        <v>492333</v>
      </c>
      <c r="Q169" s="89">
        <f t="shared" si="20"/>
        <v>0</v>
      </c>
    </row>
    <row r="170" spans="1:17">
      <c r="A170" s="73"/>
      <c r="C170" s="97" t="s">
        <v>125</v>
      </c>
      <c r="E170" s="43">
        <v>7457690.5700000003</v>
      </c>
      <c r="F170" s="50"/>
      <c r="G170" s="91">
        <v>0</v>
      </c>
      <c r="H170" s="49"/>
      <c r="I170" s="67">
        <v>2.69</v>
      </c>
      <c r="J170" s="67"/>
      <c r="K170" s="67">
        <v>2.59</v>
      </c>
      <c r="L170" s="49">
        <v>200400</v>
      </c>
      <c r="N170" s="80">
        <f t="shared" si="18"/>
        <v>0</v>
      </c>
      <c r="P170" s="79">
        <f t="shared" si="19"/>
        <v>200400</v>
      </c>
      <c r="Q170" s="89">
        <f t="shared" si="20"/>
        <v>0</v>
      </c>
    </row>
    <row r="171" spans="1:17">
      <c r="A171" s="73"/>
      <c r="C171" s="97" t="s">
        <v>126</v>
      </c>
      <c r="E171" s="43">
        <v>7457690.5700000003</v>
      </c>
      <c r="F171" s="50"/>
      <c r="G171" s="91">
        <v>0</v>
      </c>
      <c r="H171" s="49"/>
      <c r="I171" s="67">
        <v>2.3199999999999998</v>
      </c>
      <c r="J171" s="67"/>
      <c r="K171" s="67">
        <v>2.2200000000000002</v>
      </c>
      <c r="L171" s="49">
        <v>173032</v>
      </c>
      <c r="N171" s="80">
        <f t="shared" si="18"/>
        <v>0</v>
      </c>
      <c r="P171" s="79">
        <f t="shared" si="19"/>
        <v>173032</v>
      </c>
      <c r="Q171" s="89">
        <f t="shared" si="20"/>
        <v>0</v>
      </c>
    </row>
    <row r="172" spans="1:17">
      <c r="A172" s="73"/>
      <c r="C172" s="97" t="s">
        <v>127</v>
      </c>
      <c r="E172" s="52">
        <v>15810305.550000001</v>
      </c>
      <c r="F172" s="50"/>
      <c r="G172" s="90">
        <v>0</v>
      </c>
      <c r="H172" s="49"/>
      <c r="I172" s="67">
        <v>3.36</v>
      </c>
      <c r="J172" s="67"/>
      <c r="K172" s="67">
        <v>3.32</v>
      </c>
      <c r="L172" s="51">
        <v>531990</v>
      </c>
      <c r="N172" s="85">
        <f t="shared" si="18"/>
        <v>0</v>
      </c>
      <c r="P172" s="84">
        <f t="shared" si="19"/>
        <v>531990</v>
      </c>
      <c r="Q172" s="89">
        <f t="shared" si="20"/>
        <v>0</v>
      </c>
    </row>
    <row r="173" spans="1:17">
      <c r="A173" s="73"/>
      <c r="E173" s="43"/>
      <c r="F173" s="50"/>
      <c r="G173" s="91"/>
      <c r="H173" s="49"/>
      <c r="I173" s="67"/>
      <c r="J173" s="67"/>
      <c r="K173" s="67"/>
      <c r="L173" s="49"/>
      <c r="N173" s="80"/>
      <c r="P173" s="79"/>
      <c r="Q173" s="89"/>
    </row>
    <row r="174" spans="1:17">
      <c r="A174" s="73"/>
      <c r="C174" s="60" t="s">
        <v>134</v>
      </c>
      <c r="E174" s="43">
        <f>SUBTOTAL(9,E153:E173)</f>
        <v>104006114.77999999</v>
      </c>
      <c r="F174" s="50"/>
      <c r="G174" s="91">
        <f>SUBTOTAL(9,G153:G173)</f>
        <v>0</v>
      </c>
      <c r="H174" s="49"/>
      <c r="I174" s="67">
        <f>+ROUND(L174/E174*100,2)</f>
        <v>3.42</v>
      </c>
      <c r="J174" s="67"/>
      <c r="K174" s="67">
        <v>3.34</v>
      </c>
      <c r="L174" s="49">
        <f>SUBTOTAL(9,L153:L173)</f>
        <v>3558164</v>
      </c>
      <c r="N174" s="98">
        <f>SUBTOTAL(9,N153:N173)</f>
        <v>0</v>
      </c>
      <c r="P174" s="49">
        <f>SUBTOTAL(9,P153:P173)</f>
        <v>3558164</v>
      </c>
      <c r="Q174" s="89"/>
    </row>
    <row r="175" spans="1:17">
      <c r="A175" s="73"/>
      <c r="E175" s="43"/>
      <c r="F175" s="50"/>
      <c r="G175" s="91"/>
      <c r="H175" s="49"/>
      <c r="I175" s="67"/>
      <c r="J175" s="67"/>
      <c r="K175" s="67"/>
      <c r="L175" s="49"/>
      <c r="N175" s="80"/>
      <c r="P175" s="79"/>
      <c r="Q175" s="89"/>
    </row>
    <row r="176" spans="1:17">
      <c r="A176" s="73">
        <v>345</v>
      </c>
      <c r="C176" s="60" t="s">
        <v>103</v>
      </c>
      <c r="G176" s="74"/>
      <c r="I176" s="67"/>
      <c r="J176" s="67"/>
      <c r="K176" s="67"/>
      <c r="N176" s="80"/>
      <c r="P176" s="79"/>
      <c r="Q176" s="89"/>
    </row>
    <row r="177" spans="1:17">
      <c r="A177" s="73"/>
      <c r="C177" s="97" t="s">
        <v>109</v>
      </c>
      <c r="E177" s="43">
        <v>9906844.2300000004</v>
      </c>
      <c r="F177" s="50"/>
      <c r="G177" s="91">
        <v>0</v>
      </c>
      <c r="H177" s="49"/>
      <c r="I177" s="67">
        <v>2.95</v>
      </c>
      <c r="J177" s="67"/>
      <c r="K177" s="67">
        <v>2.9</v>
      </c>
      <c r="L177" s="49">
        <v>291986</v>
      </c>
      <c r="N177" s="80">
        <f t="shared" ref="N177:N195" si="21">ROUND(G177*(I177/100),0)</f>
        <v>0</v>
      </c>
      <c r="P177" s="79">
        <f t="shared" ref="P177:P195" si="22">L177-N177</f>
        <v>291986</v>
      </c>
      <c r="Q177" s="89">
        <f t="shared" ref="Q177:Q195" si="23">(I177-K177)*G177/100</f>
        <v>0</v>
      </c>
    </row>
    <row r="178" spans="1:17">
      <c r="A178" s="73"/>
      <c r="C178" s="97" t="s">
        <v>110</v>
      </c>
      <c r="E178" s="43">
        <v>881261.16</v>
      </c>
      <c r="F178" s="50"/>
      <c r="G178" s="91">
        <v>0</v>
      </c>
      <c r="H178" s="49"/>
      <c r="I178" s="67">
        <v>3.72</v>
      </c>
      <c r="J178" s="67"/>
      <c r="K178" s="67">
        <v>3.55</v>
      </c>
      <c r="L178" s="49">
        <v>32801</v>
      </c>
      <c r="N178" s="80">
        <f t="shared" si="21"/>
        <v>0</v>
      </c>
      <c r="P178" s="79">
        <f t="shared" si="22"/>
        <v>32801</v>
      </c>
      <c r="Q178" s="89">
        <f t="shared" si="23"/>
        <v>0</v>
      </c>
    </row>
    <row r="179" spans="1:17">
      <c r="A179" s="73"/>
      <c r="C179" s="97" t="s">
        <v>111</v>
      </c>
      <c r="E179" s="43">
        <v>881262.26</v>
      </c>
      <c r="F179" s="50"/>
      <c r="G179" s="91">
        <v>0</v>
      </c>
      <c r="H179" s="49"/>
      <c r="I179" s="67">
        <v>3.65</v>
      </c>
      <c r="J179" s="67"/>
      <c r="K179" s="67">
        <v>3.48</v>
      </c>
      <c r="L179" s="49">
        <v>32191</v>
      </c>
      <c r="N179" s="80">
        <f t="shared" si="21"/>
        <v>0</v>
      </c>
      <c r="P179" s="79">
        <f t="shared" si="22"/>
        <v>32191</v>
      </c>
      <c r="Q179" s="89">
        <f t="shared" si="23"/>
        <v>0</v>
      </c>
    </row>
    <row r="180" spans="1:17">
      <c r="A180" s="73"/>
      <c r="C180" s="97" t="s">
        <v>112</v>
      </c>
      <c r="E180" s="43">
        <v>881262.26</v>
      </c>
      <c r="F180" s="50"/>
      <c r="G180" s="91">
        <v>0</v>
      </c>
      <c r="H180" s="49"/>
      <c r="I180" s="67">
        <v>3.82</v>
      </c>
      <c r="J180" s="67"/>
      <c r="K180" s="67">
        <v>3.65</v>
      </c>
      <c r="L180" s="49">
        <v>33684</v>
      </c>
      <c r="N180" s="80">
        <f t="shared" si="21"/>
        <v>0</v>
      </c>
      <c r="P180" s="79">
        <f t="shared" si="22"/>
        <v>33684</v>
      </c>
      <c r="Q180" s="89">
        <f t="shared" si="23"/>
        <v>0</v>
      </c>
    </row>
    <row r="181" spans="1:17">
      <c r="A181" s="73"/>
      <c r="C181" s="97" t="s">
        <v>113</v>
      </c>
      <c r="E181" s="43">
        <v>993996.86</v>
      </c>
      <c r="F181" s="50"/>
      <c r="G181" s="91">
        <v>0</v>
      </c>
      <c r="H181" s="49"/>
      <c r="I181" s="67">
        <v>3.42</v>
      </c>
      <c r="J181" s="67"/>
      <c r="K181" s="67">
        <v>3.36</v>
      </c>
      <c r="L181" s="49">
        <v>34021</v>
      </c>
      <c r="N181" s="80">
        <f t="shared" si="21"/>
        <v>0</v>
      </c>
      <c r="P181" s="79">
        <f t="shared" si="22"/>
        <v>34021</v>
      </c>
      <c r="Q181" s="89">
        <f t="shared" si="23"/>
        <v>0</v>
      </c>
    </row>
    <row r="182" spans="1:17">
      <c r="A182" s="73"/>
      <c r="C182" s="97" t="s">
        <v>114</v>
      </c>
      <c r="E182" s="43">
        <v>993996.86</v>
      </c>
      <c r="F182" s="50"/>
      <c r="G182" s="91">
        <v>0</v>
      </c>
      <c r="H182" s="49"/>
      <c r="I182" s="67">
        <v>3.43</v>
      </c>
      <c r="J182" s="67"/>
      <c r="K182" s="67">
        <v>3.37</v>
      </c>
      <c r="L182" s="49">
        <v>34088</v>
      </c>
      <c r="N182" s="80">
        <f t="shared" si="21"/>
        <v>0</v>
      </c>
      <c r="P182" s="79">
        <f t="shared" si="22"/>
        <v>34088</v>
      </c>
      <c r="Q182" s="89">
        <f t="shared" si="23"/>
        <v>0</v>
      </c>
    </row>
    <row r="183" spans="1:17">
      <c r="A183" s="73"/>
      <c r="C183" s="97" t="s">
        <v>115</v>
      </c>
      <c r="E183" s="43">
        <v>1251472.92</v>
      </c>
      <c r="F183" s="50"/>
      <c r="G183" s="91">
        <v>0</v>
      </c>
      <c r="H183" s="49"/>
      <c r="I183" s="67">
        <v>3.3</v>
      </c>
      <c r="J183" s="67"/>
      <c r="K183" s="67">
        <v>3.25</v>
      </c>
      <c r="L183" s="49">
        <v>41265</v>
      </c>
      <c r="N183" s="80">
        <f t="shared" si="21"/>
        <v>0</v>
      </c>
      <c r="P183" s="79">
        <f t="shared" si="22"/>
        <v>41265</v>
      </c>
      <c r="Q183" s="89">
        <f t="shared" si="23"/>
        <v>0</v>
      </c>
    </row>
    <row r="184" spans="1:17">
      <c r="A184" s="73"/>
      <c r="C184" s="97" t="s">
        <v>116</v>
      </c>
      <c r="E184" s="43">
        <v>1220275.5900000001</v>
      </c>
      <c r="F184" s="50"/>
      <c r="G184" s="91">
        <v>0</v>
      </c>
      <c r="H184" s="49"/>
      <c r="I184" s="67">
        <v>3.29</v>
      </c>
      <c r="J184" s="67"/>
      <c r="K184" s="67">
        <v>3.24</v>
      </c>
      <c r="L184" s="49">
        <v>40182</v>
      </c>
      <c r="N184" s="80">
        <f t="shared" si="21"/>
        <v>0</v>
      </c>
      <c r="P184" s="79">
        <f t="shared" si="22"/>
        <v>40182</v>
      </c>
      <c r="Q184" s="89">
        <f t="shared" si="23"/>
        <v>0</v>
      </c>
    </row>
    <row r="185" spans="1:17">
      <c r="A185" s="73"/>
      <c r="C185" s="97" t="s">
        <v>117</v>
      </c>
      <c r="E185" s="43">
        <v>11825999.57</v>
      </c>
      <c r="F185" s="50"/>
      <c r="G185" s="91">
        <v>0</v>
      </c>
      <c r="H185" s="49"/>
      <c r="I185" s="67">
        <v>3.4</v>
      </c>
      <c r="J185" s="67"/>
      <c r="K185" s="67">
        <v>3.32</v>
      </c>
      <c r="L185" s="49">
        <v>402367</v>
      </c>
      <c r="N185" s="80">
        <f t="shared" si="21"/>
        <v>0</v>
      </c>
      <c r="P185" s="79">
        <f t="shared" si="22"/>
        <v>402367</v>
      </c>
      <c r="Q185" s="89">
        <f t="shared" si="23"/>
        <v>0</v>
      </c>
    </row>
    <row r="186" spans="1:17">
      <c r="A186" s="73"/>
      <c r="C186" s="97" t="s">
        <v>118</v>
      </c>
      <c r="E186" s="43">
        <v>2021825.43</v>
      </c>
      <c r="F186" s="50"/>
      <c r="G186" s="91">
        <v>0</v>
      </c>
      <c r="H186" s="49"/>
      <c r="I186" s="67">
        <v>3.07</v>
      </c>
      <c r="J186" s="67"/>
      <c r="K186" s="67">
        <v>3.03</v>
      </c>
      <c r="L186" s="49">
        <v>62122</v>
      </c>
      <c r="N186" s="80">
        <f t="shared" si="21"/>
        <v>0</v>
      </c>
      <c r="P186" s="79">
        <f t="shared" si="22"/>
        <v>62122</v>
      </c>
      <c r="Q186" s="89">
        <f t="shared" si="23"/>
        <v>0</v>
      </c>
    </row>
    <row r="187" spans="1:17">
      <c r="A187" s="73"/>
      <c r="C187" s="97" t="s">
        <v>119</v>
      </c>
      <c r="E187" s="43">
        <v>344891.29</v>
      </c>
      <c r="F187" s="50"/>
      <c r="G187" s="91">
        <v>0</v>
      </c>
      <c r="H187" s="49"/>
      <c r="I187" s="67">
        <v>4.8099999999999996</v>
      </c>
      <c r="J187" s="67"/>
      <c r="K187" s="67">
        <v>4.7300000000000004</v>
      </c>
      <c r="L187" s="49">
        <v>16584</v>
      </c>
      <c r="N187" s="80">
        <f t="shared" si="21"/>
        <v>0</v>
      </c>
      <c r="P187" s="79">
        <f t="shared" si="22"/>
        <v>16584</v>
      </c>
      <c r="Q187" s="89">
        <f t="shared" si="23"/>
        <v>0</v>
      </c>
    </row>
    <row r="188" spans="1:17">
      <c r="A188" s="73"/>
      <c r="C188" s="97" t="s">
        <v>120</v>
      </c>
      <c r="E188" s="43">
        <v>380225.22</v>
      </c>
      <c r="F188" s="50"/>
      <c r="G188" s="91">
        <v>0</v>
      </c>
      <c r="H188" s="49"/>
      <c r="I188" s="67">
        <v>4.9000000000000004</v>
      </c>
      <c r="J188" s="67"/>
      <c r="K188" s="67">
        <v>4.82</v>
      </c>
      <c r="L188" s="49">
        <v>18622</v>
      </c>
      <c r="N188" s="80">
        <f t="shared" si="21"/>
        <v>0</v>
      </c>
      <c r="P188" s="79">
        <f t="shared" si="22"/>
        <v>18622</v>
      </c>
      <c r="Q188" s="89">
        <f t="shared" si="23"/>
        <v>0</v>
      </c>
    </row>
    <row r="189" spans="1:17">
      <c r="A189" s="73"/>
      <c r="C189" s="97" t="s">
        <v>121</v>
      </c>
      <c r="E189" s="43">
        <v>452676.95</v>
      </c>
      <c r="F189" s="50"/>
      <c r="G189" s="91">
        <v>0</v>
      </c>
      <c r="H189" s="49"/>
      <c r="I189" s="67">
        <v>4.34</v>
      </c>
      <c r="J189" s="67"/>
      <c r="K189" s="67">
        <v>4.34</v>
      </c>
      <c r="L189" s="49">
        <v>19654</v>
      </c>
      <c r="N189" s="80">
        <f t="shared" si="21"/>
        <v>0</v>
      </c>
      <c r="P189" s="79">
        <f t="shared" si="22"/>
        <v>19654</v>
      </c>
      <c r="Q189" s="89">
        <f t="shared" si="23"/>
        <v>0</v>
      </c>
    </row>
    <row r="190" spans="1:17">
      <c r="A190" s="73"/>
      <c r="C190" s="97" t="s">
        <v>122</v>
      </c>
      <c r="E190" s="43">
        <v>406784.25</v>
      </c>
      <c r="F190" s="50"/>
      <c r="G190" s="91">
        <v>0</v>
      </c>
      <c r="H190" s="49"/>
      <c r="I190" s="67">
        <v>4.22</v>
      </c>
      <c r="J190" s="67"/>
      <c r="K190" s="67">
        <v>4.16</v>
      </c>
      <c r="L190" s="49">
        <v>17158</v>
      </c>
      <c r="N190" s="80">
        <f t="shared" si="21"/>
        <v>0</v>
      </c>
      <c r="P190" s="79">
        <f t="shared" si="22"/>
        <v>17158</v>
      </c>
      <c r="Q190" s="89">
        <f t="shared" si="23"/>
        <v>0</v>
      </c>
    </row>
    <row r="191" spans="1:17">
      <c r="A191" s="73"/>
      <c r="C191" s="97" t="s">
        <v>123</v>
      </c>
      <c r="E191" s="43">
        <v>3028262.11</v>
      </c>
      <c r="F191" s="50"/>
      <c r="G191" s="91">
        <v>0</v>
      </c>
      <c r="H191" s="49"/>
      <c r="I191" s="67">
        <v>3.77</v>
      </c>
      <c r="J191" s="67"/>
      <c r="K191" s="67">
        <v>3.67</v>
      </c>
      <c r="L191" s="49">
        <v>114142</v>
      </c>
      <c r="N191" s="80">
        <f t="shared" si="21"/>
        <v>0</v>
      </c>
      <c r="P191" s="79">
        <f t="shared" si="22"/>
        <v>114142</v>
      </c>
      <c r="Q191" s="89">
        <f t="shared" si="23"/>
        <v>0</v>
      </c>
    </row>
    <row r="192" spans="1:17">
      <c r="A192" s="73"/>
      <c r="C192" s="97" t="s">
        <v>124</v>
      </c>
      <c r="E192" s="43">
        <v>386034.41</v>
      </c>
      <c r="F192" s="50"/>
      <c r="G192" s="91">
        <v>0</v>
      </c>
      <c r="H192" s="49"/>
      <c r="I192" s="67">
        <v>3.23</v>
      </c>
      <c r="J192" s="67"/>
      <c r="K192" s="67">
        <v>3.13</v>
      </c>
      <c r="L192" s="49">
        <v>12457</v>
      </c>
      <c r="N192" s="80">
        <f t="shared" si="21"/>
        <v>0</v>
      </c>
      <c r="P192" s="79">
        <f t="shared" si="22"/>
        <v>12457</v>
      </c>
      <c r="Q192" s="89">
        <f t="shared" si="23"/>
        <v>0</v>
      </c>
    </row>
    <row r="193" spans="1:17">
      <c r="A193" s="73"/>
      <c r="C193" s="97" t="s">
        <v>125</v>
      </c>
      <c r="E193" s="43">
        <v>386034.41</v>
      </c>
      <c r="F193" s="50"/>
      <c r="G193" s="91">
        <v>0</v>
      </c>
      <c r="H193" s="49"/>
      <c r="I193" s="67">
        <v>2.86</v>
      </c>
      <c r="J193" s="67"/>
      <c r="K193" s="67">
        <v>2.76</v>
      </c>
      <c r="L193" s="49">
        <v>11037</v>
      </c>
      <c r="N193" s="80">
        <f t="shared" si="21"/>
        <v>0</v>
      </c>
      <c r="P193" s="79">
        <f t="shared" si="22"/>
        <v>11037</v>
      </c>
      <c r="Q193" s="89">
        <f t="shared" si="23"/>
        <v>0</v>
      </c>
    </row>
    <row r="194" spans="1:17">
      <c r="A194" s="73"/>
      <c r="C194" s="97" t="s">
        <v>126</v>
      </c>
      <c r="E194" s="43">
        <v>386034.41</v>
      </c>
      <c r="F194" s="50"/>
      <c r="G194" s="91">
        <v>0</v>
      </c>
      <c r="H194" s="49"/>
      <c r="I194" s="67">
        <v>2.5099999999999998</v>
      </c>
      <c r="J194" s="67"/>
      <c r="K194" s="67">
        <v>2.4</v>
      </c>
      <c r="L194" s="49">
        <v>9676</v>
      </c>
      <c r="N194" s="80">
        <f t="shared" si="21"/>
        <v>0</v>
      </c>
      <c r="P194" s="79">
        <f t="shared" si="22"/>
        <v>9676</v>
      </c>
      <c r="Q194" s="89">
        <f t="shared" si="23"/>
        <v>0</v>
      </c>
    </row>
    <row r="195" spans="1:17">
      <c r="A195" s="73"/>
      <c r="C195" s="97" t="s">
        <v>127</v>
      </c>
      <c r="E195" s="52">
        <v>779800</v>
      </c>
      <c r="F195" s="50"/>
      <c r="G195" s="90">
        <v>0</v>
      </c>
      <c r="H195" s="49"/>
      <c r="I195" s="67">
        <v>3.48</v>
      </c>
      <c r="J195" s="67"/>
      <c r="K195" s="67">
        <v>3.44</v>
      </c>
      <c r="L195" s="51">
        <v>27155</v>
      </c>
      <c r="N195" s="85">
        <f t="shared" si="21"/>
        <v>0</v>
      </c>
      <c r="P195" s="84">
        <f t="shared" si="22"/>
        <v>27155</v>
      </c>
      <c r="Q195" s="89">
        <f t="shared" si="23"/>
        <v>0</v>
      </c>
    </row>
    <row r="196" spans="1:17">
      <c r="A196" s="73"/>
      <c r="E196" s="43"/>
      <c r="F196" s="50"/>
      <c r="G196" s="91"/>
      <c r="H196" s="49"/>
      <c r="I196" s="67"/>
      <c r="J196" s="67"/>
      <c r="K196" s="67"/>
      <c r="L196" s="49"/>
      <c r="N196" s="80"/>
      <c r="P196" s="79"/>
      <c r="Q196" s="89"/>
    </row>
    <row r="197" spans="1:17">
      <c r="A197" s="73"/>
      <c r="C197" s="60" t="s">
        <v>104</v>
      </c>
      <c r="E197" s="43">
        <f>SUBTOTAL(9,E177:E196)</f>
        <v>37408940.18999999</v>
      </c>
      <c r="F197" s="50"/>
      <c r="G197" s="91">
        <f>SUBTOTAL(9,G177:G196)</f>
        <v>0</v>
      </c>
      <c r="H197" s="49"/>
      <c r="I197" s="67">
        <f>+ROUND(L197/E197*100,2)</f>
        <v>3.34</v>
      </c>
      <c r="J197" s="67"/>
      <c r="K197" s="67">
        <v>3.27</v>
      </c>
      <c r="L197" s="49">
        <f>SUBTOTAL(9,L177:L196)</f>
        <v>1251192</v>
      </c>
      <c r="N197" s="98">
        <f>SUBTOTAL(9,N177:N196)</f>
        <v>0</v>
      </c>
      <c r="P197" s="49">
        <f>SUBTOTAL(9,P177:P196)</f>
        <v>1251192</v>
      </c>
      <c r="Q197" s="89"/>
    </row>
    <row r="198" spans="1:17">
      <c r="A198" s="73"/>
      <c r="E198" s="43"/>
      <c r="F198" s="50"/>
      <c r="G198" s="91"/>
      <c r="H198" s="49"/>
      <c r="I198" s="67"/>
      <c r="J198" s="67"/>
      <c r="K198" s="67"/>
      <c r="L198" s="49"/>
      <c r="N198" s="80"/>
      <c r="P198" s="79"/>
      <c r="Q198" s="89"/>
    </row>
    <row r="199" spans="1:17">
      <c r="A199" s="73">
        <v>346</v>
      </c>
      <c r="C199" s="60" t="s">
        <v>105</v>
      </c>
      <c r="G199" s="74"/>
      <c r="I199" s="67"/>
      <c r="J199" s="67"/>
      <c r="K199" s="67"/>
      <c r="N199" s="80"/>
      <c r="P199" s="79"/>
      <c r="Q199" s="89"/>
    </row>
    <row r="200" spans="1:17">
      <c r="A200" s="73"/>
      <c r="C200" s="97" t="s">
        <v>109</v>
      </c>
      <c r="E200" s="43">
        <v>15806989.609999999</v>
      </c>
      <c r="F200" s="50"/>
      <c r="G200" s="91">
        <v>0</v>
      </c>
      <c r="H200" s="49"/>
      <c r="I200" s="67">
        <v>3.03</v>
      </c>
      <c r="J200" s="67"/>
      <c r="K200" s="67">
        <v>2.99</v>
      </c>
      <c r="L200" s="49">
        <v>479639</v>
      </c>
      <c r="N200" s="80">
        <f t="shared" ref="N200:N207" si="24">ROUND(G200*(I200/100),0)</f>
        <v>0</v>
      </c>
      <c r="P200" s="79">
        <f t="shared" ref="P200:P207" si="25">L200-N200</f>
        <v>479639</v>
      </c>
      <c r="Q200" s="89">
        <f t="shared" ref="Q200:Q207" si="26">(I200-K200)*G200/100</f>
        <v>0</v>
      </c>
    </row>
    <row r="201" spans="1:17">
      <c r="A201" s="73"/>
      <c r="C201" s="97" t="s">
        <v>112</v>
      </c>
      <c r="E201" s="43">
        <v>35097.11</v>
      </c>
      <c r="F201" s="50"/>
      <c r="G201" s="91">
        <v>0</v>
      </c>
      <c r="H201" s="49"/>
      <c r="I201" s="67">
        <v>7.15</v>
      </c>
      <c r="J201" s="67"/>
      <c r="K201" s="67">
        <v>7</v>
      </c>
      <c r="L201" s="49">
        <v>2511</v>
      </c>
      <c r="N201" s="80">
        <f t="shared" si="24"/>
        <v>0</v>
      </c>
      <c r="P201" s="79">
        <f t="shared" si="25"/>
        <v>2511</v>
      </c>
      <c r="Q201" s="89">
        <f t="shared" si="26"/>
        <v>0</v>
      </c>
    </row>
    <row r="202" spans="1:17">
      <c r="A202" s="73"/>
      <c r="C202" s="97" t="s">
        <v>119</v>
      </c>
      <c r="E202" s="43">
        <v>104001.15</v>
      </c>
      <c r="F202" s="50"/>
      <c r="G202" s="91">
        <v>0</v>
      </c>
      <c r="H202" s="49"/>
      <c r="I202" s="67">
        <v>4.8600000000000003</v>
      </c>
      <c r="J202" s="67"/>
      <c r="K202" s="67">
        <v>4.78</v>
      </c>
      <c r="L202" s="49">
        <v>5051</v>
      </c>
      <c r="N202" s="80">
        <f t="shared" si="24"/>
        <v>0</v>
      </c>
      <c r="P202" s="79">
        <f t="shared" si="25"/>
        <v>5051</v>
      </c>
      <c r="Q202" s="89">
        <f t="shared" si="26"/>
        <v>0</v>
      </c>
    </row>
    <row r="203" spans="1:17">
      <c r="A203" s="73"/>
      <c r="C203" s="97" t="s">
        <v>135</v>
      </c>
      <c r="E203" s="43">
        <v>64992.35</v>
      </c>
      <c r="F203" s="50"/>
      <c r="G203" s="91">
        <v>0</v>
      </c>
      <c r="H203" s="49"/>
      <c r="I203" s="67">
        <v>43.62</v>
      </c>
      <c r="J203" s="67"/>
      <c r="K203" s="67">
        <v>43.62</v>
      </c>
      <c r="L203" s="49">
        <v>28352</v>
      </c>
      <c r="N203" s="80">
        <f t="shared" si="24"/>
        <v>0</v>
      </c>
      <c r="P203" s="79">
        <f t="shared" si="25"/>
        <v>28352</v>
      </c>
      <c r="Q203" s="89">
        <f t="shared" si="26"/>
        <v>0</v>
      </c>
    </row>
    <row r="204" spans="1:17">
      <c r="A204" s="73"/>
      <c r="C204" s="97" t="s">
        <v>120</v>
      </c>
      <c r="E204" s="43">
        <v>60998.54</v>
      </c>
      <c r="F204" s="50"/>
      <c r="G204" s="91">
        <v>0</v>
      </c>
      <c r="H204" s="49"/>
      <c r="I204" s="67">
        <v>4.6900000000000004</v>
      </c>
      <c r="J204" s="67"/>
      <c r="K204" s="67">
        <v>4.62</v>
      </c>
      <c r="L204" s="49">
        <v>2863</v>
      </c>
      <c r="N204" s="80">
        <f t="shared" si="24"/>
        <v>0</v>
      </c>
      <c r="P204" s="79">
        <f t="shared" si="25"/>
        <v>2863</v>
      </c>
      <c r="Q204" s="89">
        <f t="shared" si="26"/>
        <v>0</v>
      </c>
    </row>
    <row r="205" spans="1:17">
      <c r="A205" s="73"/>
      <c r="C205" s="97" t="s">
        <v>121</v>
      </c>
      <c r="E205" s="43">
        <v>494973.87</v>
      </c>
      <c r="F205" s="50"/>
      <c r="G205" s="91">
        <v>0</v>
      </c>
      <c r="H205" s="49"/>
      <c r="I205" s="67">
        <v>5.5</v>
      </c>
      <c r="J205" s="67"/>
      <c r="K205" s="67">
        <v>5.5</v>
      </c>
      <c r="L205" s="49">
        <v>27202</v>
      </c>
      <c r="N205" s="80">
        <f t="shared" si="24"/>
        <v>0</v>
      </c>
      <c r="P205" s="79">
        <f t="shared" si="25"/>
        <v>27202</v>
      </c>
      <c r="Q205" s="89">
        <f t="shared" si="26"/>
        <v>0</v>
      </c>
    </row>
    <row r="206" spans="1:17">
      <c r="A206" s="73"/>
      <c r="C206" s="97" t="s">
        <v>122</v>
      </c>
      <c r="E206" s="43">
        <v>50361.67</v>
      </c>
      <c r="F206" s="50"/>
      <c r="G206" s="91">
        <v>0</v>
      </c>
      <c r="H206" s="49"/>
      <c r="I206" s="67">
        <v>4.08</v>
      </c>
      <c r="J206" s="67"/>
      <c r="K206" s="67">
        <v>4.0199999999999996</v>
      </c>
      <c r="L206" s="49">
        <v>2055</v>
      </c>
      <c r="N206" s="80">
        <f t="shared" si="24"/>
        <v>0</v>
      </c>
      <c r="P206" s="79">
        <f t="shared" si="25"/>
        <v>2055</v>
      </c>
      <c r="Q206" s="89">
        <f t="shared" si="26"/>
        <v>0</v>
      </c>
    </row>
    <row r="207" spans="1:17">
      <c r="A207" s="73"/>
      <c r="C207" s="97" t="s">
        <v>123</v>
      </c>
      <c r="E207" s="52">
        <v>245217.08</v>
      </c>
      <c r="F207" s="50"/>
      <c r="G207" s="90">
        <v>0</v>
      </c>
      <c r="H207" s="49"/>
      <c r="I207" s="67">
        <v>3.92</v>
      </c>
      <c r="J207" s="67"/>
      <c r="K207" s="67">
        <v>3.82</v>
      </c>
      <c r="L207" s="51">
        <v>9603</v>
      </c>
      <c r="N207" s="85">
        <f t="shared" si="24"/>
        <v>0</v>
      </c>
      <c r="P207" s="84">
        <f t="shared" si="25"/>
        <v>9603</v>
      </c>
      <c r="Q207" s="89">
        <f t="shared" si="26"/>
        <v>0</v>
      </c>
    </row>
    <row r="208" spans="1:17">
      <c r="A208" s="73"/>
      <c r="E208" s="43"/>
      <c r="F208" s="50"/>
      <c r="G208" s="91"/>
      <c r="H208" s="49"/>
      <c r="I208" s="67"/>
      <c r="J208" s="67"/>
      <c r="K208" s="67"/>
      <c r="L208" s="49"/>
      <c r="N208" s="80"/>
      <c r="P208" s="79"/>
      <c r="Q208" s="89"/>
    </row>
    <row r="209" spans="1:18">
      <c r="A209" s="73"/>
      <c r="C209" s="60" t="s">
        <v>106</v>
      </c>
      <c r="E209" s="52">
        <f>SUBTOTAL(9,E200:E208)</f>
        <v>16862631.379999995</v>
      </c>
      <c r="F209" s="50"/>
      <c r="G209" s="90">
        <f>SUBTOTAL(9,G200:G208)</f>
        <v>0</v>
      </c>
      <c r="H209" s="49"/>
      <c r="I209" s="67">
        <f>+ROUND(L209/E209*100,2)</f>
        <v>3.3</v>
      </c>
      <c r="J209" s="67"/>
      <c r="K209" s="67">
        <v>3.26</v>
      </c>
      <c r="L209" s="51">
        <f>SUBTOTAL(9,L200:L208)</f>
        <v>557276</v>
      </c>
      <c r="N209" s="96">
        <f>SUBTOTAL(9,N200:N208)</f>
        <v>0</v>
      </c>
      <c r="P209" s="51">
        <f>SUBTOTAL(9,P200:P208)</f>
        <v>557276</v>
      </c>
      <c r="Q209" s="89"/>
    </row>
    <row r="210" spans="1:18" ht="15.75">
      <c r="C210" s="93"/>
      <c r="E210" s="43"/>
      <c r="F210" s="50"/>
      <c r="G210" s="91"/>
      <c r="H210" s="49"/>
      <c r="I210" s="67"/>
      <c r="J210" s="67"/>
      <c r="K210" s="67"/>
      <c r="L210" s="49"/>
      <c r="N210" s="80"/>
      <c r="P210" s="79"/>
    </row>
    <row r="211" spans="1:18" ht="15.75">
      <c r="A211" s="73"/>
      <c r="C211" s="68" t="s">
        <v>136</v>
      </c>
      <c r="E211" s="45">
        <f>SUBTOTAL(9,E97:E210)</f>
        <v>659783698.71000016</v>
      </c>
      <c r="F211" s="65"/>
      <c r="G211" s="87">
        <f>SUBTOTAL(9,G97:G210)</f>
        <v>0</v>
      </c>
      <c r="H211" s="66"/>
      <c r="I211" s="75">
        <f>+ROUND(L211/E211*100,2)</f>
        <v>3.37</v>
      </c>
      <c r="J211" s="75"/>
      <c r="K211" s="75">
        <v>3.28</v>
      </c>
      <c r="L211" s="66">
        <f>SUBTOTAL(9,L97:L210)</f>
        <v>22220183</v>
      </c>
      <c r="N211" s="86">
        <f>SUBTOTAL(9,N97:N210)</f>
        <v>0</v>
      </c>
      <c r="P211" s="66">
        <f>SUBTOTAL(9,P97:P210)</f>
        <v>22220183</v>
      </c>
    </row>
    <row r="212" spans="1:18">
      <c r="A212" s="73"/>
      <c r="C212" s="64"/>
      <c r="E212" s="43"/>
      <c r="G212" s="74"/>
      <c r="I212" s="67"/>
      <c r="J212" s="67"/>
      <c r="K212" s="67"/>
      <c r="N212" s="80"/>
      <c r="P212" s="79"/>
      <c r="Q212" s="89"/>
    </row>
    <row r="213" spans="1:18" ht="15.75">
      <c r="A213" s="73"/>
      <c r="C213" s="93" t="s">
        <v>137</v>
      </c>
      <c r="E213" s="43"/>
      <c r="G213" s="74"/>
      <c r="I213" s="67"/>
      <c r="J213" s="67"/>
      <c r="K213" s="67"/>
      <c r="N213" s="80"/>
      <c r="P213" s="79"/>
    </row>
    <row r="214" spans="1:18" ht="15.75">
      <c r="A214" s="73"/>
      <c r="C214" s="92"/>
      <c r="E214" s="43"/>
      <c r="G214" s="74"/>
      <c r="I214" s="67"/>
      <c r="J214" s="67"/>
      <c r="K214" s="67"/>
      <c r="N214" s="80"/>
      <c r="P214" s="79"/>
    </row>
    <row r="215" spans="1:18">
      <c r="A215" s="73">
        <v>353</v>
      </c>
      <c r="C215" s="60" t="s">
        <v>138</v>
      </c>
      <c r="E215" s="43">
        <v>309555391</v>
      </c>
      <c r="F215" s="50"/>
      <c r="G215" s="91">
        <f>18347740.69+9803586.81</f>
        <v>28151327.5</v>
      </c>
      <c r="H215" s="49"/>
      <c r="I215" s="67">
        <v>2.85</v>
      </c>
      <c r="J215" s="67"/>
      <c r="K215" s="67">
        <v>2.85</v>
      </c>
      <c r="L215" s="49">
        <v>8829790</v>
      </c>
      <c r="N215" s="80">
        <f t="shared" ref="N215:N220" si="27">ROUND(G215*(I215/100),0)</f>
        <v>802313</v>
      </c>
      <c r="P215" s="79">
        <f t="shared" ref="P215:P220" si="28">L215-N215</f>
        <v>8027477</v>
      </c>
      <c r="Q215" s="89">
        <f t="shared" ref="Q215:Q220" si="29">(I215-K215)*G215/100</f>
        <v>0</v>
      </c>
    </row>
    <row r="216" spans="1:18">
      <c r="A216" s="73">
        <v>353.1</v>
      </c>
      <c r="C216" s="60" t="s">
        <v>139</v>
      </c>
      <c r="E216" s="43">
        <v>9834245.3499999996</v>
      </c>
      <c r="F216" s="50"/>
      <c r="G216" s="91">
        <v>0</v>
      </c>
      <c r="H216" s="49"/>
      <c r="I216" s="67">
        <v>13.14</v>
      </c>
      <c r="J216" s="67"/>
      <c r="K216" s="67">
        <v>13.14</v>
      </c>
      <c r="L216" s="49">
        <v>1292108</v>
      </c>
      <c r="N216" s="80">
        <f t="shared" si="27"/>
        <v>0</v>
      </c>
      <c r="P216" s="79">
        <f t="shared" si="28"/>
        <v>1292108</v>
      </c>
      <c r="Q216" s="89">
        <f t="shared" si="29"/>
        <v>0</v>
      </c>
    </row>
    <row r="217" spans="1:18">
      <c r="A217" s="73">
        <v>354</v>
      </c>
      <c r="C217" s="60" t="s">
        <v>140</v>
      </c>
      <c r="E217" s="43">
        <v>3853520.91</v>
      </c>
      <c r="F217" s="50"/>
      <c r="G217" s="91">
        <v>0</v>
      </c>
      <c r="H217" s="49"/>
      <c r="I217" s="67">
        <v>1.87</v>
      </c>
      <c r="J217" s="67"/>
      <c r="K217" s="67">
        <v>1.87</v>
      </c>
      <c r="L217" s="49">
        <v>72129</v>
      </c>
      <c r="N217" s="80">
        <f t="shared" si="27"/>
        <v>0</v>
      </c>
      <c r="P217" s="79">
        <f t="shared" si="28"/>
        <v>72129</v>
      </c>
      <c r="Q217" s="89">
        <f t="shared" si="29"/>
        <v>0</v>
      </c>
    </row>
    <row r="218" spans="1:18">
      <c r="A218" s="73">
        <v>355</v>
      </c>
      <c r="C218" s="60" t="s">
        <v>141</v>
      </c>
      <c r="E218" s="43">
        <v>240192196.53</v>
      </c>
      <c r="F218" s="50"/>
      <c r="G218" s="91">
        <v>0</v>
      </c>
      <c r="H218" s="49"/>
      <c r="I218" s="67">
        <v>3.24</v>
      </c>
      <c r="J218" s="67"/>
      <c r="K218" s="67">
        <v>3.24</v>
      </c>
      <c r="L218" s="49">
        <v>7790779</v>
      </c>
      <c r="N218" s="80">
        <f t="shared" si="27"/>
        <v>0</v>
      </c>
      <c r="P218" s="79">
        <f t="shared" si="28"/>
        <v>7790779</v>
      </c>
      <c r="Q218" s="89">
        <f t="shared" si="29"/>
        <v>0</v>
      </c>
    </row>
    <row r="219" spans="1:18">
      <c r="A219" s="73">
        <v>356</v>
      </c>
      <c r="C219" s="60" t="s">
        <v>142</v>
      </c>
      <c r="E219" s="43">
        <v>141259051.86000001</v>
      </c>
      <c r="F219" s="50"/>
      <c r="G219" s="91">
        <v>0</v>
      </c>
      <c r="H219" s="49"/>
      <c r="I219" s="67">
        <v>3.62</v>
      </c>
      <c r="J219" s="67"/>
      <c r="K219" s="67">
        <v>3.62</v>
      </c>
      <c r="L219" s="49">
        <v>5110882</v>
      </c>
      <c r="N219" s="80">
        <f t="shared" si="27"/>
        <v>0</v>
      </c>
      <c r="P219" s="79">
        <f t="shared" si="28"/>
        <v>5110882</v>
      </c>
      <c r="Q219" s="89">
        <f t="shared" si="29"/>
        <v>0</v>
      </c>
    </row>
    <row r="220" spans="1:18">
      <c r="A220" s="73">
        <v>359</v>
      </c>
      <c r="C220" s="60" t="s">
        <v>143</v>
      </c>
      <c r="E220" s="43">
        <v>22927.11</v>
      </c>
      <c r="F220" s="50"/>
      <c r="G220" s="90">
        <v>0</v>
      </c>
      <c r="H220" s="49"/>
      <c r="I220" s="67">
        <v>2.4300000000000002</v>
      </c>
      <c r="J220" s="67"/>
      <c r="K220" s="67">
        <v>2.4300000000000002</v>
      </c>
      <c r="L220" s="49">
        <v>557</v>
      </c>
      <c r="N220" s="85">
        <f t="shared" si="27"/>
        <v>0</v>
      </c>
      <c r="P220" s="84">
        <f t="shared" si="28"/>
        <v>557</v>
      </c>
      <c r="Q220" s="89">
        <f t="shared" si="29"/>
        <v>0</v>
      </c>
    </row>
    <row r="221" spans="1:18">
      <c r="A221" s="73"/>
      <c r="E221" s="48"/>
      <c r="G221" s="74"/>
      <c r="I221" s="67"/>
      <c r="J221" s="67"/>
      <c r="K221" s="67"/>
      <c r="L221" s="94"/>
      <c r="N221" s="80"/>
      <c r="P221" s="79"/>
    </row>
    <row r="222" spans="1:18" ht="15.75">
      <c r="A222" s="73"/>
      <c r="C222" s="68" t="s">
        <v>144</v>
      </c>
      <c r="E222" s="45">
        <f>SUBTOTAL(9,E215:E221)</f>
        <v>704717332.76000011</v>
      </c>
      <c r="F222" s="65"/>
      <c r="G222" s="95">
        <f>SUBTOTAL(9,G215:G221)</f>
        <v>28151327.5</v>
      </c>
      <c r="H222" s="66"/>
      <c r="I222" s="75">
        <f>+ROUND(L222/E222*100,2)</f>
        <v>3.28</v>
      </c>
      <c r="J222" s="75"/>
      <c r="K222" s="75">
        <v>3.28</v>
      </c>
      <c r="L222" s="66">
        <f>SUBTOTAL(9,L215:L221)</f>
        <v>23096245</v>
      </c>
      <c r="N222" s="86">
        <f>SUBTOTAL(9,N215:N221)</f>
        <v>802313</v>
      </c>
      <c r="P222" s="66">
        <f>SUBTOTAL(9,P215:P221)</f>
        <v>22293932</v>
      </c>
      <c r="R222" s="67"/>
    </row>
    <row r="223" spans="1:18">
      <c r="A223" s="73"/>
      <c r="E223" s="43"/>
      <c r="G223" s="74"/>
      <c r="I223" s="67"/>
      <c r="J223" s="67"/>
      <c r="K223" s="67"/>
      <c r="N223" s="80"/>
      <c r="P223" s="79"/>
    </row>
    <row r="224" spans="1:18" ht="15.75">
      <c r="A224" s="73"/>
      <c r="C224" s="93" t="s">
        <v>145</v>
      </c>
      <c r="E224" s="43"/>
      <c r="G224" s="74"/>
      <c r="I224" s="67"/>
      <c r="J224" s="67"/>
      <c r="K224" s="67"/>
      <c r="N224" s="80"/>
      <c r="P224" s="79"/>
    </row>
    <row r="225" spans="1:17" ht="15.75">
      <c r="A225" s="73"/>
      <c r="C225" s="92"/>
      <c r="E225" s="43"/>
      <c r="G225" s="74"/>
      <c r="I225" s="67"/>
      <c r="J225" s="67"/>
      <c r="K225" s="67"/>
      <c r="N225" s="80"/>
      <c r="P225" s="79"/>
    </row>
    <row r="226" spans="1:17">
      <c r="A226" s="73">
        <v>362</v>
      </c>
      <c r="C226" s="60" t="s">
        <v>138</v>
      </c>
      <c r="E226" s="43">
        <v>325863839.04000002</v>
      </c>
      <c r="F226" s="50"/>
      <c r="G226" s="91">
        <v>0</v>
      </c>
      <c r="H226" s="49"/>
      <c r="I226" s="67">
        <v>2.58</v>
      </c>
      <c r="J226" s="67"/>
      <c r="K226" s="67">
        <v>2.58</v>
      </c>
      <c r="L226" s="49">
        <v>8410892</v>
      </c>
      <c r="N226" s="80">
        <f>ROUND(G226*(I226/100),0)</f>
        <v>0</v>
      </c>
      <c r="P226" s="79">
        <f>L226-N226</f>
        <v>8410892</v>
      </c>
      <c r="Q226" s="89">
        <f>(I226-K226)*G226/100</f>
        <v>0</v>
      </c>
    </row>
    <row r="227" spans="1:17">
      <c r="A227" s="73">
        <v>362.1</v>
      </c>
      <c r="C227" s="60" t="s">
        <v>146</v>
      </c>
      <c r="E227" s="43">
        <v>7799614.71</v>
      </c>
      <c r="F227" s="50"/>
      <c r="G227" s="91">
        <v>0</v>
      </c>
      <c r="H227" s="49"/>
      <c r="I227" s="67">
        <v>1.92</v>
      </c>
      <c r="J227" s="67"/>
      <c r="K227" s="67">
        <v>1.92</v>
      </c>
      <c r="L227" s="49">
        <v>149696</v>
      </c>
      <c r="N227" s="80">
        <f>ROUND(G227*(I227/100),0)</f>
        <v>0</v>
      </c>
      <c r="P227" s="79">
        <f>L227-N227</f>
        <v>149696</v>
      </c>
      <c r="Q227" s="89">
        <f>(I227-K227)*G227/100</f>
        <v>0</v>
      </c>
    </row>
    <row r="228" spans="1:17">
      <c r="A228" s="73">
        <v>368</v>
      </c>
      <c r="C228" s="60" t="s">
        <v>147</v>
      </c>
      <c r="E228" s="43">
        <v>2409681</v>
      </c>
      <c r="F228" s="50"/>
      <c r="G228" s="90">
        <v>0</v>
      </c>
      <c r="H228" s="49"/>
      <c r="I228" s="67">
        <v>1.08</v>
      </c>
      <c r="J228" s="67"/>
      <c r="K228" s="67">
        <v>1.08</v>
      </c>
      <c r="L228" s="49">
        <v>26019</v>
      </c>
      <c r="N228" s="85">
        <f>ROUND(G228*(I228/100),0)</f>
        <v>0</v>
      </c>
      <c r="P228" s="84">
        <f>L228-N228</f>
        <v>26019</v>
      </c>
      <c r="Q228" s="89">
        <f>(I228-K228)*G228/100</f>
        <v>0</v>
      </c>
    </row>
    <row r="229" spans="1:17">
      <c r="A229" s="73"/>
      <c r="E229" s="48"/>
      <c r="G229" s="74"/>
      <c r="I229" s="67"/>
      <c r="J229" s="67"/>
      <c r="K229" s="67"/>
      <c r="L229" s="94"/>
      <c r="N229" s="80">
        <f>ROUND(G229*(I229/100),0)</f>
        <v>0</v>
      </c>
      <c r="P229" s="79">
        <f>L229-N229</f>
        <v>0</v>
      </c>
    </row>
    <row r="230" spans="1:17" ht="15.75">
      <c r="A230" s="73"/>
      <c r="C230" s="68" t="s">
        <v>148</v>
      </c>
      <c r="E230" s="45">
        <f>SUBTOTAL(9,E226:E229)</f>
        <v>336073134.75</v>
      </c>
      <c r="F230" s="65"/>
      <c r="G230" s="87">
        <f>SUBTOTAL(9,G226:G229)</f>
        <v>0</v>
      </c>
      <c r="H230" s="66"/>
      <c r="I230" s="75">
        <f>+ROUND(L230/E230*100,2)</f>
        <v>2.5499999999999998</v>
      </c>
      <c r="J230" s="75"/>
      <c r="K230" s="75">
        <v>2.5499999999999998</v>
      </c>
      <c r="L230" s="66">
        <f>SUBTOTAL(9,L226:L229)</f>
        <v>8586607</v>
      </c>
      <c r="M230" s="65"/>
      <c r="N230" s="86">
        <f>SUBTOTAL(9,N226:N229)</f>
        <v>0</v>
      </c>
      <c r="P230" s="66">
        <f>SUBTOTAL(9,P226:P229)</f>
        <v>8586607</v>
      </c>
    </row>
    <row r="231" spans="1:17">
      <c r="A231" s="73"/>
      <c r="E231" s="43"/>
      <c r="G231" s="74"/>
      <c r="I231" s="67"/>
      <c r="J231" s="67"/>
      <c r="K231" s="67"/>
      <c r="N231" s="80"/>
      <c r="P231" s="79"/>
    </row>
    <row r="232" spans="1:17" ht="15.75">
      <c r="A232" s="73"/>
      <c r="C232" s="93" t="s">
        <v>149</v>
      </c>
      <c r="E232" s="43"/>
      <c r="G232" s="74"/>
      <c r="I232" s="67"/>
      <c r="J232" s="67"/>
      <c r="K232" s="67"/>
      <c r="N232" s="80"/>
      <c r="P232" s="79"/>
    </row>
    <row r="233" spans="1:17" ht="15.75">
      <c r="A233" s="73"/>
      <c r="C233" s="92"/>
      <c r="E233" s="43"/>
      <c r="G233" s="74"/>
      <c r="I233" s="67"/>
      <c r="J233" s="67"/>
      <c r="K233" s="67"/>
      <c r="N233" s="80"/>
      <c r="P233" s="79"/>
    </row>
    <row r="234" spans="1:17">
      <c r="A234" s="73">
        <v>390</v>
      </c>
      <c r="C234" s="64" t="s">
        <v>150</v>
      </c>
      <c r="E234" s="43">
        <v>19910932.050000001</v>
      </c>
      <c r="F234" s="50"/>
      <c r="G234" s="91">
        <v>0</v>
      </c>
      <c r="H234" s="49"/>
      <c r="I234" s="67">
        <v>1.63</v>
      </c>
      <c r="J234" s="67"/>
      <c r="K234" s="67">
        <v>1.63</v>
      </c>
      <c r="L234" s="49">
        <v>325154</v>
      </c>
      <c r="N234" s="80">
        <f t="shared" ref="N234:N243" si="30">ROUND(G234*(I234/100),0)</f>
        <v>0</v>
      </c>
      <c r="P234" s="79">
        <f t="shared" ref="P234:P243" si="31">L234-N234</f>
        <v>325154</v>
      </c>
      <c r="Q234" s="89">
        <f t="shared" ref="Q234:Q243" si="32">(I234-K234)*G234/100</f>
        <v>0</v>
      </c>
    </row>
    <row r="235" spans="1:17">
      <c r="A235" s="73">
        <v>391</v>
      </c>
      <c r="C235" s="60" t="s">
        <v>151</v>
      </c>
      <c r="E235" s="43">
        <v>13849222.77</v>
      </c>
      <c r="F235" s="50"/>
      <c r="G235" s="91">
        <v>0</v>
      </c>
      <c r="H235" s="49"/>
      <c r="I235" s="67">
        <v>5</v>
      </c>
      <c r="J235" s="67"/>
      <c r="K235" s="67">
        <v>5</v>
      </c>
      <c r="L235" s="49">
        <v>692290</v>
      </c>
      <c r="N235" s="80">
        <f t="shared" si="30"/>
        <v>0</v>
      </c>
      <c r="P235" s="79">
        <f t="shared" si="31"/>
        <v>692290</v>
      </c>
      <c r="Q235" s="89">
        <f t="shared" si="32"/>
        <v>0</v>
      </c>
    </row>
    <row r="236" spans="1:17">
      <c r="A236" s="73">
        <v>391.1</v>
      </c>
      <c r="C236" s="60" t="s">
        <v>152</v>
      </c>
      <c r="E236" s="43">
        <v>21265400.890000001</v>
      </c>
      <c r="F236" s="50"/>
      <c r="G236" s="91">
        <v>0</v>
      </c>
      <c r="H236" s="49"/>
      <c r="I236" s="67">
        <v>6.67</v>
      </c>
      <c r="J236" s="67"/>
      <c r="K236" s="67">
        <v>6.67</v>
      </c>
      <c r="L236" s="49">
        <v>1417691</v>
      </c>
      <c r="N236" s="80">
        <f t="shared" si="30"/>
        <v>0</v>
      </c>
      <c r="P236" s="79">
        <f t="shared" si="31"/>
        <v>1417691</v>
      </c>
      <c r="Q236" s="89">
        <f t="shared" si="32"/>
        <v>0</v>
      </c>
    </row>
    <row r="237" spans="1:17">
      <c r="A237" s="73">
        <v>392</v>
      </c>
      <c r="C237" s="60" t="s">
        <v>153</v>
      </c>
      <c r="E237" s="43">
        <v>21791109.350000001</v>
      </c>
      <c r="F237" s="50"/>
      <c r="G237" s="91">
        <v>0</v>
      </c>
      <c r="H237" s="49"/>
      <c r="I237" s="67">
        <v>8.0500000000000007</v>
      </c>
      <c r="J237" s="67"/>
      <c r="K237" s="67">
        <v>8.0500000000000007</v>
      </c>
      <c r="L237" s="49">
        <v>1753581</v>
      </c>
      <c r="N237" s="80">
        <f t="shared" si="30"/>
        <v>0</v>
      </c>
      <c r="P237" s="79">
        <f t="shared" si="31"/>
        <v>1753581</v>
      </c>
      <c r="Q237" s="89">
        <f t="shared" si="32"/>
        <v>0</v>
      </c>
    </row>
    <row r="238" spans="1:17">
      <c r="A238" s="73">
        <v>393</v>
      </c>
      <c r="C238" s="64" t="s">
        <v>154</v>
      </c>
      <c r="E238" s="43">
        <v>80885.399999999994</v>
      </c>
      <c r="F238" s="50"/>
      <c r="G238" s="91">
        <v>0</v>
      </c>
      <c r="H238" s="49"/>
      <c r="I238" s="67">
        <v>4</v>
      </c>
      <c r="J238" s="67"/>
      <c r="K238" s="67">
        <v>4</v>
      </c>
      <c r="L238" s="49">
        <v>3236</v>
      </c>
      <c r="N238" s="80">
        <f t="shared" si="30"/>
        <v>0</v>
      </c>
      <c r="P238" s="79">
        <f t="shared" si="31"/>
        <v>3236</v>
      </c>
      <c r="Q238" s="89">
        <f t="shared" si="32"/>
        <v>0</v>
      </c>
    </row>
    <row r="239" spans="1:17">
      <c r="A239" s="73">
        <v>394</v>
      </c>
      <c r="C239" s="64" t="s">
        <v>155</v>
      </c>
      <c r="E239" s="43">
        <v>2014232.77</v>
      </c>
      <c r="F239" s="50"/>
      <c r="G239" s="91">
        <v>0</v>
      </c>
      <c r="H239" s="49"/>
      <c r="I239" s="67">
        <v>5</v>
      </c>
      <c r="J239" s="67"/>
      <c r="K239" s="67">
        <v>5</v>
      </c>
      <c r="L239" s="49">
        <v>100716</v>
      </c>
      <c r="N239" s="80">
        <f t="shared" si="30"/>
        <v>0</v>
      </c>
      <c r="P239" s="79">
        <f t="shared" si="31"/>
        <v>100716</v>
      </c>
      <c r="Q239" s="89">
        <f t="shared" si="32"/>
        <v>0</v>
      </c>
    </row>
    <row r="240" spans="1:17">
      <c r="A240" s="73">
        <v>395</v>
      </c>
      <c r="C240" s="64" t="s">
        <v>156</v>
      </c>
      <c r="E240" s="43">
        <v>4366162.6500000004</v>
      </c>
      <c r="F240" s="50"/>
      <c r="G240" s="91">
        <v>0</v>
      </c>
      <c r="H240" s="49"/>
      <c r="I240" s="67">
        <v>5</v>
      </c>
      <c r="J240" s="67"/>
      <c r="K240" s="67">
        <v>5</v>
      </c>
      <c r="L240" s="49">
        <v>218492</v>
      </c>
      <c r="N240" s="80">
        <f t="shared" si="30"/>
        <v>0</v>
      </c>
      <c r="P240" s="79">
        <f t="shared" si="31"/>
        <v>218492</v>
      </c>
      <c r="Q240" s="89">
        <f t="shared" si="32"/>
        <v>0</v>
      </c>
    </row>
    <row r="241" spans="1:17">
      <c r="A241" s="73">
        <v>396</v>
      </c>
      <c r="C241" s="60" t="s">
        <v>157</v>
      </c>
      <c r="E241" s="43">
        <v>24030802.09</v>
      </c>
      <c r="F241" s="50"/>
      <c r="G241" s="91">
        <v>0</v>
      </c>
      <c r="H241" s="49"/>
      <c r="I241" s="67">
        <v>4.83</v>
      </c>
      <c r="J241" s="67"/>
      <c r="K241" s="67">
        <v>4.83</v>
      </c>
      <c r="L241" s="49">
        <v>1159617</v>
      </c>
      <c r="N241" s="80">
        <f t="shared" si="30"/>
        <v>0</v>
      </c>
      <c r="P241" s="79">
        <f t="shared" si="31"/>
        <v>1159617</v>
      </c>
      <c r="Q241" s="89">
        <f t="shared" si="32"/>
        <v>0</v>
      </c>
    </row>
    <row r="242" spans="1:17">
      <c r="A242" s="73">
        <v>397</v>
      </c>
      <c r="C242" s="60" t="s">
        <v>158</v>
      </c>
      <c r="E242" s="43">
        <v>22301164.09</v>
      </c>
      <c r="F242" s="50"/>
      <c r="G242" s="91">
        <v>0</v>
      </c>
      <c r="H242" s="49"/>
      <c r="I242" s="67">
        <v>6.67</v>
      </c>
      <c r="J242" s="67"/>
      <c r="K242" s="67">
        <v>6.67</v>
      </c>
      <c r="L242" s="49">
        <v>1487391</v>
      </c>
      <c r="N242" s="80">
        <f t="shared" si="30"/>
        <v>0</v>
      </c>
      <c r="P242" s="79">
        <f t="shared" si="31"/>
        <v>1487391</v>
      </c>
      <c r="Q242" s="89">
        <f t="shared" si="32"/>
        <v>0</v>
      </c>
    </row>
    <row r="243" spans="1:17">
      <c r="A243" s="73">
        <v>398</v>
      </c>
      <c r="C243" s="60" t="s">
        <v>159</v>
      </c>
      <c r="E243" s="43">
        <v>2513134.77</v>
      </c>
      <c r="F243" s="50"/>
      <c r="G243" s="90">
        <v>0</v>
      </c>
      <c r="H243" s="49"/>
      <c r="I243" s="67">
        <v>5</v>
      </c>
      <c r="J243" s="67"/>
      <c r="K243" s="67">
        <v>5</v>
      </c>
      <c r="L243" s="49">
        <v>125661</v>
      </c>
      <c r="N243" s="85">
        <f t="shared" si="30"/>
        <v>0</v>
      </c>
      <c r="P243" s="84">
        <f t="shared" si="31"/>
        <v>125661</v>
      </c>
      <c r="Q243" s="89">
        <f t="shared" si="32"/>
        <v>0</v>
      </c>
    </row>
    <row r="244" spans="1:17">
      <c r="A244" s="73"/>
      <c r="E244" s="48"/>
      <c r="G244" s="74"/>
      <c r="I244" s="67"/>
      <c r="J244" s="67"/>
      <c r="K244" s="67"/>
      <c r="L244" s="88"/>
      <c r="N244" s="80"/>
      <c r="P244" s="79"/>
    </row>
    <row r="245" spans="1:17" ht="15.75">
      <c r="C245" s="68" t="s">
        <v>160</v>
      </c>
      <c r="E245" s="45">
        <f>SUBTOTAL(9,E234:E244)</f>
        <v>132123046.83000001</v>
      </c>
      <c r="F245" s="65"/>
      <c r="G245" s="87">
        <f>SUBTOTAL(9,G234:G244)</f>
        <v>0</v>
      </c>
      <c r="H245" s="66"/>
      <c r="I245" s="75">
        <f>+ROUND(L245/E245*100,2)</f>
        <v>5.51</v>
      </c>
      <c r="J245" s="75"/>
      <c r="K245" s="75">
        <v>5.51</v>
      </c>
      <c r="L245" s="66">
        <f>SUBTOTAL(9,L234:L244)</f>
        <v>7283829</v>
      </c>
      <c r="M245" s="65"/>
      <c r="N245" s="86">
        <f>SUBTOTAL(9,N234:N244)</f>
        <v>0</v>
      </c>
      <c r="P245" s="66">
        <f>SUBTOTAL(9,P234:P244)</f>
        <v>7283829</v>
      </c>
    </row>
    <row r="246" spans="1:17" ht="15.75">
      <c r="C246" s="68"/>
      <c r="E246" s="45"/>
      <c r="F246" s="65"/>
      <c r="G246" s="70"/>
      <c r="H246" s="66"/>
      <c r="I246" s="75"/>
      <c r="J246" s="75"/>
      <c r="K246" s="75"/>
      <c r="L246" s="66"/>
      <c r="M246" s="65"/>
      <c r="N246" s="80"/>
      <c r="P246" s="79"/>
    </row>
    <row r="247" spans="1:17" ht="15.75">
      <c r="C247" s="76" t="s">
        <v>161</v>
      </c>
      <c r="E247" s="45"/>
      <c r="F247" s="65"/>
      <c r="G247" s="70"/>
      <c r="H247" s="66"/>
      <c r="I247" s="75"/>
      <c r="J247" s="75"/>
      <c r="K247" s="75"/>
      <c r="L247" s="66"/>
      <c r="M247" s="65"/>
      <c r="N247" s="80"/>
      <c r="P247" s="79"/>
    </row>
    <row r="248" spans="1:17" ht="15.75">
      <c r="C248" s="68"/>
      <c r="E248" s="45"/>
      <c r="F248" s="65"/>
      <c r="G248" s="70"/>
      <c r="H248" s="66"/>
      <c r="I248" s="75"/>
      <c r="J248" s="75"/>
      <c r="K248" s="75"/>
      <c r="L248" s="66"/>
      <c r="M248" s="65"/>
      <c r="N248" s="80"/>
      <c r="P248" s="79"/>
    </row>
    <row r="249" spans="1:17" ht="15.75">
      <c r="A249" s="73">
        <v>391</v>
      </c>
      <c r="C249" s="60" t="s">
        <v>151</v>
      </c>
      <c r="E249" s="45"/>
      <c r="F249" s="65"/>
      <c r="G249" s="70"/>
      <c r="H249" s="66"/>
      <c r="I249" s="75"/>
      <c r="J249" s="75"/>
      <c r="K249" s="75"/>
      <c r="L249" s="62">
        <v>-36612.199999999997</v>
      </c>
      <c r="M249" s="65"/>
      <c r="N249" s="80"/>
      <c r="P249" s="79">
        <f t="shared" ref="P249:P255" si="33">L249-N249</f>
        <v>-36612.199999999997</v>
      </c>
    </row>
    <row r="250" spans="1:17" ht="15.75">
      <c r="A250" s="73">
        <v>391.1</v>
      </c>
      <c r="C250" s="60" t="s">
        <v>152</v>
      </c>
      <c r="E250" s="45"/>
      <c r="F250" s="65"/>
      <c r="G250" s="70"/>
      <c r="H250" s="66"/>
      <c r="I250" s="75"/>
      <c r="J250" s="75"/>
      <c r="K250" s="75"/>
      <c r="L250" s="62">
        <v>-3130870.9899999993</v>
      </c>
      <c r="M250" s="65"/>
      <c r="N250" s="80"/>
      <c r="P250" s="79">
        <f t="shared" si="33"/>
        <v>-3130870.9899999993</v>
      </c>
    </row>
    <row r="251" spans="1:17" ht="15.75">
      <c r="A251" s="73">
        <v>393</v>
      </c>
      <c r="C251" s="64" t="s">
        <v>154</v>
      </c>
      <c r="E251" s="45"/>
      <c r="F251" s="65"/>
      <c r="G251" s="70"/>
      <c r="H251" s="66"/>
      <c r="I251" s="75"/>
      <c r="J251" s="75"/>
      <c r="K251" s="75"/>
      <c r="L251" s="62">
        <v>-460.8</v>
      </c>
      <c r="M251" s="65"/>
      <c r="N251" s="80"/>
      <c r="P251" s="79">
        <f t="shared" si="33"/>
        <v>-460.8</v>
      </c>
    </row>
    <row r="252" spans="1:17" ht="15.75">
      <c r="A252" s="73">
        <v>394</v>
      </c>
      <c r="C252" s="64" t="s">
        <v>155</v>
      </c>
      <c r="E252" s="45"/>
      <c r="F252" s="65"/>
      <c r="G252" s="70"/>
      <c r="H252" s="66"/>
      <c r="I252" s="75"/>
      <c r="J252" s="75"/>
      <c r="K252" s="75"/>
      <c r="L252" s="62">
        <v>-8558.2000000000007</v>
      </c>
      <c r="M252" s="65"/>
      <c r="N252" s="80"/>
      <c r="P252" s="79">
        <f t="shared" si="33"/>
        <v>-8558.2000000000007</v>
      </c>
    </row>
    <row r="253" spans="1:17" ht="15.75">
      <c r="A253" s="73">
        <v>395</v>
      </c>
      <c r="C253" s="64" t="s">
        <v>156</v>
      </c>
      <c r="E253" s="45"/>
      <c r="F253" s="65"/>
      <c r="G253" s="70"/>
      <c r="H253" s="66"/>
      <c r="I253" s="75"/>
      <c r="J253" s="75"/>
      <c r="K253" s="75"/>
      <c r="L253" s="62">
        <v>-17353.599999999999</v>
      </c>
      <c r="M253" s="65"/>
      <c r="N253" s="80"/>
      <c r="P253" s="79">
        <f t="shared" si="33"/>
        <v>-17353.599999999999</v>
      </c>
    </row>
    <row r="254" spans="1:17" ht="15.75">
      <c r="A254" s="73">
        <v>397</v>
      </c>
      <c r="C254" s="60" t="s">
        <v>158</v>
      </c>
      <c r="E254" s="45"/>
      <c r="F254" s="65"/>
      <c r="G254" s="70"/>
      <c r="H254" s="66"/>
      <c r="I254" s="75"/>
      <c r="J254" s="75"/>
      <c r="K254" s="75"/>
      <c r="L254" s="62">
        <v>-75552</v>
      </c>
      <c r="M254" s="65"/>
      <c r="N254" s="80"/>
      <c r="P254" s="79">
        <f t="shared" si="33"/>
        <v>-75552</v>
      </c>
    </row>
    <row r="255" spans="1:17" ht="15.75">
      <c r="A255" s="73">
        <v>398</v>
      </c>
      <c r="C255" s="60" t="s">
        <v>159</v>
      </c>
      <c r="E255" s="45"/>
      <c r="F255" s="65"/>
      <c r="G255" s="71"/>
      <c r="H255" s="66"/>
      <c r="I255" s="75"/>
      <c r="J255" s="75"/>
      <c r="K255" s="75"/>
      <c r="L255" s="62">
        <v>-8623.4</v>
      </c>
      <c r="M255" s="65"/>
      <c r="N255" s="85"/>
      <c r="P255" s="84">
        <f t="shared" si="33"/>
        <v>-8623.4</v>
      </c>
    </row>
    <row r="256" spans="1:17" ht="15.75">
      <c r="C256" s="68"/>
      <c r="E256" s="45"/>
      <c r="F256" s="65"/>
      <c r="G256" s="70"/>
      <c r="H256" s="66"/>
      <c r="I256" s="75"/>
      <c r="J256" s="75"/>
      <c r="K256" s="75"/>
      <c r="L256" s="83"/>
      <c r="M256" s="65"/>
      <c r="N256" s="80"/>
      <c r="P256" s="79"/>
    </row>
    <row r="257" spans="1:18" ht="15.75">
      <c r="C257" s="68" t="s">
        <v>162</v>
      </c>
      <c r="E257" s="45"/>
      <c r="F257" s="65"/>
      <c r="G257" s="71">
        <f>SUBTOTAL(9,G249:G256)</f>
        <v>0</v>
      </c>
      <c r="H257" s="66"/>
      <c r="I257" s="75"/>
      <c r="J257" s="75"/>
      <c r="K257" s="75"/>
      <c r="L257" s="81">
        <f>SUBTOTAL(9,L249:L256)</f>
        <v>-3278031.1899999995</v>
      </c>
      <c r="M257" s="65"/>
      <c r="N257" s="82">
        <f>SUBTOTAL(9,N249:N256)</f>
        <v>0</v>
      </c>
      <c r="P257" s="81">
        <f>SUBTOTAL(9,P249:P256)</f>
        <v>-3278031.1899999995</v>
      </c>
    </row>
    <row r="258" spans="1:18" ht="15.75">
      <c r="C258" s="68"/>
      <c r="E258" s="45"/>
      <c r="F258" s="65"/>
      <c r="G258" s="70"/>
      <c r="H258" s="66"/>
      <c r="I258" s="67"/>
      <c r="J258" s="67"/>
      <c r="K258" s="67"/>
      <c r="L258" s="66"/>
      <c r="M258" s="65"/>
      <c r="N258" s="80"/>
      <c r="P258" s="79"/>
    </row>
    <row r="259" spans="1:18" ht="16.5" thickBot="1">
      <c r="C259" s="68" t="s">
        <v>163</v>
      </c>
      <c r="E259" s="44">
        <f>SUBTOTAL(9,E13:E258)</f>
        <v>4654637456.0800037</v>
      </c>
      <c r="F259" s="65"/>
      <c r="G259" s="69">
        <f>SUBTOTAL(9,G13:G258)</f>
        <v>1248118649.3500001</v>
      </c>
      <c r="H259" s="66"/>
      <c r="I259" s="75">
        <v>3.1</v>
      </c>
      <c r="J259" s="75"/>
      <c r="K259" s="75"/>
      <c r="L259" s="78">
        <f>SUBTOTAL(9,L13:L258)</f>
        <v>142718647.81</v>
      </c>
      <c r="M259" s="65"/>
      <c r="N259" s="69">
        <f>SUBTOTAL(9,N13:N258)</f>
        <v>39558275</v>
      </c>
      <c r="P259" s="44">
        <f>SUBTOTAL(9,P13:P258)</f>
        <v>103160372.81</v>
      </c>
      <c r="Q259" s="61">
        <f>SUBTOTAL(9,Q13:Q258)</f>
        <v>1623779.6105439998</v>
      </c>
      <c r="R259" s="77"/>
    </row>
    <row r="260" spans="1:18" ht="16.5" thickTop="1">
      <c r="C260" s="65"/>
      <c r="E260" s="45"/>
      <c r="F260" s="65"/>
      <c r="G260" s="70"/>
      <c r="H260" s="66"/>
      <c r="I260" s="67"/>
      <c r="J260" s="67"/>
      <c r="K260" s="67"/>
      <c r="L260" s="66"/>
      <c r="M260" s="65"/>
      <c r="N260" s="65"/>
      <c r="Q260" s="61">
        <v>4182900</v>
      </c>
    </row>
    <row r="261" spans="1:18" ht="15.75">
      <c r="C261" s="76" t="s">
        <v>164</v>
      </c>
      <c r="E261" s="45"/>
      <c r="F261" s="65"/>
      <c r="G261" s="70"/>
      <c r="H261" s="66"/>
      <c r="I261" s="67"/>
      <c r="J261" s="67"/>
      <c r="K261" s="67"/>
      <c r="L261" s="66"/>
      <c r="M261" s="65"/>
      <c r="N261" s="75"/>
      <c r="Q261" s="61">
        <f>Q260-Q259</f>
        <v>2559120.3894560002</v>
      </c>
    </row>
    <row r="262" spans="1:18" ht="15.75">
      <c r="C262" s="65"/>
      <c r="E262" s="45"/>
      <c r="F262" s="65"/>
      <c r="G262" s="70"/>
      <c r="H262" s="66"/>
      <c r="I262" s="67"/>
      <c r="J262" s="67"/>
      <c r="K262" s="67"/>
      <c r="L262" s="66"/>
      <c r="M262" s="65"/>
      <c r="N262" s="65"/>
    </row>
    <row r="263" spans="1:18" ht="15.75">
      <c r="A263" s="73">
        <v>301</v>
      </c>
      <c r="C263" s="60" t="s">
        <v>165</v>
      </c>
      <c r="E263" s="43">
        <v>5040.43</v>
      </c>
      <c r="G263" s="74"/>
      <c r="H263" s="66"/>
      <c r="I263" s="67"/>
      <c r="J263" s="67"/>
      <c r="K263" s="67"/>
      <c r="L263" s="66"/>
      <c r="M263" s="65"/>
      <c r="N263" s="65"/>
    </row>
    <row r="264" spans="1:18" ht="15.75">
      <c r="A264" s="73">
        <v>310</v>
      </c>
      <c r="C264" s="60" t="s">
        <v>166</v>
      </c>
      <c r="E264" s="43">
        <v>7074844.4300000006</v>
      </c>
      <c r="G264" s="74"/>
      <c r="H264" s="66"/>
      <c r="I264" s="67"/>
      <c r="J264" s="67"/>
      <c r="K264" s="67"/>
      <c r="L264" s="66"/>
      <c r="M264" s="65"/>
      <c r="N264" s="65"/>
    </row>
    <row r="265" spans="1:18" ht="15.75">
      <c r="A265" s="73">
        <v>340</v>
      </c>
      <c r="C265" s="60" t="s">
        <v>166</v>
      </c>
      <c r="E265" s="43">
        <v>5964035.6900000004</v>
      </c>
      <c r="G265" s="74"/>
      <c r="H265" s="66"/>
      <c r="I265" s="67"/>
      <c r="J265" s="67"/>
      <c r="K265" s="67"/>
      <c r="L265" s="66"/>
      <c r="M265" s="65"/>
      <c r="N265" s="65"/>
    </row>
    <row r="266" spans="1:18" ht="15.75">
      <c r="A266" s="73">
        <v>350</v>
      </c>
      <c r="C266" s="60" t="s">
        <v>166</v>
      </c>
      <c r="E266" s="43">
        <v>4673025.2200000007</v>
      </c>
      <c r="G266" s="74"/>
      <c r="H266" s="66"/>
      <c r="I266" s="67"/>
      <c r="J266" s="67"/>
      <c r="K266" s="67"/>
      <c r="L266" s="66"/>
      <c r="M266" s="65"/>
      <c r="N266" s="65"/>
    </row>
    <row r="267" spans="1:18" ht="15.75">
      <c r="A267" s="73">
        <v>350.1</v>
      </c>
      <c r="C267" s="60" t="s">
        <v>78</v>
      </c>
      <c r="E267" s="43">
        <v>58324160.971999988</v>
      </c>
      <c r="G267" s="74"/>
      <c r="H267" s="66"/>
      <c r="I267" s="67"/>
      <c r="J267" s="67"/>
      <c r="K267" s="67"/>
      <c r="L267" s="66"/>
      <c r="M267" s="65"/>
      <c r="N267" s="65"/>
    </row>
    <row r="268" spans="1:18" ht="15.75">
      <c r="A268" s="73">
        <v>354.1</v>
      </c>
      <c r="C268" s="60" t="s">
        <v>167</v>
      </c>
      <c r="E268" s="43">
        <v>564962.57000000007</v>
      </c>
      <c r="G268" s="74"/>
      <c r="H268" s="66"/>
      <c r="I268" s="67"/>
      <c r="J268" s="67"/>
      <c r="K268" s="67"/>
      <c r="L268" s="66"/>
      <c r="M268" s="65"/>
      <c r="N268" s="65"/>
    </row>
    <row r="269" spans="1:18" ht="15.75">
      <c r="A269" s="73">
        <v>360</v>
      </c>
      <c r="C269" s="60" t="s">
        <v>166</v>
      </c>
      <c r="E269" s="43">
        <v>13132104.219999999</v>
      </c>
      <c r="G269" s="74"/>
      <c r="H269" s="66"/>
      <c r="I269" s="67"/>
      <c r="J269" s="67"/>
      <c r="K269" s="67"/>
      <c r="L269" s="66"/>
      <c r="M269" s="65"/>
      <c r="N269" s="65"/>
    </row>
    <row r="270" spans="1:18" ht="15.75">
      <c r="A270" s="73">
        <v>389</v>
      </c>
      <c r="C270" s="60" t="s">
        <v>166</v>
      </c>
      <c r="E270" s="43">
        <v>1587642.56</v>
      </c>
      <c r="G270" s="74"/>
      <c r="H270" s="66"/>
      <c r="I270" s="67"/>
      <c r="J270" s="67"/>
      <c r="K270" s="67"/>
      <c r="L270" s="66"/>
      <c r="M270" s="65"/>
      <c r="N270" s="65"/>
    </row>
    <row r="271" spans="1:18" ht="15.75">
      <c r="A271" s="73">
        <v>389.1</v>
      </c>
      <c r="C271" s="60" t="s">
        <v>78</v>
      </c>
      <c r="E271" s="43">
        <v>244222.03</v>
      </c>
      <c r="G271" s="74"/>
      <c r="H271" s="66"/>
      <c r="I271" s="67"/>
      <c r="J271" s="67"/>
      <c r="K271" s="67"/>
      <c r="L271" s="66"/>
      <c r="M271" s="65"/>
      <c r="N271" s="65"/>
    </row>
    <row r="272" spans="1:18" ht="15.75">
      <c r="A272" s="73">
        <v>398.1</v>
      </c>
      <c r="C272" s="60" t="s">
        <v>168</v>
      </c>
      <c r="E272" s="43">
        <v>448268.6</v>
      </c>
      <c r="G272" s="72"/>
      <c r="H272" s="66"/>
      <c r="I272" s="67"/>
      <c r="J272" s="67"/>
      <c r="K272" s="67"/>
      <c r="L272" s="66"/>
      <c r="M272" s="65"/>
      <c r="N272" s="65"/>
    </row>
    <row r="273" spans="2:14" ht="15.75">
      <c r="C273" s="65"/>
      <c r="E273" s="47"/>
      <c r="F273" s="65"/>
      <c r="G273" s="70"/>
      <c r="H273" s="66"/>
      <c r="I273" s="67"/>
      <c r="J273" s="67"/>
      <c r="K273" s="67"/>
      <c r="L273" s="66"/>
      <c r="M273" s="65"/>
      <c r="N273" s="65"/>
    </row>
    <row r="274" spans="2:14" ht="15.75">
      <c r="C274" s="68" t="s">
        <v>169</v>
      </c>
      <c r="E274" s="46">
        <f>SUBTOTAL(9,E263:E273)</f>
        <v>92018306.721999973</v>
      </c>
      <c r="F274" s="65"/>
      <c r="G274" s="71"/>
      <c r="H274" s="66"/>
      <c r="I274" s="67"/>
      <c r="J274" s="67"/>
      <c r="K274" s="67"/>
      <c r="L274" s="66"/>
      <c r="M274" s="65"/>
      <c r="N274" s="65"/>
    </row>
    <row r="275" spans="2:14" ht="15.75">
      <c r="C275" s="65"/>
      <c r="E275" s="45"/>
      <c r="F275" s="65"/>
      <c r="G275" s="70"/>
      <c r="H275" s="66"/>
      <c r="I275" s="67"/>
      <c r="J275" s="67"/>
      <c r="K275" s="67"/>
      <c r="L275" s="66"/>
      <c r="M275" s="65"/>
      <c r="N275" s="65"/>
    </row>
    <row r="276" spans="2:14" ht="16.5" thickBot="1">
      <c r="C276" s="68" t="s">
        <v>170</v>
      </c>
      <c r="E276" s="44">
        <f>SUBTOTAL(9,E13:E275)</f>
        <v>4746655762.8020048</v>
      </c>
      <c r="F276" s="65"/>
      <c r="G276" s="69">
        <f>SUBTOTAL(9,G13:G275)</f>
        <v>1248118649.3500001</v>
      </c>
      <c r="H276" s="66"/>
      <c r="I276" s="67"/>
      <c r="J276" s="67"/>
      <c r="K276" s="67"/>
      <c r="L276" s="66"/>
      <c r="M276" s="65"/>
      <c r="N276" s="65"/>
    </row>
    <row r="277" spans="2:14" ht="16.5" thickTop="1">
      <c r="C277" s="68"/>
      <c r="E277" s="43"/>
      <c r="F277" s="65"/>
      <c r="G277" s="66"/>
      <c r="H277" s="66"/>
      <c r="I277" s="67"/>
      <c r="J277" s="67"/>
      <c r="K277" s="67"/>
      <c r="L277" s="66"/>
      <c r="M277" s="65"/>
      <c r="N277" s="65"/>
    </row>
    <row r="278" spans="2:14">
      <c r="B278" s="63"/>
    </row>
    <row r="279" spans="2:14">
      <c r="B279" s="63"/>
      <c r="C279" s="64"/>
    </row>
    <row r="280" spans="2:14">
      <c r="B280" s="63"/>
    </row>
  </sheetData>
  <mergeCells count="1">
    <mergeCell ref="L6:P6"/>
  </mergeCells>
  <printOptions horizontalCentered="1"/>
  <pageMargins left="0.45" right="0.45" top="0.75" bottom="0.5" header="0.3" footer="0.3"/>
  <pageSetup scale="44" fitToHeight="0" orientation="landscape" r:id="rId1"/>
  <rowBreaks count="3" manualBreakCount="3">
    <brk id="78" max="20" man="1"/>
    <brk id="146" max="20" man="1"/>
    <brk id="21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3114-7E25-4B73-9C25-938FE6242B56}">
  <sheetPr>
    <tabColor rgb="FF92D050"/>
  </sheetPr>
  <dimension ref="A1:H8"/>
  <sheetViews>
    <sheetView zoomScaleNormal="100" zoomScaleSheetLayoutView="170" workbookViewId="0">
      <selection activeCell="C20" sqref="C20"/>
    </sheetView>
  </sheetViews>
  <sheetFormatPr defaultColWidth="9.125" defaultRowHeight="15.75"/>
  <cols>
    <col min="1" max="1" width="1.875" style="8" bestFit="1" customWidth="1"/>
    <col min="2" max="2" width="29.375" style="8" bestFit="1" customWidth="1"/>
    <col min="3" max="3" width="14.375" style="8" customWidth="1"/>
    <col min="4" max="5" width="9.125" style="8" customWidth="1"/>
    <col min="6" max="16384" width="9.125" style="8"/>
  </cols>
  <sheetData>
    <row r="1" spans="1:8">
      <c r="A1" s="8">
        <v>1</v>
      </c>
      <c r="B1" s="126" t="s">
        <v>17</v>
      </c>
      <c r="C1" s="126"/>
      <c r="D1" s="126"/>
      <c r="E1" s="126"/>
      <c r="F1" s="126"/>
      <c r="G1" s="126"/>
      <c r="H1" s="126"/>
    </row>
    <row r="2" spans="1:8">
      <c r="A2" s="8">
        <v>2</v>
      </c>
      <c r="B2" s="126" t="s">
        <v>171</v>
      </c>
      <c r="C2" s="126"/>
      <c r="D2" s="126"/>
      <c r="E2" s="126"/>
      <c r="F2" s="126"/>
      <c r="G2" s="126"/>
      <c r="H2" s="126"/>
    </row>
    <row r="3" spans="1:8">
      <c r="A3" s="8">
        <v>3</v>
      </c>
      <c r="B3" s="126" t="s">
        <v>172</v>
      </c>
      <c r="C3" s="126"/>
      <c r="D3" s="126"/>
      <c r="E3" s="126"/>
      <c r="F3" s="126"/>
      <c r="G3" s="126"/>
      <c r="H3" s="126"/>
    </row>
    <row r="4" spans="1:8">
      <c r="A4" s="8">
        <v>4</v>
      </c>
    </row>
    <row r="5" spans="1:8">
      <c r="A5" s="8">
        <v>5</v>
      </c>
      <c r="C5" s="17" t="s">
        <v>173</v>
      </c>
    </row>
    <row r="6" spans="1:8">
      <c r="A6" s="8">
        <v>6</v>
      </c>
      <c r="B6" s="8" t="s">
        <v>174</v>
      </c>
      <c r="C6" s="11">
        <v>20624.830000000002</v>
      </c>
    </row>
    <row r="7" spans="1:8">
      <c r="A7" s="8">
        <v>7</v>
      </c>
    </row>
    <row r="8" spans="1:8">
      <c r="A8" s="8">
        <v>8</v>
      </c>
      <c r="B8" s="8" t="s">
        <v>175</v>
      </c>
      <c r="C8" s="11">
        <f>-C6*12</f>
        <v>-247497.96000000002</v>
      </c>
    </row>
  </sheetData>
  <mergeCells count="3">
    <mergeCell ref="B1:H1"/>
    <mergeCell ref="B2:H2"/>
    <mergeCell ref="B3:H3"/>
  </mergeCells>
  <phoneticPr fontId="6" type="noConversion"/>
  <pageMargins left="0.7" right="0.7" top="0.75" bottom="0.75" header="0.3" footer="0.3"/>
  <pageSetup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1837-710B-403D-A5B5-F633B6EA3193}">
  <sheetPr>
    <tabColor rgb="FF92D050"/>
  </sheetPr>
  <dimension ref="A1:H35"/>
  <sheetViews>
    <sheetView zoomScaleNormal="100" zoomScaleSheetLayoutView="100" workbookViewId="0">
      <selection activeCell="C20" sqref="C20"/>
    </sheetView>
  </sheetViews>
  <sheetFormatPr defaultColWidth="9.125" defaultRowHeight="15.75"/>
  <cols>
    <col min="1" max="1" width="6" style="56" bestFit="1" customWidth="1"/>
    <col min="2" max="2" width="9.125" style="56"/>
    <col min="3" max="3" width="66.125" style="56" customWidth="1"/>
    <col min="4" max="4" width="9.125" style="56"/>
    <col min="5" max="5" width="10.75" style="56" bestFit="1" customWidth="1"/>
    <col min="6" max="6" width="9.125" style="56"/>
    <col min="7" max="7" width="17" style="56" bestFit="1" customWidth="1"/>
    <col min="8" max="8" width="16" style="56" bestFit="1" customWidth="1"/>
    <col min="9" max="16384" width="9.125" style="56"/>
  </cols>
  <sheetData>
    <row r="1" spans="1:8">
      <c r="A1" s="56">
        <v>1</v>
      </c>
      <c r="B1" s="127" t="s">
        <v>176</v>
      </c>
      <c r="C1" s="127"/>
      <c r="D1" s="127"/>
      <c r="E1" s="127"/>
      <c r="F1" s="127"/>
      <c r="G1" s="127"/>
      <c r="H1" s="127"/>
    </row>
    <row r="2" spans="1:8">
      <c r="A2" s="56">
        <v>2</v>
      </c>
      <c r="B2" s="127" t="s">
        <v>177</v>
      </c>
      <c r="C2" s="127"/>
      <c r="D2" s="127"/>
      <c r="E2" s="127"/>
      <c r="F2" s="127"/>
      <c r="G2" s="127"/>
      <c r="H2" s="127"/>
    </row>
    <row r="3" spans="1:8">
      <c r="A3" s="56">
        <v>3</v>
      </c>
      <c r="B3" s="127" t="s">
        <v>172</v>
      </c>
      <c r="C3" s="127"/>
      <c r="D3" s="127"/>
      <c r="E3" s="127"/>
      <c r="F3" s="127"/>
      <c r="G3" s="127"/>
      <c r="H3" s="127"/>
    </row>
    <row r="4" spans="1:8">
      <c r="A4" s="56">
        <v>4</v>
      </c>
      <c r="B4" s="127"/>
      <c r="C4" s="127"/>
      <c r="D4" s="127"/>
      <c r="E4" s="127"/>
      <c r="F4" s="127"/>
      <c r="G4" s="127"/>
      <c r="H4" s="127"/>
    </row>
    <row r="5" spans="1:8">
      <c r="A5" s="56">
        <v>5</v>
      </c>
      <c r="B5" s="57"/>
      <c r="C5" s="57"/>
      <c r="D5" s="57"/>
      <c r="E5" s="57"/>
      <c r="F5" s="57"/>
      <c r="G5" s="57"/>
      <c r="H5" s="57"/>
    </row>
    <row r="6" spans="1:8">
      <c r="A6" s="56">
        <v>6</v>
      </c>
      <c r="C6" s="56" t="s">
        <v>178</v>
      </c>
      <c r="G6" s="121"/>
      <c r="H6" s="121">
        <v>15078566.24</v>
      </c>
    </row>
    <row r="7" spans="1:8">
      <c r="A7" s="56">
        <v>7</v>
      </c>
      <c r="B7" s="57"/>
      <c r="G7" s="121"/>
      <c r="H7" s="121"/>
    </row>
    <row r="8" spans="1:8">
      <c r="A8" s="56">
        <v>8</v>
      </c>
      <c r="B8" s="57"/>
      <c r="C8" s="56" t="s">
        <v>179</v>
      </c>
      <c r="E8" s="120">
        <v>45894</v>
      </c>
      <c r="G8" s="121">
        <v>-886974.49</v>
      </c>
      <c r="H8" s="121">
        <f>H6+G8</f>
        <v>14191591.75</v>
      </c>
    </row>
    <row r="9" spans="1:8">
      <c r="A9" s="56">
        <v>9</v>
      </c>
      <c r="C9" s="57"/>
      <c r="E9" s="120">
        <v>45925</v>
      </c>
      <c r="G9" s="121">
        <v>-886974.49</v>
      </c>
      <c r="H9" s="121">
        <f>H8+G9</f>
        <v>13304617.26</v>
      </c>
    </row>
    <row r="10" spans="1:8">
      <c r="A10" s="56">
        <v>10</v>
      </c>
      <c r="C10" s="57"/>
      <c r="E10" s="120">
        <v>45955</v>
      </c>
      <c r="G10" s="121">
        <v>-886974.49</v>
      </c>
      <c r="H10" s="121">
        <f t="shared" ref="H10:H24" si="0">H9+G10</f>
        <v>12417642.77</v>
      </c>
    </row>
    <row r="11" spans="1:8">
      <c r="A11" s="56">
        <v>11</v>
      </c>
      <c r="B11" s="57"/>
      <c r="E11" s="120">
        <v>45986</v>
      </c>
      <c r="G11" s="121">
        <v>-886974.49</v>
      </c>
      <c r="H11" s="121">
        <f t="shared" si="0"/>
        <v>11530668.279999999</v>
      </c>
    </row>
    <row r="12" spans="1:8">
      <c r="A12" s="56">
        <v>12</v>
      </c>
      <c r="E12" s="120">
        <v>46016</v>
      </c>
      <c r="G12" s="121">
        <v>-886974.49</v>
      </c>
      <c r="H12" s="121">
        <f t="shared" si="0"/>
        <v>10643693.789999999</v>
      </c>
    </row>
    <row r="13" spans="1:8">
      <c r="A13" s="56">
        <v>13</v>
      </c>
      <c r="E13" s="120">
        <v>46048</v>
      </c>
      <c r="G13" s="121">
        <v>-886974.49</v>
      </c>
      <c r="H13" s="121">
        <f t="shared" si="0"/>
        <v>9756719.2999999989</v>
      </c>
    </row>
    <row r="14" spans="1:8">
      <c r="A14" s="56">
        <v>14</v>
      </c>
      <c r="B14" s="57"/>
      <c r="E14" s="120">
        <v>46079</v>
      </c>
      <c r="G14" s="121">
        <v>-886974.49</v>
      </c>
      <c r="H14" s="121">
        <f t="shared" si="0"/>
        <v>8869744.8099999987</v>
      </c>
    </row>
    <row r="15" spans="1:8">
      <c r="A15" s="56">
        <v>15</v>
      </c>
      <c r="E15" s="120">
        <v>46107</v>
      </c>
      <c r="G15" s="121">
        <v>-886974.49</v>
      </c>
      <c r="H15" s="121">
        <f t="shared" si="0"/>
        <v>7982770.3199999984</v>
      </c>
    </row>
    <row r="16" spans="1:8">
      <c r="A16" s="56">
        <v>16</v>
      </c>
      <c r="E16" s="120">
        <v>46138</v>
      </c>
      <c r="G16" s="121">
        <v>-886974.49</v>
      </c>
      <c r="H16" s="121">
        <f t="shared" si="0"/>
        <v>7095795.8299999982</v>
      </c>
    </row>
    <row r="17" spans="1:8">
      <c r="A17" s="56">
        <v>17</v>
      </c>
      <c r="B17" s="57"/>
      <c r="E17" s="120">
        <v>46168</v>
      </c>
      <c r="G17" s="24">
        <v>-886974.49</v>
      </c>
      <c r="H17" s="24">
        <f t="shared" si="0"/>
        <v>6208821.339999998</v>
      </c>
    </row>
    <row r="18" spans="1:8">
      <c r="A18" s="56">
        <v>18</v>
      </c>
      <c r="E18" s="120">
        <v>46199</v>
      </c>
      <c r="G18" s="24">
        <v>-886974.49</v>
      </c>
      <c r="H18" s="24">
        <f t="shared" si="0"/>
        <v>5321846.8499999978</v>
      </c>
    </row>
    <row r="19" spans="1:8">
      <c r="A19" s="56">
        <v>19</v>
      </c>
      <c r="B19" s="57"/>
      <c r="E19" s="120">
        <v>46229</v>
      </c>
      <c r="G19" s="24">
        <v>-886974.49</v>
      </c>
      <c r="H19" s="24">
        <f t="shared" si="0"/>
        <v>4434872.3599999975</v>
      </c>
    </row>
    <row r="20" spans="1:8">
      <c r="A20" s="56">
        <v>20</v>
      </c>
      <c r="E20" s="120">
        <v>46260</v>
      </c>
      <c r="G20" s="24">
        <v>-886974.49</v>
      </c>
      <c r="H20" s="24">
        <f t="shared" si="0"/>
        <v>3547897.8699999973</v>
      </c>
    </row>
    <row r="21" spans="1:8">
      <c r="A21" s="56">
        <v>21</v>
      </c>
      <c r="E21" s="120">
        <v>46291</v>
      </c>
      <c r="G21" s="24">
        <v>-886974.49</v>
      </c>
      <c r="H21" s="24">
        <f t="shared" si="0"/>
        <v>2660923.3799999971</v>
      </c>
    </row>
    <row r="22" spans="1:8">
      <c r="A22" s="56">
        <v>22</v>
      </c>
      <c r="E22" s="120">
        <v>46321</v>
      </c>
      <c r="G22" s="24">
        <v>-886974.49</v>
      </c>
      <c r="H22" s="24">
        <f t="shared" si="0"/>
        <v>1773948.8899999971</v>
      </c>
    </row>
    <row r="23" spans="1:8">
      <c r="A23" s="56">
        <v>23</v>
      </c>
      <c r="E23" s="120">
        <v>46352</v>
      </c>
      <c r="G23" s="24">
        <v>-886974.49</v>
      </c>
      <c r="H23" s="24">
        <f t="shared" si="0"/>
        <v>886974.39999999711</v>
      </c>
    </row>
    <row r="24" spans="1:8">
      <c r="A24" s="56">
        <v>24</v>
      </c>
      <c r="E24" s="120">
        <v>46382</v>
      </c>
      <c r="G24" s="24">
        <v>-886974.4</v>
      </c>
      <c r="H24" s="24">
        <f t="shared" si="0"/>
        <v>-2.9103830456733704E-9</v>
      </c>
    </row>
    <row r="25" spans="1:8">
      <c r="A25" s="56">
        <v>25</v>
      </c>
      <c r="G25" s="58"/>
      <c r="H25" s="58"/>
    </row>
    <row r="26" spans="1:8">
      <c r="A26" s="56">
        <v>26</v>
      </c>
      <c r="C26" s="56" t="s">
        <v>180</v>
      </c>
      <c r="G26" s="59"/>
      <c r="H26" s="24">
        <f>H17</f>
        <v>6208821.339999998</v>
      </c>
    </row>
    <row r="27" spans="1:8">
      <c r="A27" s="56">
        <v>27</v>
      </c>
      <c r="G27" s="59"/>
      <c r="H27" s="24"/>
    </row>
    <row r="28" spans="1:8">
      <c r="A28" s="56">
        <v>28</v>
      </c>
      <c r="C28" s="56" t="s">
        <v>31</v>
      </c>
      <c r="G28" s="59"/>
      <c r="H28" s="25">
        <v>6</v>
      </c>
    </row>
    <row r="29" spans="1:8">
      <c r="A29" s="56">
        <v>29</v>
      </c>
      <c r="G29" s="59"/>
      <c r="H29" s="24"/>
    </row>
    <row r="30" spans="1:8">
      <c r="A30" s="56">
        <v>30</v>
      </c>
      <c r="C30" s="56" t="s">
        <v>181</v>
      </c>
      <c r="G30" s="59"/>
      <c r="H30" s="24">
        <f>H26/H28</f>
        <v>1034803.5566666663</v>
      </c>
    </row>
    <row r="31" spans="1:8">
      <c r="A31" s="56">
        <v>31</v>
      </c>
      <c r="G31" s="59"/>
      <c r="H31" s="24"/>
    </row>
    <row r="32" spans="1:8">
      <c r="A32" s="56">
        <v>32</v>
      </c>
      <c r="C32" s="56" t="s">
        <v>182</v>
      </c>
      <c r="G32" s="59"/>
      <c r="H32" s="25">
        <f>-G8*12</f>
        <v>10643693.879999999</v>
      </c>
    </row>
    <row r="33" spans="1:8">
      <c r="A33" s="56">
        <v>33</v>
      </c>
      <c r="G33" s="59"/>
      <c r="H33" s="24"/>
    </row>
    <row r="34" spans="1:8" ht="16.5" thickBot="1">
      <c r="A34" s="56">
        <v>34</v>
      </c>
      <c r="C34" s="56" t="s">
        <v>183</v>
      </c>
      <c r="G34" s="59"/>
      <c r="H34" s="41">
        <f>H30-H32</f>
        <v>-9608890.3233333323</v>
      </c>
    </row>
    <row r="35" spans="1:8" ht="16.5" thickTop="1"/>
  </sheetData>
  <mergeCells count="4">
    <mergeCell ref="B1:H1"/>
    <mergeCell ref="B2:H2"/>
    <mergeCell ref="B3:H3"/>
    <mergeCell ref="B4:H4"/>
  </mergeCells>
  <pageMargins left="0.7" right="0.7" top="0.75" bottom="0.75" header="0.3" footer="0.3"/>
  <pageSetup scale="4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1F46-7788-4782-8A4A-00B98DB4E4AF}">
  <sheetPr>
    <tabColor rgb="FF92D050"/>
  </sheetPr>
  <dimension ref="A1:H45"/>
  <sheetViews>
    <sheetView zoomScaleNormal="100" zoomScaleSheetLayoutView="120" workbookViewId="0">
      <selection activeCell="C20" sqref="C20"/>
    </sheetView>
  </sheetViews>
  <sheetFormatPr defaultColWidth="9" defaultRowHeight="15.75"/>
  <cols>
    <col min="1" max="1" width="2.875" style="8" bestFit="1" customWidth="1"/>
    <col min="2" max="2" width="17.25" style="8" customWidth="1"/>
    <col min="3" max="3" width="13.25" style="8" bestFit="1" customWidth="1"/>
    <col min="4" max="4" width="20.875" style="8" customWidth="1"/>
    <col min="5" max="5" width="13.25" style="8" bestFit="1" customWidth="1"/>
    <col min="6" max="6" width="12.875" style="8" bestFit="1" customWidth="1"/>
    <col min="7" max="8" width="9" style="8"/>
    <col min="9" max="10" width="11.75" style="8" bestFit="1" customWidth="1"/>
    <col min="11" max="12" width="14.375" style="8" bestFit="1" customWidth="1"/>
    <col min="13" max="16384" width="9" style="8"/>
  </cols>
  <sheetData>
    <row r="1" spans="1:8">
      <c r="A1" s="8">
        <v>1</v>
      </c>
      <c r="B1" s="126" t="s">
        <v>17</v>
      </c>
      <c r="C1" s="126"/>
      <c r="D1" s="126"/>
      <c r="E1" s="126"/>
      <c r="F1" s="126"/>
      <c r="G1" s="126"/>
      <c r="H1" s="126"/>
    </row>
    <row r="2" spans="1:8">
      <c r="A2" s="8">
        <v>2</v>
      </c>
      <c r="B2" s="126" t="s">
        <v>184</v>
      </c>
      <c r="C2" s="126"/>
      <c r="D2" s="126"/>
      <c r="E2" s="126"/>
      <c r="F2" s="126"/>
      <c r="G2" s="126"/>
      <c r="H2" s="126"/>
    </row>
    <row r="3" spans="1:8">
      <c r="A3" s="8">
        <v>3</v>
      </c>
      <c r="B3" s="126" t="s">
        <v>172</v>
      </c>
      <c r="C3" s="126"/>
      <c r="D3" s="126"/>
      <c r="E3" s="126"/>
      <c r="F3" s="126"/>
      <c r="G3" s="126"/>
      <c r="H3" s="126"/>
    </row>
    <row r="4" spans="1:8">
      <c r="A4" s="8">
        <v>4</v>
      </c>
    </row>
    <row r="5" spans="1:8">
      <c r="A5" s="8">
        <v>5</v>
      </c>
      <c r="B5" s="123" t="s">
        <v>185</v>
      </c>
      <c r="C5" s="123"/>
      <c r="D5" s="123"/>
      <c r="E5" s="123"/>
    </row>
    <row r="6" spans="1:8">
      <c r="A6" s="8">
        <v>6</v>
      </c>
    </row>
    <row r="7" spans="1:8">
      <c r="A7" s="8">
        <v>7</v>
      </c>
      <c r="B7" s="9">
        <v>45682</v>
      </c>
      <c r="C7" s="10">
        <v>2484488</v>
      </c>
      <c r="D7" s="10">
        <v>-39044</v>
      </c>
      <c r="E7" s="10">
        <f>C7+D7</f>
        <v>2445444</v>
      </c>
    </row>
    <row r="8" spans="1:8">
      <c r="A8" s="8">
        <v>8</v>
      </c>
      <c r="B8" s="9">
        <v>45713</v>
      </c>
      <c r="C8" s="10">
        <v>2501618</v>
      </c>
      <c r="D8" s="10">
        <v>-39044</v>
      </c>
      <c r="E8" s="10">
        <f t="shared" ref="E8:E17" si="0">C8+D8</f>
        <v>2462574</v>
      </c>
    </row>
    <row r="9" spans="1:8">
      <c r="A9" s="8">
        <v>9</v>
      </c>
      <c r="B9" s="9">
        <v>45741</v>
      </c>
      <c r="C9" s="10">
        <v>2501588</v>
      </c>
      <c r="D9" s="10">
        <v>-39044</v>
      </c>
      <c r="E9" s="10">
        <f t="shared" si="0"/>
        <v>2462544</v>
      </c>
    </row>
    <row r="10" spans="1:8">
      <c r="A10" s="8">
        <v>10</v>
      </c>
      <c r="B10" s="9">
        <v>45772</v>
      </c>
      <c r="C10" s="10">
        <v>2501618</v>
      </c>
      <c r="D10" s="10">
        <v>-39044</v>
      </c>
      <c r="E10" s="10">
        <f t="shared" si="0"/>
        <v>2462574</v>
      </c>
      <c r="F10" s="11"/>
    </row>
    <row r="11" spans="1:8">
      <c r="A11" s="8">
        <v>11</v>
      </c>
      <c r="B11" s="9">
        <v>45802</v>
      </c>
      <c r="C11" s="10">
        <v>2501618</v>
      </c>
      <c r="D11" s="10">
        <v>-39044</v>
      </c>
      <c r="E11" s="10">
        <f t="shared" si="0"/>
        <v>2462574</v>
      </c>
    </row>
    <row r="12" spans="1:8">
      <c r="A12" s="8">
        <v>12</v>
      </c>
      <c r="B12" s="9">
        <v>45833</v>
      </c>
      <c r="C12" s="10">
        <v>2476589.4499999969</v>
      </c>
      <c r="D12" s="10">
        <v>-39044</v>
      </c>
      <c r="E12" s="10">
        <f t="shared" si="0"/>
        <v>2437545.4499999969</v>
      </c>
    </row>
    <row r="13" spans="1:8">
      <c r="A13" s="8">
        <v>13</v>
      </c>
      <c r="B13" s="9">
        <v>45863</v>
      </c>
      <c r="C13" s="10">
        <v>2476589.4500000016</v>
      </c>
      <c r="D13" s="10">
        <v>-39044</v>
      </c>
      <c r="E13" s="10">
        <f t="shared" si="0"/>
        <v>2437545.4500000016</v>
      </c>
    </row>
    <row r="14" spans="1:8">
      <c r="A14" s="8">
        <v>14</v>
      </c>
      <c r="B14" s="9">
        <v>45894</v>
      </c>
      <c r="C14" s="10">
        <v>2476589.4499999983</v>
      </c>
      <c r="D14" s="10">
        <v>-39044</v>
      </c>
      <c r="E14" s="10">
        <f t="shared" si="0"/>
        <v>2437545.4499999983</v>
      </c>
    </row>
    <row r="15" spans="1:8">
      <c r="A15" s="8">
        <v>15</v>
      </c>
      <c r="B15" s="9">
        <v>45925</v>
      </c>
      <c r="C15" s="10">
        <v>2476589.4499999979</v>
      </c>
      <c r="D15" s="10">
        <v>-39044</v>
      </c>
      <c r="E15" s="10">
        <f t="shared" si="0"/>
        <v>2437545.4499999979</v>
      </c>
    </row>
    <row r="16" spans="1:8">
      <c r="A16" s="8">
        <v>16</v>
      </c>
      <c r="B16" s="9">
        <v>45955</v>
      </c>
      <c r="C16" s="10">
        <v>2476589.4499999979</v>
      </c>
      <c r="D16" s="10">
        <v>-39044</v>
      </c>
      <c r="E16" s="10">
        <f t="shared" si="0"/>
        <v>2437545.4499999979</v>
      </c>
      <c r="F16" s="11"/>
    </row>
    <row r="17" spans="1:6">
      <c r="A17" s="8">
        <v>17</v>
      </c>
      <c r="B17" s="9">
        <v>45986</v>
      </c>
      <c r="C17" s="12">
        <v>0</v>
      </c>
      <c r="D17" s="12">
        <v>0</v>
      </c>
      <c r="E17" s="10">
        <f t="shared" si="0"/>
        <v>0</v>
      </c>
    </row>
    <row r="18" spans="1:6">
      <c r="A18" s="8">
        <v>18</v>
      </c>
      <c r="B18" s="9">
        <v>46016</v>
      </c>
      <c r="C18" s="12">
        <v>0</v>
      </c>
      <c r="D18" s="12">
        <v>0</v>
      </c>
      <c r="E18" s="10">
        <f t="shared" ref="E18" si="1">C18+D18</f>
        <v>0</v>
      </c>
    </row>
    <row r="19" spans="1:6" ht="16.5" thickBot="1">
      <c r="A19" s="8">
        <v>19</v>
      </c>
      <c r="B19" s="13" t="s">
        <v>186</v>
      </c>
      <c r="C19" s="14">
        <f>SUM(C7:C17)</f>
        <v>24873877.249999996</v>
      </c>
      <c r="D19" s="14">
        <f>SUM(D7:D17)</f>
        <v>-390440</v>
      </c>
      <c r="E19" s="14">
        <f>SUM(E7:E18)</f>
        <v>24483437.249999996</v>
      </c>
    </row>
    <row r="20" spans="1:6" ht="16.5" thickTop="1">
      <c r="A20" s="8">
        <v>20</v>
      </c>
    </row>
    <row r="21" spans="1:6">
      <c r="A21" s="8">
        <v>21</v>
      </c>
      <c r="D21" s="13" t="s">
        <v>187</v>
      </c>
      <c r="E21" s="10">
        <f>ROUND((E19/10)*12,0)</f>
        <v>29380125</v>
      </c>
    </row>
    <row r="22" spans="1:6">
      <c r="A22" s="8">
        <v>22</v>
      </c>
      <c r="D22" s="13" t="s">
        <v>188</v>
      </c>
      <c r="E22" s="10">
        <v>-9343801</v>
      </c>
    </row>
    <row r="23" spans="1:6" ht="16.5" thickBot="1">
      <c r="A23" s="8">
        <v>23</v>
      </c>
      <c r="D23" s="12"/>
      <c r="E23" s="14">
        <f>E21+E22</f>
        <v>20036324</v>
      </c>
    </row>
    <row r="24" spans="1:6" ht="16.5" thickTop="1">
      <c r="A24" s="8">
        <v>24</v>
      </c>
      <c r="F24" s="11"/>
    </row>
    <row r="25" spans="1:6">
      <c r="A25" s="8">
        <v>25</v>
      </c>
      <c r="B25" s="123" t="s">
        <v>189</v>
      </c>
      <c r="C25" s="123"/>
      <c r="D25" s="123"/>
      <c r="E25" s="123"/>
    </row>
    <row r="26" spans="1:6">
      <c r="A26" s="8">
        <v>26</v>
      </c>
    </row>
    <row r="27" spans="1:6">
      <c r="A27" s="8">
        <v>27</v>
      </c>
      <c r="B27" s="9">
        <v>45682</v>
      </c>
      <c r="C27" s="10">
        <v>2484488</v>
      </c>
      <c r="D27" s="10">
        <v>-39044</v>
      </c>
      <c r="E27" s="10">
        <v>2445444</v>
      </c>
    </row>
    <row r="28" spans="1:6">
      <c r="A28" s="8">
        <v>28</v>
      </c>
      <c r="B28" s="9">
        <v>45713</v>
      </c>
      <c r="C28" s="10">
        <v>2501618</v>
      </c>
      <c r="D28" s="10">
        <v>-39044</v>
      </c>
      <c r="E28" s="10">
        <v>2462574</v>
      </c>
    </row>
    <row r="29" spans="1:6">
      <c r="A29" s="8">
        <v>29</v>
      </c>
      <c r="B29" s="9">
        <v>45741</v>
      </c>
      <c r="C29" s="10">
        <v>2501588</v>
      </c>
      <c r="D29" s="10">
        <v>-39044</v>
      </c>
      <c r="E29" s="10">
        <v>2462544</v>
      </c>
    </row>
    <row r="30" spans="1:6">
      <c r="A30" s="8">
        <v>30</v>
      </c>
      <c r="B30" s="9">
        <v>45772</v>
      </c>
      <c r="C30" s="10">
        <v>2501618</v>
      </c>
      <c r="D30" s="10">
        <v>-39044</v>
      </c>
      <c r="E30" s="10">
        <v>2462574</v>
      </c>
    </row>
    <row r="31" spans="1:6">
      <c r="A31" s="8">
        <v>31</v>
      </c>
      <c r="B31" s="9">
        <v>45802</v>
      </c>
      <c r="C31" s="10">
        <v>2501618</v>
      </c>
      <c r="D31" s="10">
        <v>-39044</v>
      </c>
      <c r="E31" s="10">
        <v>2462574</v>
      </c>
    </row>
    <row r="32" spans="1:6">
      <c r="A32" s="8">
        <v>32</v>
      </c>
      <c r="B32" s="9">
        <v>45833</v>
      </c>
      <c r="C32" s="12"/>
      <c r="D32" s="12"/>
      <c r="E32" s="10">
        <v>0</v>
      </c>
    </row>
    <row r="33" spans="1:5">
      <c r="A33" s="8">
        <v>33</v>
      </c>
      <c r="B33" s="9">
        <v>45863</v>
      </c>
      <c r="C33" s="12"/>
      <c r="D33" s="12"/>
      <c r="E33" s="10">
        <v>0</v>
      </c>
    </row>
    <row r="34" spans="1:5">
      <c r="A34" s="8">
        <v>34</v>
      </c>
      <c r="B34" s="9">
        <v>45894</v>
      </c>
      <c r="C34" s="12"/>
      <c r="D34" s="12"/>
      <c r="E34" s="10">
        <v>0</v>
      </c>
    </row>
    <row r="35" spans="1:5">
      <c r="A35" s="8">
        <v>35</v>
      </c>
      <c r="B35" s="9">
        <v>45925</v>
      </c>
      <c r="C35" s="12"/>
      <c r="D35" s="12"/>
      <c r="E35" s="10">
        <v>0</v>
      </c>
    </row>
    <row r="36" spans="1:5">
      <c r="A36" s="8">
        <v>36</v>
      </c>
      <c r="B36" s="9">
        <v>45955</v>
      </c>
      <c r="C36" s="12"/>
      <c r="D36" s="12"/>
      <c r="E36" s="10">
        <v>0</v>
      </c>
    </row>
    <row r="37" spans="1:5">
      <c r="A37" s="8">
        <v>37</v>
      </c>
      <c r="B37" s="9">
        <v>45986</v>
      </c>
      <c r="C37" s="12"/>
      <c r="D37" s="12"/>
      <c r="E37" s="10">
        <v>0</v>
      </c>
    </row>
    <row r="38" spans="1:5">
      <c r="A38" s="8">
        <v>38</v>
      </c>
      <c r="B38" s="9">
        <v>46016</v>
      </c>
      <c r="C38" s="15"/>
      <c r="D38" s="12"/>
      <c r="E38" s="16">
        <v>0</v>
      </c>
    </row>
    <row r="39" spans="1:5" ht="16.5" thickBot="1">
      <c r="A39" s="8">
        <v>39</v>
      </c>
      <c r="B39" s="13" t="s">
        <v>186</v>
      </c>
      <c r="C39" s="14">
        <v>12490930</v>
      </c>
      <c r="D39" s="14">
        <v>-195220</v>
      </c>
      <c r="E39" s="14">
        <v>12295711</v>
      </c>
    </row>
    <row r="40" spans="1:5" ht="16.5" thickTop="1">
      <c r="A40" s="8">
        <v>40</v>
      </c>
      <c r="B40" s="12"/>
      <c r="C40" s="12"/>
      <c r="D40" s="12"/>
      <c r="E40" s="12"/>
    </row>
    <row r="41" spans="1:5">
      <c r="A41" s="8">
        <v>41</v>
      </c>
      <c r="B41" s="12"/>
      <c r="C41" s="12"/>
      <c r="D41" s="12"/>
      <c r="E41" s="12"/>
    </row>
    <row r="42" spans="1:5">
      <c r="A42" s="8">
        <v>42</v>
      </c>
      <c r="B42" s="12"/>
      <c r="C42" s="12"/>
      <c r="D42" s="13" t="s">
        <v>187</v>
      </c>
      <c r="E42" s="10">
        <v>29509706</v>
      </c>
    </row>
    <row r="43" spans="1:5">
      <c r="A43" s="8">
        <v>43</v>
      </c>
      <c r="B43" s="12"/>
      <c r="C43" s="12"/>
      <c r="D43" s="13" t="s">
        <v>188</v>
      </c>
      <c r="E43" s="10">
        <v>-9343801</v>
      </c>
    </row>
    <row r="44" spans="1:5" ht="16.5" thickBot="1">
      <c r="A44" s="8">
        <v>44</v>
      </c>
      <c r="B44" s="12"/>
      <c r="C44" s="12"/>
      <c r="D44" s="12"/>
      <c r="E44" s="14">
        <v>20165905</v>
      </c>
    </row>
    <row r="45" spans="1:5" ht="16.5" thickTop="1"/>
  </sheetData>
  <mergeCells count="5">
    <mergeCell ref="B1:H1"/>
    <mergeCell ref="B2:H2"/>
    <mergeCell ref="B3:H3"/>
    <mergeCell ref="B25:E25"/>
    <mergeCell ref="B5:E5"/>
  </mergeCells>
  <pageMargins left="0.7" right="0.7" top="0.75" bottom="0.75" header="0.3" footer="0.3"/>
  <pageSetup scale="8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1198eab32e112d88ee73eb89ed2f82dc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9480ed946fb21b291420ccb990d1b2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B79675-0536-454C-AD46-C14440B503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BC8512-A4B3-4936-BF61-2936DE69F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027A2-FEF6-446D-B0CC-139C4C1BAE07}">
  <ds:schemaRefs>
    <ds:schemaRef ds:uri="http://schemas.microsoft.com/office/2006/metadata/properties"/>
    <ds:schemaRef ds:uri="http://schemas.microsoft.com/office/infopath/2007/PartnerControls"/>
    <ds:schemaRef ds:uri="ae06fcea-541a-49e3-952a-5eaf56d381f3"/>
    <ds:schemaRef ds:uri="daea435f-7073-4c60-9060-e78a3a9f8d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1.01</vt:lpstr>
      <vt:lpstr>1.02</vt:lpstr>
      <vt:lpstr>1.03</vt:lpstr>
      <vt:lpstr>1.04</vt:lpstr>
      <vt:lpstr>1.05</vt:lpstr>
      <vt:lpstr>1.06</vt:lpstr>
      <vt:lpstr>'1.02'!Print_Area</vt:lpstr>
      <vt:lpstr>'1.03'!Print_Area</vt:lpstr>
      <vt:lpstr>'1.05'!Print_Area</vt:lpstr>
      <vt:lpstr>Summary!Print_Area</vt:lpstr>
      <vt:lpstr>'1.03'!Print_Titles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Everly</dc:creator>
  <cp:keywords/>
  <dc:description/>
  <cp:lastModifiedBy>Jacob Watson</cp:lastModifiedBy>
  <cp:revision/>
  <dcterms:created xsi:type="dcterms:W3CDTF">2025-11-19T00:40:54Z</dcterms:created>
  <dcterms:modified xsi:type="dcterms:W3CDTF">2025-11-24T15:41:57Z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