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PSC Case 2025-00208 - Rate Case\Archive\Application (DRAFT)\"/>
    </mc:Choice>
  </mc:AlternateContent>
  <xr:revisionPtr revIDLastSave="0" documentId="13_ncr:1_{2ED80D6B-EC12-4CE4-8D0A-EE7FE624A2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 1 Adjust-Rev Inc" sheetId="1" r:id="rId1"/>
    <sheet name="Sch 1.00 - Summary" sheetId="3" r:id="rId2"/>
    <sheet name="1.01 - FAC" sheetId="4" r:id="rId3"/>
    <sheet name="1.02 - ES" sheetId="5" r:id="rId4"/>
    <sheet name="1.03 - ES Off-System" sheetId="7" r:id="rId5"/>
    <sheet name="1.04 - LTD Interest Expense" sheetId="9" r:id="rId6"/>
    <sheet name="1.05 - Interest Income" sheetId="8" r:id="rId7"/>
    <sheet name="1.06 - Wages Salaries" sheetId="28" r:id="rId8"/>
    <sheet name="1.07 - Payroll Taxes" sheetId="29" r:id="rId9"/>
    <sheet name="1.08 - Med Ins" sheetId="24" r:id="rId10"/>
    <sheet name="1.09 - Benefits" sheetId="31" r:id="rId11"/>
    <sheet name="1.10 - Misc. Employee Benefits" sheetId="17" r:id="rId12"/>
    <sheet name="1.11 - Retiree Med Ins" sheetId="37" r:id="rId13"/>
    <sheet name="1.12 - Advertising" sheetId="20" r:id="rId14"/>
    <sheet name="1.13 - Directors Expenses" sheetId="21" r:id="rId15"/>
    <sheet name="1.14 - 426 Donations" sheetId="19" r:id="rId16"/>
    <sheet name="1.15 - Lobbying" sheetId="16" r:id="rId17"/>
    <sheet name="1.16 - Touchstone" sheetId="18" r:id="rId18"/>
    <sheet name="1.17 - Non-Recur &amp; Other" sheetId="22" r:id="rId19"/>
    <sheet name="1.18 - Depreciation" sheetId="30" r:id="rId20"/>
    <sheet name="1.19 Outage Insurance" sheetId="11" r:id="rId21"/>
    <sheet name="1.20 - Forced Outage &amp; High PP" sheetId="10" r:id="rId22"/>
    <sheet name="1.21 - Insurance Expense" sheetId="15" r:id="rId23"/>
    <sheet name="1.22 - RTEP" sheetId="25" r:id="rId24"/>
    <sheet name="1.23 - Rate Case Expense" sheetId="23" r:id="rId25"/>
    <sheet name="1.24 - Remove WSE Effects" sheetId="13" r:id="rId26"/>
    <sheet name="1.25 - Remove Gen Expense" sheetId="35" r:id="rId27"/>
    <sheet name="1.26 - Generator Maint Amort" sheetId="34" r:id="rId28"/>
    <sheet name="1.27 - Gen Maint Threshold" sheetId="36" r:id="rId29"/>
    <sheet name="1.28 - Remove AROs" sheetId="38" r:id="rId30"/>
    <sheet name="1.29 - PSC Assessment" sheetId="12" r:id="rId31"/>
    <sheet name="1.30 - Revenue Increase" sheetId="6" r:id="rId32"/>
  </sheets>
  <definedNames>
    <definedName name="_xlnm.Print_Area" localSheetId="26">'1.25 - Remove Gen Expense'!$A$1:$G$45</definedName>
    <definedName name="_xlnm.Print_Area" localSheetId="27">'1.26 - Generator Maint Amort'!$A$1:$G$44</definedName>
    <definedName name="_xlnm.Print_Area" localSheetId="28">'1.27 - Gen Maint Threshold'!$A$1:$G$52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25" l="1"/>
  <c r="F19" i="38"/>
  <c r="F21" i="23"/>
  <c r="M29" i="3" l="1"/>
  <c r="M28" i="3"/>
  <c r="M27" i="3"/>
  <c r="M25" i="3"/>
  <c r="M23" i="3"/>
  <c r="M20" i="3"/>
  <c r="E62" i="37"/>
  <c r="E63" i="37"/>
  <c r="E64" i="37"/>
  <c r="E65" i="37"/>
  <c r="E66" i="37"/>
  <c r="E61" i="37"/>
  <c r="AD36" i="3" l="1"/>
  <c r="F21" i="37" l="1"/>
  <c r="A17" i="38"/>
  <c r="A18" i="38" s="1"/>
  <c r="A19" i="38" s="1"/>
  <c r="A63" i="37" l="1"/>
  <c r="A64" i="37" s="1"/>
  <c r="A65" i="37" s="1"/>
  <c r="A66" i="37" s="1"/>
  <c r="A67" i="37" s="1"/>
  <c r="A68" i="37" s="1"/>
  <c r="A59" i="37"/>
  <c r="A60" i="37"/>
  <c r="A61" i="37"/>
  <c r="A62" i="37"/>
  <c r="E44" i="37" l="1"/>
  <c r="A6" i="38"/>
  <c r="A7" i="38" s="1"/>
  <c r="A8" i="38" s="1"/>
  <c r="A9" i="38" s="1"/>
  <c r="A10" i="38" s="1"/>
  <c r="A11" i="38" s="1"/>
  <c r="A12" i="38" s="1"/>
  <c r="A13" i="38" s="1"/>
  <c r="A2" i="38"/>
  <c r="A3" i="38" s="1"/>
  <c r="A4" i="38" s="1"/>
  <c r="A5" i="38" s="1"/>
  <c r="A14" i="38" l="1"/>
  <c r="A15" i="38" s="1"/>
  <c r="A16" i="38" s="1"/>
  <c r="D30" i="37" l="1"/>
  <c r="E30" i="37" s="1"/>
  <c r="D31" i="37"/>
  <c r="E31" i="37" s="1"/>
  <c r="D32" i="37"/>
  <c r="E32" i="37" s="1"/>
  <c r="D33" i="37"/>
  <c r="E33" i="37" s="1"/>
  <c r="D34" i="37"/>
  <c r="E34" i="37" s="1"/>
  <c r="D35" i="37"/>
  <c r="E35" i="37" s="1"/>
  <c r="D36" i="37"/>
  <c r="E36" i="37" s="1"/>
  <c r="D37" i="37"/>
  <c r="E37" i="37" s="1"/>
  <c r="D38" i="37"/>
  <c r="E38" i="37" s="1"/>
  <c r="D39" i="37"/>
  <c r="E39" i="37" s="1"/>
  <c r="D40" i="37"/>
  <c r="E40" i="37" s="1"/>
  <c r="D41" i="37"/>
  <c r="E41" i="37" s="1"/>
  <c r="D42" i="37"/>
  <c r="E42" i="37" s="1"/>
  <c r="D43" i="37"/>
  <c r="E43" i="37" s="1"/>
  <c r="D29" i="37"/>
  <c r="E29" i="37" s="1"/>
  <c r="F23" i="37"/>
  <c r="A2" i="37"/>
  <c r="A3" i="37" s="1"/>
  <c r="A4" i="37" s="1"/>
  <c r="A5" i="37" s="1"/>
  <c r="A6" i="37" s="1"/>
  <c r="A7" i="37" s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F44" i="37" l="1"/>
  <c r="F35" i="37"/>
  <c r="F36" i="37"/>
  <c r="F39" i="37"/>
  <c r="F40" i="37"/>
  <c r="F29" i="37"/>
  <c r="F31" i="37"/>
  <c r="F32" i="37"/>
  <c r="F33" i="37"/>
  <c r="F34" i="37"/>
  <c r="F37" i="37"/>
  <c r="F38" i="37"/>
  <c r="F42" i="37"/>
  <c r="F30" i="37"/>
  <c r="F41" i="37"/>
  <c r="F43" i="37"/>
  <c r="E55" i="37"/>
  <c r="E52" i="37"/>
  <c r="E51" i="37"/>
  <c r="E50" i="37"/>
  <c r="E53" i="37"/>
  <c r="E54" i="37"/>
  <c r="A25" i="37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A43" i="37" s="1"/>
  <c r="A44" i="37" s="1"/>
  <c r="A45" i="37" s="1"/>
  <c r="A46" i="37" s="1"/>
  <c r="A47" i="37" s="1"/>
  <c r="A48" i="37" s="1"/>
  <c r="A49" i="37" s="1"/>
  <c r="A50" i="37" s="1"/>
  <c r="A51" i="37" s="1"/>
  <c r="A52" i="37" s="1"/>
  <c r="A53" i="37" s="1"/>
  <c r="A54" i="37" s="1"/>
  <c r="A55" i="37" s="1"/>
  <c r="A56" i="37" s="1"/>
  <c r="A57" i="37" s="1"/>
  <c r="A58" i="37" s="1"/>
  <c r="E46" i="37"/>
  <c r="F53" i="37" l="1"/>
  <c r="F55" i="37"/>
  <c r="F50" i="37"/>
  <c r="F52" i="37"/>
  <c r="F51" i="37"/>
  <c r="F54" i="37"/>
  <c r="F46" i="37"/>
  <c r="E57" i="37"/>
  <c r="D38" i="3"/>
  <c r="F57" i="37" l="1"/>
  <c r="E38" i="25"/>
  <c r="D38" i="25"/>
  <c r="E68" i="37" l="1"/>
  <c r="A15" i="36"/>
  <c r="A16" i="36" s="1"/>
  <c r="A17" i="36" s="1"/>
  <c r="C23" i="4" l="1"/>
  <c r="C22" i="4"/>
  <c r="C21" i="4"/>
  <c r="C20" i="4"/>
  <c r="C19" i="4"/>
  <c r="C18" i="4"/>
  <c r="C17" i="4"/>
  <c r="C16" i="4"/>
  <c r="C15" i="4"/>
  <c r="C14" i="4"/>
  <c r="C13" i="4"/>
  <c r="C12" i="4"/>
  <c r="F29" i="36" l="1"/>
  <c r="E29" i="36"/>
  <c r="G29" i="36" s="1"/>
  <c r="G28" i="36"/>
  <c r="F28" i="36"/>
  <c r="F32" i="36" s="1"/>
  <c r="E28" i="36"/>
  <c r="D28" i="36"/>
  <c r="D32" i="36" s="1"/>
  <c r="D36" i="36" s="1"/>
  <c r="A2" i="36"/>
  <c r="A3" i="36" s="1"/>
  <c r="A4" i="36" s="1"/>
  <c r="A5" i="36" s="1"/>
  <c r="A6" i="36" s="1"/>
  <c r="A7" i="36" s="1"/>
  <c r="A8" i="36" s="1"/>
  <c r="A9" i="36" s="1"/>
  <c r="A10" i="36" s="1"/>
  <c r="A11" i="36" s="1"/>
  <c r="A12" i="36" s="1"/>
  <c r="A13" i="36" s="1"/>
  <c r="A24" i="35"/>
  <c r="A25" i="35" s="1"/>
  <c r="A26" i="35" s="1"/>
  <c r="A27" i="35" s="1"/>
  <c r="A28" i="35" s="1"/>
  <c r="A24" i="34"/>
  <c r="A25" i="34"/>
  <c r="A26" i="34"/>
  <c r="A27" i="34" s="1"/>
  <c r="A28" i="34" s="1"/>
  <c r="A29" i="34" s="1"/>
  <c r="A30" i="34" s="1"/>
  <c r="D23" i="35"/>
  <c r="D27" i="35" s="1"/>
  <c r="D31" i="35" s="1"/>
  <c r="D34" i="35" s="1"/>
  <c r="A2" i="35"/>
  <c r="A3" i="35" s="1"/>
  <c r="A4" i="35" s="1"/>
  <c r="A5" i="35" s="1"/>
  <c r="A6" i="35" s="1"/>
  <c r="A7" i="35" s="1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14" i="36" l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49" i="36" s="1"/>
  <c r="A50" i="36" s="1"/>
  <c r="A51" i="36" s="1"/>
  <c r="A52" i="36" s="1"/>
  <c r="E32" i="36"/>
  <c r="D39" i="36"/>
  <c r="D40" i="36" s="1"/>
  <c r="G32" i="36"/>
  <c r="D37" i="35"/>
  <c r="D39" i="35" s="1"/>
  <c r="AA31" i="3" s="1"/>
  <c r="A29" i="35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E36" i="36" l="1"/>
  <c r="D42" i="36"/>
  <c r="D44" i="36" s="1"/>
  <c r="D47" i="36" s="1"/>
  <c r="D48" i="36" s="1"/>
  <c r="D50" i="36" s="1"/>
  <c r="D52" i="36" s="1"/>
  <c r="AC31" i="3" s="1"/>
  <c r="E39" i="36" l="1"/>
  <c r="E40" i="36" s="1"/>
  <c r="F77" i="4" l="1"/>
  <c r="D95" i="4" s="1"/>
  <c r="A18" i="20" l="1"/>
  <c r="A19" i="20" s="1"/>
  <c r="A20" i="20" s="1"/>
  <c r="A21" i="20" s="1"/>
  <c r="A22" i="20" s="1"/>
  <c r="A23" i="20" s="1"/>
  <c r="A24" i="20" s="1"/>
  <c r="A25" i="20" s="1"/>
  <c r="E16" i="20"/>
  <c r="C52" i="1" l="1"/>
  <c r="H203" i="9" l="1"/>
  <c r="F21" i="30" l="1"/>
  <c r="F20" i="30"/>
  <c r="F19" i="30"/>
  <c r="F18" i="30"/>
  <c r="F17" i="30"/>
  <c r="F16" i="30"/>
  <c r="G31" i="15"/>
  <c r="G30" i="15"/>
  <c r="G29" i="15"/>
  <c r="G15" i="15"/>
  <c r="G16" i="15"/>
  <c r="G17" i="15"/>
  <c r="G18" i="15"/>
  <c r="G19" i="15"/>
  <c r="G20" i="15"/>
  <c r="G21" i="15"/>
  <c r="G22" i="15"/>
  <c r="G23" i="15"/>
  <c r="G14" i="15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19" i="24"/>
  <c r="F20" i="29"/>
  <c r="F21" i="29"/>
  <c r="F22" i="29"/>
  <c r="F23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F36" i="29"/>
  <c r="F19" i="29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19" i="28"/>
  <c r="G23" i="13"/>
  <c r="C12" i="1"/>
  <c r="C25" i="4" l="1"/>
  <c r="A22" i="24" l="1"/>
  <c r="A23" i="24"/>
  <c r="A24" i="24" s="1"/>
  <c r="A25" i="24" s="1"/>
  <c r="F38" i="30"/>
  <c r="F37" i="30"/>
  <c r="F36" i="30"/>
  <c r="F35" i="30"/>
  <c r="Z14" i="3" l="1"/>
  <c r="F34" i="30"/>
  <c r="F33" i="30"/>
  <c r="D38" i="30" l="1"/>
  <c r="D21" i="30"/>
  <c r="D19" i="30"/>
  <c r="D18" i="30"/>
  <c r="G24" i="15" l="1"/>
  <c r="A21" i="15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D33" i="29" l="1"/>
  <c r="D34" i="29"/>
  <c r="D32" i="28" l="1"/>
  <c r="G23" i="34" l="1"/>
  <c r="F24" i="34" l="1"/>
  <c r="D23" i="34"/>
  <c r="D27" i="34" s="1"/>
  <c r="D31" i="34" s="1"/>
  <c r="D34" i="34" s="1"/>
  <c r="E23" i="34"/>
  <c r="F23" i="34"/>
  <c r="F27" i="34" s="1"/>
  <c r="E24" i="34" l="1"/>
  <c r="G24" i="34" s="1"/>
  <c r="G27" i="34" s="1"/>
  <c r="E27" i="34" l="1"/>
  <c r="E31" i="34" s="1"/>
  <c r="E34" i="34" s="1"/>
  <c r="D36" i="34" l="1"/>
  <c r="E38" i="34"/>
  <c r="D38" i="34" l="1"/>
  <c r="D42" i="34" s="1"/>
  <c r="D44" i="34" s="1"/>
  <c r="AB31" i="3" l="1"/>
  <c r="U47" i="3"/>
  <c r="G19" i="11"/>
  <c r="G21" i="11" s="1"/>
  <c r="A12" i="11"/>
  <c r="A13" i="11"/>
  <c r="A14" i="11" s="1"/>
  <c r="A15" i="11" s="1"/>
  <c r="A15" i="22" l="1"/>
  <c r="A16" i="22" s="1"/>
  <c r="A17" i="22" s="1"/>
  <c r="A18" i="22" s="1"/>
  <c r="A19" i="22" s="1"/>
  <c r="A20" i="22" s="1"/>
  <c r="A21" i="22" s="1"/>
  <c r="R29" i="3" l="1"/>
  <c r="R27" i="3"/>
  <c r="G20" i="13" l="1"/>
  <c r="G19" i="13"/>
  <c r="G18" i="13"/>
  <c r="A20" i="13"/>
  <c r="A21" i="13" s="1"/>
  <c r="A22" i="13" s="1"/>
  <c r="A23" i="13" s="1"/>
  <c r="G16" i="13"/>
  <c r="G21" i="13" l="1"/>
  <c r="A42" i="10" l="1"/>
  <c r="A43" i="10"/>
  <c r="A44" i="10"/>
  <c r="A45" i="10"/>
  <c r="A46" i="10"/>
  <c r="A47" i="10"/>
  <c r="A48" i="10"/>
  <c r="A49" i="10"/>
  <c r="A50" i="10"/>
  <c r="A51" i="10"/>
  <c r="A52" i="10"/>
  <c r="F41" i="10" l="1"/>
  <c r="F44" i="10" s="1"/>
  <c r="F58" i="10" s="1"/>
  <c r="D41" i="10"/>
  <c r="D44" i="10" s="1"/>
  <c r="D58" i="10" s="1"/>
  <c r="F29" i="10" l="1"/>
  <c r="D29" i="10"/>
  <c r="E17" i="20" l="1"/>
  <c r="A36" i="8" l="1"/>
  <c r="A37" i="8" s="1"/>
  <c r="A38" i="8" s="1"/>
  <c r="A39" i="8" s="1"/>
  <c r="A40" i="8" s="1"/>
  <c r="A41" i="8" s="1"/>
  <c r="A42" i="8" s="1"/>
  <c r="G23" i="8"/>
  <c r="G22" i="8"/>
  <c r="G21" i="8"/>
  <c r="G18" i="8"/>
  <c r="G17" i="8"/>
  <c r="G16" i="8"/>
  <c r="G13" i="8"/>
  <c r="G11" i="8"/>
  <c r="F69" i="8"/>
  <c r="G69" i="8" s="1"/>
  <c r="F23" i="8" s="1"/>
  <c r="H23" i="8" s="1"/>
  <c r="F68" i="8"/>
  <c r="G68" i="8" s="1"/>
  <c r="F22" i="8" s="1"/>
  <c r="H22" i="8" s="1"/>
  <c r="F67" i="8"/>
  <c r="G67" i="8" s="1"/>
  <c r="F21" i="8" s="1"/>
  <c r="H21" i="8" s="1"/>
  <c r="F64" i="8"/>
  <c r="G64" i="8" s="1"/>
  <c r="F17" i="8" s="1"/>
  <c r="H17" i="8" s="1"/>
  <c r="G62" i="8"/>
  <c r="F60" i="8"/>
  <c r="G60" i="8" s="1"/>
  <c r="F11" i="8" s="1"/>
  <c r="H11" i="8" s="1"/>
  <c r="G211" i="9"/>
  <c r="G208" i="9"/>
  <c r="G199" i="9"/>
  <c r="F199" i="9"/>
  <c r="H195" i="9"/>
  <c r="C195" i="9"/>
  <c r="G193" i="9"/>
  <c r="F193" i="9"/>
  <c r="G192" i="9"/>
  <c r="F192" i="9"/>
  <c r="G191" i="9"/>
  <c r="F191" i="9"/>
  <c r="G190" i="9"/>
  <c r="F190" i="9"/>
  <c r="G189" i="9"/>
  <c r="F189" i="9"/>
  <c r="G188" i="9"/>
  <c r="F188" i="9"/>
  <c r="G187" i="9"/>
  <c r="F187" i="9"/>
  <c r="G186" i="9"/>
  <c r="F186" i="9"/>
  <c r="G185" i="9"/>
  <c r="F185" i="9"/>
  <c r="G184" i="9"/>
  <c r="F184" i="9"/>
  <c r="G183" i="9"/>
  <c r="F183" i="9"/>
  <c r="G182" i="9"/>
  <c r="F182" i="9"/>
  <c r="G181" i="9"/>
  <c r="F181" i="9"/>
  <c r="G180" i="9"/>
  <c r="F180" i="9"/>
  <c r="G179" i="9"/>
  <c r="F179" i="9"/>
  <c r="G178" i="9"/>
  <c r="F178" i="9"/>
  <c r="G177" i="9"/>
  <c r="F177" i="9"/>
  <c r="G176" i="9"/>
  <c r="F176" i="9"/>
  <c r="G175" i="9"/>
  <c r="F175" i="9"/>
  <c r="G174" i="9"/>
  <c r="F174" i="9"/>
  <c r="G173" i="9"/>
  <c r="F173" i="9"/>
  <c r="G172" i="9"/>
  <c r="F172" i="9"/>
  <c r="G171" i="9"/>
  <c r="F171" i="9"/>
  <c r="G170" i="9"/>
  <c r="F170" i="9"/>
  <c r="G169" i="9"/>
  <c r="F169" i="9"/>
  <c r="G168" i="9"/>
  <c r="F168" i="9"/>
  <c r="G167" i="9"/>
  <c r="F167" i="9"/>
  <c r="G166" i="9"/>
  <c r="F166" i="9"/>
  <c r="G165" i="9"/>
  <c r="F165" i="9"/>
  <c r="G164" i="9"/>
  <c r="F164" i="9"/>
  <c r="G163" i="9"/>
  <c r="F163" i="9"/>
  <c r="G162" i="9"/>
  <c r="F162" i="9"/>
  <c r="G161" i="9"/>
  <c r="F161" i="9"/>
  <c r="G160" i="9"/>
  <c r="F160" i="9"/>
  <c r="G159" i="9"/>
  <c r="F159" i="9"/>
  <c r="G158" i="9"/>
  <c r="F158" i="9"/>
  <c r="G157" i="9"/>
  <c r="F157" i="9"/>
  <c r="G156" i="9"/>
  <c r="F156" i="9"/>
  <c r="G155" i="9"/>
  <c r="F155" i="9"/>
  <c r="G154" i="9"/>
  <c r="F154" i="9"/>
  <c r="G153" i="9"/>
  <c r="F153" i="9"/>
  <c r="G152" i="9"/>
  <c r="F152" i="9"/>
  <c r="G151" i="9"/>
  <c r="F151" i="9"/>
  <c r="G150" i="9"/>
  <c r="F150" i="9"/>
  <c r="G149" i="9"/>
  <c r="F149" i="9"/>
  <c r="G148" i="9"/>
  <c r="F148" i="9"/>
  <c r="G147" i="9"/>
  <c r="F147" i="9"/>
  <c r="G146" i="9"/>
  <c r="F146" i="9"/>
  <c r="G145" i="9"/>
  <c r="F145" i="9"/>
  <c r="G144" i="9"/>
  <c r="F144" i="9"/>
  <c r="G143" i="9"/>
  <c r="F143" i="9"/>
  <c r="G142" i="9"/>
  <c r="F142" i="9"/>
  <c r="G141" i="9"/>
  <c r="F141" i="9"/>
  <c r="G140" i="9"/>
  <c r="F140" i="9"/>
  <c r="G139" i="9"/>
  <c r="F139" i="9"/>
  <c r="G138" i="9"/>
  <c r="F138" i="9"/>
  <c r="G137" i="9"/>
  <c r="F137" i="9"/>
  <c r="G136" i="9"/>
  <c r="F136" i="9"/>
  <c r="G135" i="9"/>
  <c r="F135" i="9"/>
  <c r="G134" i="9"/>
  <c r="F134" i="9"/>
  <c r="G133" i="9"/>
  <c r="F133" i="9"/>
  <c r="G132" i="9"/>
  <c r="F132" i="9"/>
  <c r="G131" i="9"/>
  <c r="F131" i="9"/>
  <c r="G130" i="9"/>
  <c r="F130" i="9"/>
  <c r="G129" i="9"/>
  <c r="F129" i="9"/>
  <c r="G128" i="9"/>
  <c r="F128" i="9"/>
  <c r="G127" i="9"/>
  <c r="F127" i="9"/>
  <c r="G126" i="9"/>
  <c r="F126" i="9"/>
  <c r="G125" i="9"/>
  <c r="F125" i="9"/>
  <c r="G124" i="9"/>
  <c r="F124" i="9"/>
  <c r="G123" i="9"/>
  <c r="F123" i="9"/>
  <c r="G122" i="9"/>
  <c r="F122" i="9"/>
  <c r="G121" i="9"/>
  <c r="F121" i="9"/>
  <c r="G120" i="9"/>
  <c r="F120" i="9"/>
  <c r="G119" i="9"/>
  <c r="F119" i="9"/>
  <c r="G118" i="9"/>
  <c r="F118" i="9"/>
  <c r="G117" i="9"/>
  <c r="F117" i="9"/>
  <c r="G116" i="9"/>
  <c r="F116" i="9"/>
  <c r="G115" i="9"/>
  <c r="F115" i="9"/>
  <c r="G114" i="9"/>
  <c r="F114" i="9"/>
  <c r="G113" i="9"/>
  <c r="F113" i="9"/>
  <c r="G112" i="9"/>
  <c r="F112" i="9"/>
  <c r="G111" i="9"/>
  <c r="F111" i="9"/>
  <c r="G110" i="9"/>
  <c r="F110" i="9"/>
  <c r="G109" i="9"/>
  <c r="F109" i="9"/>
  <c r="G108" i="9"/>
  <c r="F108" i="9"/>
  <c r="G107" i="9"/>
  <c r="F107" i="9"/>
  <c r="G106" i="9"/>
  <c r="F106" i="9"/>
  <c r="G105" i="9"/>
  <c r="F105" i="9"/>
  <c r="G104" i="9"/>
  <c r="F104" i="9"/>
  <c r="G103" i="9"/>
  <c r="F103" i="9"/>
  <c r="G102" i="9"/>
  <c r="F102" i="9"/>
  <c r="G101" i="9"/>
  <c r="F101" i="9"/>
  <c r="G100" i="9"/>
  <c r="F100" i="9"/>
  <c r="G99" i="9"/>
  <c r="F99" i="9"/>
  <c r="G98" i="9"/>
  <c r="F98" i="9"/>
  <c r="G97" i="9"/>
  <c r="F97" i="9"/>
  <c r="G96" i="9"/>
  <c r="F96" i="9"/>
  <c r="G95" i="9"/>
  <c r="F95" i="9"/>
  <c r="G94" i="9"/>
  <c r="F94" i="9"/>
  <c r="G93" i="9"/>
  <c r="F93" i="9"/>
  <c r="G92" i="9"/>
  <c r="F92" i="9"/>
  <c r="G91" i="9"/>
  <c r="F91" i="9"/>
  <c r="G90" i="9"/>
  <c r="F90" i="9"/>
  <c r="G89" i="9"/>
  <c r="F89" i="9"/>
  <c r="G88" i="9"/>
  <c r="F88" i="9"/>
  <c r="G87" i="9"/>
  <c r="F87" i="9"/>
  <c r="G86" i="9"/>
  <c r="F86" i="9"/>
  <c r="G85" i="9"/>
  <c r="F85" i="9"/>
  <c r="G84" i="9"/>
  <c r="F84" i="9"/>
  <c r="G83" i="9"/>
  <c r="F83" i="9"/>
  <c r="G82" i="9"/>
  <c r="F82" i="9"/>
  <c r="G81" i="9"/>
  <c r="F81" i="9"/>
  <c r="G80" i="9"/>
  <c r="F80" i="9"/>
  <c r="G79" i="9"/>
  <c r="F79" i="9"/>
  <c r="G78" i="9"/>
  <c r="F78" i="9"/>
  <c r="G77" i="9"/>
  <c r="F77" i="9"/>
  <c r="G76" i="9"/>
  <c r="F76" i="9"/>
  <c r="G75" i="9"/>
  <c r="F75" i="9"/>
  <c r="G74" i="9"/>
  <c r="F74" i="9"/>
  <c r="G73" i="9"/>
  <c r="F73" i="9"/>
  <c r="G72" i="9"/>
  <c r="F72" i="9"/>
  <c r="G71" i="9"/>
  <c r="F71" i="9"/>
  <c r="G70" i="9"/>
  <c r="F70" i="9"/>
  <c r="G69" i="9"/>
  <c r="F69" i="9"/>
  <c r="G68" i="9"/>
  <c r="F68" i="9"/>
  <c r="G67" i="9"/>
  <c r="F67" i="9"/>
  <c r="G66" i="9"/>
  <c r="F66" i="9"/>
  <c r="G65" i="9"/>
  <c r="F65" i="9"/>
  <c r="G64" i="9"/>
  <c r="F64" i="9"/>
  <c r="G63" i="9"/>
  <c r="F63" i="9"/>
  <c r="G62" i="9"/>
  <c r="F62" i="9"/>
  <c r="G61" i="9"/>
  <c r="F61" i="9"/>
  <c r="G60" i="9"/>
  <c r="F60" i="9"/>
  <c r="G59" i="9"/>
  <c r="F59" i="9"/>
  <c r="G58" i="9"/>
  <c r="F58" i="9"/>
  <c r="G57" i="9"/>
  <c r="F57" i="9"/>
  <c r="G56" i="9"/>
  <c r="F56" i="9"/>
  <c r="G55" i="9"/>
  <c r="F55" i="9"/>
  <c r="G54" i="9"/>
  <c r="F54" i="9"/>
  <c r="G53" i="9"/>
  <c r="F53" i="9"/>
  <c r="G52" i="9"/>
  <c r="F52" i="9"/>
  <c r="G51" i="9"/>
  <c r="F51" i="9"/>
  <c r="G50" i="9"/>
  <c r="F50" i="9"/>
  <c r="G49" i="9"/>
  <c r="F49" i="9"/>
  <c r="G48" i="9"/>
  <c r="F48" i="9"/>
  <c r="G47" i="9"/>
  <c r="F47" i="9"/>
  <c r="G46" i="9"/>
  <c r="F46" i="9"/>
  <c r="G45" i="9"/>
  <c r="F45" i="9"/>
  <c r="G44" i="9"/>
  <c r="F44" i="9"/>
  <c r="G43" i="9"/>
  <c r="F43" i="9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G195" i="9" s="1"/>
  <c r="F29" i="9"/>
  <c r="F195" i="9" s="1"/>
  <c r="H25" i="9"/>
  <c r="C25" i="9"/>
  <c r="G23" i="9"/>
  <c r="F23" i="9"/>
  <c r="G22" i="9"/>
  <c r="F22" i="9"/>
  <c r="G21" i="9"/>
  <c r="F21" i="9"/>
  <c r="G20" i="9"/>
  <c r="F20" i="9"/>
  <c r="F25" i="9" s="1"/>
  <c r="H16" i="9"/>
  <c r="H197" i="9" s="1"/>
  <c r="H201" i="9" s="1"/>
  <c r="G210" i="9" s="1"/>
  <c r="H212" i="9" s="1"/>
  <c r="C16" i="9"/>
  <c r="C197" i="9" s="1"/>
  <c r="C201" i="9" s="1"/>
  <c r="G14" i="9"/>
  <c r="F14" i="9"/>
  <c r="F16" i="9" s="1"/>
  <c r="G13" i="9"/>
  <c r="F13" i="9"/>
  <c r="G12" i="9"/>
  <c r="F12" i="9"/>
  <c r="F16" i="8" l="1"/>
  <c r="H16" i="8" s="1"/>
  <c r="F18" i="8"/>
  <c r="H18" i="8" s="1"/>
  <c r="G25" i="9"/>
  <c r="G16" i="9"/>
  <c r="G197" i="9"/>
  <c r="G201" i="9" s="1"/>
  <c r="G207" i="9" s="1"/>
  <c r="H209" i="9" s="1"/>
  <c r="H213" i="9" s="1"/>
  <c r="F38" i="3" s="1"/>
  <c r="F197" i="9"/>
  <c r="F201" i="9" s="1"/>
  <c r="A2" i="34"/>
  <c r="A3" i="34" s="1"/>
  <c r="A4" i="34" l="1"/>
  <c r="A5" i="34" s="1"/>
  <c r="A6" i="34" s="1"/>
  <c r="A7" i="34" s="1"/>
  <c r="A8" i="34" l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9" i="16"/>
  <c r="A10" i="16"/>
  <c r="A11" i="16"/>
  <c r="A12" i="16" s="1"/>
  <c r="A13" i="16" s="1"/>
  <c r="A14" i="16" s="1"/>
  <c r="A15" i="16" s="1"/>
  <c r="A16" i="16" s="1"/>
  <c r="A17" i="16" s="1"/>
  <c r="A18" i="16" s="1"/>
  <c r="A19" i="16" s="1"/>
  <c r="C44" i="1" l="1"/>
  <c r="G30" i="5" l="1"/>
  <c r="A14" i="17" l="1"/>
  <c r="A15" i="17"/>
  <c r="A16" i="17"/>
  <c r="A17" i="17"/>
  <c r="A18" i="17"/>
  <c r="A19" i="17"/>
  <c r="A20" i="17"/>
  <c r="A21" i="17"/>
  <c r="A22" i="17"/>
  <c r="A23" i="17"/>
  <c r="A24" i="17"/>
  <c r="A25" i="17"/>
  <c r="A26" i="17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E29" i="29" l="1"/>
  <c r="E27" i="29"/>
  <c r="E25" i="29"/>
  <c r="E23" i="29"/>
  <c r="E22" i="29"/>
  <c r="E21" i="29"/>
  <c r="E20" i="29"/>
  <c r="E19" i="29"/>
  <c r="A24" i="29" l="1"/>
  <c r="A25" i="29"/>
  <c r="A26" i="29" s="1"/>
  <c r="A27" i="29" s="1"/>
  <c r="D22" i="29"/>
  <c r="A26" i="28" l="1"/>
  <c r="A27" i="28" s="1"/>
  <c r="A28" i="28" s="1"/>
  <c r="A29" i="28" s="1"/>
  <c r="E83" i="4" l="1"/>
  <c r="E33" i="4" l="1"/>
  <c r="E64" i="4"/>
  <c r="E65" i="4"/>
  <c r="E66" i="4"/>
  <c r="E67" i="4"/>
  <c r="E68" i="4"/>
  <c r="E69" i="4"/>
  <c r="E70" i="4"/>
  <c r="E71" i="4"/>
  <c r="E72" i="4"/>
  <c r="E73" i="4"/>
  <c r="E74" i="4"/>
  <c r="E75" i="4"/>
  <c r="G42" i="8" l="1"/>
  <c r="G41" i="8"/>
  <c r="G40" i="8"/>
  <c r="G37" i="8"/>
  <c r="G36" i="8"/>
  <c r="G35" i="8"/>
  <c r="G34" i="8"/>
  <c r="G33" i="8"/>
  <c r="G29" i="8"/>
  <c r="G28" i="8"/>
  <c r="G27" i="8"/>
  <c r="G26" i="8"/>
  <c r="I45" i="8"/>
  <c r="F13" i="31" l="1"/>
  <c r="F25" i="31" s="1"/>
  <c r="F34" i="31" l="1"/>
  <c r="E46" i="31" s="1"/>
  <c r="K29" i="3" s="1"/>
  <c r="F24" i="31"/>
  <c r="F28" i="31"/>
  <c r="F29" i="31"/>
  <c r="E41" i="31" s="1"/>
  <c r="K20" i="3" s="1"/>
  <c r="F30" i="31"/>
  <c r="E42" i="31" s="1"/>
  <c r="K23" i="3" s="1"/>
  <c r="F31" i="31"/>
  <c r="E43" i="31" s="1"/>
  <c r="K25" i="3" s="1"/>
  <c r="F33" i="31"/>
  <c r="E45" i="31" s="1"/>
  <c r="K28" i="3" s="1"/>
  <c r="F32" i="31"/>
  <c r="E44" i="31" s="1"/>
  <c r="K27" i="3" s="1"/>
  <c r="F27" i="31"/>
  <c r="F20" i="31"/>
  <c r="F21" i="31"/>
  <c r="F22" i="31"/>
  <c r="F23" i="31"/>
  <c r="F26" i="31"/>
  <c r="E48" i="31" l="1"/>
  <c r="F37" i="31"/>
  <c r="A2" i="31"/>
  <c r="A3" i="31" s="1"/>
  <c r="A4" i="31" s="1"/>
  <c r="A5" i="31" s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l="1"/>
  <c r="E52" i="30"/>
  <c r="E51" i="30"/>
  <c r="E50" i="30"/>
  <c r="E49" i="30"/>
  <c r="E40" i="30"/>
  <c r="E48" i="30"/>
  <c r="E47" i="30"/>
  <c r="D40" i="30"/>
  <c r="D50" i="30"/>
  <c r="E23" i="30"/>
  <c r="D52" i="30"/>
  <c r="D51" i="30"/>
  <c r="D49" i="30"/>
  <c r="D23" i="30"/>
  <c r="A2" i="30"/>
  <c r="A3" i="30" s="1"/>
  <c r="A4" i="30" s="1"/>
  <c r="A5" i="30" s="1"/>
  <c r="A6" i="30" s="1"/>
  <c r="A7" i="30" s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F49" i="30" l="1"/>
  <c r="A25" i="31"/>
  <c r="D47" i="30"/>
  <c r="F50" i="30"/>
  <c r="D48" i="30"/>
  <c r="F48" i="30" s="1"/>
  <c r="F52" i="30"/>
  <c r="F51" i="30"/>
  <c r="E54" i="30"/>
  <c r="F40" i="30"/>
  <c r="D54" i="30" l="1"/>
  <c r="F47" i="30"/>
  <c r="F54" i="30" s="1"/>
  <c r="F56" i="30" s="1"/>
  <c r="T36" i="3" s="1"/>
  <c r="F23" i="30"/>
  <c r="E38" i="29" l="1"/>
  <c r="E49" i="29"/>
  <c r="I29" i="3" s="1"/>
  <c r="E48" i="29"/>
  <c r="I28" i="3" s="1"/>
  <c r="E47" i="29"/>
  <c r="I27" i="3" s="1"/>
  <c r="E46" i="29"/>
  <c r="I25" i="3" s="1"/>
  <c r="E45" i="29"/>
  <c r="I23" i="3" s="1"/>
  <c r="D38" i="29"/>
  <c r="F16" i="29"/>
  <c r="E44" i="29" l="1"/>
  <c r="F38" i="29" l="1"/>
  <c r="F40" i="29" s="1"/>
  <c r="E51" i="29"/>
  <c r="F51" i="29" s="1"/>
  <c r="I20" i="3"/>
  <c r="A2" i="29"/>
  <c r="A3" i="29" s="1"/>
  <c r="A4" i="29" s="1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E51" i="28"/>
  <c r="H29" i="3" s="1"/>
  <c r="E50" i="28"/>
  <c r="H28" i="3" s="1"/>
  <c r="E49" i="28"/>
  <c r="H27" i="3" s="1"/>
  <c r="E48" i="28"/>
  <c r="H25" i="3" s="1"/>
  <c r="E47" i="28"/>
  <c r="H23" i="3" s="1"/>
  <c r="E40" i="28"/>
  <c r="D40" i="28"/>
  <c r="F16" i="28"/>
  <c r="A2" i="28"/>
  <c r="A3" i="28" s="1"/>
  <c r="A4" i="28" s="1"/>
  <c r="A5" i="28" s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l="1"/>
  <c r="A24" i="28" s="1"/>
  <c r="A25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28" i="29"/>
  <c r="A29" i="29" s="1"/>
  <c r="E46" i="28"/>
  <c r="A30" i="29" l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E53" i="28"/>
  <c r="F53" i="28" s="1"/>
  <c r="H20" i="3"/>
  <c r="F40" i="28"/>
  <c r="F42" i="28" s="1"/>
  <c r="E35" i="25" l="1"/>
  <c r="D35" i="25"/>
  <c r="F34" i="25"/>
  <c r="F33" i="25"/>
  <c r="F32" i="25"/>
  <c r="F31" i="25"/>
  <c r="F30" i="25"/>
  <c r="F29" i="25"/>
  <c r="E27" i="25"/>
  <c r="E40" i="25" s="1"/>
  <c r="F26" i="25"/>
  <c r="F25" i="25"/>
  <c r="F24" i="25"/>
  <c r="F23" i="25"/>
  <c r="F22" i="25"/>
  <c r="F21" i="25"/>
  <c r="F20" i="25"/>
  <c r="F19" i="25"/>
  <c r="F18" i="25"/>
  <c r="F17" i="25"/>
  <c r="F16" i="25"/>
  <c r="F15" i="25"/>
  <c r="F35" i="25" l="1"/>
  <c r="F38" i="25" s="1"/>
  <c r="E42" i="25"/>
  <c r="D27" i="25" l="1"/>
  <c r="D40" i="25" s="1"/>
  <c r="D42" i="25" s="1"/>
  <c r="F27" i="25" l="1"/>
  <c r="A2" i="25"/>
  <c r="A3" i="25" s="1"/>
  <c r="A4" i="25" s="1"/>
  <c r="A5" i="25" s="1"/>
  <c r="A6" i="25" s="1"/>
  <c r="A7" i="25" s="1"/>
  <c r="A8" i="25" s="1"/>
  <c r="A9" i="25" s="1"/>
  <c r="E37" i="24"/>
  <c r="D37" i="24"/>
  <c r="E48" i="24"/>
  <c r="J29" i="3" s="1"/>
  <c r="E47" i="24"/>
  <c r="J28" i="3" s="1"/>
  <c r="E46" i="24"/>
  <c r="J27" i="3" s="1"/>
  <c r="E45" i="24"/>
  <c r="J25" i="3" s="1"/>
  <c r="E44" i="24"/>
  <c r="J23" i="3" s="1"/>
  <c r="F16" i="24"/>
  <c r="A2" i="24"/>
  <c r="A3" i="24" s="1"/>
  <c r="A4" i="24" s="1"/>
  <c r="A5" i="24" s="1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6" i="24" s="1"/>
  <c r="A27" i="24" s="1"/>
  <c r="A28" i="24" s="1"/>
  <c r="A29" i="24" s="1"/>
  <c r="A30" i="24" s="1"/>
  <c r="A31" i="24" l="1"/>
  <c r="A32" i="24" s="1"/>
  <c r="A33" i="24" s="1"/>
  <c r="A34" i="24" s="1"/>
  <c r="A35" i="24" s="1"/>
  <c r="A36" i="24" s="1"/>
  <c r="F40" i="25"/>
  <c r="A10" i="25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37" i="24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E43" i="24"/>
  <c r="E44" i="25" l="1"/>
  <c r="X23" i="3" s="1"/>
  <c r="E50" i="24"/>
  <c r="J20" i="3"/>
  <c r="F37" i="24"/>
  <c r="F39" i="24" s="1"/>
  <c r="F23" i="23" l="1"/>
  <c r="Y29" i="3" s="1"/>
  <c r="A2" i="23"/>
  <c r="A3" i="23" s="1"/>
  <c r="A4" i="23" s="1"/>
  <c r="A5" i="23" s="1"/>
  <c r="A6" i="23" s="1"/>
  <c r="A7" i="23" s="1"/>
  <c r="A8" i="23" s="1"/>
  <c r="A9" i="23" s="1"/>
  <c r="A10" i="23" l="1"/>
  <c r="A11" i="23" s="1"/>
  <c r="A12" i="23" s="1"/>
  <c r="A13" i="23" s="1"/>
  <c r="A14" i="23" s="1"/>
  <c r="A15" i="23" s="1"/>
  <c r="A16" i="23" s="1"/>
  <c r="A17" i="23" s="1"/>
  <c r="G32" i="22"/>
  <c r="F32" i="22"/>
  <c r="D32" i="22"/>
  <c r="G20" i="22"/>
  <c r="F20" i="22"/>
  <c r="E20" i="22"/>
  <c r="D20" i="22"/>
  <c r="E32" i="22"/>
  <c r="G34" i="22" l="1"/>
  <c r="G36" i="22" s="1"/>
  <c r="E34" i="22"/>
  <c r="E36" i="22" s="1"/>
  <c r="D34" i="22"/>
  <c r="D36" i="22" s="1"/>
  <c r="S27" i="3" s="1"/>
  <c r="F34" i="22"/>
  <c r="F36" i="22" s="1"/>
  <c r="A18" i="23"/>
  <c r="A19" i="23" s="1"/>
  <c r="A20" i="23" s="1"/>
  <c r="A21" i="23" s="1"/>
  <c r="A22" i="23" s="1"/>
  <c r="A23" i="23" s="1"/>
  <c r="A24" i="23" s="1"/>
  <c r="A25" i="23" s="1"/>
  <c r="A2" i="22"/>
  <c r="A3" i="22" s="1"/>
  <c r="A4" i="22" s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G16" i="21"/>
  <c r="G18" i="21" s="1"/>
  <c r="G20" i="21" s="1"/>
  <c r="O29" i="3" s="1"/>
  <c r="S29" i="3" l="1"/>
  <c r="E24" i="20"/>
  <c r="N27" i="3" s="1"/>
  <c r="A2" i="21"/>
  <c r="A3" i="21" s="1"/>
  <c r="A4" i="21" s="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E19" i="20"/>
  <c r="E21" i="20" s="1"/>
  <c r="A2" i="20"/>
  <c r="A3" i="20" s="1"/>
  <c r="A4" i="20" s="1"/>
  <c r="A5" i="20" s="1"/>
  <c r="A6" i="20" s="1"/>
  <c r="A7" i="20" s="1"/>
  <c r="A8" i="20" s="1"/>
  <c r="A9" i="20" s="1"/>
  <c r="A10" i="20" s="1"/>
  <c r="A11" i="20" s="1"/>
  <c r="A12" i="20" s="1"/>
  <c r="A13" i="20" s="1"/>
  <c r="A14" i="20" l="1"/>
  <c r="A15" i="20" s="1"/>
  <c r="A16" i="20" s="1"/>
  <c r="A17" i="20" s="1"/>
  <c r="E25" i="20"/>
  <c r="N28" i="3" s="1"/>
  <c r="F19" i="16"/>
  <c r="Q42" i="3" s="1"/>
  <c r="F18" i="16"/>
  <c r="Q29" i="3" s="1"/>
  <c r="F20" i="16" l="1"/>
  <c r="E16" i="19"/>
  <c r="E18" i="19" s="1"/>
  <c r="P42" i="3" s="1"/>
  <c r="A2" i="19"/>
  <c r="A3" i="19" s="1"/>
  <c r="A4" i="19" s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F14" i="18" l="1"/>
  <c r="F16" i="18" s="1"/>
  <c r="F18" i="18" s="1"/>
  <c r="A2" i="18" l="1"/>
  <c r="A3" i="18" s="1"/>
  <c r="A4" i="18" s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F22" i="17" l="1"/>
  <c r="F24" i="17" l="1"/>
  <c r="L29" i="3" s="1"/>
  <c r="A2" i="17"/>
  <c r="A3" i="17" s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F15" i="16"/>
  <c r="A2" i="16" l="1"/>
  <c r="A3" i="16" s="1"/>
  <c r="A4" i="16" s="1"/>
  <c r="A5" i="16" s="1"/>
  <c r="A6" i="16" s="1"/>
  <c r="A7" i="16" s="1"/>
  <c r="A8" i="16" s="1"/>
  <c r="A2" i="15" l="1"/>
  <c r="A3" i="15" s="1"/>
  <c r="A4" i="15" s="1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G32" i="15" l="1"/>
  <c r="G34" i="15" s="1"/>
  <c r="W29" i="3" s="1"/>
  <c r="A36" i="15"/>
  <c r="A37" i="15" s="1"/>
  <c r="A38" i="15" s="1"/>
  <c r="A39" i="15" s="1"/>
  <c r="A40" i="15" s="1"/>
  <c r="A18" i="15"/>
  <c r="A19" i="15" s="1"/>
  <c r="A20" i="15" s="1"/>
  <c r="A2" i="13"/>
  <c r="A3" i="13" s="1"/>
  <c r="A4" i="13" s="1"/>
  <c r="A5" i="13" s="1"/>
  <c r="A6" i="13" s="1"/>
  <c r="A7" i="13" s="1"/>
  <c r="A8" i="13" s="1"/>
  <c r="A9" i="13" s="1"/>
  <c r="A10" i="13" s="1"/>
  <c r="A11" i="13" s="1"/>
  <c r="A2" i="12"/>
  <c r="A3" i="12" s="1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2" i="13" l="1"/>
  <c r="A13" i="13" s="1"/>
  <c r="A14" i="13" s="1"/>
  <c r="A15" i="13" s="1"/>
  <c r="A19" i="12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2" i="11"/>
  <c r="A3" i="11" s="1"/>
  <c r="A4" i="11" s="1"/>
  <c r="A5" i="11" s="1"/>
  <c r="A6" i="11" s="1"/>
  <c r="A7" i="11" s="1"/>
  <c r="A8" i="11" s="1"/>
  <c r="A9" i="11" s="1"/>
  <c r="A10" i="11" s="1"/>
  <c r="A11" i="11" s="1"/>
  <c r="A16" i="11" s="1"/>
  <c r="A17" i="11" s="1"/>
  <c r="A18" i="11" s="1"/>
  <c r="A19" i="11" s="1"/>
  <c r="A20" i="11" s="1"/>
  <c r="A21" i="11" s="1"/>
  <c r="A16" i="13" l="1"/>
  <c r="A17" i="13" s="1"/>
  <c r="F66" i="10"/>
  <c r="D66" i="10"/>
  <c r="F62" i="10"/>
  <c r="D62" i="10"/>
  <c r="A2" i="10"/>
  <c r="A3" i="10" s="1"/>
  <c r="A4" i="10" s="1"/>
  <c r="A5" i="10" s="1"/>
  <c r="A18" i="13" l="1"/>
  <c r="A19" i="13" s="1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D64" i="10"/>
  <c r="D68" i="10" s="1"/>
  <c r="F64" i="10"/>
  <c r="F68" i="10" s="1"/>
  <c r="F70" i="10" l="1"/>
  <c r="V22" i="3" s="1"/>
  <c r="A2" i="9" l="1"/>
  <c r="A3" i="9" s="1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H42" i="8" l="1"/>
  <c r="F13" i="8"/>
  <c r="H13" i="8" s="1"/>
  <c r="H37" i="8"/>
  <c r="H36" i="8"/>
  <c r="H35" i="8"/>
  <c r="H34" i="8"/>
  <c r="H33" i="8"/>
  <c r="D93" i="5" l="1"/>
  <c r="D41" i="3" s="1"/>
  <c r="D91" i="5"/>
  <c r="D94" i="5" l="1"/>
  <c r="D95" i="5"/>
  <c r="H41" i="8" l="1"/>
  <c r="H40" i="8"/>
  <c r="H29" i="8"/>
  <c r="H28" i="8"/>
  <c r="H27" i="8"/>
  <c r="H26" i="8"/>
  <c r="A2" i="8"/>
  <c r="A3" i="8" s="1"/>
  <c r="A4" i="8" s="1"/>
  <c r="A5" i="8" s="1"/>
  <c r="A6" i="8" l="1"/>
  <c r="A7" i="8" s="1"/>
  <c r="A8" i="8" s="1"/>
  <c r="A9" i="8" s="1"/>
  <c r="A10" i="8" s="1"/>
  <c r="A11" i="8" s="1"/>
  <c r="A12" i="8" s="1"/>
  <c r="A13" i="8" s="1"/>
  <c r="A14" i="8" s="1"/>
  <c r="A15" i="8" s="1"/>
  <c r="H45" i="8"/>
  <c r="H47" i="8" s="1"/>
  <c r="G45" i="3" s="1"/>
  <c r="G45" i="8"/>
  <c r="D45" i="8"/>
  <c r="A16" i="8" l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D23" i="7"/>
  <c r="F21" i="7"/>
  <c r="F20" i="7"/>
  <c r="F19" i="7"/>
  <c r="F18" i="7"/>
  <c r="F17" i="7"/>
  <c r="F16" i="7"/>
  <c r="F15" i="7"/>
  <c r="F14" i="7"/>
  <c r="F13" i="7"/>
  <c r="F12" i="7"/>
  <c r="F11" i="7"/>
  <c r="F10" i="7"/>
  <c r="A2" i="7"/>
  <c r="A3" i="7" s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F23" i="7" l="1"/>
  <c r="F30" i="7" s="1"/>
  <c r="E14" i="3" s="1"/>
  <c r="A43" i="8" l="1"/>
  <c r="A44" i="8" s="1"/>
  <c r="A45" i="8" s="1"/>
  <c r="A46" i="8" s="1"/>
  <c r="A47" i="8" s="1"/>
  <c r="A48" i="8" s="1"/>
  <c r="A49" i="8" s="1"/>
  <c r="D82" i="5"/>
  <c r="A50" i="8" l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F60" i="5" l="1"/>
  <c r="D79" i="5" s="1"/>
  <c r="E84" i="4"/>
  <c r="D91" i="4" s="1"/>
  <c r="A2" i="6" l="1"/>
  <c r="A3" i="6" s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D78" i="5"/>
  <c r="F38" i="5"/>
  <c r="D87" i="5" s="1"/>
  <c r="G38" i="5"/>
  <c r="E38" i="5"/>
  <c r="D83" i="5" s="1"/>
  <c r="D84" i="5" s="1"/>
  <c r="D38" i="5"/>
  <c r="D86" i="5" s="1"/>
  <c r="D88" i="5" s="1"/>
  <c r="C38" i="5"/>
  <c r="H36" i="5"/>
  <c r="H35" i="5"/>
  <c r="H34" i="5"/>
  <c r="H33" i="5"/>
  <c r="H32" i="5"/>
  <c r="H31" i="5"/>
  <c r="H30" i="5"/>
  <c r="H29" i="5"/>
  <c r="H28" i="5"/>
  <c r="H27" i="5"/>
  <c r="H26" i="5"/>
  <c r="H25" i="5"/>
  <c r="A2" i="5"/>
  <c r="A3" i="5" s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l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D80" i="5"/>
  <c r="D13" i="3" s="1"/>
  <c r="D90" i="5"/>
  <c r="D29" i="3"/>
  <c r="D20" i="3"/>
  <c r="H38" i="5"/>
  <c r="C35" i="1"/>
  <c r="C15" i="1"/>
  <c r="F15" i="12" s="1"/>
  <c r="F17" i="12" s="1"/>
  <c r="F21" i="12" s="1"/>
  <c r="F25" i="12" l="1"/>
  <c r="F29" i="12" s="1"/>
  <c r="F33" i="12" s="1"/>
  <c r="AE29" i="3" s="1"/>
  <c r="E22" i="6"/>
  <c r="F23" i="6" s="1"/>
  <c r="D92" i="5"/>
  <c r="D36" i="3" s="1"/>
  <c r="D50" i="3"/>
  <c r="AF50" i="3" s="1"/>
  <c r="D62" i="1" s="1"/>
  <c r="A62" i="5"/>
  <c r="A63" i="5" s="1"/>
  <c r="C29" i="1"/>
  <c r="E55" i="4"/>
  <c r="D93" i="4" s="1"/>
  <c r="C21" i="3" s="1"/>
  <c r="C20" i="3"/>
  <c r="AF20" i="3" s="1"/>
  <c r="D77" i="4"/>
  <c r="C77" i="4"/>
  <c r="E44" i="4"/>
  <c r="E43" i="4"/>
  <c r="E42" i="4"/>
  <c r="E41" i="4"/>
  <c r="E40" i="4"/>
  <c r="E39" i="4"/>
  <c r="E38" i="4"/>
  <c r="E37" i="4"/>
  <c r="E36" i="4"/>
  <c r="E35" i="4"/>
  <c r="E34" i="4"/>
  <c r="D46" i="4"/>
  <c r="C46" i="4"/>
  <c r="E12" i="4"/>
  <c r="D13" i="4"/>
  <c r="E13" i="4" s="1"/>
  <c r="A2" i="4"/>
  <c r="A3" i="4" s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D14" i="4" l="1"/>
  <c r="A64" i="5"/>
  <c r="A65" i="5" s="1"/>
  <c r="E77" i="4"/>
  <c r="D94" i="4" s="1"/>
  <c r="C22" i="3" s="1"/>
  <c r="AF22" i="3" s="1"/>
  <c r="D21" i="1" s="1"/>
  <c r="E21" i="1" s="1"/>
  <c r="A66" i="4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E46" i="4"/>
  <c r="D90" i="4" s="1"/>
  <c r="AF48" i="3"/>
  <c r="D53" i="1" s="1"/>
  <c r="AF47" i="3"/>
  <c r="D52" i="1" s="1"/>
  <c r="AF46" i="3"/>
  <c r="D51" i="1" s="1"/>
  <c r="AF45" i="3"/>
  <c r="D50" i="1" s="1"/>
  <c r="AF42" i="3"/>
  <c r="D43" i="1" s="1"/>
  <c r="AF41" i="3"/>
  <c r="D42" i="1" s="1"/>
  <c r="AF40" i="3"/>
  <c r="D41" i="1" s="1"/>
  <c r="AF39" i="3"/>
  <c r="D40" i="1" s="1"/>
  <c r="AF38" i="3"/>
  <c r="D39" i="1" s="1"/>
  <c r="AF37" i="3"/>
  <c r="D38" i="1" s="1"/>
  <c r="AF36" i="3"/>
  <c r="D37" i="1" s="1"/>
  <c r="AF34" i="3"/>
  <c r="D34" i="1" s="1"/>
  <c r="E34" i="1" s="1"/>
  <c r="AF33" i="3"/>
  <c r="D33" i="1" s="1"/>
  <c r="E33" i="1" s="1"/>
  <c r="AF32" i="3"/>
  <c r="D32" i="1" s="1"/>
  <c r="E32" i="1" s="1"/>
  <c r="AF31" i="3"/>
  <c r="D31" i="1" s="1"/>
  <c r="E31" i="1" s="1"/>
  <c r="AF29" i="3"/>
  <c r="D28" i="1" s="1"/>
  <c r="AF28" i="3"/>
  <c r="D27" i="1" s="1"/>
  <c r="E27" i="1" s="1"/>
  <c r="AF27" i="3"/>
  <c r="D26" i="1" s="1"/>
  <c r="E26" i="1" s="1"/>
  <c r="AF26" i="3"/>
  <c r="D25" i="1" s="1"/>
  <c r="E25" i="1" s="1"/>
  <c r="AF25" i="3"/>
  <c r="D24" i="1" s="1"/>
  <c r="E24" i="1" s="1"/>
  <c r="AF24" i="3"/>
  <c r="D23" i="1" s="1"/>
  <c r="E23" i="1" s="1"/>
  <c r="AF23" i="3"/>
  <c r="D22" i="1" s="1"/>
  <c r="E22" i="1" s="1"/>
  <c r="AF21" i="3"/>
  <c r="D20" i="1" s="1"/>
  <c r="E20" i="1" s="1"/>
  <c r="D19" i="1"/>
  <c r="E19" i="1" s="1"/>
  <c r="AF16" i="3"/>
  <c r="D14" i="1" s="1"/>
  <c r="E14" i="1" s="1"/>
  <c r="AF15" i="3"/>
  <c r="D13" i="1" s="1"/>
  <c r="E13" i="1" s="1"/>
  <c r="AF14" i="3"/>
  <c r="D12" i="1" s="1"/>
  <c r="E12" i="1" s="1"/>
  <c r="D44" i="1" l="1"/>
  <c r="E28" i="1"/>
  <c r="D29" i="1"/>
  <c r="A66" i="5"/>
  <c r="A67" i="5" s="1"/>
  <c r="A68" i="5" s="1"/>
  <c r="A69" i="5" s="1"/>
  <c r="A70" i="5" s="1"/>
  <c r="A71" i="5" s="1"/>
  <c r="A72" i="5" s="1"/>
  <c r="A73" i="5" s="1"/>
  <c r="A74" i="5" s="1"/>
  <c r="D15" i="4"/>
  <c r="E14" i="4"/>
  <c r="A2" i="3"/>
  <c r="A3" i="3" s="1"/>
  <c r="A4" i="3" s="1"/>
  <c r="A5" i="3" s="1"/>
  <c r="A6" i="3" s="1"/>
  <c r="A7" i="3" s="1"/>
  <c r="A8" i="3" s="1"/>
  <c r="A9" i="3" s="1"/>
  <c r="E29" i="1" l="1"/>
  <c r="A75" i="5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D16" i="4"/>
  <c r="E15" i="4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E53" i="1"/>
  <c r="G53" i="1" s="1"/>
  <c r="E52" i="1"/>
  <c r="G52" i="1" s="1"/>
  <c r="E51" i="1"/>
  <c r="G51" i="1" s="1"/>
  <c r="E50" i="1"/>
  <c r="F54" i="1"/>
  <c r="D54" i="1"/>
  <c r="C54" i="1"/>
  <c r="E62" i="1"/>
  <c r="E43" i="1"/>
  <c r="G43" i="1" s="1"/>
  <c r="E42" i="1"/>
  <c r="G42" i="1" s="1"/>
  <c r="E41" i="1"/>
  <c r="G41" i="1" s="1"/>
  <c r="E40" i="1"/>
  <c r="G40" i="1" s="1"/>
  <c r="E39" i="1"/>
  <c r="E38" i="1"/>
  <c r="G38" i="1" s="1"/>
  <c r="E37" i="1"/>
  <c r="F44" i="1"/>
  <c r="C45" i="1"/>
  <c r="C47" i="1" s="1"/>
  <c r="G34" i="1"/>
  <c r="G33" i="1"/>
  <c r="G32" i="1"/>
  <c r="G31" i="1"/>
  <c r="F35" i="1"/>
  <c r="D35" i="1"/>
  <c r="G27" i="1"/>
  <c r="G26" i="1"/>
  <c r="G25" i="1"/>
  <c r="G24" i="1"/>
  <c r="G23" i="1"/>
  <c r="G22" i="1"/>
  <c r="G21" i="1"/>
  <c r="G20" i="1"/>
  <c r="G19" i="1"/>
  <c r="G14" i="1"/>
  <c r="G13" i="1"/>
  <c r="G12" i="1"/>
  <c r="A29" i="3" l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E44" i="1"/>
  <c r="C56" i="1"/>
  <c r="C63" i="1" s="1"/>
  <c r="G50" i="1"/>
  <c r="E54" i="1"/>
  <c r="G54" i="1" s="1"/>
  <c r="D45" i="1"/>
  <c r="D17" i="4"/>
  <c r="E16" i="4"/>
  <c r="G62" i="1"/>
  <c r="G37" i="1"/>
  <c r="G39" i="1"/>
  <c r="F10" i="6"/>
  <c r="F14" i="6" s="1"/>
  <c r="E35" i="1"/>
  <c r="G35" i="1" s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G44" i="1" l="1"/>
  <c r="E45" i="1"/>
  <c r="C58" i="1"/>
  <c r="D18" i="4"/>
  <c r="E17" i="4"/>
  <c r="D19" i="4" l="1"/>
  <c r="E18" i="4"/>
  <c r="D20" i="4" l="1"/>
  <c r="E19" i="4"/>
  <c r="D21" i="4" l="1"/>
  <c r="E20" i="4"/>
  <c r="D22" i="4" l="1"/>
  <c r="E21" i="4"/>
  <c r="D23" i="4" l="1"/>
  <c r="E23" i="4" s="1"/>
  <c r="E22" i="4"/>
  <c r="E25" i="4" l="1"/>
  <c r="D89" i="4" l="1"/>
  <c r="D92" i="4" s="1"/>
  <c r="C13" i="3" s="1"/>
  <c r="AF13" i="3" s="1"/>
  <c r="D11" i="1" l="1"/>
  <c r="D15" i="1" s="1"/>
  <c r="E11" i="1" l="1"/>
  <c r="E15" i="1" s="1"/>
  <c r="E47" i="1" s="1"/>
  <c r="D47" i="1"/>
  <c r="D56" i="1" s="1"/>
  <c r="E56" i="1" l="1"/>
  <c r="E63" i="1" s="1"/>
  <c r="F16" i="6" l="1"/>
  <c r="F18" i="6" s="1"/>
  <c r="F25" i="6" s="1"/>
  <c r="F27" i="6" s="1"/>
  <c r="AG13" i="3" s="1"/>
  <c r="F11" i="1" s="1"/>
  <c r="E58" i="1"/>
  <c r="G11" i="1" l="1"/>
  <c r="AG29" i="3"/>
  <c r="F28" i="1" s="1"/>
  <c r="G28" i="1" s="1"/>
  <c r="F15" i="1"/>
  <c r="G15" i="1" s="1"/>
  <c r="F29" i="1" l="1"/>
  <c r="F45" i="1" s="1"/>
  <c r="F47" i="1" s="1"/>
  <c r="F56" i="1" s="1"/>
  <c r="G29" i="1" l="1"/>
  <c r="G45" i="1" s="1"/>
  <c r="G47" i="1" s="1"/>
  <c r="G56" i="1" s="1"/>
  <c r="G63" i="1" s="1"/>
  <c r="G58" i="1" l="1"/>
</calcChain>
</file>

<file path=xl/sharedStrings.xml><?xml version="1.0" encoding="utf-8"?>
<sst xmlns="http://schemas.openxmlformats.org/spreadsheetml/2006/main" count="1371" uniqueCount="937">
  <si>
    <t>Application Exhibit 16 - Attachment JRW-1 Statement of Operations</t>
  </si>
  <si>
    <t>East Kentucky Power Cooperative, Inc.</t>
  </si>
  <si>
    <t>Statement of Operations</t>
  </si>
  <si>
    <t>Proposed Pro forma Adjustments and Revenue Increase</t>
  </si>
  <si>
    <t>Test Year</t>
  </si>
  <si>
    <t>Pro forma</t>
  </si>
  <si>
    <t>Proposed</t>
  </si>
  <si>
    <t>Proposed Test</t>
  </si>
  <si>
    <t>Accounts</t>
  </si>
  <si>
    <t>Balances</t>
  </si>
  <si>
    <t>Adjustments</t>
  </si>
  <si>
    <t>Increase</t>
  </si>
  <si>
    <t>Year Balances</t>
  </si>
  <si>
    <t>Operating Revenues:</t>
  </si>
  <si>
    <t xml:space="preserve">  Power Sales to Members</t>
  </si>
  <si>
    <t xml:space="preserve">  Power Sales Off System</t>
  </si>
  <si>
    <t xml:space="preserve">  Income Leased Property - Net</t>
  </si>
  <si>
    <t xml:space="preserve">  Other Operating Revenue</t>
  </si>
  <si>
    <t>Total Operating Revenues</t>
  </si>
  <si>
    <t>Expenses:</t>
  </si>
  <si>
    <t xml:space="preserve">  Operation Expenses -</t>
  </si>
  <si>
    <t xml:space="preserve">    Production Costs Excluding Fuel</t>
  </si>
  <si>
    <t xml:space="preserve">    Fuel Accounts</t>
  </si>
  <si>
    <t xml:space="preserve">    Other Power Supply</t>
  </si>
  <si>
    <t xml:space="preserve">    Transmission</t>
  </si>
  <si>
    <t xml:space="preserve">    Regional Market Expenses</t>
  </si>
  <si>
    <t xml:space="preserve">    Distribution</t>
  </si>
  <si>
    <t xml:space="preserve">    Customer Accounts</t>
  </si>
  <si>
    <t xml:space="preserve">    Customer Service &amp; Information</t>
  </si>
  <si>
    <t xml:space="preserve">    Sales</t>
  </si>
  <si>
    <t xml:space="preserve">    Administration &amp; General</t>
  </si>
  <si>
    <t xml:space="preserve">  Total Operation Expenses</t>
  </si>
  <si>
    <t xml:space="preserve">  Maintenance Expenses -</t>
  </si>
  <si>
    <t xml:space="preserve">    Production  </t>
  </si>
  <si>
    <t xml:space="preserve">    General Plant</t>
  </si>
  <si>
    <t xml:space="preserve">  Total Maintenance Expenses</t>
  </si>
  <si>
    <t xml:space="preserve">  Operating Expenses - </t>
  </si>
  <si>
    <t xml:space="preserve">    Depreciation/Amortization</t>
  </si>
  <si>
    <t xml:space="preserve">    Taxes</t>
  </si>
  <si>
    <t xml:space="preserve">    Interest on Long Term Debt</t>
  </si>
  <si>
    <t xml:space="preserve">    Interest on Construction</t>
  </si>
  <si>
    <t xml:space="preserve">    Other Interest Expense</t>
  </si>
  <si>
    <t xml:space="preserve">    Asset Retirement Obligations</t>
  </si>
  <si>
    <t xml:space="preserve">    Other Deductions</t>
  </si>
  <si>
    <t xml:space="preserve">  Total Operating Expenses</t>
  </si>
  <si>
    <t>Total Cost of Electric Service</t>
  </si>
  <si>
    <t>Operating Margins</t>
  </si>
  <si>
    <t>Non-Operating Items:</t>
  </si>
  <si>
    <t xml:space="preserve">  Interest Income</t>
  </si>
  <si>
    <t xml:space="preserve">  Allowance for Funds Used during Construction</t>
  </si>
  <si>
    <t xml:space="preserve">  Other Non-Operating Income</t>
  </si>
  <si>
    <t xml:space="preserve">  Other Capital Credits/Patronage Dividends</t>
  </si>
  <si>
    <t>Total Non-Operating Items</t>
  </si>
  <si>
    <t>Net Patronage Capital &amp; Margins</t>
  </si>
  <si>
    <t>Times Interest Earned Ratio (TIER)</t>
  </si>
  <si>
    <t xml:space="preserve">  [(Line 38 + Line 55) / Line 38]</t>
  </si>
  <si>
    <t>Debt Service Coverage (DSC)</t>
  </si>
  <si>
    <t xml:space="preserve">  Principal Payments</t>
  </si>
  <si>
    <t xml:space="preserve">  DSC Ratio</t>
  </si>
  <si>
    <t xml:space="preserve">   [(Line 36 + Line 38 + Line 55) / (Line 38 + Line 61)]</t>
  </si>
  <si>
    <t>Schedule 1.00</t>
  </si>
  <si>
    <t>Summary of Proposed Proforma Adjustments</t>
  </si>
  <si>
    <t>and Revenue Increase</t>
  </si>
  <si>
    <t>Sch. 1.01</t>
  </si>
  <si>
    <t>Sch. 1.02</t>
  </si>
  <si>
    <t>Sch. 1.03</t>
  </si>
  <si>
    <t>Sch. 1.04</t>
  </si>
  <si>
    <t>Sch. 1.05</t>
  </si>
  <si>
    <t>Sch. 1.06</t>
  </si>
  <si>
    <t>Sch. 1.07</t>
  </si>
  <si>
    <t>Sch. 1.08</t>
  </si>
  <si>
    <t>Sch. 1.09</t>
  </si>
  <si>
    <t>Sch. 1.10</t>
  </si>
  <si>
    <t>Sch. 1.11</t>
  </si>
  <si>
    <t>Sch. 1.12</t>
  </si>
  <si>
    <t>Sch. 1.13</t>
  </si>
  <si>
    <t>Sch. 1.14</t>
  </si>
  <si>
    <t>Sch. 1.15</t>
  </si>
  <si>
    <t>Sch. 1.16</t>
  </si>
  <si>
    <t>Sch. 1.17</t>
  </si>
  <si>
    <t>Sch. 1.18</t>
  </si>
  <si>
    <t>Sch. 1.19</t>
  </si>
  <si>
    <t>Sch. 1.20</t>
  </si>
  <si>
    <t>Sch. 1.21</t>
  </si>
  <si>
    <t>Sch. 1.22</t>
  </si>
  <si>
    <t>Sch. 1.23</t>
  </si>
  <si>
    <t>Sch. 1.24</t>
  </si>
  <si>
    <t>Sch. 1.25</t>
  </si>
  <si>
    <t>Sch. 1.26</t>
  </si>
  <si>
    <t>Sch. 1.27</t>
  </si>
  <si>
    <t>Sch. 1.28</t>
  </si>
  <si>
    <t>Sch. 1.29</t>
  </si>
  <si>
    <t>Sch. 1.30</t>
  </si>
  <si>
    <t>Remove</t>
  </si>
  <si>
    <t>Adjust Off-Sys.</t>
  </si>
  <si>
    <t>Normalize</t>
  </si>
  <si>
    <t>Exclude</t>
  </si>
  <si>
    <t>Adjustment</t>
  </si>
  <si>
    <t>Adjust for</t>
  </si>
  <si>
    <t>Amortize</t>
  </si>
  <si>
    <t>Generation</t>
  </si>
  <si>
    <t>Adjust</t>
  </si>
  <si>
    <t>Total Proposed</t>
  </si>
  <si>
    <t>Environmental</t>
  </si>
  <si>
    <t>Sales Environ.</t>
  </si>
  <si>
    <t>LTD Interest</t>
  </si>
  <si>
    <t>Interest</t>
  </si>
  <si>
    <t>Wages/Salaries</t>
  </si>
  <si>
    <t>Payroll</t>
  </si>
  <si>
    <t>Medical</t>
  </si>
  <si>
    <t>Employee</t>
  </si>
  <si>
    <t>Misc. Employee</t>
  </si>
  <si>
    <t>for Change in</t>
  </si>
  <si>
    <t>Advertising</t>
  </si>
  <si>
    <t>Directors'</t>
  </si>
  <si>
    <t>Lobbying</t>
  </si>
  <si>
    <t>Touchstone</t>
  </si>
  <si>
    <t>Non-Recurring &amp;</t>
  </si>
  <si>
    <t>Depreciation</t>
  </si>
  <si>
    <t xml:space="preserve">Outage </t>
  </si>
  <si>
    <t>Forced</t>
  </si>
  <si>
    <t>Insurance</t>
  </si>
  <si>
    <t>RTEP</t>
  </si>
  <si>
    <t>Rate Case</t>
  </si>
  <si>
    <t>WSE Revenue</t>
  </si>
  <si>
    <t>Unrecoverable Gen</t>
  </si>
  <si>
    <t>Maintenance Reg</t>
  </si>
  <si>
    <t>Gen Maint Exp</t>
  </si>
  <si>
    <t xml:space="preserve">Remove </t>
  </si>
  <si>
    <t>PSC</t>
  </si>
  <si>
    <t>Proforma</t>
  </si>
  <si>
    <t>Revenue</t>
  </si>
  <si>
    <t>FAC</t>
  </si>
  <si>
    <t>Surcharge</t>
  </si>
  <si>
    <t>Expense</t>
  </si>
  <si>
    <t>Income</t>
  </si>
  <si>
    <t>Taxes</t>
  </si>
  <si>
    <t>Benefits</t>
  </si>
  <si>
    <t>Benefit Exp.</t>
  </si>
  <si>
    <t>Retiree Insurance</t>
  </si>
  <si>
    <t>807 KAR 5:016</t>
  </si>
  <si>
    <t>Expenses</t>
  </si>
  <si>
    <t>Donations</t>
  </si>
  <si>
    <t>Energy Expenses</t>
  </si>
  <si>
    <t>Other Expenses</t>
  </si>
  <si>
    <t>Insurance Payout</t>
  </si>
  <si>
    <t>Outage Costs</t>
  </si>
  <si>
    <t>Payments</t>
  </si>
  <si>
    <t>Maint Expenses</t>
  </si>
  <si>
    <t>Asset Amortization</t>
  </si>
  <si>
    <t>Excess Threshold</t>
  </si>
  <si>
    <t>AROs</t>
  </si>
  <si>
    <t>Assessment</t>
  </si>
  <si>
    <t>Principal Payments</t>
  </si>
  <si>
    <t>Schedule 1.01</t>
  </si>
  <si>
    <t>Adjustments to Remove FAC from Base Rates</t>
  </si>
  <si>
    <t>Part 1 - Fuel Costs in Base Rates</t>
  </si>
  <si>
    <t>MWH Sales</t>
  </si>
  <si>
    <t>Fuel Cost in</t>
  </si>
  <si>
    <t>FAC Base Rate</t>
  </si>
  <si>
    <t>Month</t>
  </si>
  <si>
    <t>Subject to FAC</t>
  </si>
  <si>
    <t>Base Rates</t>
  </si>
  <si>
    <t>Revenues</t>
  </si>
  <si>
    <t>January 2023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</si>
  <si>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</si>
  <si>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</si>
  <si>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</si>
  <si>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</si>
  <si>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</si>
  <si>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</si>
  <si>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</si>
  <si>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</si>
  <si>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</si>
  <si>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</si>
  <si>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 2023</t>
  </si>
  <si>
    <t>Totals</t>
  </si>
  <si>
    <t>Sales adjusted to remove sales to TGP and associated with Generator Credit.</t>
  </si>
  <si>
    <t>Part 2 - Member FAC Billings</t>
  </si>
  <si>
    <t>Member FAC</t>
  </si>
  <si>
    <t>Total Member</t>
  </si>
  <si>
    <t>Billings</t>
  </si>
  <si>
    <t>Billings - Steam</t>
  </si>
  <si>
    <t>Part 3 - Fuel Costs Recoverable through FAC</t>
  </si>
  <si>
    <t>Total Fuel Costs Excluding Handling</t>
  </si>
  <si>
    <t>Less:  Fuel Costs Assigned to Off-System Sales</t>
  </si>
  <si>
    <t>Fuel Costs Recoverable through FAC</t>
  </si>
  <si>
    <t>Part 4 - Adjustment to Remove Purchased Power Expense Recoverable through FAC</t>
  </si>
  <si>
    <t>Purch. Power</t>
  </si>
  <si>
    <t>PJM Costs</t>
  </si>
  <si>
    <t>Total Purchased</t>
  </si>
  <si>
    <t>Assigned to</t>
  </si>
  <si>
    <t>Recoverable</t>
  </si>
  <si>
    <t xml:space="preserve">Recoverable </t>
  </si>
  <si>
    <t>Power</t>
  </si>
  <si>
    <t>Forced Outages</t>
  </si>
  <si>
    <t>Through FAC</t>
  </si>
  <si>
    <t>Part 5 - Remove Accrued FAC Over/Under Recovery</t>
  </si>
  <si>
    <t>Accrued FAC - Member Sales</t>
  </si>
  <si>
    <t xml:space="preserve">  Acct 447.142</t>
  </si>
  <si>
    <t>Accrued FAC - Steam Sales</t>
  </si>
  <si>
    <t xml:space="preserve">  Acct 456.042</t>
  </si>
  <si>
    <t xml:space="preserve">  Total Accrued FAC</t>
  </si>
  <si>
    <t>Adjustment Recap - To Schedule 1.00</t>
  </si>
  <si>
    <t>Power Sales to Members:</t>
  </si>
  <si>
    <t>Part 1</t>
  </si>
  <si>
    <t>Part 2</t>
  </si>
  <si>
    <t>Part 5</t>
  </si>
  <si>
    <t>Total Adjustment</t>
  </si>
  <si>
    <t>Fuel Accounts - Part 3</t>
  </si>
  <si>
    <t>Purchased Power - Part 4</t>
  </si>
  <si>
    <t>PJM Costs - Part 4</t>
  </si>
  <si>
    <t>Schedule 1.02</t>
  </si>
  <si>
    <t>Adjustments to Remove Environmental Surcharge from Base Rates</t>
  </si>
  <si>
    <t>Part 1 - Surcharge Revenues</t>
  </si>
  <si>
    <t>From Monthly Environmental Surcharge Report - Expense Month Ending December 31, 2023</t>
  </si>
  <si>
    <t xml:space="preserve">  Form 3.0 - Monthly Average Revenue Computation of R(m), Column 4, Totals</t>
  </si>
  <si>
    <t>Part 2 - Surcharge Expenses</t>
  </si>
  <si>
    <t>O&amp;M Expenses</t>
  </si>
  <si>
    <t xml:space="preserve">  From Monthly Environmental Surcharge Report - Expense Month Ending December 31, 2023</t>
  </si>
  <si>
    <t xml:space="preserve">  Form 2.4 - O&amp;M Expenses and Determination of Cash Working Capital Allowance</t>
  </si>
  <si>
    <t xml:space="preserve">  Total 12 Month O&amp;M</t>
  </si>
  <si>
    <t>Other Operating Expenses</t>
  </si>
  <si>
    <t>Emissions</t>
  </si>
  <si>
    <t>Depreciation/</t>
  </si>
  <si>
    <t>ARO Amortization</t>
  </si>
  <si>
    <t>Property Taxes</t>
  </si>
  <si>
    <t>Amortization</t>
  </si>
  <si>
    <t>Monthly Totals</t>
  </si>
  <si>
    <t>Split of ARO Amortization:</t>
  </si>
  <si>
    <t xml:space="preserve">    Recorded in Account 403.800</t>
  </si>
  <si>
    <t xml:space="preserve">    Recorded in Account 411.100</t>
  </si>
  <si>
    <t>Accretion Expense</t>
  </si>
  <si>
    <t>Interest on Long Term Debt</t>
  </si>
  <si>
    <t xml:space="preserve">Adjustment based on analysis of total 2023 actual interest expense for long-term debt </t>
  </si>
  <si>
    <t xml:space="preserve">  associated with surcharge projects; see "Workpaper 1.02 Surcharge Adjustment FINAL.xlsx"</t>
  </si>
  <si>
    <t xml:space="preserve">  Determination based on net book value of surcharge projects funded by</t>
  </si>
  <si>
    <t xml:space="preserve">  long-term debt, by grouping of notes.</t>
  </si>
  <si>
    <t>Total Actual Interest Expense for 2023, all Notes</t>
  </si>
  <si>
    <t>Note:  Interest Expense on Debt associated with environmental surcharge projects only.</t>
  </si>
  <si>
    <t>Adjustment to Actual Interest Expense based on Net Book Value</t>
  </si>
  <si>
    <t>Part 3 - Remove Accrued Surcharge Over/Under Recovery</t>
  </si>
  <si>
    <t>Accrued Environmental Surcharge - Member Sales</t>
  </si>
  <si>
    <t xml:space="preserve">  Acct 447.143</t>
  </si>
  <si>
    <t>Accrued Environmental Surcharge - Steam Sales</t>
  </si>
  <si>
    <t xml:space="preserve">  Acct 456.043</t>
  </si>
  <si>
    <t xml:space="preserve">  Total Accrued Environmental Surcharge</t>
  </si>
  <si>
    <t>Part 4 - Adjustment to Principal Payment Associated with Environmental Surcharge</t>
  </si>
  <si>
    <t xml:space="preserve">Adjustment based on analysis of total principal payments for long-term debt </t>
  </si>
  <si>
    <t>Total Principal Payments for 2023, all Notes</t>
  </si>
  <si>
    <t>Note:  Principal Payments on Debt associated with environmental surcharge projects only.</t>
  </si>
  <si>
    <t>Adjustment to Principal Payments based on Net Book Value</t>
  </si>
  <si>
    <t>Power Sales to Members</t>
  </si>
  <si>
    <t>Part 3</t>
  </si>
  <si>
    <t>Production Costs Excluding Fuel</t>
  </si>
  <si>
    <t>Emissions Exp.</t>
  </si>
  <si>
    <t>Administrative &amp; General</t>
  </si>
  <si>
    <t>Depreciation/Amortization</t>
  </si>
  <si>
    <t>ARO - 403.8</t>
  </si>
  <si>
    <t>ARO Accretion Expense - 411.1</t>
  </si>
  <si>
    <t>Schedule 1.03</t>
  </si>
  <si>
    <t>Adjustment to Remove Environmental Surcharge from Off-System Sales</t>
  </si>
  <si>
    <t>Off-System Sales</t>
  </si>
  <si>
    <t>Factor</t>
  </si>
  <si>
    <t>Proposed Adjustment:</t>
  </si>
  <si>
    <t>To remove the impact of the environmental surcharge from off-system</t>
  </si>
  <si>
    <t xml:space="preserve">sales, off-system sales revenues need to be reduced by the </t>
  </si>
  <si>
    <t>calculated level of applicable surcharge.</t>
  </si>
  <si>
    <t>Reduction to Off-System Sales Revenues</t>
  </si>
  <si>
    <t>Schedule 1.04</t>
  </si>
  <si>
    <t>Adjustment to Normalize Interest Expense on Long-Term Debt</t>
  </si>
  <si>
    <t>Amount</t>
  </si>
  <si>
    <t>Interest Rate</t>
  </si>
  <si>
    <t>Normalized Interest Expense</t>
  </si>
  <si>
    <t>Actual</t>
  </si>
  <si>
    <t>Outstanding</t>
  </si>
  <si>
    <t>as of</t>
  </si>
  <si>
    <t xml:space="preserve">as of  </t>
  </si>
  <si>
    <t>Test Year (2023)</t>
  </si>
  <si>
    <t>Type of Debt Issue</t>
  </si>
  <si>
    <t>as of 12/31/2023</t>
  </si>
  <si>
    <t>Interest Expense</t>
  </si>
  <si>
    <t>Bonds:</t>
  </si>
  <si>
    <t xml:space="preserve">  Private Placement Bonds - 2014</t>
  </si>
  <si>
    <t xml:space="preserve">  Private Placement Bonds - 2019</t>
  </si>
  <si>
    <t xml:space="preserve">  Cooper Solid Waste Disposal Bonds</t>
  </si>
  <si>
    <t xml:space="preserve">  Total Bonds</t>
  </si>
  <si>
    <t>Notes:</t>
  </si>
  <si>
    <t xml:space="preserve">  National Rural Utilities Cooperative Finance Corporation ("CFC") -</t>
  </si>
  <si>
    <t xml:space="preserve">    CFC - Term Loan</t>
  </si>
  <si>
    <t xml:space="preserve">    Clean Renewable Energy Bonds</t>
  </si>
  <si>
    <t xml:space="preserve">    New Clean Renewable Energy Bonds</t>
  </si>
  <si>
    <t xml:space="preserve">    NCSC Unsecured #9061014</t>
  </si>
  <si>
    <t xml:space="preserve">  Total CFC</t>
  </si>
  <si>
    <t xml:space="preserve">  Federal Financing Bank ("FFB") Notes -</t>
  </si>
  <si>
    <t xml:space="preserve">    H0700</t>
  </si>
  <si>
    <t xml:space="preserve">    H0645</t>
  </si>
  <si>
    <t xml:space="preserve">    H0710</t>
  </si>
  <si>
    <t xml:space="preserve">    H0795</t>
  </si>
  <si>
    <t xml:space="preserve">    H0865</t>
  </si>
  <si>
    <t xml:space="preserve">    H0670</t>
  </si>
  <si>
    <t xml:space="preserve">    H0675</t>
  </si>
  <si>
    <t xml:space="preserve">    H0680</t>
  </si>
  <si>
    <t xml:space="preserve">    H0685</t>
  </si>
  <si>
    <t xml:space="preserve">    H0690</t>
  </si>
  <si>
    <t xml:space="preserve">    H0695</t>
  </si>
  <si>
    <t xml:space="preserve">    H0715</t>
  </si>
  <si>
    <t xml:space="preserve">    H0745</t>
  </si>
  <si>
    <t xml:space="preserve">    H0805</t>
  </si>
  <si>
    <t xml:space="preserve">    H0720</t>
  </si>
  <si>
    <t xml:space="preserve">    H0960</t>
  </si>
  <si>
    <t xml:space="preserve">    H1005</t>
  </si>
  <si>
    <t xml:space="preserve">    H0825</t>
  </si>
  <si>
    <t xml:space="preserve">    H0830</t>
  </si>
  <si>
    <t xml:space="preserve">    H0840</t>
  </si>
  <si>
    <t xml:space="preserve">    H0845</t>
  </si>
  <si>
    <t xml:space="preserve">    H0855</t>
  </si>
  <si>
    <t xml:space="preserve">    H0860</t>
  </si>
  <si>
    <t xml:space="preserve">    H1025</t>
  </si>
  <si>
    <t xml:space="preserve">    H0850</t>
  </si>
  <si>
    <t xml:space="preserve">    H1175</t>
  </si>
  <si>
    <t xml:space="preserve">    H1180</t>
  </si>
  <si>
    <t xml:space="preserve">    H0950</t>
  </si>
  <si>
    <t xml:space="preserve">    H0970</t>
  </si>
  <si>
    <t xml:space="preserve">    H1080</t>
  </si>
  <si>
    <t xml:space="preserve">    H1160</t>
  </si>
  <si>
    <t xml:space="preserve">    H1185</t>
  </si>
  <si>
    <t xml:space="preserve">    H1225</t>
  </si>
  <si>
    <t xml:space="preserve">    H1295</t>
  </si>
  <si>
    <t xml:space="preserve">    H0935</t>
  </si>
  <si>
    <t xml:space="preserve">    H0940</t>
  </si>
  <si>
    <t xml:space="preserve">    H0945</t>
  </si>
  <si>
    <t xml:space="preserve">    H0955</t>
  </si>
  <si>
    <t xml:space="preserve">    H0965</t>
  </si>
  <si>
    <t xml:space="preserve">    H0975</t>
  </si>
  <si>
    <t xml:space="preserve">    H0980</t>
  </si>
  <si>
    <t xml:space="preserve">    H0985</t>
  </si>
  <si>
    <t xml:space="preserve">    H0995</t>
  </si>
  <si>
    <t xml:space="preserve">    H1000</t>
  </si>
  <si>
    <t xml:space="preserve">    H1010</t>
  </si>
  <si>
    <t xml:space="preserve">    H1015</t>
  </si>
  <si>
    <t xml:space="preserve">    H1020</t>
  </si>
  <si>
    <t xml:space="preserve">    H1030</t>
  </si>
  <si>
    <t xml:space="preserve">    H1065</t>
  </si>
  <si>
    <t xml:space="preserve">    H1215</t>
  </si>
  <si>
    <t xml:space="preserve">    H1275</t>
  </si>
  <si>
    <t xml:space="preserve">    H1090</t>
  </si>
  <si>
    <t xml:space="preserve">    H1200</t>
  </si>
  <si>
    <t xml:space="preserve">    H1280</t>
  </si>
  <si>
    <t xml:space="preserve">    H1285</t>
  </si>
  <si>
    <t xml:space="preserve">    H1305</t>
  </si>
  <si>
    <t xml:space="preserve">    H1310</t>
  </si>
  <si>
    <t xml:space="preserve">    H1325</t>
  </si>
  <si>
    <t xml:space="preserve">    H1345</t>
  </si>
  <si>
    <t xml:space="preserve">    H1035</t>
  </si>
  <si>
    <t xml:space="preserve">    H1040</t>
  </si>
  <si>
    <t xml:space="preserve">    H1045</t>
  </si>
  <si>
    <t xml:space="preserve">    H1050</t>
  </si>
  <si>
    <t xml:space="preserve">    H1055</t>
  </si>
  <si>
    <t xml:space="preserve">    H1060</t>
  </si>
  <si>
    <t xml:space="preserve">    H1070</t>
  </si>
  <si>
    <t xml:space="preserve">    H1075</t>
  </si>
  <si>
    <t xml:space="preserve">    H1085</t>
  </si>
  <si>
    <t xml:space="preserve">    H1100</t>
  </si>
  <si>
    <t xml:space="preserve">    H1095</t>
  </si>
  <si>
    <t xml:space="preserve">    H1105</t>
  </si>
  <si>
    <t xml:space="preserve">    H1110</t>
  </si>
  <si>
    <t xml:space="preserve">    H1115</t>
  </si>
  <si>
    <t xml:space="preserve">    H1130</t>
  </si>
  <si>
    <t xml:space="preserve">    H1170</t>
  </si>
  <si>
    <t xml:space="preserve">    H1190</t>
  </si>
  <si>
    <t xml:space="preserve">    H1220</t>
  </si>
  <si>
    <t xml:space="preserve">    H1320</t>
  </si>
  <si>
    <t xml:space="preserve">    H1120</t>
  </si>
  <si>
    <t xml:space="preserve">    H1125</t>
  </si>
  <si>
    <t xml:space="preserve">    H1135</t>
  </si>
  <si>
    <t xml:space="preserve">    H1140</t>
  </si>
  <si>
    <t xml:space="preserve">    H1145</t>
  </si>
  <si>
    <t xml:space="preserve">    H1150</t>
  </si>
  <si>
    <t xml:space="preserve">    H1155</t>
  </si>
  <si>
    <t xml:space="preserve">    H1165</t>
  </si>
  <si>
    <t xml:space="preserve">    H1195</t>
  </si>
  <si>
    <t xml:space="preserve">    H1205</t>
  </si>
  <si>
    <t xml:space="preserve">    H1230</t>
  </si>
  <si>
    <t xml:space="preserve">    H1330</t>
  </si>
  <si>
    <t xml:space="preserve">    H1340</t>
  </si>
  <si>
    <t xml:space="preserve">    H1210</t>
  </si>
  <si>
    <t xml:space="preserve">    H1245</t>
  </si>
  <si>
    <t xml:space="preserve">    H1250</t>
  </si>
  <si>
    <t xml:space="preserve">    H1255</t>
  </si>
  <si>
    <t xml:space="preserve">    H1265</t>
  </si>
  <si>
    <t xml:space="preserve">    H1270</t>
  </si>
  <si>
    <t xml:space="preserve">    H1290</t>
  </si>
  <si>
    <t xml:space="preserve">    H1315</t>
  </si>
  <si>
    <t xml:space="preserve">    H1355</t>
  </si>
  <si>
    <t xml:space="preserve">    H1235</t>
  </si>
  <si>
    <t xml:space="preserve">    H1240</t>
  </si>
  <si>
    <t xml:space="preserve">    H1260</t>
  </si>
  <si>
    <t xml:space="preserve">    H1300</t>
  </si>
  <si>
    <t xml:space="preserve">    H1335</t>
  </si>
  <si>
    <t xml:space="preserve">    H1350</t>
  </si>
  <si>
    <t xml:space="preserve">    H1360</t>
  </si>
  <si>
    <t xml:space="preserve">    F1366</t>
  </si>
  <si>
    <t xml:space="preserve">    F1380</t>
  </si>
  <si>
    <t xml:space="preserve">    F1390</t>
  </si>
  <si>
    <t xml:space="preserve">    F1400</t>
  </si>
  <si>
    <t xml:space="preserve">    FFB-24-5</t>
  </si>
  <si>
    <t xml:space="preserve">    FFB-24-6</t>
  </si>
  <si>
    <t xml:space="preserve">    FFB-24-7</t>
  </si>
  <si>
    <t xml:space="preserve">    FFB-24-8</t>
  </si>
  <si>
    <t xml:space="preserve">    FFB-24-9</t>
  </si>
  <si>
    <t xml:space="preserve">    FFB-24-10</t>
  </si>
  <si>
    <t xml:space="preserve">    FFB-24-11</t>
  </si>
  <si>
    <t xml:space="preserve">    FFB-24-12</t>
  </si>
  <si>
    <t xml:space="preserve">    F1370</t>
  </si>
  <si>
    <t xml:space="preserve">    F1385</t>
  </si>
  <si>
    <t xml:space="preserve">    F1395</t>
  </si>
  <si>
    <t xml:space="preserve">    F1405</t>
  </si>
  <si>
    <t xml:space="preserve">    FFB-25-5</t>
  </si>
  <si>
    <t xml:space="preserve">    FFB-25-6</t>
  </si>
  <si>
    <t xml:space="preserve">    FFB-25-7</t>
  </si>
  <si>
    <t xml:space="preserve">    FFB-25-8</t>
  </si>
  <si>
    <t xml:space="preserve">    FFB-25-9</t>
  </si>
  <si>
    <t xml:space="preserve">    FFB-25-10</t>
  </si>
  <si>
    <t xml:space="preserve">    FFB-25-11</t>
  </si>
  <si>
    <t xml:space="preserve">    FFB-25-12</t>
  </si>
  <si>
    <t xml:space="preserve">    FFB-25-13</t>
  </si>
  <si>
    <t xml:space="preserve">    FFB-25-14</t>
  </si>
  <si>
    <t xml:space="preserve">    FFB-25-15</t>
  </si>
  <si>
    <t xml:space="preserve">    FFB-25-16</t>
  </si>
  <si>
    <t xml:space="preserve">    FFB-25-17</t>
  </si>
  <si>
    <t xml:space="preserve">    FFB-25-18</t>
  </si>
  <si>
    <t xml:space="preserve">    FFB-25-19</t>
  </si>
  <si>
    <t xml:space="preserve">    FFB-25-20</t>
  </si>
  <si>
    <t xml:space="preserve">    F1375</t>
  </si>
  <si>
    <t xml:space="preserve">    FFB-26-2</t>
  </si>
  <si>
    <t xml:space="preserve">    FFB-30-1</t>
  </si>
  <si>
    <t xml:space="preserve">    FFB-30-2</t>
  </si>
  <si>
    <t xml:space="preserve">    FFB-30-3</t>
  </si>
  <si>
    <t xml:space="preserve">    FFB-30-4</t>
  </si>
  <si>
    <t xml:space="preserve">    FFB-30-5</t>
  </si>
  <si>
    <t xml:space="preserve">    FFB-30-6</t>
  </si>
  <si>
    <t xml:space="preserve">    FFB-30-7</t>
  </si>
  <si>
    <t xml:space="preserve">    FFB-30-8</t>
  </si>
  <si>
    <t xml:space="preserve">    FFB-30-9</t>
  </si>
  <si>
    <t xml:space="preserve">    FFB-30-10</t>
  </si>
  <si>
    <t xml:space="preserve">    FFB-30-11</t>
  </si>
  <si>
    <t xml:space="preserve">    FFB-30-12</t>
  </si>
  <si>
    <t xml:space="preserve">    FFB-31-1</t>
  </si>
  <si>
    <t xml:space="preserve">    FFB-31-2</t>
  </si>
  <si>
    <t xml:space="preserve">    FFB-31-3</t>
  </si>
  <si>
    <t xml:space="preserve">    FFB-31-4</t>
  </si>
  <si>
    <t xml:space="preserve">    FFB-31-5</t>
  </si>
  <si>
    <t xml:space="preserve">    FFB-31-6</t>
  </si>
  <si>
    <t xml:space="preserve">    FFB-31-7</t>
  </si>
  <si>
    <t xml:space="preserve">    FFB-31-8</t>
  </si>
  <si>
    <t xml:space="preserve">    FFB-31-9</t>
  </si>
  <si>
    <t xml:space="preserve">    FFB-31-10</t>
  </si>
  <si>
    <t xml:space="preserve">    FFB-28-1</t>
  </si>
  <si>
    <t xml:space="preserve">    FFB-27-1</t>
  </si>
  <si>
    <t xml:space="preserve">  Total FFB</t>
  </si>
  <si>
    <t xml:space="preserve">  Total Long-Term Debt and Interest Expense</t>
  </si>
  <si>
    <t>Unsecured Credit Facility</t>
  </si>
  <si>
    <t>Interest Expense associated with Environmental Surcharge</t>
  </si>
  <si>
    <t>Proposed Adjustment to Interest Expense, exclusive of Interest Expense associated</t>
  </si>
  <si>
    <t xml:space="preserve">    with Environmental Surcharge:</t>
  </si>
  <si>
    <t xml:space="preserve">  Total Normalized Interest Expense, based on 6/30/2024 rates</t>
  </si>
  <si>
    <t xml:space="preserve">  Less:  Normalized Interest Expense associated with Environmental Surcharge</t>
  </si>
  <si>
    <t xml:space="preserve">  Net Normalized Interest Expense, based on 6/30/2024 rates</t>
  </si>
  <si>
    <t xml:space="preserve">  Total Test Year Actual Interest Expense</t>
  </si>
  <si>
    <t xml:space="preserve">  Less:  Test Year Interest Expense associated with Environmental Surcharge</t>
  </si>
  <si>
    <t xml:space="preserve">  Net Test Year Actual Interest Expense</t>
  </si>
  <si>
    <t xml:space="preserve">  Proposed Adjustment to Interest Expense</t>
  </si>
  <si>
    <t>Schedule 1.05</t>
  </si>
  <si>
    <t>Normalize Interest Income</t>
  </si>
  <si>
    <t>Balance as</t>
  </si>
  <si>
    <t>Normalized Interest Income</t>
  </si>
  <si>
    <t>Investment</t>
  </si>
  <si>
    <t>of 12/31/2023</t>
  </si>
  <si>
    <t>as of 6/30/2024</t>
  </si>
  <si>
    <t>Interest Income</t>
  </si>
  <si>
    <t>U.S. Treasury Securities (2)</t>
  </si>
  <si>
    <t>5.19% - 5.32%</t>
  </si>
  <si>
    <t>CFC Commercial Paper (2)</t>
  </si>
  <si>
    <t>Money Market Funds (2):</t>
  </si>
  <si>
    <t xml:space="preserve">  Federated Money Market Funds</t>
  </si>
  <si>
    <t xml:space="preserve">  Fidelity Money Market Funds</t>
  </si>
  <si>
    <t xml:space="preserve">  JPMorgan Money Market Funds</t>
  </si>
  <si>
    <t>Funds Held in Misc. Bank Accounts: (2)</t>
  </si>
  <si>
    <t xml:space="preserve">  Money Market Deposit Account</t>
  </si>
  <si>
    <t xml:space="preserve">  Insured Cash Sweep Account</t>
  </si>
  <si>
    <t xml:space="preserve">  PJM Account</t>
  </si>
  <si>
    <t>CFC Securities</t>
  </si>
  <si>
    <t xml:space="preserve">  Capital Term Certificates - Gen.</t>
  </si>
  <si>
    <t xml:space="preserve">  Zero Term Certificates</t>
  </si>
  <si>
    <t xml:space="preserve">  Subordinated Term Certificates</t>
  </si>
  <si>
    <t xml:space="preserve">  Cooper Debt Service Reserve</t>
  </si>
  <si>
    <t>Member Cooperative Marketing</t>
  </si>
  <si>
    <t xml:space="preserve">  Loan Interest:</t>
  </si>
  <si>
    <t xml:space="preserve">    Loan #27</t>
  </si>
  <si>
    <t xml:space="preserve">    Loan #29</t>
  </si>
  <si>
    <t xml:space="preserve">    Loan #30</t>
  </si>
  <si>
    <t xml:space="preserve">    Loan #31</t>
  </si>
  <si>
    <t xml:space="preserve">    Loan #32</t>
  </si>
  <si>
    <t>Miscellaneous</t>
  </si>
  <si>
    <t xml:space="preserve">  Member Late Power Bill (1)</t>
  </si>
  <si>
    <t xml:space="preserve">  Interest - U.S Treasury Return Excess Fund (1)</t>
  </si>
  <si>
    <t xml:space="preserve">  TVA Security Deposit - Cap. Proj. (2)</t>
  </si>
  <si>
    <t xml:space="preserve">  Rounding Adjustment</t>
  </si>
  <si>
    <t>Adjustment to normalize interest income</t>
  </si>
  <si>
    <t xml:space="preserve">  (Normalized interest income as of 6/30/2024 less test year actual interest income.)</t>
  </si>
  <si>
    <t xml:space="preserve">  (1) These items were a source of interest income during the test year but do not reflect investments.</t>
  </si>
  <si>
    <t xml:space="preserve">  (2) The interest rates for these investments are established daily or monthly and fluctuate reflecting current market conditions.</t>
  </si>
  <si>
    <t xml:space="preserve">          In order to determine a reasonable current interest rate, EKPC has applied the approach discussed in the Commission's</t>
  </si>
  <si>
    <t xml:space="preserve">          December 5, 2007 Order in Case No. 2006-00472, specifically footnote 36.  The calculation of the applicable interest</t>
  </si>
  <si>
    <t xml:space="preserve">          rates is shown below.</t>
  </si>
  <si>
    <t>Blended</t>
  </si>
  <si>
    <t>Annualized</t>
  </si>
  <si>
    <t>of 06/30/2024</t>
  </si>
  <si>
    <t>for June 2024</t>
  </si>
  <si>
    <t>U.S. Treasury Securities</t>
  </si>
  <si>
    <t>CFC Commercial Paper</t>
  </si>
  <si>
    <t>Money Market Funds</t>
  </si>
  <si>
    <t>Funds Held in Misc. Bank Accounts:</t>
  </si>
  <si>
    <t>Schedule 1.06</t>
  </si>
  <si>
    <t>Adjustment to Normalize Wages and Salaries</t>
  </si>
  <si>
    <t>Adjustment to normalize wages and salaries.  Normalization reflects 2023 and 2024 Merit increase authorized</t>
  </si>
  <si>
    <t>by the Board of Directors to become effective in June 2023 and 2024.  The proposed adjustment reflects only</t>
  </si>
  <si>
    <t>the expensed portion of the total normalized wages and salaries.</t>
  </si>
  <si>
    <t>2024 Merit</t>
  </si>
  <si>
    <t>Increase/</t>
  </si>
  <si>
    <t>(Decrease)</t>
  </si>
  <si>
    <t>Total Wages and Salaries</t>
  </si>
  <si>
    <t>Account Allocation:</t>
  </si>
  <si>
    <t xml:space="preserve">  CWIP (107)</t>
  </si>
  <si>
    <t xml:space="preserve">  RWIP (108)</t>
  </si>
  <si>
    <t xml:space="preserve">  Accounts Receivable (143)</t>
  </si>
  <si>
    <t xml:space="preserve">  Fuel Stock Undistributed (152)</t>
  </si>
  <si>
    <t xml:space="preserve">  Prelim. Survey &amp; Invest. (183)</t>
  </si>
  <si>
    <t xml:space="preserve">  Miscellaneous Defer Debt (186)</t>
  </si>
  <si>
    <t xml:space="preserve">  Other Long-Term Debt (224)</t>
  </si>
  <si>
    <t xml:space="preserve">  Asset Retirement Obl (230)</t>
  </si>
  <si>
    <t xml:space="preserve">  Maint. Exp. Plant Lease (413)</t>
  </si>
  <si>
    <t xml:space="preserve">  Expenses Non-Utility Oper. (417.1)</t>
  </si>
  <si>
    <t xml:space="preserve">  Misc. Non-Oper. Income (421)</t>
  </si>
  <si>
    <t xml:space="preserve">  Civic &amp; Political (426.4)</t>
  </si>
  <si>
    <t xml:space="preserve">  Misc. Service Revenues (451)</t>
  </si>
  <si>
    <t xml:space="preserve">  Production</t>
  </si>
  <si>
    <t xml:space="preserve">  Transmission</t>
  </si>
  <si>
    <t xml:space="preserve">  Distribution</t>
  </si>
  <si>
    <t xml:space="preserve">  Customer Service &amp; Information</t>
  </si>
  <si>
    <t xml:space="preserve">  Sales</t>
  </si>
  <si>
    <t xml:space="preserve">  Administrative &amp; General</t>
  </si>
  <si>
    <t xml:space="preserve">  (Rounding Adjustment)</t>
  </si>
  <si>
    <t>Total Allocations</t>
  </si>
  <si>
    <t>Percentage Increase</t>
  </si>
  <si>
    <t>Proposed Expense Adjustment:</t>
  </si>
  <si>
    <t>Note:  Total Wages and Salaries for the test year and annualization have been adjusted to</t>
  </si>
  <si>
    <t>remove amounts recovered through the environmental surcharge.</t>
  </si>
  <si>
    <t>Schedule 1.07</t>
  </si>
  <si>
    <t>Adjustment to Normalize Payroll Taxes</t>
  </si>
  <si>
    <t>Adjustment to normalize payroll taxes.  Normalization reflects 2023 Merit increase authorized</t>
  </si>
  <si>
    <t>by the Board of Directors to become effective in June 2024.  The proposed adjustment reflects</t>
  </si>
  <si>
    <t>only the expensed portion of the total normalization for payroll taxes.</t>
  </si>
  <si>
    <t>Payroll Taxes</t>
  </si>
  <si>
    <t>Total Payroll Taxes</t>
  </si>
  <si>
    <t>Note:  The test year and annualized payroll taxes have been adjusted to exclude</t>
  </si>
  <si>
    <t>payroll taxes recovered through the environmental surcharge.</t>
  </si>
  <si>
    <t>Schedule 1.08</t>
  </si>
  <si>
    <t>Adjustment to Normalize Employee Medical Insurance Expense</t>
  </si>
  <si>
    <t>Adjustment to recognize documented changes in employee medical insurance costs occurring in the first</t>
  </si>
  <si>
    <t>6 months after test-year end.  The adjustment also recognizes changes in employee head count through</t>
  </si>
  <si>
    <t>June 30, 2024.  The proposed adjustment reflects only the expensed portion of the total normalized</t>
  </si>
  <si>
    <t>medical insurance premiums.</t>
  </si>
  <si>
    <t>June 2024</t>
  </si>
  <si>
    <t>Total Employer Medical Premiums</t>
  </si>
  <si>
    <t xml:space="preserve">  RWIP (108.8)</t>
  </si>
  <si>
    <t xml:space="preserve">  Prelim Survey/Investigation (183)</t>
  </si>
  <si>
    <t xml:space="preserve">  Asset Retirement Obligations (230)</t>
  </si>
  <si>
    <t>Note:  The test year and normalized employer medical premiums have been</t>
  </si>
  <si>
    <t>adjusted to exclude a portion recovered through the environmental surcharge.</t>
  </si>
  <si>
    <t>Schedule 1.09</t>
  </si>
  <si>
    <t>Adjustment to Employee Benefit Expenses</t>
  </si>
  <si>
    <t>Adjustment to recognize Commission practice to exclude the cost for the Supplemental Executive</t>
  </si>
  <si>
    <t xml:space="preserve">  Retirement Plan and contributions to 401(k) plans for employees covered in the defined benefit plan.</t>
  </si>
  <si>
    <t>Test Year Costs:</t>
  </si>
  <si>
    <t xml:space="preserve">  Supplemental Executive Retirement Plan 457(f)</t>
  </si>
  <si>
    <t xml:space="preserve">  401(k) Employer 2% Contribution</t>
  </si>
  <si>
    <t xml:space="preserve">    Total Test Year Costs</t>
  </si>
  <si>
    <t>Percentage of</t>
  </si>
  <si>
    <t>Test Year Total</t>
  </si>
  <si>
    <t>Allocation of</t>
  </si>
  <si>
    <t>Benefit Costs</t>
  </si>
  <si>
    <t>Exclusion</t>
  </si>
  <si>
    <t xml:space="preserve">  Asset Retirement Oblig (230)</t>
  </si>
  <si>
    <t>Schedule 1.10</t>
  </si>
  <si>
    <t>Remove Miscellaneous Employee Benefit Expenses</t>
  </si>
  <si>
    <t>Remove employee benefit expenses not normally allowed for rate-making purposes</t>
  </si>
  <si>
    <t xml:space="preserve">  - Christmas Celebration</t>
  </si>
  <si>
    <t xml:space="preserve">  - Summer employee outing</t>
  </si>
  <si>
    <t xml:space="preserve">  - Employee appreciation lunch</t>
  </si>
  <si>
    <t xml:space="preserve">  - Kroger gift cards</t>
  </si>
  <si>
    <t>Christmas Celebration</t>
  </si>
  <si>
    <t>Summer Employee Outing</t>
  </si>
  <si>
    <t>Employee Appreciation Lunches</t>
  </si>
  <si>
    <t>Kroger Gift Cards - Thanksgiving</t>
  </si>
  <si>
    <t>Kroger Gift Cards - Christmas</t>
  </si>
  <si>
    <t>Kroger Gift Cards - Spurlock</t>
  </si>
  <si>
    <t>Break Beverages and Other Related Supplies</t>
  </si>
  <si>
    <t>Total Miscellaneous Employee Benefit Expenses</t>
  </si>
  <si>
    <t>Proposed adjustment for Miscellaneous Employee Benefit Expenses</t>
  </si>
  <si>
    <t>Schedule 1.11</t>
  </si>
  <si>
    <t>Adjustment to Retiree Medical Insurance Expense</t>
  </si>
  <si>
    <t>In the Order in Case 2021-00103, the Commission in found it reasonable to use a 5-year average of</t>
  </si>
  <si>
    <t xml:space="preserve">post-retirement benefits which was introduced as a part of the Settlement agreement in that proceeding. </t>
  </si>
  <si>
    <t xml:space="preserve"> </t>
  </si>
  <si>
    <t>Total</t>
  </si>
  <si>
    <t>5-year Average</t>
  </si>
  <si>
    <t>Removal of 2023</t>
  </si>
  <si>
    <t>Apply 5-yr Average</t>
  </si>
  <si>
    <t>Allocation</t>
  </si>
  <si>
    <t>Summary of Impact:</t>
  </si>
  <si>
    <t>Schedule 1.12</t>
  </si>
  <si>
    <t>Remove Advertising Expenses Pursuant to 807 KAR 5:016</t>
  </si>
  <si>
    <t>Remove advertising expenses not eligible for recovery pursuant to the requirements of 807 KAR 5:016.</t>
  </si>
  <si>
    <t>Advertising that does not provide a "material benefit" includes:</t>
  </si>
  <si>
    <t xml:space="preserve">  - Political advertising - influencing public opinion</t>
  </si>
  <si>
    <t xml:space="preserve">  - Promotional advertising - encouraging the use of a service, appliance, or equipment of the utility</t>
  </si>
  <si>
    <t xml:space="preserve">  - Institutional advertising - enhancement of corporate image of utility</t>
  </si>
  <si>
    <t>Account 908000:</t>
  </si>
  <si>
    <t xml:space="preserve">  Miscellaneous Advertising</t>
  </si>
  <si>
    <t>Account 913000</t>
  </si>
  <si>
    <t xml:space="preserve">  Member Support</t>
  </si>
  <si>
    <t xml:space="preserve">  Magazine Advertising</t>
  </si>
  <si>
    <t xml:space="preserve">    Total Account 913000</t>
  </si>
  <si>
    <t>Total Advertising</t>
  </si>
  <si>
    <t>Proposed Adjustment</t>
  </si>
  <si>
    <t xml:space="preserve">  Account 908</t>
  </si>
  <si>
    <t xml:space="preserve">  Account 913</t>
  </si>
  <si>
    <t>Schedule 1.13</t>
  </si>
  <si>
    <t>Adjustments to Board of Directors' Expenses</t>
  </si>
  <si>
    <t>Summary of Adjustment:</t>
  </si>
  <si>
    <t xml:space="preserve">  Increase in Expenses -</t>
  </si>
  <si>
    <t xml:space="preserve">    Normalization of Directors' Per Diem Fees</t>
  </si>
  <si>
    <t xml:space="preserve">  Decrease in Expenses -</t>
  </si>
  <si>
    <t xml:space="preserve">    Remove overlapping Directors' Per Diem Fees</t>
  </si>
  <si>
    <t xml:space="preserve">    Remove Per Diem Fees for non-EKPC Meetings</t>
  </si>
  <si>
    <t xml:space="preserve">    Remove Fees and Expenses - Legislative Conferences</t>
  </si>
  <si>
    <t xml:space="preserve">    Remove Fees and Expenses - Spurlock Plant Tour</t>
  </si>
  <si>
    <t xml:space="preserve">    Remove Fees and Expenses - Bid Openings</t>
  </si>
  <si>
    <t xml:space="preserve">    Remove Miscellaneous Expenses</t>
  </si>
  <si>
    <t>Net Adjustment</t>
  </si>
  <si>
    <t>Detailed Scheduled of Directors' Expenses is provided in "Workpaper 1.13 Directors Expense.xlsx".</t>
  </si>
  <si>
    <t>Schedule 1.14</t>
  </si>
  <si>
    <t>Adjustment to Remove Donations - Account 426</t>
  </si>
  <si>
    <t>List of appropriate subaccounts of Account No. 426 that need to be removed.</t>
  </si>
  <si>
    <t>For Account 426:</t>
  </si>
  <si>
    <t xml:space="preserve">  Account 426.100 - Donations</t>
  </si>
  <si>
    <t xml:space="preserve">  Account 426.400 - Expenditures for Certain Civic,</t>
  </si>
  <si>
    <t xml:space="preserve">    Political, and Related Activities</t>
  </si>
  <si>
    <t xml:space="preserve">    (Removed as part of Lobbying Adjustment)</t>
  </si>
  <si>
    <t>Total for Account 426</t>
  </si>
  <si>
    <t xml:space="preserve">  Adjustment to Account 426</t>
  </si>
  <si>
    <t>Schedule 1.15</t>
  </si>
  <si>
    <t>Adjustment to Remove Lobbying Expenses</t>
  </si>
  <si>
    <t>Adjustment to remove Lobbying expenses from various accounts.</t>
  </si>
  <si>
    <t xml:space="preserve">  Account 923.001 - Smith-Free Group LLC</t>
  </si>
  <si>
    <t xml:space="preserve">  Account 930.201 - America's Power</t>
  </si>
  <si>
    <t xml:space="preserve">  Account 930.202 - KEC Government Strategies Contribution</t>
  </si>
  <si>
    <t xml:space="preserve">  Account 921.000 - Lobbying expenses reported to KLEC</t>
  </si>
  <si>
    <t xml:space="preserve">  Account 426.400 - Other Lobbying expenses</t>
  </si>
  <si>
    <t>Total Lobbying Expenses to Remove</t>
  </si>
  <si>
    <t>Proposed Adjustment -</t>
  </si>
  <si>
    <t xml:space="preserve">  Donations</t>
  </si>
  <si>
    <t>Schedule 1.16</t>
  </si>
  <si>
    <t>Adjustment to Remove Touchstone Energy Dues and Expenses</t>
  </si>
  <si>
    <t>Adjustment to remove Touchstone Energy Dues and Touchstone Energy-related expenses.</t>
  </si>
  <si>
    <t>Touchstone Energy Dues for 2023</t>
  </si>
  <si>
    <t>Touchstone Energy Related Expenses:</t>
  </si>
  <si>
    <t>Total Touchstone Energy Dues and Related Expenses</t>
  </si>
  <si>
    <t>Schedule 1.17</t>
  </si>
  <si>
    <t>Adjustment to Remove Non-Recurring and Other Expenses</t>
  </si>
  <si>
    <t>Adjustment to remove non-recurring expenses and other expenses not normally included for</t>
  </si>
  <si>
    <t xml:space="preserve">  rate-making purposes.</t>
  </si>
  <si>
    <t>Account 908</t>
  </si>
  <si>
    <t>Account 921</t>
  </si>
  <si>
    <t>Account 923</t>
  </si>
  <si>
    <t>Account 930</t>
  </si>
  <si>
    <t>Non-Recurring Expenses:</t>
  </si>
  <si>
    <t xml:space="preserve">  Discontinued DSM Programs</t>
  </si>
  <si>
    <t xml:space="preserve">  Payments to Member Systems</t>
  </si>
  <si>
    <t xml:space="preserve">    for Discontinued DSM Programs</t>
  </si>
  <si>
    <t xml:space="preserve">  Penalties</t>
  </si>
  <si>
    <t xml:space="preserve">  Contract Settlement</t>
  </si>
  <si>
    <t xml:space="preserve">  CFO Temporary Housing and Relocation</t>
  </si>
  <si>
    <t xml:space="preserve">  Temporary CFO Expenses</t>
  </si>
  <si>
    <t xml:space="preserve">  Legal Services</t>
  </si>
  <si>
    <t>Total Non-Recurring</t>
  </si>
  <si>
    <t>Excluded for Rate-Making Purposes:</t>
  </si>
  <si>
    <t xml:space="preserve">  Sponsorships &amp; Donations</t>
  </si>
  <si>
    <t xml:space="preserve">  Special Olympics</t>
  </si>
  <si>
    <t xml:space="preserve">  Honor Flight</t>
  </si>
  <si>
    <t xml:space="preserve">  Ronald McDonald House</t>
  </si>
  <si>
    <t xml:space="preserve">  SOAR &amp; SOAR Related</t>
  </si>
  <si>
    <t xml:space="preserve">  Gifts, Prizes, Clothing &amp; Misc.</t>
  </si>
  <si>
    <t xml:space="preserve">  Mine Tour</t>
  </si>
  <si>
    <t xml:space="preserve">  NRECA Legislative Conference</t>
  </si>
  <si>
    <t xml:space="preserve">  Employee Celebrations &amp; Meals</t>
  </si>
  <si>
    <t>Total Exclusions</t>
  </si>
  <si>
    <t>Total Adjustment to Misc. Exp.</t>
  </si>
  <si>
    <t>Schedule 1.18</t>
  </si>
  <si>
    <t>Adjustment to Depreciation Expense</t>
  </si>
  <si>
    <t>Adjustment to normalize depreciation expense to reflect the results of the proposed depreciation study.  The</t>
  </si>
  <si>
    <t xml:space="preserve">adjustment also recognizes the exclusion of depreciation expense recovered through the environmental </t>
  </si>
  <si>
    <t>surcharge.</t>
  </si>
  <si>
    <t>Test Year Actual Depreciation Expense</t>
  </si>
  <si>
    <t>Test Year Actual</t>
  </si>
  <si>
    <t>Recovered Thru</t>
  </si>
  <si>
    <t>Net Test Year</t>
  </si>
  <si>
    <t>Depreciation Categories</t>
  </si>
  <si>
    <t>Actual Expense</t>
  </si>
  <si>
    <t>Intangible Plant</t>
  </si>
  <si>
    <t>Steam Plant</t>
  </si>
  <si>
    <t>Other Production Plant</t>
  </si>
  <si>
    <t>Transmission Plant</t>
  </si>
  <si>
    <t>Distribution Plant</t>
  </si>
  <si>
    <t>General Plant</t>
  </si>
  <si>
    <t>Depreciation expense recovered through the environmental surcharge has already been excluded from the</t>
  </si>
  <si>
    <t xml:space="preserve">  test year as part of Schedule 1.02.</t>
  </si>
  <si>
    <t>Normalized Depreciation Expense Reflect Proposed Depreciation Study</t>
  </si>
  <si>
    <t>Depreciation Study</t>
  </si>
  <si>
    <t>Annual Accruals</t>
  </si>
  <si>
    <t>Annual</t>
  </si>
  <si>
    <t>Net Annual</t>
  </si>
  <si>
    <t>Accruals</t>
  </si>
  <si>
    <t>Proposed Adjustment to Depreciation Expense</t>
  </si>
  <si>
    <t>Change in</t>
  </si>
  <si>
    <t>Schedule 1.19</t>
  </si>
  <si>
    <t>Adjustment to Remove Effects of Outage Insurance Payments</t>
  </si>
  <si>
    <t xml:space="preserve">In 2022, EKPC procured outage insurance to cover potential forced outage-related costs. </t>
  </si>
  <si>
    <t>During Winter Storm Elliot, EKPC submitted claims for these outage-related costs which were</t>
  </si>
  <si>
    <t xml:space="preserve">distributed in 2023. </t>
  </si>
  <si>
    <t xml:space="preserve">EKPC proposes to remove these insurance payouts as they are non-recurring revenues. </t>
  </si>
  <si>
    <t>Account 421.000</t>
  </si>
  <si>
    <t xml:space="preserve">  Outage Insurance Payout - Feb 2023</t>
  </si>
  <si>
    <t xml:space="preserve">  Outage Insurance Payout - Aug 2023</t>
  </si>
  <si>
    <t xml:space="preserve">  Outage Insurance Payout - Sep 2023</t>
  </si>
  <si>
    <t>Total Insurance Payouts</t>
  </si>
  <si>
    <t>Total Outage Insurance Payout Adjustment</t>
  </si>
  <si>
    <t>Schedule 1.20</t>
  </si>
  <si>
    <t>Adjustment for Forced Outage and Highest Purchased Power Costs not Recovered through FAC</t>
  </si>
  <si>
    <t>Part 1: Adjust December 2022 Values</t>
  </si>
  <si>
    <t>Winter Storm Elliot. Below is a calculation to normalize Dec 2022 values using the most</t>
  </si>
  <si>
    <t xml:space="preserve">recent 5 year values in December. </t>
  </si>
  <si>
    <t>2022 Actual Values</t>
  </si>
  <si>
    <t>Highest Cost</t>
  </si>
  <si>
    <t>Disallowed</t>
  </si>
  <si>
    <t>January 2022</t>
  </si>
  <si>
    <t>December 2022</t>
  </si>
  <si>
    <t>Normalized 2022 Values using</t>
  </si>
  <si>
    <t>5-year Average utilized above</t>
  </si>
  <si>
    <t>Part 2: Calculate 5-year Average with normalized 2022 values</t>
  </si>
  <si>
    <t>Calendar Year</t>
  </si>
  <si>
    <t>2019</t>
  </si>
  <si>
    <t>2020</t>
  </si>
  <si>
    <t>2021</t>
  </si>
  <si>
    <t>2022</t>
  </si>
  <si>
    <t>2023</t>
  </si>
  <si>
    <t>Five-Year Totals</t>
  </si>
  <si>
    <t>Average Annual Amounts</t>
  </si>
  <si>
    <t>Expense for 2023</t>
  </si>
  <si>
    <t>Differences</t>
  </si>
  <si>
    <t>Adjustment for Forced Outage &amp; Highest Cost Exclusion</t>
  </si>
  <si>
    <t>Schedule 1.21</t>
  </si>
  <si>
    <t>Normalize Insurance Expense</t>
  </si>
  <si>
    <t>Normalize Insurance Expense to recognize test year premiums and recognize known and measurable</t>
  </si>
  <si>
    <t xml:space="preserve">  changes in premiums occurring post test year through June 30, 2024.</t>
  </si>
  <si>
    <t>2023 Insurance</t>
  </si>
  <si>
    <t>Test-Year</t>
  </si>
  <si>
    <t>Premiums</t>
  </si>
  <si>
    <t>Excess Workers Comp &amp; Employers Liability</t>
  </si>
  <si>
    <t>Excess Umbrella</t>
  </si>
  <si>
    <t>Excess Energy Liability</t>
  </si>
  <si>
    <t>Directors &amp; Officers Liability/Excess</t>
  </si>
  <si>
    <t>Crime Coverage</t>
  </si>
  <si>
    <t>Cyber Crime</t>
  </si>
  <si>
    <t>Fiduciary</t>
  </si>
  <si>
    <t>Professional Liability</t>
  </si>
  <si>
    <t>Marine Program &amp; Cargo</t>
  </si>
  <si>
    <t>Unit Outage Insurance</t>
  </si>
  <si>
    <t xml:space="preserve">    Subtotal</t>
  </si>
  <si>
    <t>2024 Insurance</t>
  </si>
  <si>
    <t>Capacity Performance Insurance</t>
  </si>
  <si>
    <t>Property Insurance</t>
  </si>
  <si>
    <t>Quarterly Brokerage Fees</t>
  </si>
  <si>
    <t>Total Proposed Adjustment to Insurance Expense</t>
  </si>
  <si>
    <t>Schedule 1.22</t>
  </si>
  <si>
    <t>Normalize RTEP Expenses</t>
  </si>
  <si>
    <t xml:space="preserve">Normalize Regional Transmission Expansion Plan ("RTEP") expenses, PJM Billing Code 1108, and </t>
  </si>
  <si>
    <t>Transmission Enhancement Settlement expenses, PJM Billing Code 1115, as recorded in</t>
  </si>
  <si>
    <t>Account No. 565000.</t>
  </si>
  <si>
    <t>Code 1108</t>
  </si>
  <si>
    <t>Code 1115</t>
  </si>
  <si>
    <t>Total RTEP</t>
  </si>
  <si>
    <t>Charges</t>
  </si>
  <si>
    <t>Total Test Year</t>
  </si>
  <si>
    <t>January 2024</t>
  </si>
  <si>
    <t>Total First 6 Mon.</t>
  </si>
  <si>
    <t>Annualize First</t>
  </si>
  <si>
    <t xml:space="preserve">  6 Months 2024</t>
  </si>
  <si>
    <t>Less Total</t>
  </si>
  <si>
    <t xml:space="preserve">  Test Year</t>
  </si>
  <si>
    <t>Normalized</t>
  </si>
  <si>
    <t xml:space="preserve">  RTEP Expenses</t>
  </si>
  <si>
    <t>Proposed Increase in Expense</t>
  </si>
  <si>
    <t>Schedule 1.23</t>
  </si>
  <si>
    <t>Amortize Rate Case Expenses</t>
  </si>
  <si>
    <t>Adjustment to list estimated costs associated with the preparation of the rate case and propose amortizing</t>
  </si>
  <si>
    <t xml:space="preserve">  the total over a period of 3 years.  </t>
  </si>
  <si>
    <t>Estimated Rate Case Expenses</t>
  </si>
  <si>
    <t xml:space="preserve">  Cost of Service Study Consultant</t>
  </si>
  <si>
    <t xml:space="preserve">  Depreciation Study Consultant</t>
  </si>
  <si>
    <t xml:space="preserve">  Consultant for Member Pass-Through Filings</t>
  </si>
  <si>
    <t xml:space="preserve">  Outside Legal Counsel</t>
  </si>
  <si>
    <t xml:space="preserve">  Advertising</t>
  </si>
  <si>
    <t xml:space="preserve">  Legal Notices for Members' Pass-Through Cases</t>
  </si>
  <si>
    <t xml:space="preserve">  Supplies, materials, and miscellaneous</t>
  </si>
  <si>
    <t>Total Estimated Rate Case Expenses</t>
  </si>
  <si>
    <t>Proposed Adjustment, one third of estimated expenses</t>
  </si>
  <si>
    <t>Schedule 1.24</t>
  </si>
  <si>
    <t>Remove Capacity Performance Payments from PJM</t>
  </si>
  <si>
    <t>To properly normalize test year revenues, remove effect of capacity performance payments and penalties</t>
  </si>
  <si>
    <t xml:space="preserve">  from PJM as a result of FERC Settlement for Winter Storm Elliot ("WSE")</t>
  </si>
  <si>
    <t xml:space="preserve">Account 447.251 </t>
  </si>
  <si>
    <t xml:space="preserve">  PJM WSE Assessment Penalties</t>
  </si>
  <si>
    <t xml:space="preserve">  PJM WSE Penalties - Insurance Impacts</t>
  </si>
  <si>
    <t xml:space="preserve">  Less: PJM WSE Assessment Penalties - Vistra's Share</t>
  </si>
  <si>
    <t>Total EKPC WSE Net Penalties</t>
  </si>
  <si>
    <t xml:space="preserve">  PJM WSE Bonuses</t>
  </si>
  <si>
    <t xml:space="preserve">  PJM WSE Bonuses - Interest</t>
  </si>
  <si>
    <t xml:space="preserve">  Less: PJM WSE Bonuses - Vistra's Share</t>
  </si>
  <si>
    <t>Total WSE Adjustment</t>
  </si>
  <si>
    <t>Schedule 1.25</t>
  </si>
  <si>
    <t>Adjustment to Remove Generation Expense in Excess of Tracker Mechanism</t>
  </si>
  <si>
    <t>As a part of the settlement in EKPC's last rate proceeding (2021-00103), a threshold for Generation Maintenance was established</t>
  </si>
  <si>
    <t>to be included in base rates at a normalized threshold based on recorded costs from 2015-2019. Any difference above this amount</t>
  </si>
  <si>
    <t xml:space="preserve">was tracked and EKPC recorded 75% of the difference in a Regulatory Asset. The remaining 25% would then be excluded from recovery </t>
  </si>
  <si>
    <t>in base rates. The adjustment calculated below removes the remaining 25% of generation expense.</t>
  </si>
  <si>
    <t>Account</t>
  </si>
  <si>
    <t>Total Gen Maint Exp</t>
  </si>
  <si>
    <t>Less: Spurlock 2019 Maint Amortization</t>
  </si>
  <si>
    <t>Less: ES Gen Maint Projects</t>
  </si>
  <si>
    <t>Base Rate Gen Maintenance Expense</t>
  </si>
  <si>
    <t>Normalized Gen Maintenance Threshold</t>
  </si>
  <si>
    <t>Gen Maintenance Exp in Excess of Threshold</t>
  </si>
  <si>
    <t>Annual Generation Maintenance Reg Asset</t>
  </si>
  <si>
    <t>Annual Generation Maintenance excluded from</t>
  </si>
  <si>
    <t>recovery in base rates</t>
  </si>
  <si>
    <t>Total Proposed Adjustment to Gen Maint Exp</t>
  </si>
  <si>
    <t>Schedule 1.26</t>
  </si>
  <si>
    <t>Adjustment to Amortize Generation Maintenance Regulatory Asset</t>
  </si>
  <si>
    <t xml:space="preserve">to be included in base rates at a normalized threshold based on recorded costs from 2015-2019. Any difference above or below this </t>
  </si>
  <si>
    <t xml:space="preserve">amount was tracked and EKPC recorded 75% of the difference in a Regulatory Asset. In the Settlement Agreement, EKPC would file for </t>
  </si>
  <si>
    <t>recovery of the amortization of the net accumulated balance in its next rate case. The adjustment calculated below reflects the current</t>
  </si>
  <si>
    <t xml:space="preserve">accumulated balance and EKPC proposed amortization period of 3 years for the accumulated balance. </t>
  </si>
  <si>
    <t>Gen Maintenance Reg Asset Balance - Beg of Year</t>
  </si>
  <si>
    <t>Gen Maintenance Reg Asset Balance - End of Year</t>
  </si>
  <si>
    <t>Amortization Period</t>
  </si>
  <si>
    <t>years</t>
  </si>
  <si>
    <t>Annual Amortization</t>
  </si>
  <si>
    <t>Schedule 1.27</t>
  </si>
  <si>
    <t>amount was tracked and EKPC recorded 75% of the difference in a Regulatory Asset. Since the establishment of the Generation</t>
  </si>
  <si>
    <t xml:space="preserve">Maintenance tracker, EKPC's costs have increased substantially compared to the current threshold due to inflation and equipment </t>
  </si>
  <si>
    <t>cost increases. This has led to a substantial increase in the amount recovered through the Generation Maintenance tracker and</t>
  </si>
  <si>
    <t>unrecovered maintenance costs. EKPC proposes to update the normalized threshold based on a 4-year average of generation</t>
  </si>
  <si>
    <t>maintenance costs from 2020-2023 moving forward. This adjustment represents the additional generation maintenance expenses</t>
  </si>
  <si>
    <t xml:space="preserve">that would have been recovered in 2023 with the updated threshold above those recovered through the tracker shown in 1.26. </t>
  </si>
  <si>
    <t>EKPC also proposes to use this new threshold for future excess generation maintenance expenses that flow into the Generator</t>
  </si>
  <si>
    <t xml:space="preserve">Maintenance Tracker. </t>
  </si>
  <si>
    <t>Current Gen Maintenance Threshold</t>
  </si>
  <si>
    <t>Recoverable Gen Maint Exp at Current Threshold</t>
  </si>
  <si>
    <t>Unrecoverable Gen Maint Exp at Current Threshold</t>
  </si>
  <si>
    <t>Proposed Gen Maintenance Threshold</t>
  </si>
  <si>
    <t>Gen Maintenance Exp in Excess of Proposed</t>
  </si>
  <si>
    <t>Threshold Limit</t>
  </si>
  <si>
    <t>Recoverable Gen Maint Exp at Proposed Threshold</t>
  </si>
  <si>
    <t>Unrecoverable Gen Maint Exp at Proposed Threshold</t>
  </si>
  <si>
    <t>Difference in Recoverable Exp between Thresholds</t>
  </si>
  <si>
    <t xml:space="preserve">Total Additional Recoverable Exp </t>
  </si>
  <si>
    <t>Schedule 1.28</t>
  </si>
  <si>
    <t>EKPC is proposing to remove depreciation and amortization associated with the Dale Asbestos</t>
  </si>
  <si>
    <t xml:space="preserve"> and Dale ES Projects 5 &amp; 10 regulatory assets whose amortization period ended during 2023. </t>
  </si>
  <si>
    <t>ARO Regulatory Asset for Dale ES Projects 5 &amp; 10</t>
  </si>
  <si>
    <t xml:space="preserve">  balance as of test year end</t>
  </si>
  <si>
    <t xml:space="preserve">Expense during test year (1) </t>
  </si>
  <si>
    <t>ARO Regulatory Asset for Dale Asbestos Abatement,</t>
  </si>
  <si>
    <t>Expense during test year (2)</t>
  </si>
  <si>
    <t>Proposed reduction in amortization expense (1) + (2)</t>
  </si>
  <si>
    <t>Schedule 1.29</t>
  </si>
  <si>
    <t>Normalize PSC Assessment</t>
  </si>
  <si>
    <t>This adjustment is based on test year revenues after reflecting any adjustments.  The most current</t>
  </si>
  <si>
    <t xml:space="preserve">  PSC Assessment rate will be utilized.  For this adjustment, FAC and environmental surcharge revenues</t>
  </si>
  <si>
    <t xml:space="preserve">  must be included, as the PSC Assessment is not reflected as a component in those mechanisms.</t>
  </si>
  <si>
    <t>The effect of any proposed change in revenues will include a "gross up" for the PSC Assessment and will</t>
  </si>
  <si>
    <t xml:space="preserve">  be presented as part of the overall proposed increase in revenues rather than as part of this adjustment.</t>
  </si>
  <si>
    <t>Total Operating Revenues from Operating Statement</t>
  </si>
  <si>
    <t>Add:  Expenses Associated with Leased Property</t>
  </si>
  <si>
    <t xml:space="preserve">  Subtotal</t>
  </si>
  <si>
    <t>Less:  Interstate Revenues - PJM Interconnection</t>
  </si>
  <si>
    <t>Less:  Interstate Revenues - ENEL X North America</t>
  </si>
  <si>
    <t>Gross Interstate Revenues as Reported</t>
  </si>
  <si>
    <t>Add:  Revenues from Bill Credits Ending</t>
  </si>
  <si>
    <t>Adjusted Gross Interstate Revenues</t>
  </si>
  <si>
    <t>PSC Assessment Rate for 2024</t>
  </si>
  <si>
    <t>Normalized PSC Assessment</t>
  </si>
  <si>
    <t>Test Year PSC Assessment</t>
  </si>
  <si>
    <t>Adjustment to Normalize PSC Assessment</t>
  </si>
  <si>
    <t>Schedule 1.30</t>
  </si>
  <si>
    <t>Proposed Revenue Increase</t>
  </si>
  <si>
    <t>Revenue Increase based on TIER:</t>
  </si>
  <si>
    <t>Proforma Interest on Long Term Debt</t>
  </si>
  <si>
    <t>Proposed TIER</t>
  </si>
  <si>
    <t>Authorized Margins</t>
  </si>
  <si>
    <t>Proforma Net Margins</t>
  </si>
  <si>
    <t>Required Increase in Revenues</t>
  </si>
  <si>
    <t>Impact on PSC Assessment -</t>
  </si>
  <si>
    <t xml:space="preserve">  2024 Assessment</t>
  </si>
  <si>
    <t xml:space="preserve">  2023 Gross Operating Revenues</t>
  </si>
  <si>
    <t xml:space="preserve">  Assessment Rate</t>
  </si>
  <si>
    <t>Additional Assessment due to Required Increase in Revenues</t>
  </si>
  <si>
    <t>Total Proposed Revenue Increase</t>
  </si>
  <si>
    <t>Limit Established per Case No. 2021-00103</t>
  </si>
  <si>
    <t>December 2022 saw an unusually high Forced Outage and Highest Cost Exclusion due to</t>
  </si>
  <si>
    <t xml:space="preserve">  Account 908 - Meetings and presentations</t>
  </si>
  <si>
    <t xml:space="preserve">  Account 930.100 &amp; 930.202 - Advertising expenses</t>
  </si>
  <si>
    <t>Net periodic expense is shown below (2024 value included because it was known prior to June 2024):</t>
  </si>
  <si>
    <t>Adjustment to Remove Amortization of Regulatory Asset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</si>
</sst>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0_);[Red]\(#,##0.000000\)"/>
    <numFmt numFmtId="166" formatCode="0.0000%"/>
    <numFmt numFmtId="167" formatCode="&quot;$&quot;#,##0"/>
    <numFmt numFmtId="168" formatCode="_(&quot;$&quot;* #,##0_);_(&quot;$&quot;* \(#,##0\);_(&quot;$&quot;* &quot;-&quot;??_);_(@_)"/>
  </numFmts>
  <fonts count="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7">
    <xf numFmtId="0" fontId="0" fillId="0" borderId="0" xfId="0"/>
    <xf numFmtId="38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6" fontId="0" fillId="0" borderId="0" xfId="0" applyNumberFormat="1"/>
    <xf numFmtId="40" fontId="0" fillId="0" borderId="0" xfId="0" applyNumberFormat="1"/>
    <xf numFmtId="6" fontId="0" fillId="0" borderId="2" xfId="0" applyNumberFormat="1" applyBorder="1"/>
    <xf numFmtId="6" fontId="0" fillId="0" borderId="3" xfId="0" applyNumberFormat="1" applyBorder="1"/>
    <xf numFmtId="6" fontId="0" fillId="0" borderId="4" xfId="0" applyNumberFormat="1" applyBorder="1"/>
    <xf numFmtId="6" fontId="0" fillId="2" borderId="0" xfId="0" applyNumberFormat="1" applyFill="1"/>
    <xf numFmtId="6" fontId="0" fillId="2" borderId="2" xfId="0" applyNumberFormat="1" applyFill="1" applyBorder="1"/>
    <xf numFmtId="0" fontId="2" fillId="0" borderId="0" xfId="0" applyFont="1"/>
    <xf numFmtId="0" fontId="3" fillId="0" borderId="0" xfId="0" applyFont="1"/>
    <xf numFmtId="49" fontId="0" fillId="0" borderId="0" xfId="0" applyNumberFormat="1"/>
    <xf numFmtId="8" fontId="0" fillId="0" borderId="0" xfId="0" applyNumberFormat="1"/>
    <xf numFmtId="38" fontId="0" fillId="0" borderId="2" xfId="0" applyNumberFormat="1" applyBorder="1"/>
    <xf numFmtId="38" fontId="0" fillId="0" borderId="4" xfId="0" applyNumberFormat="1" applyBorder="1"/>
    <xf numFmtId="164" fontId="0" fillId="0" borderId="0" xfId="0" applyNumberFormat="1"/>
    <xf numFmtId="165" fontId="0" fillId="0" borderId="0" xfId="0" applyNumberFormat="1"/>
    <xf numFmtId="10" fontId="0" fillId="0" borderId="0" xfId="0" applyNumberFormat="1"/>
    <xf numFmtId="10" fontId="0" fillId="0" borderId="2" xfId="0" applyNumberFormat="1" applyBorder="1"/>
    <xf numFmtId="10" fontId="0" fillId="0" borderId="0" xfId="0" quotePrefix="1" applyNumberFormat="1" applyAlignment="1">
      <alignment horizontal="right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center"/>
    </xf>
    <xf numFmtId="6" fontId="0" fillId="0" borderId="7" xfId="0" applyNumberFormat="1" applyBorder="1"/>
    <xf numFmtId="49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6" fontId="0" fillId="0" borderId="1" xfId="0" applyNumberFormat="1" applyBorder="1" applyAlignment="1">
      <alignment horizontal="center"/>
    </xf>
    <xf numFmtId="8" fontId="0" fillId="0" borderId="2" xfId="0" applyNumberFormat="1" applyBorder="1"/>
    <xf numFmtId="8" fontId="0" fillId="0" borderId="4" xfId="0" applyNumberFormat="1" applyBorder="1"/>
    <xf numFmtId="8" fontId="0" fillId="0" borderId="3" xfId="0" applyNumberFormat="1" applyBorder="1"/>
    <xf numFmtId="8" fontId="0" fillId="0" borderId="7" xfId="0" applyNumberFormat="1" applyBorder="1"/>
    <xf numFmtId="17" fontId="0" fillId="0" borderId="0" xfId="0" quotePrefix="1" applyNumberFormat="1" applyAlignment="1">
      <alignment horizontal="center"/>
    </xf>
    <xf numFmtId="0" fontId="0" fillId="0" borderId="0" xfId="0" quotePrefix="1"/>
    <xf numFmtId="166" fontId="0" fillId="0" borderId="0" xfId="0" applyNumberFormat="1"/>
    <xf numFmtId="0" fontId="0" fillId="3" borderId="0" xfId="0" applyFill="1"/>
    <xf numFmtId="0" fontId="3" fillId="3" borderId="0" xfId="0" applyFont="1" applyFill="1"/>
    <xf numFmtId="6" fontId="0" fillId="3" borderId="0" xfId="0" applyNumberFormat="1" applyFill="1"/>
    <xf numFmtId="6" fontId="0" fillId="3" borderId="2" xfId="0" applyNumberFormat="1" applyFill="1" applyBorder="1"/>
    <xf numFmtId="10" fontId="0" fillId="0" borderId="0" xfId="1" applyNumberFormat="1" applyFont="1"/>
    <xf numFmtId="165" fontId="0" fillId="0" borderId="2" xfId="0" applyNumberFormat="1" applyBorder="1"/>
    <xf numFmtId="17" fontId="0" fillId="0" borderId="0" xfId="0" applyNumberFormat="1"/>
    <xf numFmtId="0" fontId="0" fillId="0" borderId="0" xfId="0" applyAlignment="1">
      <alignment horizontal="right"/>
    </xf>
    <xf numFmtId="6" fontId="0" fillId="0" borderId="8" xfId="0" applyNumberFormat="1" applyBorder="1"/>
    <xf numFmtId="0" fontId="1" fillId="0" borderId="0" xfId="2" applyAlignment="1">
      <alignment horizontal="center"/>
    </xf>
    <xf numFmtId="0" fontId="2" fillId="0" borderId="2" xfId="2" applyFont="1" applyBorder="1" applyAlignment="1">
      <alignment horizontal="center"/>
    </xf>
    <xf numFmtId="0" fontId="4" fillId="0" borderId="2" xfId="0" applyFont="1" applyBorder="1"/>
    <xf numFmtId="0" fontId="4" fillId="0" borderId="0" xfId="2" applyFont="1" applyAlignment="1">
      <alignment horizontal="center"/>
    </xf>
    <xf numFmtId="0" fontId="4" fillId="0" borderId="0" xfId="0" applyFont="1"/>
    <xf numFmtId="167" fontId="4" fillId="0" borderId="0" xfId="2" applyNumberFormat="1" applyFont="1"/>
    <xf numFmtId="0" fontId="4" fillId="0" borderId="2" xfId="2" applyFont="1" applyBorder="1" applyAlignment="1">
      <alignment horizontal="center"/>
    </xf>
    <xf numFmtId="167" fontId="4" fillId="0" borderId="2" xfId="2" applyNumberFormat="1" applyFont="1" applyBorder="1"/>
    <xf numFmtId="0" fontId="4" fillId="0" borderId="0" xfId="2" applyFont="1" applyAlignment="1">
      <alignment horizontal="right"/>
    </xf>
    <xf numFmtId="6" fontId="4" fillId="0" borderId="0" xfId="0" applyNumberFormat="1" applyFont="1"/>
    <xf numFmtId="0" fontId="4" fillId="0" borderId="0" xfId="0" applyFont="1" applyAlignment="1">
      <alignment horizontal="right"/>
    </xf>
    <xf numFmtId="167" fontId="4" fillId="0" borderId="4" xfId="2" applyNumberFormat="1" applyFont="1" applyBorder="1"/>
    <xf numFmtId="9" fontId="4" fillId="0" borderId="2" xfId="0" applyNumberFormat="1" applyFont="1" applyBorder="1"/>
    <xf numFmtId="167" fontId="0" fillId="0" borderId="4" xfId="0" applyNumberFormat="1" applyBorder="1"/>
    <xf numFmtId="168" fontId="0" fillId="0" borderId="0" xfId="5" applyNumberFormat="1" applyFont="1"/>
    <xf numFmtId="14" fontId="0" fillId="0" borderId="0" xfId="0" applyNumberFormat="1"/>
    <xf numFmtId="9" fontId="4" fillId="0" borderId="0" xfId="0" applyNumberFormat="1" applyFont="1"/>
    <xf numFmtId="167" fontId="0" fillId="0" borderId="0" xfId="0" applyNumberFormat="1"/>
    <xf numFmtId="167" fontId="4" fillId="0" borderId="0" xfId="0" applyNumberFormat="1" applyFont="1"/>
    <xf numFmtId="6" fontId="4" fillId="0" borderId="4" xfId="0" applyNumberFormat="1" applyFont="1" applyBorder="1"/>
    <xf numFmtId="9" fontId="0" fillId="0" borderId="0" xfId="0" applyNumberFormat="1"/>
    <xf numFmtId="0" fontId="6" fillId="0" borderId="0" xfId="0" applyFont="1"/>
    <xf numFmtId="43" fontId="0" fillId="0" borderId="0" xfId="0" applyNumberFormat="1"/>
    <xf numFmtId="0" fontId="0" fillId="0" borderId="0" xfId="0" applyFill="1"/>
    <xf numFmtId="0" fontId="0" fillId="0" borderId="0" xfId="2" applyFont="1" applyAlignment="1">
      <alignment horizontal="right"/>
    </xf>
    <xf numFmtId="0" fontId="0" fillId="0" borderId="0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6">
    <cellStyle name="Currency" xfId="5" builtinId="4"/>
    <cellStyle name="Currency 2" xfId="4" xr:uid="{9E059158-A168-49B8-B07F-94B908AC39C8}"/>
    <cellStyle name="Normal" xfId="0" builtinId="0"/>
    <cellStyle name="Normal 2" xfId="3" xr:uid="{E7BDBDB0-2C4B-4B92-8A74-A5C91F562895}"/>
    <cellStyle name="Normal 3" xfId="2" xr:uid="{FD8D8A88-3CCA-4F4F-9255-C7B9BF0CDBA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zoomScaleNormal="100" workbookViewId="0">
      <selection activeCell="J21" sqref="J21"/>
    </sheetView>
  </sheetViews>
  <sheetFormatPr defaultColWidth="15.58203125" defaultRowHeight="14" x14ac:dyDescent="0.3"/>
  <cols>
    <col min="1" max="1" width="4.58203125" customWidth="1"/>
    <col min="2" max="2" width="45.83203125" customWidth="1"/>
    <col min="4" max="4" width="17" bestFit="1" customWidth="1"/>
    <col min="7" max="8" width="15.75" customWidth="1"/>
    <col min="9" max="9" width="20.08203125" bestFit="1" customWidth="1"/>
    <col min="10" max="10" width="21.75" bestFit="1" customWidth="1"/>
  </cols>
  <sheetData>
    <row r="1" spans="1:10" x14ac:dyDescent="0.3">
      <c r="A1" s="1">
        <v>0</v>
      </c>
      <c r="B1" s="69"/>
      <c r="C1" s="69"/>
      <c r="G1" s="4" t="s">
        <v>0</v>
      </c>
    </row>
    <row r="2" spans="1:10" x14ac:dyDescent="0.3">
      <c r="A2" s="1">
        <f>A1+1</f>
        <v>1</v>
      </c>
    </row>
    <row r="3" spans="1:10" x14ac:dyDescent="0.3">
      <c r="A3" s="1">
        <f t="shared" ref="A3:A65" si="0">A2+1</f>
        <v>2</v>
      </c>
      <c r="B3" s="72" t="s">
        <v>1</v>
      </c>
      <c r="C3" s="72"/>
      <c r="D3" s="72"/>
      <c r="E3" s="72"/>
      <c r="F3" s="72"/>
      <c r="G3" s="72"/>
    </row>
    <row r="4" spans="1:10" x14ac:dyDescent="0.3">
      <c r="A4" s="1">
        <f t="shared" si="0"/>
        <v>3</v>
      </c>
      <c r="B4" s="72" t="s">
        <v>2</v>
      </c>
      <c r="C4" s="73"/>
      <c r="D4" s="73"/>
      <c r="E4" s="73"/>
      <c r="F4" s="73"/>
      <c r="G4" s="73"/>
    </row>
    <row r="5" spans="1:10" x14ac:dyDescent="0.3">
      <c r="A5" s="1">
        <f t="shared" si="0"/>
        <v>4</v>
      </c>
      <c r="B5" s="72" t="s">
        <v>3</v>
      </c>
      <c r="C5" s="72"/>
      <c r="D5" s="72"/>
      <c r="E5" s="72"/>
      <c r="F5" s="72"/>
      <c r="G5" s="72"/>
    </row>
    <row r="6" spans="1:10" x14ac:dyDescent="0.3">
      <c r="A6" s="1">
        <f t="shared" si="0"/>
        <v>5</v>
      </c>
    </row>
    <row r="7" spans="1:10" x14ac:dyDescent="0.3">
      <c r="A7" s="1">
        <f t="shared" si="0"/>
        <v>6</v>
      </c>
      <c r="C7" s="2" t="s">
        <v>4</v>
      </c>
      <c r="D7" s="2" t="s">
        <v>5</v>
      </c>
      <c r="E7" s="2" t="s">
        <v>5</v>
      </c>
      <c r="F7" s="2" t="s">
        <v>6</v>
      </c>
      <c r="G7" s="2" t="s">
        <v>7</v>
      </c>
    </row>
    <row r="8" spans="1:10" ht="14.5" thickBot="1" x14ac:dyDescent="0.35">
      <c r="A8" s="1">
        <f t="shared" si="0"/>
        <v>7</v>
      </c>
      <c r="B8" s="3" t="s">
        <v>8</v>
      </c>
      <c r="C8" s="3" t="s">
        <v>9</v>
      </c>
      <c r="D8" s="3" t="s">
        <v>10</v>
      </c>
      <c r="E8" s="3" t="s">
        <v>4</v>
      </c>
      <c r="F8" s="3" t="s">
        <v>11</v>
      </c>
      <c r="G8" s="3" t="s">
        <v>12</v>
      </c>
    </row>
    <row r="9" spans="1:10" x14ac:dyDescent="0.3">
      <c r="A9" s="1">
        <f t="shared" si="0"/>
        <v>8</v>
      </c>
    </row>
    <row r="10" spans="1:10" x14ac:dyDescent="0.3">
      <c r="A10" s="1">
        <f t="shared" si="0"/>
        <v>9</v>
      </c>
      <c r="B10" t="s">
        <v>13</v>
      </c>
      <c r="C10" s="6"/>
      <c r="D10" s="6"/>
      <c r="E10" s="6"/>
      <c r="F10" s="6"/>
      <c r="G10" s="6"/>
      <c r="I10" s="44"/>
      <c r="J10" s="44"/>
    </row>
    <row r="11" spans="1:10" x14ac:dyDescent="0.3">
      <c r="A11" s="1">
        <f t="shared" si="0"/>
        <v>10</v>
      </c>
      <c r="B11" t="s">
        <v>14</v>
      </c>
      <c r="C11" s="11">
        <v>1038106591</v>
      </c>
      <c r="D11" s="6">
        <f>'Sch 1.00 - Summary'!AF13</f>
        <v>-608440621</v>
      </c>
      <c r="E11" s="6">
        <f t="shared" ref="E11:E14" si="1">ROUND(C11+D11,0)</f>
        <v>429665970</v>
      </c>
      <c r="F11" s="6">
        <f>'Sch 1.00 - Summary'!AG13</f>
        <v>79757474.492500022</v>
      </c>
      <c r="G11" s="6">
        <f>E11+F11</f>
        <v>509423444.49250001</v>
      </c>
      <c r="I11" s="6"/>
      <c r="J11" s="6"/>
    </row>
    <row r="12" spans="1:10" x14ac:dyDescent="0.3">
      <c r="A12" s="1">
        <f t="shared" si="0"/>
        <v>11</v>
      </c>
      <c r="B12" t="s">
        <v>15</v>
      </c>
      <c r="C12" s="11">
        <f>19026705+30023017</f>
        <v>49049722</v>
      </c>
      <c r="D12" s="6">
        <f>'Sch 1.00 - Summary'!AF14</f>
        <v>-24936911</v>
      </c>
      <c r="E12" s="6">
        <f t="shared" si="1"/>
        <v>24112811</v>
      </c>
      <c r="F12" s="6"/>
      <c r="G12" s="6">
        <f t="shared" ref="G12:G14" si="2">E12+F12</f>
        <v>24112811</v>
      </c>
    </row>
    <row r="13" spans="1:10" x14ac:dyDescent="0.3">
      <c r="A13" s="1">
        <f t="shared" si="0"/>
        <v>12</v>
      </c>
      <c r="B13" t="s">
        <v>16</v>
      </c>
      <c r="C13" s="11">
        <v>181546</v>
      </c>
      <c r="D13" s="6">
        <f>'Sch 1.00 - Summary'!AF15</f>
        <v>0</v>
      </c>
      <c r="E13" s="6">
        <f t="shared" si="1"/>
        <v>181546</v>
      </c>
      <c r="F13" s="6"/>
      <c r="G13" s="6">
        <f t="shared" si="2"/>
        <v>181546</v>
      </c>
    </row>
    <row r="14" spans="1:10" x14ac:dyDescent="0.3">
      <c r="A14" s="1">
        <f t="shared" si="0"/>
        <v>13</v>
      </c>
      <c r="B14" t="s">
        <v>17</v>
      </c>
      <c r="C14" s="12">
        <v>22855872</v>
      </c>
      <c r="D14" s="8">
        <f>'Sch 1.00 - Summary'!AF16</f>
        <v>0</v>
      </c>
      <c r="E14" s="6">
        <f t="shared" si="1"/>
        <v>22855872</v>
      </c>
      <c r="F14" s="6"/>
      <c r="G14" s="8">
        <f t="shared" si="2"/>
        <v>22855872</v>
      </c>
    </row>
    <row r="15" spans="1:10" x14ac:dyDescent="0.3">
      <c r="A15" s="1">
        <f t="shared" si="0"/>
        <v>14</v>
      </c>
      <c r="B15" t="s">
        <v>18</v>
      </c>
      <c r="C15" s="9">
        <f>ROUND(SUM(C11:C14),0)</f>
        <v>1110193731</v>
      </c>
      <c r="D15" s="9">
        <f>SUM(D11:D14)</f>
        <v>-633377532</v>
      </c>
      <c r="E15" s="9">
        <f>IF(SUM(E11:E14)=C15+D15,SUM(E11:E14),"Er")</f>
        <v>476816199</v>
      </c>
      <c r="F15" s="9">
        <f>SUM(F11:F14)</f>
        <v>79757474.492500022</v>
      </c>
      <c r="G15" s="9">
        <f>IF(SUM(G11:G14)=E15+F15,SUM(G11:G14),"Er")</f>
        <v>556573673.49250007</v>
      </c>
      <c r="I15" s="60"/>
    </row>
    <row r="16" spans="1:10" x14ac:dyDescent="0.3">
      <c r="A16" s="1">
        <f t="shared" si="0"/>
        <v>15</v>
      </c>
      <c r="C16" s="6"/>
      <c r="D16" s="6"/>
      <c r="E16" s="6"/>
      <c r="F16" s="6"/>
      <c r="G16" s="6"/>
      <c r="I16" s="41"/>
    </row>
    <row r="17" spans="1:7" x14ac:dyDescent="0.3">
      <c r="A17" s="1">
        <f t="shared" si="0"/>
        <v>16</v>
      </c>
      <c r="B17" t="s">
        <v>19</v>
      </c>
      <c r="C17" s="6"/>
      <c r="D17" s="6"/>
      <c r="E17" s="6"/>
      <c r="F17" s="6"/>
      <c r="G17" s="6"/>
    </row>
    <row r="18" spans="1:7" x14ac:dyDescent="0.3">
      <c r="A18" s="1">
        <f t="shared" si="0"/>
        <v>17</v>
      </c>
      <c r="B18" t="s">
        <v>20</v>
      </c>
      <c r="C18" s="6"/>
      <c r="D18" s="6"/>
      <c r="E18" s="6"/>
      <c r="F18" s="6"/>
      <c r="G18" s="6"/>
    </row>
    <row r="19" spans="1:7" x14ac:dyDescent="0.3">
      <c r="A19" s="1">
        <f t="shared" si="0"/>
        <v>18</v>
      </c>
      <c r="B19" t="s">
        <v>21</v>
      </c>
      <c r="C19" s="11">
        <v>88914227</v>
      </c>
      <c r="D19" s="6">
        <f>'Sch 1.00 - Summary'!AF20</f>
        <v>-60953375</v>
      </c>
      <c r="E19" s="6">
        <f>ROUND(C19+D19,0)</f>
        <v>27960852</v>
      </c>
      <c r="F19" s="6"/>
      <c r="G19" s="6">
        <f t="shared" ref="G19:G28" si="3">E19+F19</f>
        <v>27960852</v>
      </c>
    </row>
    <row r="20" spans="1:7" x14ac:dyDescent="0.3">
      <c r="A20" s="1">
        <f t="shared" si="0"/>
        <v>19</v>
      </c>
      <c r="B20" t="s">
        <v>22</v>
      </c>
      <c r="C20" s="11">
        <v>344361129</v>
      </c>
      <c r="D20" s="6">
        <f>'Sch 1.00 - Summary'!AF21</f>
        <v>-327966613</v>
      </c>
      <c r="E20" s="6">
        <f t="shared" ref="E20:E28" si="4">ROUND(C20+D20,0)</f>
        <v>16394516</v>
      </c>
      <c r="F20" s="6"/>
      <c r="G20" s="6">
        <f t="shared" si="3"/>
        <v>16394516</v>
      </c>
    </row>
    <row r="21" spans="1:7" x14ac:dyDescent="0.3">
      <c r="A21" s="1">
        <f t="shared" si="0"/>
        <v>20</v>
      </c>
      <c r="B21" t="s">
        <v>23</v>
      </c>
      <c r="C21" s="11">
        <v>176747055</v>
      </c>
      <c r="D21" s="6">
        <f>'Sch 1.00 - Summary'!AF22</f>
        <v>-128566665</v>
      </c>
      <c r="E21" s="6">
        <f t="shared" si="4"/>
        <v>48180390</v>
      </c>
      <c r="F21" s="6"/>
      <c r="G21" s="6">
        <f t="shared" si="3"/>
        <v>48180390</v>
      </c>
    </row>
    <row r="22" spans="1:7" x14ac:dyDescent="0.3">
      <c r="A22" s="1">
        <f t="shared" si="0"/>
        <v>21</v>
      </c>
      <c r="B22" t="s">
        <v>24</v>
      </c>
      <c r="C22" s="11">
        <v>56019189</v>
      </c>
      <c r="D22" s="6">
        <f>'Sch 1.00 - Summary'!AF23</f>
        <v>-179908</v>
      </c>
      <c r="E22" s="6">
        <f t="shared" si="4"/>
        <v>55839281</v>
      </c>
      <c r="F22" s="6"/>
      <c r="G22" s="6">
        <f t="shared" si="3"/>
        <v>55839281</v>
      </c>
    </row>
    <row r="23" spans="1:7" x14ac:dyDescent="0.3">
      <c r="A23" s="1">
        <f t="shared" si="0"/>
        <v>22</v>
      </c>
      <c r="B23" t="s">
        <v>25</v>
      </c>
      <c r="C23" s="11">
        <v>6057712</v>
      </c>
      <c r="D23" s="6">
        <f>'Sch 1.00 - Summary'!AF24</f>
        <v>0</v>
      </c>
      <c r="E23" s="6">
        <f t="shared" si="4"/>
        <v>6057712</v>
      </c>
      <c r="F23" s="6"/>
      <c r="G23" s="6">
        <f t="shared" si="3"/>
        <v>6057712</v>
      </c>
    </row>
    <row r="24" spans="1:7" x14ac:dyDescent="0.3">
      <c r="A24" s="1">
        <f t="shared" si="0"/>
        <v>23</v>
      </c>
      <c r="B24" t="s">
        <v>26</v>
      </c>
      <c r="C24" s="11">
        <v>2298818</v>
      </c>
      <c r="D24" s="6">
        <f>'Sch 1.00 - Summary'!AF25</f>
        <v>711573</v>
      </c>
      <c r="E24" s="6">
        <f t="shared" si="4"/>
        <v>3010391</v>
      </c>
      <c r="F24" s="6"/>
      <c r="G24" s="6">
        <f t="shared" si="3"/>
        <v>3010391</v>
      </c>
    </row>
    <row r="25" spans="1:7" x14ac:dyDescent="0.3">
      <c r="A25" s="1">
        <f t="shared" si="0"/>
        <v>24</v>
      </c>
      <c r="B25" t="s">
        <v>27</v>
      </c>
      <c r="C25" s="11">
        <v>0</v>
      </c>
      <c r="D25" s="6">
        <f>'Sch 1.00 - Summary'!AF26</f>
        <v>0</v>
      </c>
      <c r="E25" s="6">
        <f t="shared" si="4"/>
        <v>0</v>
      </c>
      <c r="F25" s="6"/>
      <c r="G25" s="6">
        <f t="shared" si="3"/>
        <v>0</v>
      </c>
    </row>
    <row r="26" spans="1:7" x14ac:dyDescent="0.3">
      <c r="A26" s="1">
        <f t="shared" si="0"/>
        <v>25</v>
      </c>
      <c r="B26" t="s">
        <v>28</v>
      </c>
      <c r="C26" s="11">
        <v>6181068</v>
      </c>
      <c r="D26" s="6">
        <f>'Sch 1.00 - Summary'!AF27</f>
        <v>-133182</v>
      </c>
      <c r="E26" s="6">
        <f t="shared" si="4"/>
        <v>6047886</v>
      </c>
      <c r="F26" s="6"/>
      <c r="G26" s="6">
        <f t="shared" si="3"/>
        <v>6047886</v>
      </c>
    </row>
    <row r="27" spans="1:7" x14ac:dyDescent="0.3">
      <c r="A27" s="1">
        <f t="shared" si="0"/>
        <v>26</v>
      </c>
      <c r="B27" t="s">
        <v>29</v>
      </c>
      <c r="C27" s="11">
        <v>54386</v>
      </c>
      <c r="D27" s="6">
        <f>'Sch 1.00 - Summary'!AF28</f>
        <v>-21874</v>
      </c>
      <c r="E27" s="6">
        <f t="shared" si="4"/>
        <v>32512</v>
      </c>
      <c r="F27" s="6"/>
      <c r="G27" s="6">
        <f t="shared" si="3"/>
        <v>32512</v>
      </c>
    </row>
    <row r="28" spans="1:7" x14ac:dyDescent="0.3">
      <c r="A28" s="1">
        <f t="shared" si="0"/>
        <v>27</v>
      </c>
      <c r="B28" t="s">
        <v>30</v>
      </c>
      <c r="C28" s="12">
        <v>45596636</v>
      </c>
      <c r="D28" s="6">
        <f>'Sch 1.00 - Summary'!AF29</f>
        <v>-2361564</v>
      </c>
      <c r="E28" s="6">
        <f t="shared" si="4"/>
        <v>43235072</v>
      </c>
      <c r="F28" s="6">
        <f>'Sch 1.00 - Summary'!AG29</f>
        <v>123751</v>
      </c>
      <c r="G28" s="8">
        <f t="shared" si="3"/>
        <v>43358823</v>
      </c>
    </row>
    <row r="29" spans="1:7" x14ac:dyDescent="0.3">
      <c r="A29" s="1">
        <f t="shared" si="0"/>
        <v>28</v>
      </c>
      <c r="B29" t="s">
        <v>31</v>
      </c>
      <c r="C29" s="9">
        <f>ROUND(SUM(C19:C28),0)</f>
        <v>726230220</v>
      </c>
      <c r="D29" s="9">
        <f>SUM(D19:D28)</f>
        <v>-519471608</v>
      </c>
      <c r="E29" s="9">
        <f>IF(SUM(E19:E28)=C29+D29,SUM(E19:E28),"Er")</f>
        <v>206758612</v>
      </c>
      <c r="F29" s="9">
        <f>SUM(F19:F28)</f>
        <v>123751</v>
      </c>
      <c r="G29" s="9">
        <f>IF(SUM(G19:G28)=E29+F29,SUM(G19:G28),"Er")</f>
        <v>206882363</v>
      </c>
    </row>
    <row r="30" spans="1:7" x14ac:dyDescent="0.3">
      <c r="A30" s="1">
        <f t="shared" si="0"/>
        <v>29</v>
      </c>
      <c r="B30" t="s">
        <v>32</v>
      </c>
      <c r="C30" s="6"/>
      <c r="D30" s="6"/>
      <c r="E30" s="6"/>
      <c r="F30" s="6"/>
      <c r="G30" s="6"/>
    </row>
    <row r="31" spans="1:7" x14ac:dyDescent="0.3">
      <c r="A31" s="1">
        <f t="shared" si="0"/>
        <v>30</v>
      </c>
      <c r="B31" t="s">
        <v>33</v>
      </c>
      <c r="C31" s="11">
        <v>111326948</v>
      </c>
      <c r="D31" s="6">
        <f>'Sch 1.00 - Summary'!AF31</f>
        <v>6368816.0425000004</v>
      </c>
      <c r="E31" s="6">
        <f t="shared" ref="E31:E34" si="5">C31+D31</f>
        <v>117695764.0425</v>
      </c>
      <c r="F31" s="6"/>
      <c r="G31" s="6">
        <f t="shared" ref="G31:G34" si="6">E31+F31</f>
        <v>117695764.0425</v>
      </c>
    </row>
    <row r="32" spans="1:7" x14ac:dyDescent="0.3">
      <c r="A32" s="1">
        <f t="shared" si="0"/>
        <v>31</v>
      </c>
      <c r="B32" t="s">
        <v>24</v>
      </c>
      <c r="C32" s="11">
        <v>12848618</v>
      </c>
      <c r="D32" s="6">
        <f>'Sch 1.00 - Summary'!AF32</f>
        <v>0</v>
      </c>
      <c r="E32" s="6">
        <f t="shared" si="5"/>
        <v>12848618</v>
      </c>
      <c r="F32" s="6"/>
      <c r="G32" s="6">
        <f t="shared" si="6"/>
        <v>12848618</v>
      </c>
    </row>
    <row r="33" spans="1:9" x14ac:dyDescent="0.3">
      <c r="A33" s="1">
        <f t="shared" si="0"/>
        <v>32</v>
      </c>
      <c r="B33" t="s">
        <v>26</v>
      </c>
      <c r="C33" s="11">
        <v>2720381</v>
      </c>
      <c r="D33" s="6">
        <f>'Sch 1.00 - Summary'!AF33</f>
        <v>0</v>
      </c>
      <c r="E33" s="6">
        <f t="shared" si="5"/>
        <v>2720381</v>
      </c>
      <c r="F33" s="6"/>
      <c r="G33" s="6">
        <f t="shared" si="6"/>
        <v>2720381</v>
      </c>
    </row>
    <row r="34" spans="1:9" x14ac:dyDescent="0.3">
      <c r="A34" s="1">
        <f t="shared" si="0"/>
        <v>33</v>
      </c>
      <c r="B34" t="s">
        <v>34</v>
      </c>
      <c r="C34" s="12">
        <v>3119736</v>
      </c>
      <c r="D34" s="6">
        <f>'Sch 1.00 - Summary'!AF34</f>
        <v>0</v>
      </c>
      <c r="E34" s="8">
        <f t="shared" si="5"/>
        <v>3119736</v>
      </c>
      <c r="F34" s="6"/>
      <c r="G34" s="8">
        <f t="shared" si="6"/>
        <v>3119736</v>
      </c>
    </row>
    <row r="35" spans="1:9" x14ac:dyDescent="0.3">
      <c r="A35" s="1">
        <f t="shared" si="0"/>
        <v>34</v>
      </c>
      <c r="B35" t="s">
        <v>35</v>
      </c>
      <c r="C35" s="9">
        <f>SUM(C31:C34)</f>
        <v>130015683</v>
      </c>
      <c r="D35" s="9">
        <f>SUM(D31:D34)</f>
        <v>6368816.0425000004</v>
      </c>
      <c r="E35" s="9">
        <f>IF(SUM(E31:E34)=C35+D35,SUM(E31:E34),"Er")</f>
        <v>136384499.04250002</v>
      </c>
      <c r="F35" s="9">
        <f>SUM(F31:F34)</f>
        <v>0</v>
      </c>
      <c r="G35" s="9">
        <f>IF(SUM(G31:G34)=E35+F35,SUM(G31:G34),"Er")</f>
        <v>136384499.04250002</v>
      </c>
    </row>
    <row r="36" spans="1:9" x14ac:dyDescent="0.3">
      <c r="A36" s="1">
        <f t="shared" si="0"/>
        <v>35</v>
      </c>
      <c r="B36" t="s">
        <v>36</v>
      </c>
      <c r="C36" s="6"/>
      <c r="D36" s="6"/>
      <c r="E36" s="6"/>
      <c r="F36" s="6"/>
      <c r="G36" s="6"/>
    </row>
    <row r="37" spans="1:9" x14ac:dyDescent="0.3">
      <c r="A37" s="1">
        <f t="shared" si="0"/>
        <v>36</v>
      </c>
      <c r="B37" t="s">
        <v>37</v>
      </c>
      <c r="C37" s="11">
        <v>142167054</v>
      </c>
      <c r="D37" s="6">
        <f>'Sch 1.00 - Summary'!AF36</f>
        <v>-46475661</v>
      </c>
      <c r="E37" s="6">
        <f t="shared" ref="E37:E43" si="7">C37+D37</f>
        <v>95691393</v>
      </c>
      <c r="F37" s="6"/>
      <c r="G37" s="6">
        <f t="shared" ref="G37:G43" si="8">E37+F37</f>
        <v>95691393</v>
      </c>
    </row>
    <row r="38" spans="1:9" x14ac:dyDescent="0.3">
      <c r="A38" s="1">
        <f t="shared" si="0"/>
        <v>37</v>
      </c>
      <c r="B38" t="s">
        <v>38</v>
      </c>
      <c r="C38" s="11">
        <v>248465</v>
      </c>
      <c r="D38" s="16">
        <f>'Sch 1.00 - Summary'!AF37</f>
        <v>0</v>
      </c>
      <c r="E38" s="6">
        <f t="shared" si="7"/>
        <v>248465</v>
      </c>
      <c r="F38" s="6"/>
      <c r="G38" s="6">
        <f t="shared" si="8"/>
        <v>248465</v>
      </c>
    </row>
    <row r="39" spans="1:9" x14ac:dyDescent="0.3">
      <c r="A39" s="1">
        <f t="shared" si="0"/>
        <v>38</v>
      </c>
      <c r="B39" t="s">
        <v>39</v>
      </c>
      <c r="C39" s="11">
        <v>107001951</v>
      </c>
      <c r="D39" s="6">
        <f>'Sch 1.00 - Summary'!AF38</f>
        <v>-20025734</v>
      </c>
      <c r="E39" s="6">
        <f t="shared" si="7"/>
        <v>86976217</v>
      </c>
      <c r="F39" s="6"/>
      <c r="G39" s="6">
        <f t="shared" si="8"/>
        <v>86976217</v>
      </c>
    </row>
    <row r="40" spans="1:9" x14ac:dyDescent="0.3">
      <c r="A40" s="1">
        <f t="shared" si="0"/>
        <v>39</v>
      </c>
      <c r="B40" t="s">
        <v>40</v>
      </c>
      <c r="C40" s="11">
        <v>0</v>
      </c>
      <c r="D40" s="16">
        <f>'Sch 1.00 - Summary'!AF39</f>
        <v>0</v>
      </c>
      <c r="E40" s="6">
        <f t="shared" si="7"/>
        <v>0</v>
      </c>
      <c r="F40" s="6"/>
      <c r="G40" s="6">
        <f t="shared" si="8"/>
        <v>0</v>
      </c>
    </row>
    <row r="41" spans="1:9" x14ac:dyDescent="0.3">
      <c r="A41" s="1">
        <f t="shared" si="0"/>
        <v>40</v>
      </c>
      <c r="B41" t="s">
        <v>41</v>
      </c>
      <c r="C41" s="11">
        <v>358803</v>
      </c>
      <c r="D41" s="16">
        <f>'Sch 1.00 - Summary'!AF40</f>
        <v>0</v>
      </c>
      <c r="E41" s="6">
        <f t="shared" si="7"/>
        <v>358803</v>
      </c>
      <c r="F41" s="6"/>
      <c r="G41" s="6">
        <f t="shared" si="8"/>
        <v>358803</v>
      </c>
    </row>
    <row r="42" spans="1:9" x14ac:dyDescent="0.3">
      <c r="A42" s="1">
        <f t="shared" si="0"/>
        <v>41</v>
      </c>
      <c r="B42" t="s">
        <v>42</v>
      </c>
      <c r="C42" s="11">
        <v>1576871</v>
      </c>
      <c r="D42" s="6">
        <f>'Sch 1.00 - Summary'!AF41</f>
        <v>-1449731</v>
      </c>
      <c r="E42" s="6">
        <f t="shared" si="7"/>
        <v>127140</v>
      </c>
      <c r="F42" s="6"/>
      <c r="G42" s="6">
        <f t="shared" si="8"/>
        <v>127140</v>
      </c>
    </row>
    <row r="43" spans="1:9" x14ac:dyDescent="0.3">
      <c r="A43" s="1">
        <f t="shared" si="0"/>
        <v>42</v>
      </c>
      <c r="B43" t="s">
        <v>43</v>
      </c>
      <c r="C43" s="12">
        <v>1195294</v>
      </c>
      <c r="D43" s="6">
        <f>'Sch 1.00 - Summary'!AF42</f>
        <v>-149054</v>
      </c>
      <c r="E43" s="8">
        <f t="shared" si="7"/>
        <v>1046240</v>
      </c>
      <c r="F43" s="6"/>
      <c r="G43" s="8">
        <f t="shared" si="8"/>
        <v>1046240</v>
      </c>
      <c r="I43" s="16"/>
    </row>
    <row r="44" spans="1:9" x14ac:dyDescent="0.3">
      <c r="A44" s="1">
        <f t="shared" si="0"/>
        <v>43</v>
      </c>
      <c r="B44" t="s">
        <v>44</v>
      </c>
      <c r="C44" s="9">
        <f>ROUND(SUM(C37:C43),0)</f>
        <v>252548438</v>
      </c>
      <c r="D44" s="9">
        <f>ROUND(SUM(D37:D43),0)</f>
        <v>-68100180</v>
      </c>
      <c r="E44" s="9">
        <f>IF(SUM(E37:E43)=C44+D44,SUM(E37:E43),"Er")</f>
        <v>184448258</v>
      </c>
      <c r="F44" s="9">
        <f>SUM(F37:F43)</f>
        <v>0</v>
      </c>
      <c r="G44" s="9">
        <f>IF(SUM(G37:G43)=E44+F44,SUM(G37:G43),"Er")</f>
        <v>184448258</v>
      </c>
      <c r="I44" s="16"/>
    </row>
    <row r="45" spans="1:9" x14ac:dyDescent="0.3">
      <c r="A45" s="1">
        <f t="shared" si="0"/>
        <v>44</v>
      </c>
      <c r="B45" t="s">
        <v>45</v>
      </c>
      <c r="C45" s="9">
        <f>C29+C35+C44</f>
        <v>1108794341</v>
      </c>
      <c r="D45" s="9">
        <f>D29+D35+D44</f>
        <v>-581202971.95749998</v>
      </c>
      <c r="E45" s="9">
        <f>IF(E29+E35+E44=C45+D45,E29+E35+E44,"Er")</f>
        <v>527591369.04250002</v>
      </c>
      <c r="F45" s="9">
        <f>F29+F35+F44</f>
        <v>123751</v>
      </c>
      <c r="G45" s="9">
        <f>IF(G29+G35+G44=E45+F45,G29+G35+G44,"Er")</f>
        <v>527715120.04250002</v>
      </c>
      <c r="I45" s="6"/>
    </row>
    <row r="46" spans="1:9" x14ac:dyDescent="0.3">
      <c r="A46" s="1">
        <f t="shared" si="0"/>
        <v>45</v>
      </c>
      <c r="C46" s="6"/>
      <c r="D46" s="6"/>
      <c r="E46" s="6"/>
      <c r="F46" s="6"/>
      <c r="G46" s="6"/>
      <c r="I46" s="16"/>
    </row>
    <row r="47" spans="1:9" x14ac:dyDescent="0.3">
      <c r="A47" s="1">
        <f t="shared" si="0"/>
        <v>46</v>
      </c>
      <c r="B47" t="s">
        <v>46</v>
      </c>
      <c r="C47" s="6">
        <f>ROUND(C15-C45,0)</f>
        <v>1399390</v>
      </c>
      <c r="D47" s="6">
        <f>D15-D45</f>
        <v>-52174560.042500019</v>
      </c>
      <c r="E47" s="6">
        <f>E15-E45</f>
        <v>-50775170.042500019</v>
      </c>
      <c r="F47" s="6">
        <f>F15-F45</f>
        <v>79633723.492500022</v>
      </c>
      <c r="G47" s="6">
        <f>G15-G45</f>
        <v>28858553.450000048</v>
      </c>
      <c r="I47" s="16"/>
    </row>
    <row r="48" spans="1:9" x14ac:dyDescent="0.3">
      <c r="A48" s="1">
        <f t="shared" si="0"/>
        <v>47</v>
      </c>
      <c r="C48" s="6"/>
      <c r="D48" s="6"/>
      <c r="E48" s="6"/>
      <c r="F48" s="6"/>
      <c r="G48" s="6"/>
      <c r="I48" s="16"/>
    </row>
    <row r="49" spans="1:9" x14ac:dyDescent="0.3">
      <c r="A49" s="1">
        <f t="shared" si="0"/>
        <v>48</v>
      </c>
      <c r="B49" t="s">
        <v>47</v>
      </c>
      <c r="C49" s="6"/>
      <c r="D49" s="6"/>
      <c r="E49" s="6"/>
      <c r="F49" s="6"/>
      <c r="G49" s="6"/>
      <c r="I49" s="16"/>
    </row>
    <row r="50" spans="1:9" x14ac:dyDescent="0.3">
      <c r="A50" s="1">
        <f t="shared" si="0"/>
        <v>49</v>
      </c>
      <c r="B50" t="s">
        <v>48</v>
      </c>
      <c r="C50" s="11">
        <v>9034623</v>
      </c>
      <c r="D50" s="6">
        <f>'Sch 1.00 - Summary'!AF45</f>
        <v>2864733</v>
      </c>
      <c r="E50" s="6">
        <f t="shared" ref="E50:E53" si="9">C50+D50</f>
        <v>11899356</v>
      </c>
      <c r="F50" s="6"/>
      <c r="G50" s="6">
        <f t="shared" ref="G50:G53" si="10">E50+F50</f>
        <v>11899356</v>
      </c>
    </row>
    <row r="51" spans="1:9" x14ac:dyDescent="0.3">
      <c r="A51" s="1">
        <f t="shared" si="0"/>
        <v>50</v>
      </c>
      <c r="B51" t="s">
        <v>49</v>
      </c>
      <c r="C51" s="11">
        <v>0</v>
      </c>
      <c r="D51" s="6">
        <f>'Sch 1.00 - Summary'!AF46</f>
        <v>0</v>
      </c>
      <c r="E51" s="6">
        <f t="shared" si="9"/>
        <v>0</v>
      </c>
      <c r="F51" s="6"/>
      <c r="G51" s="6">
        <f t="shared" si="10"/>
        <v>0</v>
      </c>
    </row>
    <row r="52" spans="1:9" x14ac:dyDescent="0.3">
      <c r="A52" s="1">
        <f t="shared" si="0"/>
        <v>51</v>
      </c>
      <c r="B52" t="s">
        <v>50</v>
      </c>
      <c r="C52" s="11">
        <f>6509157+1</f>
        <v>6509158</v>
      </c>
      <c r="D52" s="6">
        <f>'Sch 1.00 - Summary'!AF47</f>
        <v>-4691458.45</v>
      </c>
      <c r="E52" s="6">
        <f t="shared" si="9"/>
        <v>1817699.5499999998</v>
      </c>
      <c r="F52" s="6"/>
      <c r="G52" s="6">
        <f t="shared" si="10"/>
        <v>1817699.5499999998</v>
      </c>
      <c r="I52" s="6"/>
    </row>
    <row r="53" spans="1:9" x14ac:dyDescent="0.3">
      <c r="A53" s="1">
        <f t="shared" si="0"/>
        <v>52</v>
      </c>
      <c r="B53" t="s">
        <v>51</v>
      </c>
      <c r="C53" s="12">
        <v>912500</v>
      </c>
      <c r="D53" s="6">
        <f>'Sch 1.00 - Summary'!AF48</f>
        <v>0</v>
      </c>
      <c r="E53" s="8">
        <f t="shared" si="9"/>
        <v>912500</v>
      </c>
      <c r="F53" s="6"/>
      <c r="G53" s="8">
        <f t="shared" si="10"/>
        <v>912500</v>
      </c>
    </row>
    <row r="54" spans="1:9" x14ac:dyDescent="0.3">
      <c r="A54" s="1">
        <f t="shared" si="0"/>
        <v>53</v>
      </c>
      <c r="B54" t="s">
        <v>52</v>
      </c>
      <c r="C54" s="9">
        <f>SUM(C50:C53)</f>
        <v>16456281</v>
      </c>
      <c r="D54" s="9">
        <f>SUM(D50:D53)</f>
        <v>-1826725.4500000002</v>
      </c>
      <c r="E54" s="9">
        <f>SUM(E50:E53)</f>
        <v>14629555.550000001</v>
      </c>
      <c r="F54" s="9">
        <f>SUM(F50:F53)</f>
        <v>0</v>
      </c>
      <c r="G54" s="9">
        <f>IF(SUM(G50:G53)=E54+F54,SUM(G50:G53),"Er")</f>
        <v>14629555.550000001</v>
      </c>
      <c r="I54" s="6"/>
    </row>
    <row r="55" spans="1:9" x14ac:dyDescent="0.3">
      <c r="A55" s="1">
        <f t="shared" si="0"/>
        <v>54</v>
      </c>
      <c r="C55" s="6"/>
      <c r="D55" s="6"/>
      <c r="E55" s="6"/>
      <c r="F55" s="6"/>
      <c r="G55" s="6"/>
    </row>
    <row r="56" spans="1:9" ht="14.5" thickBot="1" x14ac:dyDescent="0.35">
      <c r="A56" s="1">
        <f t="shared" si="0"/>
        <v>55</v>
      </c>
      <c r="B56" t="s">
        <v>53</v>
      </c>
      <c r="C56" s="10">
        <f>C47+C54</f>
        <v>17855671</v>
      </c>
      <c r="D56" s="10">
        <f>D47+D54</f>
        <v>-54001285.492500022</v>
      </c>
      <c r="E56" s="10">
        <f>IF(ROUND(E47+E54,0)=ROUND(C56+D56,0),E47+E54,"Er")</f>
        <v>-36145614.492500022</v>
      </c>
      <c r="F56" s="10">
        <f>F47+F54</f>
        <v>79633723.492500022</v>
      </c>
      <c r="G56" s="10">
        <f>IF(G47+G54=E56+F56,G47+G54,"Er")</f>
        <v>43488109.000000045</v>
      </c>
      <c r="I56" s="16"/>
    </row>
    <row r="57" spans="1:9" ht="14.5" thickTop="1" x14ac:dyDescent="0.3">
      <c r="A57" s="1">
        <f t="shared" si="0"/>
        <v>56</v>
      </c>
      <c r="C57" s="6"/>
      <c r="D57" s="6"/>
      <c r="E57" s="6"/>
      <c r="F57" s="6"/>
      <c r="G57" s="6"/>
      <c r="I57" s="16"/>
    </row>
    <row r="58" spans="1:9" x14ac:dyDescent="0.3">
      <c r="A58" s="1">
        <f t="shared" si="0"/>
        <v>57</v>
      </c>
      <c r="B58" t="s">
        <v>54</v>
      </c>
      <c r="C58" s="7">
        <f>ROUND((C39+C56)/C39,2)</f>
        <v>1.17</v>
      </c>
      <c r="D58" s="7"/>
      <c r="E58" s="7">
        <f>ROUND((E39+E56)/E39,2)</f>
        <v>0.57999999999999996</v>
      </c>
      <c r="F58" s="7"/>
      <c r="G58" s="7">
        <f>ROUND((G39+G56)/G39,2)</f>
        <v>1.5</v>
      </c>
    </row>
    <row r="59" spans="1:9" x14ac:dyDescent="0.3">
      <c r="A59" s="1">
        <f t="shared" si="0"/>
        <v>58</v>
      </c>
      <c r="B59" t="s">
        <v>55</v>
      </c>
      <c r="C59" s="6"/>
      <c r="D59" s="6"/>
      <c r="E59" s="6"/>
      <c r="F59" s="6"/>
      <c r="G59" s="6"/>
    </row>
    <row r="60" spans="1:9" x14ac:dyDescent="0.3">
      <c r="A60" s="1">
        <f t="shared" si="0"/>
        <v>59</v>
      </c>
      <c r="C60" s="6"/>
      <c r="D60" s="6"/>
      <c r="E60" s="6"/>
      <c r="F60" s="6"/>
      <c r="G60" s="6"/>
    </row>
    <row r="61" spans="1:9" x14ac:dyDescent="0.3">
      <c r="A61" s="1">
        <f t="shared" si="0"/>
        <v>60</v>
      </c>
      <c r="B61" t="s">
        <v>56</v>
      </c>
    </row>
    <row r="62" spans="1:9" x14ac:dyDescent="0.3">
      <c r="A62" s="1">
        <f t="shared" si="0"/>
        <v>61</v>
      </c>
      <c r="B62" t="s">
        <v>57</v>
      </c>
      <c r="C62" s="11">
        <v>97093181</v>
      </c>
      <c r="D62" s="6">
        <f>'Sch 1.00 - Summary'!AF50</f>
        <v>-18481350</v>
      </c>
      <c r="E62" s="6">
        <f>C62+D62</f>
        <v>78611831</v>
      </c>
      <c r="F62" s="6"/>
      <c r="G62" s="6">
        <f>E62+F62</f>
        <v>78611831</v>
      </c>
    </row>
    <row r="63" spans="1:9" x14ac:dyDescent="0.3">
      <c r="A63" s="1">
        <f t="shared" si="0"/>
        <v>62</v>
      </c>
      <c r="B63" t="s">
        <v>58</v>
      </c>
      <c r="C63" s="7">
        <f>ROUND((C37+C39+C56)/(C39+C62),2)</f>
        <v>1.31</v>
      </c>
      <c r="D63" s="7"/>
      <c r="E63" s="7">
        <f>ROUND((E37+E39+E56)/(E39+E62),2)</f>
        <v>0.88</v>
      </c>
      <c r="F63" s="7"/>
      <c r="G63" s="7">
        <f>ROUND((G37+G39+G56)/(G39+G62),2)</f>
        <v>1.37</v>
      </c>
    </row>
    <row r="64" spans="1:9" x14ac:dyDescent="0.3">
      <c r="A64" s="1">
        <f t="shared" si="0"/>
        <v>63</v>
      </c>
      <c r="B64" t="s">
        <v>59</v>
      </c>
    </row>
    <row r="65" spans="1:5" x14ac:dyDescent="0.3">
      <c r="A65" s="1">
        <f t="shared" si="0"/>
        <v>64</v>
      </c>
      <c r="E65" s="6"/>
    </row>
    <row r="66" spans="1:5" x14ac:dyDescent="0.3">
      <c r="E66" s="16"/>
    </row>
    <row r="67" spans="1:5" x14ac:dyDescent="0.3">
      <c r="E67" s="6"/>
    </row>
  </sheetData>
  <mergeCells count="3">
    <mergeCell ref="B3:G3"/>
    <mergeCell ref="B4:G4"/>
    <mergeCell ref="B5:G5"/>
  </mergeCells>
  <pageMargins left="0.7" right="0.7" top="0.75" bottom="0.75" header="0.3" footer="0.3"/>
  <pageSetup scale="63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G54"/>
  <sheetViews>
    <sheetView zoomScale="80" zoomScaleNormal="80" workbookViewId="0">
      <selection activeCell="G27" sqref="G27"/>
    </sheetView>
  </sheetViews>
  <sheetFormatPr defaultColWidth="15.58203125" defaultRowHeight="14" x14ac:dyDescent="0.3"/>
  <cols>
    <col min="1" max="1" width="4.58203125" customWidth="1"/>
    <col min="3" max="3" width="16.33203125" customWidth="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568</v>
      </c>
    </row>
    <row r="3" spans="1:7" x14ac:dyDescent="0.3">
      <c r="A3" s="1">
        <f t="shared" ref="A3:A54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569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</row>
    <row r="6" spans="1:7" x14ac:dyDescent="0.3">
      <c r="A6" s="1">
        <f t="shared" si="0"/>
        <v>5</v>
      </c>
    </row>
    <row r="7" spans="1:7" x14ac:dyDescent="0.3">
      <c r="A7" s="1">
        <f t="shared" si="0"/>
        <v>6</v>
      </c>
      <c r="B7" t="s">
        <v>570</v>
      </c>
    </row>
    <row r="8" spans="1:7" x14ac:dyDescent="0.3">
      <c r="A8" s="1">
        <f t="shared" si="0"/>
        <v>7</v>
      </c>
      <c r="B8" t="s">
        <v>571</v>
      </c>
    </row>
    <row r="9" spans="1:7" x14ac:dyDescent="0.3">
      <c r="A9" s="1">
        <f t="shared" si="0"/>
        <v>8</v>
      </c>
      <c r="B9" t="s">
        <v>572</v>
      </c>
    </row>
    <row r="10" spans="1:7" x14ac:dyDescent="0.3">
      <c r="A10" s="1">
        <f t="shared" si="0"/>
        <v>9</v>
      </c>
      <c r="B10" t="s">
        <v>573</v>
      </c>
    </row>
    <row r="11" spans="1:7" x14ac:dyDescent="0.3">
      <c r="A11" s="1">
        <f t="shared" si="0"/>
        <v>10</v>
      </c>
    </row>
    <row r="12" spans="1:7" x14ac:dyDescent="0.3">
      <c r="A12" s="1">
        <f t="shared" si="0"/>
        <v>11</v>
      </c>
    </row>
    <row r="13" spans="1:7" x14ac:dyDescent="0.3">
      <c r="A13" s="1">
        <f t="shared" si="0"/>
        <v>12</v>
      </c>
      <c r="D13" s="2" t="s">
        <v>4</v>
      </c>
      <c r="E13" s="34" t="s">
        <v>574</v>
      </c>
      <c r="F13" s="2" t="s">
        <v>530</v>
      </c>
    </row>
    <row r="14" spans="1:7" ht="14.5" thickBot="1" x14ac:dyDescent="0.35">
      <c r="A14" s="1">
        <f t="shared" si="0"/>
        <v>13</v>
      </c>
      <c r="D14" s="3" t="s">
        <v>274</v>
      </c>
      <c r="E14" s="3" t="s">
        <v>517</v>
      </c>
      <c r="F14" s="3" t="s">
        <v>531</v>
      </c>
    </row>
    <row r="15" spans="1:7" x14ac:dyDescent="0.3">
      <c r="A15" s="1">
        <f t="shared" si="0"/>
        <v>14</v>
      </c>
    </row>
    <row r="16" spans="1:7" ht="14.5" thickBot="1" x14ac:dyDescent="0.35">
      <c r="A16" s="1">
        <f t="shared" si="0"/>
        <v>15</v>
      </c>
      <c r="B16" t="s">
        <v>575</v>
      </c>
      <c r="D16" s="10">
        <v>9941893</v>
      </c>
      <c r="E16" s="10">
        <v>10134428</v>
      </c>
      <c r="F16" s="10">
        <f>E16-D16</f>
        <v>192535</v>
      </c>
    </row>
    <row r="17" spans="1:6" ht="14.5" thickTop="1" x14ac:dyDescent="0.3">
      <c r="A17" s="1">
        <f t="shared" si="0"/>
        <v>16</v>
      </c>
      <c r="D17" s="6"/>
      <c r="E17" s="6"/>
      <c r="F17" s="6"/>
    </row>
    <row r="18" spans="1:6" x14ac:dyDescent="0.3">
      <c r="A18" s="1">
        <f t="shared" si="0"/>
        <v>17</v>
      </c>
      <c r="B18" t="s">
        <v>533</v>
      </c>
      <c r="D18" s="6"/>
      <c r="E18" s="6"/>
      <c r="F18" s="6"/>
    </row>
    <row r="19" spans="1:6" x14ac:dyDescent="0.3">
      <c r="A19" s="1">
        <f t="shared" si="0"/>
        <v>18</v>
      </c>
      <c r="B19" t="s">
        <v>534</v>
      </c>
      <c r="D19" s="6">
        <v>419227</v>
      </c>
      <c r="E19" s="6">
        <v>427346</v>
      </c>
      <c r="F19" s="6">
        <f>ROUND(E19-D19,0)</f>
        <v>8119</v>
      </c>
    </row>
    <row r="20" spans="1:6" x14ac:dyDescent="0.3">
      <c r="A20" s="1">
        <f t="shared" si="0"/>
        <v>19</v>
      </c>
      <c r="B20" t="s">
        <v>576</v>
      </c>
      <c r="D20" s="6">
        <v>153846</v>
      </c>
      <c r="E20" s="6">
        <v>156826</v>
      </c>
      <c r="F20" s="6">
        <f t="shared" ref="F20:F35" si="1">ROUND(E20-D20,0)</f>
        <v>2980</v>
      </c>
    </row>
    <row r="21" spans="1:6" x14ac:dyDescent="0.3">
      <c r="A21" s="1">
        <f t="shared" si="0"/>
        <v>20</v>
      </c>
      <c r="B21" t="s">
        <v>536</v>
      </c>
      <c r="D21" s="6">
        <v>1289</v>
      </c>
      <c r="E21" s="6">
        <v>1314</v>
      </c>
      <c r="F21" s="6">
        <f t="shared" si="1"/>
        <v>25</v>
      </c>
    </row>
    <row r="22" spans="1:6" x14ac:dyDescent="0.3">
      <c r="A22" s="1">
        <f t="shared" si="0"/>
        <v>21</v>
      </c>
      <c r="B22" t="s">
        <v>537</v>
      </c>
      <c r="D22" s="6">
        <v>101051</v>
      </c>
      <c r="E22" s="6">
        <v>103008</v>
      </c>
      <c r="F22" s="6">
        <f t="shared" si="1"/>
        <v>1957</v>
      </c>
    </row>
    <row r="23" spans="1:6" x14ac:dyDescent="0.3">
      <c r="A23" s="1">
        <f t="shared" si="0"/>
        <v>22</v>
      </c>
      <c r="B23" t="s">
        <v>577</v>
      </c>
      <c r="D23" s="6">
        <v>6484</v>
      </c>
      <c r="E23" s="6">
        <v>6610</v>
      </c>
      <c r="F23" s="6">
        <f t="shared" si="1"/>
        <v>126</v>
      </c>
    </row>
    <row r="24" spans="1:6" x14ac:dyDescent="0.3">
      <c r="A24" s="1">
        <f t="shared" si="0"/>
        <v>23</v>
      </c>
      <c r="B24" t="s">
        <v>578</v>
      </c>
      <c r="D24" s="6">
        <v>13480</v>
      </c>
      <c r="E24" s="6">
        <v>13741</v>
      </c>
      <c r="F24" s="6">
        <f t="shared" si="1"/>
        <v>261</v>
      </c>
    </row>
    <row r="25" spans="1:6" x14ac:dyDescent="0.3">
      <c r="A25" s="1">
        <f t="shared" si="0"/>
        <v>24</v>
      </c>
      <c r="B25" t="s">
        <v>542</v>
      </c>
      <c r="D25" s="6">
        <v>6669</v>
      </c>
      <c r="E25" s="6">
        <v>6798</v>
      </c>
      <c r="F25" s="6">
        <f t="shared" si="1"/>
        <v>129</v>
      </c>
    </row>
    <row r="26" spans="1:6" x14ac:dyDescent="0.3">
      <c r="A26" s="1">
        <f t="shared" si="0"/>
        <v>25</v>
      </c>
      <c r="B26" t="s">
        <v>543</v>
      </c>
      <c r="D26" s="6">
        <v>3774</v>
      </c>
      <c r="E26" s="6">
        <v>3847</v>
      </c>
      <c r="F26" s="6">
        <f t="shared" si="1"/>
        <v>73</v>
      </c>
    </row>
    <row r="27" spans="1:6" x14ac:dyDescent="0.3">
      <c r="A27" s="1">
        <f t="shared" si="0"/>
        <v>26</v>
      </c>
      <c r="B27" t="s">
        <v>544</v>
      </c>
      <c r="D27" s="6">
        <v>0</v>
      </c>
      <c r="E27" s="6">
        <v>0</v>
      </c>
      <c r="F27" s="6">
        <f t="shared" si="1"/>
        <v>0</v>
      </c>
    </row>
    <row r="28" spans="1:6" x14ac:dyDescent="0.3">
      <c r="A28" s="1">
        <f t="shared" si="0"/>
        <v>27</v>
      </c>
      <c r="B28" t="s">
        <v>545</v>
      </c>
      <c r="D28" s="6">
        <v>4776</v>
      </c>
      <c r="E28" s="6">
        <v>4869</v>
      </c>
      <c r="F28" s="6">
        <f t="shared" si="1"/>
        <v>93</v>
      </c>
    </row>
    <row r="29" spans="1:6" x14ac:dyDescent="0.3">
      <c r="A29" s="1">
        <f t="shared" si="0"/>
        <v>28</v>
      </c>
      <c r="B29" t="s">
        <v>547</v>
      </c>
      <c r="D29" s="6">
        <v>4533926</v>
      </c>
      <c r="E29" s="6">
        <v>4621730</v>
      </c>
      <c r="F29" s="6">
        <f t="shared" si="1"/>
        <v>87804</v>
      </c>
    </row>
    <row r="30" spans="1:6" x14ac:dyDescent="0.3">
      <c r="A30" s="1">
        <f t="shared" si="0"/>
        <v>29</v>
      </c>
      <c r="B30" t="s">
        <v>548</v>
      </c>
      <c r="D30" s="6">
        <v>1422533</v>
      </c>
      <c r="E30" s="6">
        <v>1450082</v>
      </c>
      <c r="F30" s="6">
        <f t="shared" si="1"/>
        <v>27549</v>
      </c>
    </row>
    <row r="31" spans="1:6" x14ac:dyDescent="0.3">
      <c r="A31" s="1">
        <f t="shared" si="0"/>
        <v>30</v>
      </c>
      <c r="B31" t="s">
        <v>549</v>
      </c>
      <c r="D31" s="6">
        <v>115666</v>
      </c>
      <c r="E31" s="6">
        <v>117906</v>
      </c>
      <c r="F31" s="6">
        <f t="shared" si="1"/>
        <v>2240</v>
      </c>
    </row>
    <row r="32" spans="1:6" x14ac:dyDescent="0.3">
      <c r="A32" s="1">
        <f t="shared" si="0"/>
        <v>31</v>
      </c>
      <c r="B32" t="s">
        <v>550</v>
      </c>
      <c r="D32" s="6">
        <v>184018</v>
      </c>
      <c r="E32" s="6">
        <v>187582</v>
      </c>
      <c r="F32" s="6">
        <f t="shared" si="1"/>
        <v>3564</v>
      </c>
    </row>
    <row r="33" spans="1:6" x14ac:dyDescent="0.3">
      <c r="A33" s="1">
        <f t="shared" si="0"/>
        <v>32</v>
      </c>
      <c r="B33" t="s">
        <v>551</v>
      </c>
      <c r="D33" s="6">
        <v>2240</v>
      </c>
      <c r="E33" s="6">
        <v>2283</v>
      </c>
      <c r="F33" s="6">
        <f t="shared" si="1"/>
        <v>43</v>
      </c>
    </row>
    <row r="34" spans="1:6" x14ac:dyDescent="0.3">
      <c r="A34" s="1">
        <f t="shared" si="0"/>
        <v>33</v>
      </c>
      <c r="B34" t="s">
        <v>552</v>
      </c>
      <c r="D34" s="6">
        <v>2972903</v>
      </c>
      <c r="E34" s="6">
        <v>3030476</v>
      </c>
      <c r="F34" s="6">
        <f t="shared" si="1"/>
        <v>57573</v>
      </c>
    </row>
    <row r="35" spans="1:6" x14ac:dyDescent="0.3">
      <c r="A35" s="1">
        <f t="shared" si="0"/>
        <v>34</v>
      </c>
      <c r="B35" t="s">
        <v>553</v>
      </c>
      <c r="D35" s="8">
        <v>11</v>
      </c>
      <c r="E35" s="8">
        <v>11</v>
      </c>
      <c r="F35" s="8">
        <f t="shared" si="1"/>
        <v>0</v>
      </c>
    </row>
    <row r="36" spans="1:6" x14ac:dyDescent="0.3">
      <c r="A36" s="1">
        <f t="shared" si="0"/>
        <v>35</v>
      </c>
      <c r="D36" s="6"/>
      <c r="E36" s="6"/>
      <c r="F36" s="6"/>
    </row>
    <row r="37" spans="1:6" ht="14.5" thickBot="1" x14ac:dyDescent="0.35">
      <c r="A37" s="1">
        <f t="shared" si="0"/>
        <v>36</v>
      </c>
      <c r="B37" t="s">
        <v>554</v>
      </c>
      <c r="D37" s="10">
        <f>SUM(D19:D35)</f>
        <v>9941893</v>
      </c>
      <c r="E37" s="10">
        <f>SUM(E19:E35)</f>
        <v>10134429</v>
      </c>
      <c r="F37" s="10">
        <f>SUM(F19:F35)</f>
        <v>192536</v>
      </c>
    </row>
    <row r="38" spans="1:6" ht="14.5" thickTop="1" x14ac:dyDescent="0.3">
      <c r="A38" s="1">
        <f t="shared" si="0"/>
        <v>37</v>
      </c>
      <c r="D38" s="6"/>
      <c r="E38" s="6"/>
      <c r="F38" s="6"/>
    </row>
    <row r="39" spans="1:6" x14ac:dyDescent="0.3">
      <c r="A39" s="1">
        <f t="shared" si="0"/>
        <v>38</v>
      </c>
      <c r="D39" s="6" t="s">
        <v>555</v>
      </c>
      <c r="E39" s="6"/>
      <c r="F39" s="21">
        <f>ROUND(F37/D37,4)</f>
        <v>1.9400000000000001E-2</v>
      </c>
    </row>
    <row r="40" spans="1:6" x14ac:dyDescent="0.3">
      <c r="A40" s="1">
        <f t="shared" si="0"/>
        <v>39</v>
      </c>
      <c r="D40" s="6"/>
      <c r="E40" s="6"/>
      <c r="F40" s="6"/>
    </row>
    <row r="41" spans="1:6" x14ac:dyDescent="0.3">
      <c r="A41" s="1">
        <f t="shared" si="0"/>
        <v>40</v>
      </c>
      <c r="B41" t="s">
        <v>556</v>
      </c>
      <c r="D41" s="6"/>
      <c r="E41" s="6"/>
      <c r="F41" s="6"/>
    </row>
    <row r="42" spans="1:6" x14ac:dyDescent="0.3">
      <c r="A42" s="1">
        <f t="shared" si="0"/>
        <v>41</v>
      </c>
      <c r="D42" s="6"/>
      <c r="E42" s="6"/>
      <c r="F42" s="6"/>
    </row>
    <row r="43" spans="1:6" x14ac:dyDescent="0.3">
      <c r="A43" s="1">
        <f t="shared" si="0"/>
        <v>42</v>
      </c>
      <c r="C43" t="s">
        <v>547</v>
      </c>
      <c r="E43" s="6">
        <f>F29</f>
        <v>87804</v>
      </c>
    </row>
    <row r="44" spans="1:6" x14ac:dyDescent="0.3">
      <c r="A44" s="1">
        <f t="shared" si="0"/>
        <v>43</v>
      </c>
      <c r="C44" t="s">
        <v>548</v>
      </c>
      <c r="E44" s="6">
        <f t="shared" ref="E44:E48" si="2">F30</f>
        <v>27549</v>
      </c>
    </row>
    <row r="45" spans="1:6" x14ac:dyDescent="0.3">
      <c r="A45" s="1">
        <f t="shared" si="0"/>
        <v>44</v>
      </c>
      <c r="C45" t="s">
        <v>549</v>
      </c>
      <c r="E45" s="6">
        <f t="shared" si="2"/>
        <v>2240</v>
      </c>
    </row>
    <row r="46" spans="1:6" x14ac:dyDescent="0.3">
      <c r="A46" s="1">
        <f t="shared" si="0"/>
        <v>45</v>
      </c>
      <c r="C46" t="s">
        <v>550</v>
      </c>
      <c r="E46" s="6">
        <f t="shared" si="2"/>
        <v>3564</v>
      </c>
    </row>
    <row r="47" spans="1:6" x14ac:dyDescent="0.3">
      <c r="A47" s="1">
        <f t="shared" si="0"/>
        <v>46</v>
      </c>
      <c r="C47" t="s">
        <v>551</v>
      </c>
      <c r="E47" s="6">
        <f t="shared" si="2"/>
        <v>43</v>
      </c>
    </row>
    <row r="48" spans="1:6" x14ac:dyDescent="0.3">
      <c r="A48" s="1">
        <f t="shared" si="0"/>
        <v>47</v>
      </c>
      <c r="C48" t="s">
        <v>552</v>
      </c>
      <c r="E48" s="8">
        <f t="shared" si="2"/>
        <v>57573</v>
      </c>
    </row>
    <row r="49" spans="1:5" x14ac:dyDescent="0.3">
      <c r="A49" s="1">
        <f t="shared" si="0"/>
        <v>48</v>
      </c>
    </row>
    <row r="50" spans="1:5" ht="14.5" thickBot="1" x14ac:dyDescent="0.35">
      <c r="A50" s="1">
        <f t="shared" si="0"/>
        <v>49</v>
      </c>
      <c r="E50" s="10">
        <f>SUM(E43:E48)</f>
        <v>178773</v>
      </c>
    </row>
    <row r="51" spans="1:5" ht="14.5" thickTop="1" x14ac:dyDescent="0.3">
      <c r="A51" s="1">
        <f t="shared" si="0"/>
        <v>50</v>
      </c>
    </row>
    <row r="52" spans="1:5" x14ac:dyDescent="0.3">
      <c r="A52" s="1">
        <f t="shared" si="0"/>
        <v>51</v>
      </c>
      <c r="B52" t="s">
        <v>579</v>
      </c>
    </row>
    <row r="53" spans="1:5" x14ac:dyDescent="0.3">
      <c r="A53" s="1">
        <f t="shared" si="0"/>
        <v>52</v>
      </c>
      <c r="B53" t="s">
        <v>580</v>
      </c>
    </row>
    <row r="54" spans="1:5" x14ac:dyDescent="0.3">
      <c r="A54" s="1">
        <f t="shared" si="0"/>
        <v>53</v>
      </c>
    </row>
  </sheetData>
  <mergeCells count="2">
    <mergeCell ref="B3:G3"/>
    <mergeCell ref="B4:G4"/>
  </mergeCells>
  <pageMargins left="0.7" right="0.7" top="0.75" bottom="0.75" header="0.3" footer="0.3"/>
  <pageSetup scale="83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G51"/>
  <sheetViews>
    <sheetView zoomScale="80" zoomScaleNormal="80" workbookViewId="0">
      <selection activeCell="K53" sqref="K53:K55"/>
    </sheetView>
  </sheetViews>
  <sheetFormatPr defaultColWidth="15.58203125" defaultRowHeight="14" x14ac:dyDescent="0.3"/>
  <cols>
    <col min="1" max="1" width="4.58203125" customWidth="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581</v>
      </c>
    </row>
    <row r="3" spans="1:7" x14ac:dyDescent="0.3">
      <c r="A3" s="1">
        <f t="shared" ref="A3:A51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582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</row>
    <row r="6" spans="1:7" x14ac:dyDescent="0.3">
      <c r="A6" s="1">
        <f t="shared" si="0"/>
        <v>5</v>
      </c>
    </row>
    <row r="7" spans="1:7" x14ac:dyDescent="0.3">
      <c r="A7" s="1">
        <f t="shared" si="0"/>
        <v>6</v>
      </c>
      <c r="B7" t="s">
        <v>583</v>
      </c>
    </row>
    <row r="8" spans="1:7" x14ac:dyDescent="0.3">
      <c r="A8" s="1">
        <f t="shared" si="0"/>
        <v>7</v>
      </c>
      <c r="B8" t="s">
        <v>584</v>
      </c>
    </row>
    <row r="9" spans="1:7" x14ac:dyDescent="0.3">
      <c r="A9" s="1">
        <f t="shared" si="0"/>
        <v>8</v>
      </c>
    </row>
    <row r="10" spans="1:7" x14ac:dyDescent="0.3">
      <c r="A10" s="1">
        <f t="shared" si="0"/>
        <v>9</v>
      </c>
      <c r="B10" t="s">
        <v>585</v>
      </c>
    </row>
    <row r="11" spans="1:7" x14ac:dyDescent="0.3">
      <c r="A11" s="1">
        <f t="shared" si="0"/>
        <v>10</v>
      </c>
      <c r="B11" t="s">
        <v>586</v>
      </c>
      <c r="F11" s="6">
        <v>491771.30000000005</v>
      </c>
    </row>
    <row r="12" spans="1:7" x14ac:dyDescent="0.3">
      <c r="A12" s="1">
        <f t="shared" si="0"/>
        <v>11</v>
      </c>
      <c r="B12" t="s">
        <v>587</v>
      </c>
      <c r="F12" s="8">
        <v>396052.17000000004</v>
      </c>
    </row>
    <row r="13" spans="1:7" ht="14.5" thickBot="1" x14ac:dyDescent="0.35">
      <c r="A13" s="1">
        <f t="shared" si="0"/>
        <v>12</v>
      </c>
      <c r="B13" t="s">
        <v>588</v>
      </c>
      <c r="F13" s="26">
        <f>F11+F12</f>
        <v>887823.47000000009</v>
      </c>
    </row>
    <row r="14" spans="1:7" ht="14.5" thickTop="1" x14ac:dyDescent="0.3">
      <c r="A14" s="1">
        <f t="shared" si="0"/>
        <v>13</v>
      </c>
      <c r="F14" s="6"/>
    </row>
    <row r="15" spans="1:7" x14ac:dyDescent="0.3">
      <c r="A15" s="1">
        <f t="shared" si="0"/>
        <v>14</v>
      </c>
      <c r="B15" t="s">
        <v>533</v>
      </c>
      <c r="F15" s="6"/>
    </row>
    <row r="16" spans="1:7" x14ac:dyDescent="0.3">
      <c r="A16" s="1">
        <f t="shared" si="0"/>
        <v>15</v>
      </c>
      <c r="D16" s="2" t="s">
        <v>589</v>
      </c>
      <c r="F16" s="6"/>
    </row>
    <row r="17" spans="1:6" x14ac:dyDescent="0.3">
      <c r="A17" s="1">
        <f t="shared" si="0"/>
        <v>16</v>
      </c>
      <c r="D17" s="2" t="s">
        <v>590</v>
      </c>
      <c r="F17" s="28" t="s">
        <v>591</v>
      </c>
    </row>
    <row r="18" spans="1:6" ht="14.5" thickBot="1" x14ac:dyDescent="0.35">
      <c r="A18" s="1">
        <f t="shared" si="0"/>
        <v>17</v>
      </c>
      <c r="D18" s="3" t="s">
        <v>592</v>
      </c>
      <c r="F18" s="29" t="s">
        <v>593</v>
      </c>
    </row>
    <row r="19" spans="1:6" x14ac:dyDescent="0.3">
      <c r="A19" s="1">
        <f t="shared" si="0"/>
        <v>18</v>
      </c>
      <c r="D19" s="2"/>
      <c r="F19" s="28"/>
    </row>
    <row r="20" spans="1:6" x14ac:dyDescent="0.3">
      <c r="A20" s="1">
        <f t="shared" si="0"/>
        <v>19</v>
      </c>
      <c r="B20" t="s">
        <v>534</v>
      </c>
      <c r="D20" s="36">
        <v>4.0989386859701035E-2</v>
      </c>
      <c r="F20" s="6">
        <f>ROUND(F$13*D20,0)</f>
        <v>36391</v>
      </c>
    </row>
    <row r="21" spans="1:6" x14ac:dyDescent="0.3">
      <c r="A21" s="1">
        <f t="shared" si="0"/>
        <v>20</v>
      </c>
      <c r="B21" t="s">
        <v>576</v>
      </c>
      <c r="D21" s="36">
        <v>1.5042283348805341E-2</v>
      </c>
      <c r="F21" s="6">
        <f t="shared" ref="F21:F34" si="1">ROUND(F$13*D21,0)</f>
        <v>13355</v>
      </c>
    </row>
    <row r="22" spans="1:6" x14ac:dyDescent="0.3">
      <c r="A22" s="1">
        <f t="shared" si="0"/>
        <v>21</v>
      </c>
      <c r="B22" t="s">
        <v>536</v>
      </c>
      <c r="D22" s="36">
        <v>1.26320358015623E-4</v>
      </c>
      <c r="F22" s="6">
        <f t="shared" si="1"/>
        <v>112</v>
      </c>
    </row>
    <row r="23" spans="1:6" x14ac:dyDescent="0.3">
      <c r="A23" s="1">
        <f t="shared" si="0"/>
        <v>22</v>
      </c>
      <c r="B23" t="s">
        <v>537</v>
      </c>
      <c r="D23" s="36">
        <v>9.8803531000268112E-3</v>
      </c>
      <c r="F23" s="6">
        <f t="shared" si="1"/>
        <v>8772</v>
      </c>
    </row>
    <row r="24" spans="1:6" x14ac:dyDescent="0.3">
      <c r="A24" s="1">
        <f t="shared" si="0"/>
        <v>23</v>
      </c>
      <c r="B24" t="s">
        <v>538</v>
      </c>
      <c r="D24" s="36">
        <v>6.3383711474317671E-4</v>
      </c>
      <c r="E24" s="6"/>
      <c r="F24" s="6">
        <f t="shared" si="1"/>
        <v>563</v>
      </c>
    </row>
    <row r="25" spans="1:6" x14ac:dyDescent="0.3">
      <c r="A25" s="1">
        <f t="shared" si="0"/>
        <v>24</v>
      </c>
      <c r="B25" t="s">
        <v>594</v>
      </c>
      <c r="D25" s="36">
        <v>1.3175632714451469E-3</v>
      </c>
      <c r="E25" s="6"/>
      <c r="F25" s="6">
        <f t="shared" si="1"/>
        <v>1170</v>
      </c>
    </row>
    <row r="26" spans="1:6" x14ac:dyDescent="0.3">
      <c r="A26" s="1">
        <f t="shared" si="0"/>
        <v>25</v>
      </c>
      <c r="B26" t="s">
        <v>542</v>
      </c>
      <c r="D26" s="36">
        <v>6.5206918991532155E-4</v>
      </c>
      <c r="F26" s="6">
        <f t="shared" si="1"/>
        <v>579</v>
      </c>
    </row>
    <row r="27" spans="1:6" x14ac:dyDescent="0.3">
      <c r="A27" s="1">
        <f t="shared" si="0"/>
        <v>26</v>
      </c>
      <c r="B27" t="s">
        <v>543</v>
      </c>
      <c r="D27" s="36">
        <v>3.688383755110022E-4</v>
      </c>
      <c r="F27" s="6">
        <f t="shared" si="1"/>
        <v>327</v>
      </c>
    </row>
    <row r="28" spans="1:6" x14ac:dyDescent="0.3">
      <c r="A28" s="1">
        <f t="shared" si="0"/>
        <v>27</v>
      </c>
      <c r="B28" t="s">
        <v>545</v>
      </c>
      <c r="D28" s="36">
        <v>4.6694555522203292E-4</v>
      </c>
      <c r="F28" s="6">
        <f t="shared" si="1"/>
        <v>415</v>
      </c>
    </row>
    <row r="29" spans="1:6" x14ac:dyDescent="0.3">
      <c r="A29" s="1">
        <f t="shared" si="0"/>
        <v>28</v>
      </c>
      <c r="B29" t="s">
        <v>547</v>
      </c>
      <c r="D29" s="36">
        <v>0.47124825514553481</v>
      </c>
      <c r="F29" s="6">
        <f t="shared" si="1"/>
        <v>418385</v>
      </c>
    </row>
    <row r="30" spans="1:6" x14ac:dyDescent="0.3">
      <c r="A30" s="1">
        <f t="shared" si="0"/>
        <v>29</v>
      </c>
      <c r="B30" t="s">
        <v>548</v>
      </c>
      <c r="D30" s="36">
        <v>0.13908513735062034</v>
      </c>
      <c r="F30" s="6">
        <f t="shared" si="1"/>
        <v>123483</v>
      </c>
    </row>
    <row r="31" spans="1:6" x14ac:dyDescent="0.3">
      <c r="A31" s="1">
        <f t="shared" si="0"/>
        <v>30</v>
      </c>
      <c r="B31" t="s">
        <v>549</v>
      </c>
      <c r="D31" s="36">
        <v>1.1308596909221796E-2</v>
      </c>
      <c r="F31" s="6">
        <f t="shared" si="1"/>
        <v>10040</v>
      </c>
    </row>
    <row r="32" spans="1:6" x14ac:dyDescent="0.3">
      <c r="A32" s="1">
        <f t="shared" si="0"/>
        <v>31</v>
      </c>
      <c r="B32" t="s">
        <v>550</v>
      </c>
      <c r="D32" s="36">
        <v>1.7992432600362446E-2</v>
      </c>
      <c r="F32" s="6">
        <f t="shared" si="1"/>
        <v>15974</v>
      </c>
    </row>
    <row r="33" spans="1:6" x14ac:dyDescent="0.3">
      <c r="A33" s="1">
        <f t="shared" si="0"/>
        <v>32</v>
      </c>
      <c r="B33" t="s">
        <v>551</v>
      </c>
      <c r="D33" s="36">
        <v>2.1901278829672337E-4</v>
      </c>
      <c r="F33" s="6">
        <f t="shared" si="1"/>
        <v>194</v>
      </c>
    </row>
    <row r="34" spans="1:6" x14ac:dyDescent="0.3">
      <c r="A34" s="1">
        <f t="shared" si="0"/>
        <v>33</v>
      </c>
      <c r="B34" t="s">
        <v>552</v>
      </c>
      <c r="D34" s="36">
        <v>0.29066898685966813</v>
      </c>
      <c r="F34" s="6">
        <f t="shared" si="1"/>
        <v>258063</v>
      </c>
    </row>
    <row r="35" spans="1:6" x14ac:dyDescent="0.3">
      <c r="A35" s="1">
        <f t="shared" si="0"/>
        <v>34</v>
      </c>
      <c r="B35" t="s">
        <v>553</v>
      </c>
      <c r="D35" s="36"/>
      <c r="F35" s="8">
        <v>0</v>
      </c>
    </row>
    <row r="36" spans="1:6" x14ac:dyDescent="0.3">
      <c r="A36" s="1">
        <f t="shared" si="0"/>
        <v>35</v>
      </c>
      <c r="F36" s="6"/>
    </row>
    <row r="37" spans="1:6" ht="14.5" thickBot="1" x14ac:dyDescent="0.35">
      <c r="A37" s="1">
        <f t="shared" si="0"/>
        <v>36</v>
      </c>
      <c r="B37" t="s">
        <v>554</v>
      </c>
      <c r="F37" s="10">
        <f>SUM(F20:F35)</f>
        <v>887823</v>
      </c>
    </row>
    <row r="38" spans="1:6" ht="14.5" thickTop="1" x14ac:dyDescent="0.3">
      <c r="A38" s="1">
        <f t="shared" si="0"/>
        <v>37</v>
      </c>
      <c r="F38" s="6"/>
    </row>
    <row r="39" spans="1:6" x14ac:dyDescent="0.3">
      <c r="A39" s="1">
        <f t="shared" si="0"/>
        <v>38</v>
      </c>
      <c r="B39" t="s">
        <v>556</v>
      </c>
      <c r="D39" s="6"/>
      <c r="E39" s="6"/>
      <c r="F39" s="6"/>
    </row>
    <row r="40" spans="1:6" x14ac:dyDescent="0.3">
      <c r="A40" s="1">
        <f t="shared" si="0"/>
        <v>39</v>
      </c>
      <c r="D40" s="6"/>
      <c r="E40" s="6"/>
      <c r="F40" s="6"/>
    </row>
    <row r="41" spans="1:6" x14ac:dyDescent="0.3">
      <c r="A41" s="1">
        <f t="shared" si="0"/>
        <v>40</v>
      </c>
      <c r="C41" t="s">
        <v>547</v>
      </c>
      <c r="E41" s="6">
        <f>-F29</f>
        <v>-418385</v>
      </c>
      <c r="F41" s="6"/>
    </row>
    <row r="42" spans="1:6" x14ac:dyDescent="0.3">
      <c r="A42" s="1">
        <f t="shared" si="0"/>
        <v>41</v>
      </c>
      <c r="C42" t="s">
        <v>548</v>
      </c>
      <c r="E42" s="6">
        <f t="shared" ref="E42:E46" si="2">-F30</f>
        <v>-123483</v>
      </c>
    </row>
    <row r="43" spans="1:6" x14ac:dyDescent="0.3">
      <c r="A43" s="1">
        <f t="shared" si="0"/>
        <v>42</v>
      </c>
      <c r="C43" t="s">
        <v>549</v>
      </c>
      <c r="E43" s="6">
        <f t="shared" si="2"/>
        <v>-10040</v>
      </c>
    </row>
    <row r="44" spans="1:6" x14ac:dyDescent="0.3">
      <c r="A44" s="1">
        <f t="shared" si="0"/>
        <v>43</v>
      </c>
      <c r="C44" t="s">
        <v>550</v>
      </c>
      <c r="E44" s="6">
        <f t="shared" si="2"/>
        <v>-15974</v>
      </c>
    </row>
    <row r="45" spans="1:6" x14ac:dyDescent="0.3">
      <c r="A45" s="1">
        <f t="shared" si="0"/>
        <v>44</v>
      </c>
      <c r="C45" t="s">
        <v>551</v>
      </c>
      <c r="E45" s="6">
        <f t="shared" si="2"/>
        <v>-194</v>
      </c>
    </row>
    <row r="46" spans="1:6" x14ac:dyDescent="0.3">
      <c r="A46" s="1">
        <f t="shared" si="0"/>
        <v>45</v>
      </c>
      <c r="C46" t="s">
        <v>552</v>
      </c>
      <c r="E46" s="8">
        <f t="shared" si="2"/>
        <v>-258063</v>
      </c>
    </row>
    <row r="47" spans="1:6" x14ac:dyDescent="0.3">
      <c r="A47" s="1">
        <f t="shared" si="0"/>
        <v>46</v>
      </c>
    </row>
    <row r="48" spans="1:6" ht="14.5" thickBot="1" x14ac:dyDescent="0.35">
      <c r="A48" s="1">
        <f t="shared" si="0"/>
        <v>47</v>
      </c>
      <c r="E48" s="10">
        <f>SUM(E41:E46)</f>
        <v>-826139</v>
      </c>
    </row>
    <row r="49" spans="1:1" ht="14.5" thickTop="1" x14ac:dyDescent="0.3">
      <c r="A49" s="1">
        <f t="shared" si="0"/>
        <v>48</v>
      </c>
    </row>
    <row r="50" spans="1:1" x14ac:dyDescent="0.3">
      <c r="A50" s="1">
        <f t="shared" si="0"/>
        <v>49</v>
      </c>
    </row>
    <row r="51" spans="1:1" x14ac:dyDescent="0.3">
      <c r="A51" s="1">
        <f t="shared" si="0"/>
        <v>50</v>
      </c>
    </row>
  </sheetData>
  <mergeCells count="2">
    <mergeCell ref="B3:G3"/>
    <mergeCell ref="B4:G4"/>
  </mergeCells>
  <pageMargins left="0.7" right="0.7" top="0.75" bottom="0.75" header="0.3" footer="0.3"/>
  <pageSetup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G26"/>
  <sheetViews>
    <sheetView zoomScale="80" zoomScaleNormal="80" workbookViewId="0">
      <selection activeCell="K53" sqref="K53:K55"/>
    </sheetView>
  </sheetViews>
  <sheetFormatPr defaultColWidth="15.58203125" defaultRowHeight="14" x14ac:dyDescent="0.3"/>
  <cols>
    <col min="1" max="1" width="4.58203125" customWidth="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595</v>
      </c>
    </row>
    <row r="3" spans="1:7" x14ac:dyDescent="0.3">
      <c r="A3" s="1">
        <f t="shared" ref="A3:A26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596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</row>
    <row r="6" spans="1:7" x14ac:dyDescent="0.3">
      <c r="A6" s="1">
        <f t="shared" si="0"/>
        <v>5</v>
      </c>
    </row>
    <row r="7" spans="1:7" x14ac:dyDescent="0.3">
      <c r="A7" s="1">
        <f t="shared" si="0"/>
        <v>6</v>
      </c>
      <c r="B7" t="s">
        <v>597</v>
      </c>
    </row>
    <row r="8" spans="1:7" x14ac:dyDescent="0.3">
      <c r="A8" s="1">
        <f t="shared" si="0"/>
        <v>7</v>
      </c>
      <c r="B8" t="s">
        <v>598</v>
      </c>
    </row>
    <row r="9" spans="1:7" x14ac:dyDescent="0.3">
      <c r="A9" s="1">
        <f t="shared" si="0"/>
        <v>8</v>
      </c>
      <c r="B9" t="s">
        <v>599</v>
      </c>
    </row>
    <row r="10" spans="1:7" x14ac:dyDescent="0.3">
      <c r="A10" s="1">
        <f t="shared" si="0"/>
        <v>9</v>
      </c>
      <c r="B10" t="s">
        <v>600</v>
      </c>
    </row>
    <row r="11" spans="1:7" x14ac:dyDescent="0.3">
      <c r="A11" s="1">
        <f t="shared" si="0"/>
        <v>10</v>
      </c>
      <c r="B11" t="s">
        <v>601</v>
      </c>
    </row>
    <row r="12" spans="1:7" x14ac:dyDescent="0.3">
      <c r="A12" s="1">
        <f t="shared" si="0"/>
        <v>11</v>
      </c>
    </row>
    <row r="13" spans="1:7" x14ac:dyDescent="0.3">
      <c r="A13" s="1">
        <f t="shared" si="0"/>
        <v>12</v>
      </c>
    </row>
    <row r="14" spans="1:7" x14ac:dyDescent="0.3">
      <c r="A14" s="1">
        <f t="shared" si="0"/>
        <v>13</v>
      </c>
      <c r="B14" t="s">
        <v>602</v>
      </c>
      <c r="F14" s="16">
        <v>85752.78</v>
      </c>
    </row>
    <row r="15" spans="1:7" x14ac:dyDescent="0.3">
      <c r="A15" s="1">
        <f t="shared" si="0"/>
        <v>14</v>
      </c>
      <c r="B15" t="s">
        <v>603</v>
      </c>
      <c r="F15" s="16">
        <v>55000</v>
      </c>
    </row>
    <row r="16" spans="1:7" x14ac:dyDescent="0.3">
      <c r="A16" s="1">
        <f t="shared" si="0"/>
        <v>15</v>
      </c>
      <c r="B16" t="s">
        <v>604</v>
      </c>
      <c r="F16" s="16">
        <v>92978.280000000042</v>
      </c>
    </row>
    <row r="17" spans="1:6" x14ac:dyDescent="0.3">
      <c r="A17" s="1">
        <f t="shared" si="0"/>
        <v>16</v>
      </c>
      <c r="B17" t="s">
        <v>605</v>
      </c>
      <c r="F17" s="16">
        <v>56925</v>
      </c>
    </row>
    <row r="18" spans="1:6" x14ac:dyDescent="0.3">
      <c r="A18" s="1">
        <f t="shared" si="0"/>
        <v>17</v>
      </c>
      <c r="B18" t="s">
        <v>606</v>
      </c>
      <c r="F18" s="16">
        <v>33375</v>
      </c>
    </row>
    <row r="19" spans="1:6" x14ac:dyDescent="0.3">
      <c r="A19" s="1">
        <f t="shared" si="0"/>
        <v>18</v>
      </c>
      <c r="B19" t="s">
        <v>607</v>
      </c>
      <c r="F19" s="16">
        <v>6150</v>
      </c>
    </row>
    <row r="20" spans="1:6" x14ac:dyDescent="0.3">
      <c r="A20" s="1">
        <f t="shared" si="0"/>
        <v>19</v>
      </c>
      <c r="B20" t="s">
        <v>608</v>
      </c>
      <c r="F20" s="16">
        <v>97129.372000000018</v>
      </c>
    </row>
    <row r="21" spans="1:6" x14ac:dyDescent="0.3">
      <c r="A21" s="1">
        <f t="shared" si="0"/>
        <v>20</v>
      </c>
      <c r="F21" s="16"/>
    </row>
    <row r="22" spans="1:6" ht="14.5" thickBot="1" x14ac:dyDescent="0.35">
      <c r="A22" s="1">
        <f t="shared" si="0"/>
        <v>21</v>
      </c>
      <c r="B22" t="s">
        <v>609</v>
      </c>
      <c r="F22" s="31">
        <f>SUM(F14:F20)</f>
        <v>427310.43200000009</v>
      </c>
    </row>
    <row r="23" spans="1:6" ht="14.5" thickTop="1" x14ac:dyDescent="0.3">
      <c r="A23" s="1">
        <f t="shared" si="0"/>
        <v>22</v>
      </c>
      <c r="F23" s="16"/>
    </row>
    <row r="24" spans="1:6" ht="14.5" thickBot="1" x14ac:dyDescent="0.35">
      <c r="A24" s="1">
        <f t="shared" si="0"/>
        <v>23</v>
      </c>
      <c r="B24" t="s">
        <v>610</v>
      </c>
      <c r="F24" s="31">
        <f>-ROUND(F22,0)</f>
        <v>-427310</v>
      </c>
    </row>
    <row r="25" spans="1:6" ht="14.5" thickTop="1" x14ac:dyDescent="0.3">
      <c r="A25" s="1">
        <f t="shared" si="0"/>
        <v>24</v>
      </c>
      <c r="F25" s="16"/>
    </row>
    <row r="26" spans="1:6" x14ac:dyDescent="0.3">
      <c r="A26" s="1">
        <f t="shared" si="0"/>
        <v>25</v>
      </c>
      <c r="F26" s="16"/>
    </row>
  </sheetData>
  <mergeCells count="2">
    <mergeCell ref="B3:G3"/>
    <mergeCell ref="B4:G4"/>
  </mergeCells>
  <pageMargins left="0.7" right="0.7" top="0.75" bottom="0.75" header="0.3" footer="0.3"/>
  <pageSetup scale="84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C9C1A-81F4-41DD-9A42-729FC6F638FF}">
  <sheetPr>
    <tabColor rgb="FF92D050"/>
  </sheetPr>
  <dimension ref="A1:G69"/>
  <sheetViews>
    <sheetView zoomScale="80" zoomScaleNormal="80" workbookViewId="0">
      <selection activeCell="I32" sqref="I32"/>
    </sheetView>
  </sheetViews>
  <sheetFormatPr defaultColWidth="15.58203125" defaultRowHeight="14" x14ac:dyDescent="0.3"/>
  <cols>
    <col min="1" max="1" width="4.58203125" customWidth="1"/>
    <col min="4" max="6" width="16.75" customWidth="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611</v>
      </c>
    </row>
    <row r="3" spans="1:7" x14ac:dyDescent="0.3">
      <c r="A3" s="1">
        <f t="shared" ref="A3:A66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612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</row>
    <row r="6" spans="1:7" x14ac:dyDescent="0.3">
      <c r="A6" s="1">
        <f t="shared" si="0"/>
        <v>5</v>
      </c>
    </row>
    <row r="7" spans="1:7" x14ac:dyDescent="0.3">
      <c r="A7" s="1">
        <f t="shared" si="0"/>
        <v>6</v>
      </c>
    </row>
    <row r="8" spans="1:7" x14ac:dyDescent="0.3">
      <c r="A8" s="1">
        <f t="shared" si="0"/>
        <v>7</v>
      </c>
    </row>
    <row r="9" spans="1:7" x14ac:dyDescent="0.3">
      <c r="A9" s="1">
        <f t="shared" si="0"/>
        <v>8</v>
      </c>
    </row>
    <row r="10" spans="1:7" x14ac:dyDescent="0.3">
      <c r="A10" s="1">
        <f t="shared" si="0"/>
        <v>9</v>
      </c>
      <c r="B10" t="s">
        <v>613</v>
      </c>
    </row>
    <row r="11" spans="1:7" x14ac:dyDescent="0.3">
      <c r="A11" s="1">
        <f t="shared" si="0"/>
        <v>10</v>
      </c>
      <c r="B11" t="s">
        <v>614</v>
      </c>
    </row>
    <row r="12" spans="1:7" x14ac:dyDescent="0.3">
      <c r="A12" s="1">
        <f t="shared" si="0"/>
        <v>11</v>
      </c>
    </row>
    <row r="13" spans="1:7" x14ac:dyDescent="0.3">
      <c r="A13" s="1">
        <f t="shared" si="0"/>
        <v>12</v>
      </c>
    </row>
    <row r="14" spans="1:7" x14ac:dyDescent="0.3">
      <c r="A14" s="1">
        <f t="shared" si="0"/>
        <v>13</v>
      </c>
      <c r="B14" t="s">
        <v>935</v>
      </c>
    </row>
    <row r="15" spans="1:7" x14ac:dyDescent="0.3">
      <c r="A15" s="1">
        <f t="shared" si="0"/>
        <v>14</v>
      </c>
      <c r="B15" t="s">
        <v>615</v>
      </c>
    </row>
    <row r="16" spans="1:7" x14ac:dyDescent="0.3">
      <c r="A16" s="1">
        <f t="shared" si="0"/>
        <v>15</v>
      </c>
      <c r="D16">
        <v>2020</v>
      </c>
      <c r="F16" s="6">
        <v>1057933</v>
      </c>
    </row>
    <row r="17" spans="1:7" x14ac:dyDescent="0.3">
      <c r="A17" s="1">
        <f t="shared" si="0"/>
        <v>16</v>
      </c>
      <c r="D17">
        <v>2021</v>
      </c>
      <c r="F17" s="6">
        <v>541028</v>
      </c>
    </row>
    <row r="18" spans="1:7" x14ac:dyDescent="0.3">
      <c r="A18" s="1">
        <f t="shared" si="0"/>
        <v>17</v>
      </c>
      <c r="D18">
        <v>2022</v>
      </c>
      <c r="F18" s="6">
        <v>-1006731</v>
      </c>
    </row>
    <row r="19" spans="1:7" x14ac:dyDescent="0.3">
      <c r="A19" s="1">
        <f t="shared" si="0"/>
        <v>18</v>
      </c>
      <c r="D19">
        <v>2023</v>
      </c>
      <c r="F19" s="6">
        <v>-1128440</v>
      </c>
    </row>
    <row r="20" spans="1:7" x14ac:dyDescent="0.3">
      <c r="A20" s="1">
        <f t="shared" si="0"/>
        <v>19</v>
      </c>
      <c r="D20">
        <v>2024</v>
      </c>
      <c r="F20" s="8">
        <v>1240515</v>
      </c>
    </row>
    <row r="21" spans="1:7" x14ac:dyDescent="0.3">
      <c r="A21" s="1">
        <f t="shared" si="0"/>
        <v>20</v>
      </c>
      <c r="D21" t="s">
        <v>616</v>
      </c>
      <c r="F21" s="6">
        <f>SUM(F16:F20)</f>
        <v>704305</v>
      </c>
    </row>
    <row r="22" spans="1:7" x14ac:dyDescent="0.3">
      <c r="A22" s="1">
        <f t="shared" si="0"/>
        <v>21</v>
      </c>
    </row>
    <row r="23" spans="1:7" ht="14.5" thickBot="1" x14ac:dyDescent="0.35">
      <c r="A23" s="1">
        <f t="shared" si="0"/>
        <v>22</v>
      </c>
      <c r="D23" t="s">
        <v>617</v>
      </c>
      <c r="F23" s="10">
        <f>F21/5</f>
        <v>140861</v>
      </c>
    </row>
    <row r="24" spans="1:7" ht="14.5" thickTop="1" x14ac:dyDescent="0.3">
      <c r="A24" s="1">
        <f t="shared" si="0"/>
        <v>23</v>
      </c>
      <c r="B24" t="s">
        <v>533</v>
      </c>
      <c r="F24" s="6"/>
    </row>
    <row r="25" spans="1:7" x14ac:dyDescent="0.3">
      <c r="A25" s="1">
        <f t="shared" si="0"/>
        <v>24</v>
      </c>
      <c r="D25" s="2" t="s">
        <v>589</v>
      </c>
      <c r="F25" s="6"/>
    </row>
    <row r="26" spans="1:7" x14ac:dyDescent="0.3">
      <c r="A26" s="1">
        <f t="shared" si="0"/>
        <v>25</v>
      </c>
      <c r="D26" s="2" t="s">
        <v>590</v>
      </c>
      <c r="E26" s="28" t="s">
        <v>618</v>
      </c>
      <c r="F26" t="s">
        <v>619</v>
      </c>
      <c r="G26" s="2"/>
    </row>
    <row r="27" spans="1:7" ht="14.5" thickBot="1" x14ac:dyDescent="0.35">
      <c r="A27" s="1">
        <f t="shared" si="0"/>
        <v>26</v>
      </c>
      <c r="D27" s="3" t="s">
        <v>592</v>
      </c>
      <c r="E27" s="29" t="s">
        <v>620</v>
      </c>
      <c r="F27" s="29" t="s">
        <v>620</v>
      </c>
      <c r="G27" s="2"/>
    </row>
    <row r="28" spans="1:7" x14ac:dyDescent="0.3">
      <c r="A28" s="1">
        <f t="shared" si="0"/>
        <v>27</v>
      </c>
      <c r="D28" s="2"/>
      <c r="E28" s="28"/>
    </row>
    <row r="29" spans="1:7" x14ac:dyDescent="0.3">
      <c r="A29" s="1">
        <f t="shared" si="0"/>
        <v>28</v>
      </c>
      <c r="B29" t="s">
        <v>534</v>
      </c>
      <c r="D29" s="36">
        <f>'1.09 - Benefits'!D20</f>
        <v>4.0989386859701035E-2</v>
      </c>
      <c r="E29" s="6">
        <f>ROUND($F$19*D29,0)</f>
        <v>-46254</v>
      </c>
      <c r="F29" s="6">
        <f>ROUND($F$23*D29,0)</f>
        <v>5774</v>
      </c>
      <c r="G29" s="6"/>
    </row>
    <row r="30" spans="1:7" x14ac:dyDescent="0.3">
      <c r="A30" s="1">
        <f t="shared" si="0"/>
        <v>29</v>
      </c>
      <c r="B30" t="s">
        <v>576</v>
      </c>
      <c r="D30" s="36">
        <f>'1.09 - Benefits'!D21</f>
        <v>1.5042283348805341E-2</v>
      </c>
      <c r="E30" s="6">
        <f t="shared" ref="E30:E44" si="1">ROUND($F$19*D30,0)</f>
        <v>-16974</v>
      </c>
      <c r="F30" s="6">
        <f t="shared" ref="F30:F44" si="2">ROUND($F$23*D30,0)</f>
        <v>2119</v>
      </c>
      <c r="G30" s="6"/>
    </row>
    <row r="31" spans="1:7" x14ac:dyDescent="0.3">
      <c r="A31" s="1">
        <f t="shared" si="0"/>
        <v>30</v>
      </c>
      <c r="B31" t="s">
        <v>536</v>
      </c>
      <c r="D31" s="36">
        <f>'1.09 - Benefits'!D22</f>
        <v>1.26320358015623E-4</v>
      </c>
      <c r="E31" s="6">
        <f t="shared" si="1"/>
        <v>-143</v>
      </c>
      <c r="F31" s="6">
        <f t="shared" si="2"/>
        <v>18</v>
      </c>
      <c r="G31" s="6"/>
    </row>
    <row r="32" spans="1:7" x14ac:dyDescent="0.3">
      <c r="A32" s="1">
        <f t="shared" si="0"/>
        <v>31</v>
      </c>
      <c r="B32" t="s">
        <v>537</v>
      </c>
      <c r="D32" s="36">
        <f>'1.09 - Benefits'!D23</f>
        <v>9.8803531000268112E-3</v>
      </c>
      <c r="E32" s="6">
        <f t="shared" si="1"/>
        <v>-11149</v>
      </c>
      <c r="F32" s="6">
        <f t="shared" si="2"/>
        <v>1392</v>
      </c>
      <c r="G32" s="6"/>
    </row>
    <row r="33" spans="1:7" x14ac:dyDescent="0.3">
      <c r="A33" s="1">
        <f t="shared" si="0"/>
        <v>32</v>
      </c>
      <c r="B33" t="s">
        <v>539</v>
      </c>
      <c r="D33" s="36">
        <f>'1.09 - Benefits'!D24</f>
        <v>6.3383711474317671E-4</v>
      </c>
      <c r="E33" s="6">
        <f t="shared" si="1"/>
        <v>-715</v>
      </c>
      <c r="F33" s="6">
        <f t="shared" si="2"/>
        <v>89</v>
      </c>
      <c r="G33" s="6"/>
    </row>
    <row r="34" spans="1:7" x14ac:dyDescent="0.3">
      <c r="A34" s="1">
        <f t="shared" si="0"/>
        <v>33</v>
      </c>
      <c r="B34" t="s">
        <v>542</v>
      </c>
      <c r="D34" s="36">
        <f>'1.09 - Benefits'!D25</f>
        <v>1.3175632714451469E-3</v>
      </c>
      <c r="E34" s="6">
        <f t="shared" si="1"/>
        <v>-1487</v>
      </c>
      <c r="F34" s="6">
        <f t="shared" si="2"/>
        <v>186</v>
      </c>
      <c r="G34" s="6"/>
    </row>
    <row r="35" spans="1:7" x14ac:dyDescent="0.3">
      <c r="A35" s="1">
        <f t="shared" si="0"/>
        <v>34</v>
      </c>
      <c r="B35" t="s">
        <v>543</v>
      </c>
      <c r="D35" s="36">
        <f>'1.09 - Benefits'!D26</f>
        <v>6.5206918991532155E-4</v>
      </c>
      <c r="E35" s="6">
        <f t="shared" si="1"/>
        <v>-736</v>
      </c>
      <c r="F35" s="6">
        <f t="shared" si="2"/>
        <v>92</v>
      </c>
      <c r="G35" s="6"/>
    </row>
    <row r="36" spans="1:7" x14ac:dyDescent="0.3">
      <c r="A36" s="1">
        <f t="shared" si="0"/>
        <v>35</v>
      </c>
      <c r="B36" t="s">
        <v>544</v>
      </c>
      <c r="D36" s="36">
        <f>'1.09 - Benefits'!D27</f>
        <v>3.688383755110022E-4</v>
      </c>
      <c r="E36" s="6">
        <f t="shared" si="1"/>
        <v>-416</v>
      </c>
      <c r="F36" s="6">
        <f t="shared" si="2"/>
        <v>52</v>
      </c>
      <c r="G36" s="6"/>
    </row>
    <row r="37" spans="1:7" x14ac:dyDescent="0.3">
      <c r="A37" s="1">
        <f t="shared" si="0"/>
        <v>36</v>
      </c>
      <c r="B37" t="s">
        <v>545</v>
      </c>
      <c r="D37" s="36">
        <f>'1.09 - Benefits'!D28</f>
        <v>4.6694555522203292E-4</v>
      </c>
      <c r="E37" s="6">
        <f t="shared" si="1"/>
        <v>-527</v>
      </c>
      <c r="F37" s="6">
        <f t="shared" si="2"/>
        <v>66</v>
      </c>
      <c r="G37" s="6"/>
    </row>
    <row r="38" spans="1:7" x14ac:dyDescent="0.3">
      <c r="A38" s="1">
        <f t="shared" si="0"/>
        <v>37</v>
      </c>
      <c r="B38" t="s">
        <v>547</v>
      </c>
      <c r="D38" s="36">
        <f>'1.09 - Benefits'!D29</f>
        <v>0.47124825514553481</v>
      </c>
      <c r="E38" s="6">
        <f t="shared" si="1"/>
        <v>-531775</v>
      </c>
      <c r="F38" s="6">
        <f t="shared" si="2"/>
        <v>66381</v>
      </c>
      <c r="G38" s="6"/>
    </row>
    <row r="39" spans="1:7" x14ac:dyDescent="0.3">
      <c r="A39" s="1">
        <f t="shared" si="0"/>
        <v>38</v>
      </c>
      <c r="B39" t="s">
        <v>548</v>
      </c>
      <c r="D39" s="36">
        <f>'1.09 - Benefits'!D30</f>
        <v>0.13908513735062034</v>
      </c>
      <c r="E39" s="6">
        <f t="shared" si="1"/>
        <v>-156949</v>
      </c>
      <c r="F39" s="6">
        <f t="shared" si="2"/>
        <v>19592</v>
      </c>
      <c r="G39" s="6"/>
    </row>
    <row r="40" spans="1:7" x14ac:dyDescent="0.3">
      <c r="A40" s="1">
        <f t="shared" si="0"/>
        <v>39</v>
      </c>
      <c r="B40" t="s">
        <v>549</v>
      </c>
      <c r="D40" s="36">
        <f>'1.09 - Benefits'!D31</f>
        <v>1.1308596909221796E-2</v>
      </c>
      <c r="E40" s="6">
        <f t="shared" si="1"/>
        <v>-12761</v>
      </c>
      <c r="F40" s="6">
        <f t="shared" si="2"/>
        <v>1593</v>
      </c>
      <c r="G40" s="6"/>
    </row>
    <row r="41" spans="1:7" x14ac:dyDescent="0.3">
      <c r="A41" s="1">
        <f t="shared" si="0"/>
        <v>40</v>
      </c>
      <c r="B41" t="s">
        <v>550</v>
      </c>
      <c r="D41" s="36">
        <f>'1.09 - Benefits'!D32</f>
        <v>1.7992432600362446E-2</v>
      </c>
      <c r="E41" s="6">
        <f t="shared" si="1"/>
        <v>-20303</v>
      </c>
      <c r="F41" s="6">
        <f t="shared" si="2"/>
        <v>2534</v>
      </c>
      <c r="G41" s="6"/>
    </row>
    <row r="42" spans="1:7" x14ac:dyDescent="0.3">
      <c r="A42" s="1">
        <f t="shared" si="0"/>
        <v>41</v>
      </c>
      <c r="B42" t="s">
        <v>551</v>
      </c>
      <c r="D42" s="36">
        <f>'1.09 - Benefits'!D33</f>
        <v>2.1901278829672337E-4</v>
      </c>
      <c r="E42" s="6">
        <f t="shared" si="1"/>
        <v>-247</v>
      </c>
      <c r="F42" s="6">
        <f t="shared" si="2"/>
        <v>31</v>
      </c>
      <c r="G42" s="6"/>
    </row>
    <row r="43" spans="1:7" x14ac:dyDescent="0.3">
      <c r="A43" s="1">
        <f t="shared" si="0"/>
        <v>42</v>
      </c>
      <c r="B43" t="s">
        <v>552</v>
      </c>
      <c r="D43" s="36">
        <f>'1.09 - Benefits'!D34</f>
        <v>0.29066898685966813</v>
      </c>
      <c r="E43" s="6">
        <f t="shared" si="1"/>
        <v>-328003</v>
      </c>
      <c r="F43" s="6">
        <f t="shared" si="2"/>
        <v>40944</v>
      </c>
      <c r="G43" s="6"/>
    </row>
    <row r="44" spans="1:7" x14ac:dyDescent="0.3">
      <c r="A44" s="1">
        <f t="shared" si="0"/>
        <v>43</v>
      </c>
      <c r="B44" t="s">
        <v>553</v>
      </c>
      <c r="D44" s="36"/>
      <c r="E44" s="8">
        <f t="shared" si="1"/>
        <v>0</v>
      </c>
      <c r="F44" s="8">
        <f t="shared" si="2"/>
        <v>0</v>
      </c>
      <c r="G44" s="6"/>
    </row>
    <row r="45" spans="1:7" x14ac:dyDescent="0.3">
      <c r="A45" s="1">
        <f t="shared" si="0"/>
        <v>44</v>
      </c>
      <c r="E45" s="6"/>
    </row>
    <row r="46" spans="1:7" ht="14.5" thickBot="1" x14ac:dyDescent="0.35">
      <c r="A46" s="1">
        <f t="shared" si="0"/>
        <v>45</v>
      </c>
      <c r="B46" t="s">
        <v>554</v>
      </c>
      <c r="E46" s="10">
        <f>SUM(E29:E44)</f>
        <v>-1128439</v>
      </c>
      <c r="F46" s="10">
        <f>SUM(F29:F44)</f>
        <v>140863</v>
      </c>
      <c r="G46" s="6"/>
    </row>
    <row r="47" spans="1:7" ht="14.5" thickTop="1" x14ac:dyDescent="0.3">
      <c r="A47" s="1">
        <f t="shared" si="0"/>
        <v>46</v>
      </c>
      <c r="F47" s="6"/>
    </row>
    <row r="48" spans="1:7" x14ac:dyDescent="0.3">
      <c r="A48" s="1">
        <f t="shared" si="0"/>
        <v>47</v>
      </c>
      <c r="B48" t="s">
        <v>621</v>
      </c>
      <c r="D48" s="6"/>
      <c r="E48" s="6"/>
      <c r="F48" s="6"/>
    </row>
    <row r="49" spans="1:7" x14ac:dyDescent="0.3">
      <c r="A49" s="1">
        <f t="shared" si="0"/>
        <v>48</v>
      </c>
      <c r="D49" s="6"/>
      <c r="E49" s="6"/>
      <c r="F49" s="6"/>
    </row>
    <row r="50" spans="1:7" x14ac:dyDescent="0.3">
      <c r="A50" s="1">
        <f t="shared" si="0"/>
        <v>49</v>
      </c>
      <c r="C50" t="s">
        <v>547</v>
      </c>
      <c r="E50" s="6">
        <f t="shared" ref="E50:F55" si="3">-E38</f>
        <v>531775</v>
      </c>
      <c r="F50" s="6">
        <f t="shared" si="3"/>
        <v>-66381</v>
      </c>
      <c r="G50" s="6"/>
    </row>
    <row r="51" spans="1:7" x14ac:dyDescent="0.3">
      <c r="A51" s="1">
        <f t="shared" si="0"/>
        <v>50</v>
      </c>
      <c r="C51" t="s">
        <v>548</v>
      </c>
      <c r="E51" s="6">
        <f t="shared" si="3"/>
        <v>156949</v>
      </c>
      <c r="F51" s="6">
        <f t="shared" si="3"/>
        <v>-19592</v>
      </c>
      <c r="G51" s="6"/>
    </row>
    <row r="52" spans="1:7" x14ac:dyDescent="0.3">
      <c r="A52" s="1">
        <f t="shared" si="0"/>
        <v>51</v>
      </c>
      <c r="C52" t="s">
        <v>549</v>
      </c>
      <c r="E52" s="6">
        <f t="shared" si="3"/>
        <v>12761</v>
      </c>
      <c r="F52" s="6">
        <f t="shared" si="3"/>
        <v>-1593</v>
      </c>
      <c r="G52" s="6"/>
    </row>
    <row r="53" spans="1:7" x14ac:dyDescent="0.3">
      <c r="A53" s="1">
        <f t="shared" si="0"/>
        <v>52</v>
      </c>
      <c r="C53" t="s">
        <v>550</v>
      </c>
      <c r="E53" s="6">
        <f t="shared" si="3"/>
        <v>20303</v>
      </c>
      <c r="F53" s="6">
        <f t="shared" si="3"/>
        <v>-2534</v>
      </c>
      <c r="G53" s="6"/>
    </row>
    <row r="54" spans="1:7" x14ac:dyDescent="0.3">
      <c r="A54" s="1">
        <f t="shared" si="0"/>
        <v>53</v>
      </c>
      <c r="C54" t="s">
        <v>551</v>
      </c>
      <c r="E54" s="6">
        <f t="shared" si="3"/>
        <v>247</v>
      </c>
      <c r="F54" s="6">
        <f t="shared" si="3"/>
        <v>-31</v>
      </c>
      <c r="G54" s="6"/>
    </row>
    <row r="55" spans="1:7" x14ac:dyDescent="0.3">
      <c r="A55" s="1">
        <f t="shared" si="0"/>
        <v>54</v>
      </c>
      <c r="C55" t="s">
        <v>552</v>
      </c>
      <c r="E55" s="8">
        <f t="shared" si="3"/>
        <v>328003</v>
      </c>
      <c r="F55" s="8">
        <f t="shared" si="3"/>
        <v>-40944</v>
      </c>
      <c r="G55" s="6"/>
    </row>
    <row r="56" spans="1:7" x14ac:dyDescent="0.3">
      <c r="A56" s="1">
        <f t="shared" si="0"/>
        <v>55</v>
      </c>
    </row>
    <row r="57" spans="1:7" ht="14.5" thickBot="1" x14ac:dyDescent="0.35">
      <c r="A57" s="1">
        <f t="shared" si="0"/>
        <v>56</v>
      </c>
      <c r="E57" s="10">
        <f>SUM(E50:E55)</f>
        <v>1050038</v>
      </c>
      <c r="F57" s="10">
        <f>SUM(F50:F55)</f>
        <v>-131075</v>
      </c>
      <c r="G57" s="6"/>
    </row>
    <row r="58" spans="1:7" ht="14.5" thickTop="1" x14ac:dyDescent="0.3">
      <c r="A58" s="1">
        <f t="shared" si="0"/>
        <v>57</v>
      </c>
    </row>
    <row r="59" spans="1:7" x14ac:dyDescent="0.3">
      <c r="A59" s="1">
        <f t="shared" si="0"/>
        <v>58</v>
      </c>
      <c r="B59" t="s">
        <v>556</v>
      </c>
    </row>
    <row r="60" spans="1:7" x14ac:dyDescent="0.3">
      <c r="A60" s="1">
        <f t="shared" si="0"/>
        <v>59</v>
      </c>
    </row>
    <row r="61" spans="1:7" x14ac:dyDescent="0.3">
      <c r="A61" s="1">
        <f t="shared" si="0"/>
        <v>60</v>
      </c>
      <c r="C61" t="s">
        <v>547</v>
      </c>
      <c r="E61" s="6">
        <f>E50+F50</f>
        <v>465394</v>
      </c>
    </row>
    <row r="62" spans="1:7" x14ac:dyDescent="0.3">
      <c r="A62" s="1">
        <f t="shared" si="0"/>
        <v>61</v>
      </c>
      <c r="C62" t="s">
        <v>548</v>
      </c>
      <c r="E62" s="6">
        <f t="shared" ref="E62:E66" si="4">E51+F51</f>
        <v>137357</v>
      </c>
    </row>
    <row r="63" spans="1:7" x14ac:dyDescent="0.3">
      <c r="A63" s="1">
        <f t="shared" si="0"/>
        <v>62</v>
      </c>
      <c r="C63" t="s">
        <v>549</v>
      </c>
      <c r="E63" s="6">
        <f t="shared" si="4"/>
        <v>11168</v>
      </c>
    </row>
    <row r="64" spans="1:7" x14ac:dyDescent="0.3">
      <c r="A64" s="1">
        <f t="shared" si="0"/>
        <v>63</v>
      </c>
      <c r="C64" t="s">
        <v>550</v>
      </c>
      <c r="E64" s="6">
        <f t="shared" si="4"/>
        <v>17769</v>
      </c>
    </row>
    <row r="65" spans="1:5" x14ac:dyDescent="0.3">
      <c r="A65" s="1">
        <f t="shared" si="0"/>
        <v>64</v>
      </c>
      <c r="C65" t="s">
        <v>551</v>
      </c>
      <c r="E65" s="6">
        <f t="shared" si="4"/>
        <v>216</v>
      </c>
    </row>
    <row r="66" spans="1:5" x14ac:dyDescent="0.3">
      <c r="A66" s="1">
        <f t="shared" si="0"/>
        <v>65</v>
      </c>
      <c r="C66" t="s">
        <v>552</v>
      </c>
      <c r="E66" s="8">
        <f t="shared" si="4"/>
        <v>287059</v>
      </c>
    </row>
    <row r="67" spans="1:5" x14ac:dyDescent="0.3">
      <c r="A67" s="1">
        <f t="shared" ref="A67:A68" si="5">A66+1</f>
        <v>66</v>
      </c>
    </row>
    <row r="68" spans="1:5" ht="14.5" thickBot="1" x14ac:dyDescent="0.35">
      <c r="A68" s="1">
        <f t="shared" si="5"/>
        <v>67</v>
      </c>
      <c r="E68" s="10">
        <f>SUM(E61:E66)</f>
        <v>918963</v>
      </c>
    </row>
    <row r="69" spans="1:5" ht="14.5" thickTop="1" x14ac:dyDescent="0.3"/>
  </sheetData>
  <mergeCells count="2">
    <mergeCell ref="B3:G3"/>
    <mergeCell ref="B4:G4"/>
  </mergeCells>
  <pageMargins left="0.7" right="0.7" top="0.75" bottom="0.75" header="0.3" footer="0.3"/>
  <pageSetup scale="82" orientation="portrait" horizontalDpi="1200" verticalDpi="1200" r:id="rId1"/>
  <rowBreaks count="1" manualBreakCount="1">
    <brk id="4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G25"/>
  <sheetViews>
    <sheetView zoomScale="80" zoomScaleNormal="80" workbookViewId="0">
      <selection activeCell="K53" sqref="K53:K55"/>
    </sheetView>
  </sheetViews>
  <sheetFormatPr defaultColWidth="15.58203125" defaultRowHeight="14" x14ac:dyDescent="0.3"/>
  <cols>
    <col min="1" max="1" width="4.58203125" customWidth="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622</v>
      </c>
    </row>
    <row r="3" spans="1:7" x14ac:dyDescent="0.3">
      <c r="A3" s="1">
        <f t="shared" ref="A3:A25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623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</row>
    <row r="6" spans="1:7" x14ac:dyDescent="0.3">
      <c r="A6" s="1">
        <f t="shared" si="0"/>
        <v>5</v>
      </c>
    </row>
    <row r="7" spans="1:7" x14ac:dyDescent="0.3">
      <c r="A7" s="1">
        <f t="shared" si="0"/>
        <v>6</v>
      </c>
      <c r="B7" t="s">
        <v>624</v>
      </c>
    </row>
    <row r="8" spans="1:7" x14ac:dyDescent="0.3">
      <c r="A8" s="1">
        <f t="shared" si="0"/>
        <v>7</v>
      </c>
      <c r="B8" t="s">
        <v>625</v>
      </c>
    </row>
    <row r="9" spans="1:7" x14ac:dyDescent="0.3">
      <c r="A9" s="1">
        <f t="shared" si="0"/>
        <v>8</v>
      </c>
      <c r="B9" t="s">
        <v>626</v>
      </c>
    </row>
    <row r="10" spans="1:7" x14ac:dyDescent="0.3">
      <c r="A10" s="1">
        <f t="shared" si="0"/>
        <v>9</v>
      </c>
      <c r="B10" t="s">
        <v>627</v>
      </c>
    </row>
    <row r="11" spans="1:7" x14ac:dyDescent="0.3">
      <c r="A11" s="1">
        <f t="shared" si="0"/>
        <v>10</v>
      </c>
      <c r="B11" t="s">
        <v>628</v>
      </c>
    </row>
    <row r="12" spans="1:7" x14ac:dyDescent="0.3">
      <c r="A12" s="1">
        <f t="shared" si="0"/>
        <v>11</v>
      </c>
    </row>
    <row r="13" spans="1:7" x14ac:dyDescent="0.3">
      <c r="A13" s="1">
        <f t="shared" si="0"/>
        <v>12</v>
      </c>
      <c r="B13" t="s">
        <v>629</v>
      </c>
    </row>
    <row r="14" spans="1:7" x14ac:dyDescent="0.3">
      <c r="A14" s="1">
        <f t="shared" si="0"/>
        <v>13</v>
      </c>
      <c r="B14" t="s">
        <v>630</v>
      </c>
      <c r="E14" s="30">
        <v>150642.29999999999</v>
      </c>
    </row>
    <row r="15" spans="1:7" x14ac:dyDescent="0.3">
      <c r="A15" s="1">
        <f t="shared" si="0"/>
        <v>14</v>
      </c>
      <c r="B15" t="s">
        <v>631</v>
      </c>
    </row>
    <row r="16" spans="1:7" x14ac:dyDescent="0.3">
      <c r="A16" s="1">
        <f t="shared" si="0"/>
        <v>15</v>
      </c>
      <c r="B16" t="s">
        <v>632</v>
      </c>
      <c r="E16" s="16">
        <f>23476.56-E17</f>
        <v>5227.0600000000013</v>
      </c>
    </row>
    <row r="17" spans="1:5" x14ac:dyDescent="0.3">
      <c r="A17" s="1">
        <f t="shared" si="0"/>
        <v>16</v>
      </c>
      <c r="B17" t="s">
        <v>633</v>
      </c>
      <c r="E17" s="16">
        <f>7000+249.5+6000+5000+5000-5000</f>
        <v>18249.5</v>
      </c>
    </row>
    <row r="18" spans="1:5" x14ac:dyDescent="0.3">
      <c r="A18" s="1">
        <f t="shared" si="0"/>
        <v>17</v>
      </c>
      <c r="B18" t="s">
        <v>630</v>
      </c>
      <c r="E18" s="30">
        <v>0</v>
      </c>
    </row>
    <row r="19" spans="1:5" x14ac:dyDescent="0.3">
      <c r="A19" s="1">
        <f t="shared" si="0"/>
        <v>18</v>
      </c>
      <c r="B19" t="s">
        <v>634</v>
      </c>
      <c r="E19" s="32">
        <f>SUM(E16:E18)</f>
        <v>23476.560000000001</v>
      </c>
    </row>
    <row r="20" spans="1:5" x14ac:dyDescent="0.3">
      <c r="A20" s="1">
        <f t="shared" si="0"/>
        <v>19</v>
      </c>
      <c r="E20" s="16"/>
    </row>
    <row r="21" spans="1:5" ht="14.5" thickBot="1" x14ac:dyDescent="0.35">
      <c r="A21" s="1">
        <f t="shared" si="0"/>
        <v>20</v>
      </c>
      <c r="B21" t="s">
        <v>635</v>
      </c>
      <c r="E21" s="31">
        <f>E14+E19</f>
        <v>174118.86</v>
      </c>
    </row>
    <row r="22" spans="1:5" ht="14.5" thickTop="1" x14ac:dyDescent="0.3">
      <c r="A22" s="1">
        <f t="shared" si="0"/>
        <v>21</v>
      </c>
      <c r="E22" s="16"/>
    </row>
    <row r="23" spans="1:5" x14ac:dyDescent="0.3">
      <c r="A23" s="1">
        <f t="shared" si="0"/>
        <v>22</v>
      </c>
      <c r="B23" t="s">
        <v>636</v>
      </c>
      <c r="E23" s="16"/>
    </row>
    <row r="24" spans="1:5" x14ac:dyDescent="0.3">
      <c r="A24" s="1">
        <f t="shared" si="0"/>
        <v>23</v>
      </c>
      <c r="B24" t="s">
        <v>637</v>
      </c>
      <c r="E24" s="16">
        <f>ROUND(-E14,0)</f>
        <v>-150642</v>
      </c>
    </row>
    <row r="25" spans="1:5" x14ac:dyDescent="0.3">
      <c r="A25" s="1">
        <f t="shared" si="0"/>
        <v>24</v>
      </c>
      <c r="B25" t="s">
        <v>638</v>
      </c>
      <c r="E25" s="16">
        <f>ROUND(-E19,0)</f>
        <v>-23477</v>
      </c>
    </row>
  </sheetData>
  <mergeCells count="2">
    <mergeCell ref="B3:G3"/>
    <mergeCell ref="B4:G4"/>
  </mergeCells>
  <pageMargins left="0.7" right="0.7" top="0.75" bottom="0.75" header="0.3" footer="0.3"/>
  <pageSetup scale="83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G22"/>
  <sheetViews>
    <sheetView zoomScale="80" zoomScaleNormal="80" workbookViewId="0">
      <selection activeCell="M36" sqref="M36"/>
    </sheetView>
  </sheetViews>
  <sheetFormatPr defaultColWidth="15.58203125" defaultRowHeight="14" x14ac:dyDescent="0.3"/>
  <cols>
    <col min="1" max="1" width="4.58203125" customWidth="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639</v>
      </c>
    </row>
    <row r="3" spans="1:7" x14ac:dyDescent="0.3">
      <c r="A3" s="1">
        <f t="shared" ref="A3:A22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640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</row>
    <row r="6" spans="1:7" x14ac:dyDescent="0.3">
      <c r="A6" s="1">
        <f t="shared" si="0"/>
        <v>5</v>
      </c>
    </row>
    <row r="7" spans="1:7" x14ac:dyDescent="0.3">
      <c r="A7" s="1">
        <f t="shared" si="0"/>
        <v>6</v>
      </c>
      <c r="B7" t="s">
        <v>641</v>
      </c>
    </row>
    <row r="8" spans="1:7" x14ac:dyDescent="0.3">
      <c r="A8" s="1">
        <f t="shared" si="0"/>
        <v>7</v>
      </c>
      <c r="B8" t="s">
        <v>642</v>
      </c>
    </row>
    <row r="9" spans="1:7" x14ac:dyDescent="0.3">
      <c r="A9" s="1">
        <f t="shared" si="0"/>
        <v>8</v>
      </c>
      <c r="B9" t="s">
        <v>643</v>
      </c>
      <c r="F9" s="16"/>
      <c r="G9" s="16">
        <v>0</v>
      </c>
    </row>
    <row r="10" spans="1:7" x14ac:dyDescent="0.3">
      <c r="A10" s="1">
        <f t="shared" si="0"/>
        <v>9</v>
      </c>
      <c r="B10" t="s">
        <v>644</v>
      </c>
      <c r="F10" s="16"/>
      <c r="G10" s="16"/>
    </row>
    <row r="11" spans="1:7" x14ac:dyDescent="0.3">
      <c r="A11" s="1">
        <f t="shared" si="0"/>
        <v>10</v>
      </c>
      <c r="B11" t="s">
        <v>645</v>
      </c>
      <c r="F11" s="16">
        <v>0</v>
      </c>
      <c r="G11" s="16"/>
    </row>
    <row r="12" spans="1:7" x14ac:dyDescent="0.3">
      <c r="A12" s="1">
        <f t="shared" si="0"/>
        <v>11</v>
      </c>
      <c r="B12" t="s">
        <v>646</v>
      </c>
      <c r="F12" s="16">
        <v>82362.350000000006</v>
      </c>
      <c r="G12" s="16"/>
    </row>
    <row r="13" spans="1:7" x14ac:dyDescent="0.3">
      <c r="A13" s="1">
        <f t="shared" si="0"/>
        <v>12</v>
      </c>
      <c r="B13" t="s">
        <v>647</v>
      </c>
      <c r="F13" s="16">
        <v>9099.01</v>
      </c>
      <c r="G13" s="16"/>
    </row>
    <row r="14" spans="1:7" x14ac:dyDescent="0.3">
      <c r="A14" s="1">
        <f t="shared" si="0"/>
        <v>13</v>
      </c>
      <c r="B14" t="s">
        <v>648</v>
      </c>
      <c r="F14" s="16">
        <v>5198.22</v>
      </c>
      <c r="G14" s="16"/>
    </row>
    <row r="15" spans="1:7" x14ac:dyDescent="0.3">
      <c r="A15" s="1">
        <f t="shared" si="0"/>
        <v>14</v>
      </c>
      <c r="B15" t="s">
        <v>649</v>
      </c>
      <c r="F15" s="16">
        <v>950.65</v>
      </c>
      <c r="G15" s="16"/>
    </row>
    <row r="16" spans="1:7" x14ac:dyDescent="0.3">
      <c r="A16" s="1">
        <f t="shared" si="0"/>
        <v>15</v>
      </c>
      <c r="B16" t="s">
        <v>650</v>
      </c>
      <c r="F16" s="30">
        <v>1356.87</v>
      </c>
      <c r="G16" s="30">
        <f>SUM(F11:F16)</f>
        <v>98967.099999999991</v>
      </c>
    </row>
    <row r="17" spans="1:7" x14ac:dyDescent="0.3">
      <c r="A17" s="1">
        <f t="shared" si="0"/>
        <v>16</v>
      </c>
      <c r="F17" s="16"/>
      <c r="G17" s="16"/>
    </row>
    <row r="18" spans="1:7" ht="14.5" thickBot="1" x14ac:dyDescent="0.35">
      <c r="A18" s="1">
        <f t="shared" si="0"/>
        <v>17</v>
      </c>
      <c r="B18" t="s">
        <v>651</v>
      </c>
      <c r="F18" s="16"/>
      <c r="G18" s="31">
        <f>G16-G9</f>
        <v>98967.099999999991</v>
      </c>
    </row>
    <row r="19" spans="1:7" ht="14.5" thickTop="1" x14ac:dyDescent="0.3">
      <c r="A19" s="1">
        <f t="shared" si="0"/>
        <v>18</v>
      </c>
      <c r="F19" s="16"/>
    </row>
    <row r="20" spans="1:7" ht="14.5" thickBot="1" x14ac:dyDescent="0.35">
      <c r="A20" s="1">
        <f t="shared" si="0"/>
        <v>19</v>
      </c>
      <c r="B20" t="s">
        <v>636</v>
      </c>
      <c r="F20" s="16"/>
      <c r="G20" s="31">
        <f>ROUND(-G18,0)</f>
        <v>-98967</v>
      </c>
    </row>
    <row r="21" spans="1:7" ht="14.5" thickTop="1" x14ac:dyDescent="0.3">
      <c r="A21" s="1">
        <f t="shared" si="0"/>
        <v>20</v>
      </c>
    </row>
    <row r="22" spans="1:7" x14ac:dyDescent="0.3">
      <c r="A22" s="1">
        <f t="shared" si="0"/>
        <v>21</v>
      </c>
      <c r="B22" t="s">
        <v>652</v>
      </c>
    </row>
  </sheetData>
  <mergeCells count="2">
    <mergeCell ref="B3:G3"/>
    <mergeCell ref="B4:G4"/>
  </mergeCells>
  <pageMargins left="0.7" right="0.7" top="0.75" bottom="0.75" header="0.3" footer="0.3"/>
  <pageSetup scale="84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G20"/>
  <sheetViews>
    <sheetView zoomScale="80" zoomScaleNormal="80" workbookViewId="0">
      <selection activeCell="T37" sqref="T37"/>
    </sheetView>
  </sheetViews>
  <sheetFormatPr defaultColWidth="15.58203125" defaultRowHeight="14" x14ac:dyDescent="0.3"/>
  <cols>
    <col min="1" max="1" width="4.58203125" customWidth="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653</v>
      </c>
    </row>
    <row r="3" spans="1:7" x14ac:dyDescent="0.3">
      <c r="A3" s="1">
        <f t="shared" ref="A3:A20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654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</row>
    <row r="6" spans="1:7" x14ac:dyDescent="0.3">
      <c r="A6" s="1">
        <f t="shared" si="0"/>
        <v>5</v>
      </c>
    </row>
    <row r="7" spans="1:7" x14ac:dyDescent="0.3">
      <c r="A7" s="1">
        <f t="shared" si="0"/>
        <v>6</v>
      </c>
      <c r="B7" t="s">
        <v>655</v>
      </c>
    </row>
    <row r="8" spans="1:7" x14ac:dyDescent="0.3">
      <c r="A8" s="1">
        <f t="shared" si="0"/>
        <v>7</v>
      </c>
    </row>
    <row r="9" spans="1:7" x14ac:dyDescent="0.3">
      <c r="A9" s="1">
        <f t="shared" si="0"/>
        <v>8</v>
      </c>
    </row>
    <row r="10" spans="1:7" x14ac:dyDescent="0.3">
      <c r="A10" s="1">
        <f t="shared" si="0"/>
        <v>9</v>
      </c>
      <c r="B10" t="s">
        <v>656</v>
      </c>
    </row>
    <row r="11" spans="1:7" x14ac:dyDescent="0.3">
      <c r="A11" s="1">
        <f t="shared" si="0"/>
        <v>10</v>
      </c>
      <c r="B11" t="s">
        <v>657</v>
      </c>
      <c r="E11" s="6">
        <v>138430</v>
      </c>
    </row>
    <row r="12" spans="1:7" x14ac:dyDescent="0.3">
      <c r="A12" s="1">
        <f t="shared" si="0"/>
        <v>11</v>
      </c>
      <c r="B12" t="s">
        <v>658</v>
      </c>
      <c r="E12" s="6"/>
    </row>
    <row r="13" spans="1:7" x14ac:dyDescent="0.3">
      <c r="A13" s="1">
        <f t="shared" si="0"/>
        <v>12</v>
      </c>
      <c r="B13" t="s">
        <v>659</v>
      </c>
      <c r="E13" s="6"/>
    </row>
    <row r="14" spans="1:7" x14ac:dyDescent="0.3">
      <c r="A14" s="1">
        <f t="shared" si="0"/>
        <v>13</v>
      </c>
      <c r="B14" t="s">
        <v>660</v>
      </c>
      <c r="E14" s="8">
        <v>0</v>
      </c>
    </row>
    <row r="15" spans="1:7" x14ac:dyDescent="0.3">
      <c r="A15" s="1">
        <f t="shared" si="0"/>
        <v>14</v>
      </c>
      <c r="E15" s="6"/>
    </row>
    <row r="16" spans="1:7" ht="14.5" thickBot="1" x14ac:dyDescent="0.35">
      <c r="A16" s="1">
        <f t="shared" si="0"/>
        <v>15</v>
      </c>
      <c r="B16" t="s">
        <v>661</v>
      </c>
      <c r="E16" s="10">
        <f>SUM(E11:E14)</f>
        <v>138430</v>
      </c>
    </row>
    <row r="17" spans="1:5" ht="14.5" thickTop="1" x14ac:dyDescent="0.3">
      <c r="A17" s="1">
        <f t="shared" si="0"/>
        <v>16</v>
      </c>
      <c r="E17" s="6"/>
    </row>
    <row r="18" spans="1:5" ht="14.5" thickBot="1" x14ac:dyDescent="0.35">
      <c r="A18" s="1">
        <f t="shared" si="0"/>
        <v>17</v>
      </c>
      <c r="B18" t="s">
        <v>662</v>
      </c>
      <c r="E18" s="10">
        <f>-E16</f>
        <v>-138430</v>
      </c>
    </row>
    <row r="19" spans="1:5" ht="14.5" thickTop="1" x14ac:dyDescent="0.3">
      <c r="A19" s="1">
        <f t="shared" si="0"/>
        <v>18</v>
      </c>
    </row>
    <row r="20" spans="1:5" x14ac:dyDescent="0.3">
      <c r="A20" s="1">
        <f t="shared" si="0"/>
        <v>19</v>
      </c>
    </row>
  </sheetData>
  <mergeCells count="2">
    <mergeCell ref="B3:G3"/>
    <mergeCell ref="B4:G4"/>
  </mergeCells>
  <pageMargins left="0.7" right="0.7" top="0.75" bottom="0.75" header="0.3" footer="0.3"/>
  <pageSetup scale="84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G21"/>
  <sheetViews>
    <sheetView zoomScale="80" zoomScaleNormal="80" workbookViewId="0">
      <selection activeCell="K53" sqref="K53:K55"/>
    </sheetView>
  </sheetViews>
  <sheetFormatPr defaultColWidth="15.58203125" defaultRowHeight="14" x14ac:dyDescent="0.3"/>
  <cols>
    <col min="1" max="1" width="4.58203125" customWidth="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663</v>
      </c>
    </row>
    <row r="3" spans="1:7" x14ac:dyDescent="0.3">
      <c r="A3" s="1">
        <f t="shared" ref="A3:A19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664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</row>
    <row r="6" spans="1:7" x14ac:dyDescent="0.3">
      <c r="A6" s="1">
        <f t="shared" si="0"/>
        <v>5</v>
      </c>
    </row>
    <row r="7" spans="1:7" x14ac:dyDescent="0.3">
      <c r="A7" s="1">
        <f t="shared" si="0"/>
        <v>6</v>
      </c>
      <c r="B7" t="s">
        <v>665</v>
      </c>
    </row>
    <row r="8" spans="1:7" x14ac:dyDescent="0.3">
      <c r="A8" s="1">
        <f t="shared" si="0"/>
        <v>7</v>
      </c>
    </row>
    <row r="9" spans="1:7" x14ac:dyDescent="0.3">
      <c r="A9" s="1">
        <f t="shared" si="0"/>
        <v>8</v>
      </c>
      <c r="B9" t="s">
        <v>666</v>
      </c>
      <c r="F9" s="16">
        <v>150000</v>
      </c>
    </row>
    <row r="10" spans="1:7" x14ac:dyDescent="0.3">
      <c r="A10" s="1">
        <f t="shared" si="0"/>
        <v>9</v>
      </c>
      <c r="B10" t="s">
        <v>667</v>
      </c>
      <c r="F10" s="16">
        <v>10000</v>
      </c>
    </row>
    <row r="11" spans="1:7" x14ac:dyDescent="0.3">
      <c r="A11" s="1">
        <f t="shared" si="0"/>
        <v>10</v>
      </c>
      <c r="B11" t="s">
        <v>668</v>
      </c>
      <c r="F11" s="16">
        <v>24477.16</v>
      </c>
    </row>
    <row r="12" spans="1:7" x14ac:dyDescent="0.3">
      <c r="A12" s="1">
        <f t="shared" si="0"/>
        <v>11</v>
      </c>
      <c r="B12" t="s">
        <v>669</v>
      </c>
      <c r="F12" s="16">
        <v>107618</v>
      </c>
    </row>
    <row r="13" spans="1:7" x14ac:dyDescent="0.3">
      <c r="A13" s="1">
        <f t="shared" si="0"/>
        <v>12</v>
      </c>
      <c r="B13" t="s">
        <v>670</v>
      </c>
      <c r="F13" s="30">
        <v>10624.44</v>
      </c>
    </row>
    <row r="14" spans="1:7" x14ac:dyDescent="0.3">
      <c r="A14" s="1">
        <f t="shared" si="0"/>
        <v>13</v>
      </c>
      <c r="F14" s="16"/>
    </row>
    <row r="15" spans="1:7" ht="14.5" thickBot="1" x14ac:dyDescent="0.35">
      <c r="A15" s="1">
        <f t="shared" si="0"/>
        <v>14</v>
      </c>
      <c r="B15" t="s">
        <v>671</v>
      </c>
      <c r="F15" s="31">
        <f>SUM(F9:F13)</f>
        <v>302719.60000000003</v>
      </c>
    </row>
    <row r="16" spans="1:7" ht="14.5" thickTop="1" x14ac:dyDescent="0.3">
      <c r="A16" s="1">
        <f t="shared" si="0"/>
        <v>15</v>
      </c>
      <c r="F16" s="16"/>
    </row>
    <row r="17" spans="1:6" x14ac:dyDescent="0.3">
      <c r="A17" s="1">
        <f t="shared" si="0"/>
        <v>16</v>
      </c>
      <c r="B17" t="s">
        <v>672</v>
      </c>
      <c r="F17" s="16"/>
    </row>
    <row r="18" spans="1:6" x14ac:dyDescent="0.3">
      <c r="A18" s="1">
        <f t="shared" si="0"/>
        <v>17</v>
      </c>
      <c r="B18" t="s">
        <v>552</v>
      </c>
      <c r="F18" s="16">
        <f>ROUND(-SUM(F9:F12),0)</f>
        <v>-292095</v>
      </c>
    </row>
    <row r="19" spans="1:6" x14ac:dyDescent="0.3">
      <c r="A19" s="1">
        <f t="shared" si="0"/>
        <v>18</v>
      </c>
      <c r="B19" t="s">
        <v>673</v>
      </c>
      <c r="F19" s="30">
        <f>ROUND(-F13,0)</f>
        <v>-10624</v>
      </c>
    </row>
    <row r="20" spans="1:6" ht="14.5" thickBot="1" x14ac:dyDescent="0.35">
      <c r="F20" s="33">
        <f>F18+F19</f>
        <v>-302719</v>
      </c>
    </row>
    <row r="21" spans="1:6" ht="14.5" thickTop="1" x14ac:dyDescent="0.3"/>
  </sheetData>
  <mergeCells count="2">
    <mergeCell ref="B3:G3"/>
    <mergeCell ref="B4:G4"/>
  </mergeCells>
  <pageMargins left="0.7" right="0.7" top="0.75" bottom="0.75" header="0.3" footer="0.3"/>
  <pageSetup scale="83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G20"/>
  <sheetViews>
    <sheetView zoomScale="80" zoomScaleNormal="80" workbookViewId="0">
      <selection activeCell="K53" sqref="K53:K55"/>
    </sheetView>
  </sheetViews>
  <sheetFormatPr defaultColWidth="15.58203125" defaultRowHeight="14" x14ac:dyDescent="0.3"/>
  <cols>
    <col min="1" max="1" width="4.58203125" customWidth="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674</v>
      </c>
    </row>
    <row r="3" spans="1:7" x14ac:dyDescent="0.3">
      <c r="A3" s="1">
        <f t="shared" ref="A3:A20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675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</row>
    <row r="6" spans="1:7" x14ac:dyDescent="0.3">
      <c r="A6" s="1">
        <f t="shared" si="0"/>
        <v>5</v>
      </c>
    </row>
    <row r="7" spans="1:7" x14ac:dyDescent="0.3">
      <c r="A7" s="1">
        <f t="shared" si="0"/>
        <v>6</v>
      </c>
      <c r="B7" t="s">
        <v>676</v>
      </c>
    </row>
    <row r="8" spans="1:7" x14ac:dyDescent="0.3">
      <c r="A8" s="1">
        <f t="shared" si="0"/>
        <v>7</v>
      </c>
    </row>
    <row r="9" spans="1:7" x14ac:dyDescent="0.3">
      <c r="A9" s="1">
        <f t="shared" si="0"/>
        <v>8</v>
      </c>
      <c r="B9" t="s">
        <v>677</v>
      </c>
      <c r="F9" s="30">
        <v>412242</v>
      </c>
    </row>
    <row r="10" spans="1:7" x14ac:dyDescent="0.3">
      <c r="A10" s="1">
        <f t="shared" si="0"/>
        <v>9</v>
      </c>
      <c r="F10" s="16"/>
    </row>
    <row r="11" spans="1:7" x14ac:dyDescent="0.3">
      <c r="A11" s="1">
        <f t="shared" si="0"/>
        <v>10</v>
      </c>
      <c r="B11" t="s">
        <v>678</v>
      </c>
      <c r="F11" s="16"/>
    </row>
    <row r="12" spans="1:7" x14ac:dyDescent="0.3">
      <c r="A12" s="1">
        <f t="shared" si="0"/>
        <v>11</v>
      </c>
      <c r="B12" t="s">
        <v>933</v>
      </c>
      <c r="F12" s="16">
        <v>9963.06</v>
      </c>
    </row>
    <row r="13" spans="1:7" x14ac:dyDescent="0.3">
      <c r="A13" s="1">
        <f t="shared" si="0"/>
        <v>12</v>
      </c>
      <c r="B13" t="s">
        <v>934</v>
      </c>
      <c r="F13" s="30">
        <v>21667.73</v>
      </c>
    </row>
    <row r="14" spans="1:7" x14ac:dyDescent="0.3">
      <c r="A14" s="1">
        <f t="shared" si="0"/>
        <v>13</v>
      </c>
      <c r="F14" s="32">
        <f>F12+F13</f>
        <v>31630.79</v>
      </c>
    </row>
    <row r="15" spans="1:7" x14ac:dyDescent="0.3">
      <c r="A15" s="1">
        <f t="shared" si="0"/>
        <v>14</v>
      </c>
      <c r="F15" s="16"/>
    </row>
    <row r="16" spans="1:7" ht="14.5" thickBot="1" x14ac:dyDescent="0.35">
      <c r="A16" s="1">
        <f t="shared" si="0"/>
        <v>15</v>
      </c>
      <c r="B16" t="s">
        <v>679</v>
      </c>
      <c r="F16" s="31">
        <f>F9+F14</f>
        <v>443872.79</v>
      </c>
    </row>
    <row r="17" spans="1:6" ht="14.5" thickTop="1" x14ac:dyDescent="0.3">
      <c r="A17" s="1">
        <f t="shared" si="0"/>
        <v>16</v>
      </c>
      <c r="F17" s="16"/>
    </row>
    <row r="18" spans="1:6" ht="14.5" thickBot="1" x14ac:dyDescent="0.35">
      <c r="A18" s="1">
        <f t="shared" si="0"/>
        <v>17</v>
      </c>
      <c r="B18" t="s">
        <v>636</v>
      </c>
      <c r="F18" s="31">
        <f>ROUND(-F16,0)</f>
        <v>-443873</v>
      </c>
    </row>
    <row r="19" spans="1:6" ht="14.5" thickTop="1" x14ac:dyDescent="0.3">
      <c r="A19" s="1">
        <f t="shared" si="0"/>
        <v>18</v>
      </c>
      <c r="F19" s="16"/>
    </row>
    <row r="20" spans="1:6" x14ac:dyDescent="0.3">
      <c r="A20" s="1">
        <f t="shared" si="0"/>
        <v>19</v>
      </c>
    </row>
  </sheetData>
  <mergeCells count="2">
    <mergeCell ref="B3:G3"/>
    <mergeCell ref="B4:G4"/>
  </mergeCells>
  <pageMargins left="0.7" right="0.7" top="0.75" bottom="0.75" header="0.3" footer="0.3"/>
  <pageSetup scale="83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G38"/>
  <sheetViews>
    <sheetView zoomScale="80" zoomScaleNormal="80" workbookViewId="0">
      <selection activeCell="I25" sqref="I25"/>
    </sheetView>
  </sheetViews>
  <sheetFormatPr defaultColWidth="15.58203125" defaultRowHeight="14" x14ac:dyDescent="0.3"/>
  <cols>
    <col min="1" max="1" width="4.58203125" customWidth="1"/>
    <col min="3" max="3" width="21.33203125" customWidth="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680</v>
      </c>
    </row>
    <row r="3" spans="1:7" x14ac:dyDescent="0.3">
      <c r="A3" s="1">
        <f t="shared" ref="A3:A38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681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</row>
    <row r="6" spans="1:7" x14ac:dyDescent="0.3">
      <c r="A6" s="1">
        <f t="shared" si="0"/>
        <v>5</v>
      </c>
    </row>
    <row r="7" spans="1:7" x14ac:dyDescent="0.3">
      <c r="A7" s="1">
        <f t="shared" si="0"/>
        <v>6</v>
      </c>
      <c r="B7" t="s">
        <v>682</v>
      </c>
    </row>
    <row r="8" spans="1:7" x14ac:dyDescent="0.3">
      <c r="A8" s="1">
        <f t="shared" si="0"/>
        <v>7</v>
      </c>
      <c r="B8" t="s">
        <v>683</v>
      </c>
    </row>
    <row r="9" spans="1:7" x14ac:dyDescent="0.3">
      <c r="A9" s="1">
        <f t="shared" si="0"/>
        <v>8</v>
      </c>
    </row>
    <row r="10" spans="1:7" ht="14.5" thickBot="1" x14ac:dyDescent="0.35">
      <c r="A10" s="1">
        <f t="shared" si="0"/>
        <v>9</v>
      </c>
      <c r="D10" s="3" t="s">
        <v>684</v>
      </c>
      <c r="E10" s="3" t="s">
        <v>685</v>
      </c>
      <c r="F10" s="3" t="s">
        <v>686</v>
      </c>
      <c r="G10" s="3" t="s">
        <v>687</v>
      </c>
    </row>
    <row r="11" spans="1:7" x14ac:dyDescent="0.3">
      <c r="A11" s="1">
        <f t="shared" si="0"/>
        <v>10</v>
      </c>
      <c r="B11" t="s">
        <v>688</v>
      </c>
    </row>
    <row r="12" spans="1:7" x14ac:dyDescent="0.3">
      <c r="A12" s="1">
        <f t="shared" si="0"/>
        <v>11</v>
      </c>
      <c r="B12" t="s">
        <v>689</v>
      </c>
      <c r="D12" s="16">
        <v>4813.29</v>
      </c>
      <c r="E12" s="16">
        <v>0</v>
      </c>
      <c r="F12" s="16">
        <v>0</v>
      </c>
      <c r="G12" s="16">
        <v>0</v>
      </c>
    </row>
    <row r="13" spans="1:7" x14ac:dyDescent="0.3">
      <c r="A13" s="1">
        <f t="shared" si="0"/>
        <v>12</v>
      </c>
      <c r="B13" t="s">
        <v>690</v>
      </c>
      <c r="D13" s="16"/>
      <c r="E13" s="16"/>
      <c r="F13" s="16"/>
      <c r="G13" s="16"/>
    </row>
    <row r="14" spans="1:7" x14ac:dyDescent="0.3">
      <c r="A14" s="1">
        <f t="shared" si="0"/>
        <v>13</v>
      </c>
      <c r="B14" t="s">
        <v>691</v>
      </c>
      <c r="D14" s="16">
        <v>71239.600000000006</v>
      </c>
      <c r="E14" s="16">
        <v>0</v>
      </c>
      <c r="F14" s="16">
        <v>0</v>
      </c>
      <c r="G14" s="16">
        <v>0</v>
      </c>
    </row>
    <row r="15" spans="1:7" x14ac:dyDescent="0.3">
      <c r="A15" s="1">
        <f t="shared" si="0"/>
        <v>14</v>
      </c>
      <c r="B15" t="s">
        <v>692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3">
      <c r="A16" s="1">
        <f t="shared" si="0"/>
        <v>15</v>
      </c>
      <c r="B16" t="s">
        <v>693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3">
      <c r="A17" s="1">
        <f t="shared" si="0"/>
        <v>16</v>
      </c>
      <c r="B17" t="s">
        <v>694</v>
      </c>
      <c r="D17" s="16">
        <v>0</v>
      </c>
      <c r="E17" s="16">
        <v>17607.71</v>
      </c>
      <c r="F17" s="16">
        <v>0</v>
      </c>
      <c r="G17" s="16">
        <v>0</v>
      </c>
    </row>
    <row r="18" spans="1:7" x14ac:dyDescent="0.3">
      <c r="A18" s="1">
        <f t="shared" si="0"/>
        <v>17</v>
      </c>
      <c r="B18" t="s">
        <v>695</v>
      </c>
      <c r="D18" s="16">
        <v>0</v>
      </c>
      <c r="E18" s="16">
        <v>0</v>
      </c>
      <c r="F18" s="16">
        <v>481903.25</v>
      </c>
      <c r="G18" s="16">
        <v>0</v>
      </c>
    </row>
    <row r="19" spans="1:7" x14ac:dyDescent="0.3">
      <c r="A19" s="1">
        <f t="shared" si="0"/>
        <v>18</v>
      </c>
      <c r="B19" t="s">
        <v>696</v>
      </c>
      <c r="D19" s="30">
        <v>0</v>
      </c>
      <c r="E19" s="30">
        <v>0</v>
      </c>
      <c r="F19" s="30">
        <v>8355</v>
      </c>
      <c r="G19" s="30">
        <v>0</v>
      </c>
    </row>
    <row r="20" spans="1:7" x14ac:dyDescent="0.3">
      <c r="A20" s="1">
        <f t="shared" si="0"/>
        <v>19</v>
      </c>
      <c r="B20" t="s">
        <v>697</v>
      </c>
      <c r="D20" s="16">
        <f>SUM(D12:D19)</f>
        <v>76052.89</v>
      </c>
      <c r="E20" s="16">
        <f t="shared" ref="E20:G20" si="1">SUM(E12:E19)</f>
        <v>17607.71</v>
      </c>
      <c r="F20" s="16">
        <f t="shared" si="1"/>
        <v>490258.25</v>
      </c>
      <c r="G20" s="16">
        <f t="shared" si="1"/>
        <v>0</v>
      </c>
    </row>
    <row r="21" spans="1:7" x14ac:dyDescent="0.3">
      <c r="A21" s="1">
        <f t="shared" si="0"/>
        <v>20</v>
      </c>
      <c r="D21" s="16"/>
      <c r="E21" s="16"/>
      <c r="F21" s="16"/>
      <c r="G21" s="16"/>
    </row>
    <row r="22" spans="1:7" x14ac:dyDescent="0.3">
      <c r="A22" s="1">
        <f t="shared" si="0"/>
        <v>21</v>
      </c>
      <c r="B22" t="s">
        <v>698</v>
      </c>
      <c r="D22" s="16"/>
      <c r="E22" s="16"/>
      <c r="F22" s="16"/>
      <c r="G22" s="16"/>
    </row>
    <row r="23" spans="1:7" x14ac:dyDescent="0.3">
      <c r="A23" s="1">
        <f t="shared" si="0"/>
        <v>22</v>
      </c>
      <c r="B23" t="s">
        <v>699</v>
      </c>
      <c r="D23" s="16">
        <v>29550.7</v>
      </c>
      <c r="E23" s="16">
        <v>400</v>
      </c>
      <c r="F23" s="16">
        <v>0</v>
      </c>
      <c r="G23" s="16">
        <v>126994.14</v>
      </c>
    </row>
    <row r="24" spans="1:7" x14ac:dyDescent="0.3">
      <c r="A24" s="1">
        <f t="shared" si="0"/>
        <v>23</v>
      </c>
      <c r="B24" t="s">
        <v>700</v>
      </c>
      <c r="D24" s="16">
        <v>8284.66</v>
      </c>
      <c r="E24" s="16">
        <v>0</v>
      </c>
      <c r="F24" s="16">
        <v>0</v>
      </c>
      <c r="G24" s="16">
        <v>25000</v>
      </c>
    </row>
    <row r="25" spans="1:7" x14ac:dyDescent="0.3">
      <c r="A25" s="1">
        <f t="shared" si="0"/>
        <v>24</v>
      </c>
      <c r="B25" t="s">
        <v>701</v>
      </c>
      <c r="D25" s="16">
        <v>9683.49</v>
      </c>
      <c r="E25" s="16">
        <v>905</v>
      </c>
      <c r="F25" s="16">
        <v>0</v>
      </c>
      <c r="G25" s="16">
        <v>50327.65</v>
      </c>
    </row>
    <row r="26" spans="1:7" x14ac:dyDescent="0.3">
      <c r="A26" s="1">
        <f t="shared" si="0"/>
        <v>25</v>
      </c>
      <c r="B26" t="s">
        <v>702</v>
      </c>
      <c r="D26" s="16">
        <v>1102.73</v>
      </c>
      <c r="E26" s="16">
        <v>757.35</v>
      </c>
      <c r="F26" s="16">
        <v>0</v>
      </c>
      <c r="G26" s="16">
        <v>49000</v>
      </c>
    </row>
    <row r="27" spans="1:7" x14ac:dyDescent="0.3">
      <c r="A27" s="1">
        <f t="shared" si="0"/>
        <v>26</v>
      </c>
      <c r="B27" t="s">
        <v>703</v>
      </c>
      <c r="D27" s="16">
        <v>0</v>
      </c>
      <c r="E27" s="16">
        <v>0</v>
      </c>
      <c r="F27" s="16">
        <v>0</v>
      </c>
      <c r="G27" s="16">
        <v>10000</v>
      </c>
    </row>
    <row r="28" spans="1:7" x14ac:dyDescent="0.3">
      <c r="A28" s="1">
        <f t="shared" si="0"/>
        <v>27</v>
      </c>
      <c r="B28" t="s">
        <v>704</v>
      </c>
      <c r="D28" s="16">
        <v>59332.89</v>
      </c>
      <c r="E28" s="16">
        <v>37351.18</v>
      </c>
      <c r="F28" s="16">
        <v>0</v>
      </c>
      <c r="G28" s="16">
        <v>23297.23</v>
      </c>
    </row>
    <row r="29" spans="1:7" x14ac:dyDescent="0.3">
      <c r="A29" s="1">
        <f t="shared" si="0"/>
        <v>28</v>
      </c>
      <c r="B29" t="s">
        <v>705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3">
      <c r="A30" s="1">
        <f t="shared" si="0"/>
        <v>29</v>
      </c>
      <c r="B30" t="s">
        <v>706</v>
      </c>
      <c r="D30" s="16">
        <v>0</v>
      </c>
      <c r="E30" s="16">
        <v>1674.79</v>
      </c>
      <c r="F30" s="16">
        <v>0</v>
      </c>
      <c r="G30" s="16">
        <v>0</v>
      </c>
    </row>
    <row r="31" spans="1:7" x14ac:dyDescent="0.3">
      <c r="A31" s="1">
        <f t="shared" si="0"/>
        <v>30</v>
      </c>
      <c r="B31" t="s">
        <v>707</v>
      </c>
      <c r="D31" s="30">
        <v>0</v>
      </c>
      <c r="E31" s="30">
        <v>41817.699999999997</v>
      </c>
      <c r="F31" s="30">
        <v>0</v>
      </c>
      <c r="G31" s="30">
        <v>0</v>
      </c>
    </row>
    <row r="32" spans="1:7" x14ac:dyDescent="0.3">
      <c r="A32" s="1">
        <f t="shared" si="0"/>
        <v>31</v>
      </c>
      <c r="B32" t="s">
        <v>708</v>
      </c>
      <c r="D32" s="16">
        <f>SUM(D23:D31)</f>
        <v>107954.47</v>
      </c>
      <c r="E32" s="16">
        <f t="shared" ref="E32:G32" si="2">SUM(E23:E31)</f>
        <v>82906.01999999999</v>
      </c>
      <c r="F32" s="16">
        <f t="shared" si="2"/>
        <v>0</v>
      </c>
      <c r="G32" s="16">
        <f t="shared" si="2"/>
        <v>284619.02</v>
      </c>
    </row>
    <row r="33" spans="1:7" x14ac:dyDescent="0.3">
      <c r="A33" s="1">
        <f t="shared" si="0"/>
        <v>32</v>
      </c>
      <c r="D33" s="16"/>
      <c r="E33" s="16"/>
      <c r="F33" s="16"/>
      <c r="G33" s="16"/>
    </row>
    <row r="34" spans="1:7" ht="14.5" thickBot="1" x14ac:dyDescent="0.35">
      <c r="A34" s="1">
        <f t="shared" si="0"/>
        <v>33</v>
      </c>
      <c r="B34" t="s">
        <v>709</v>
      </c>
      <c r="D34" s="31">
        <f>D20+D32</f>
        <v>184007.36</v>
      </c>
      <c r="E34" s="31">
        <f t="shared" ref="E34:G34" si="3">E20+E32</f>
        <v>100513.72999999998</v>
      </c>
      <c r="F34" s="31">
        <f t="shared" si="3"/>
        <v>490258.25</v>
      </c>
      <c r="G34" s="31">
        <f t="shared" si="3"/>
        <v>284619.02</v>
      </c>
    </row>
    <row r="35" spans="1:7" ht="14.5" thickTop="1" x14ac:dyDescent="0.3">
      <c r="A35" s="1">
        <f t="shared" si="0"/>
        <v>34</v>
      </c>
      <c r="D35" s="16"/>
      <c r="E35" s="16"/>
      <c r="F35" s="16"/>
      <c r="G35" s="16"/>
    </row>
    <row r="36" spans="1:7" ht="14.5" thickBot="1" x14ac:dyDescent="0.35">
      <c r="A36" s="1">
        <f t="shared" si="0"/>
        <v>35</v>
      </c>
      <c r="B36" t="s">
        <v>636</v>
      </c>
      <c r="D36" s="31">
        <f>ROUND(-D34,0)</f>
        <v>-184007</v>
      </c>
      <c r="E36" s="31">
        <f t="shared" ref="E36:G36" si="4">ROUND(-E34,0)</f>
        <v>-100514</v>
      </c>
      <c r="F36" s="31">
        <f t="shared" si="4"/>
        <v>-490258</v>
      </c>
      <c r="G36" s="31">
        <f t="shared" si="4"/>
        <v>-284619</v>
      </c>
    </row>
    <row r="37" spans="1:7" ht="14.5" thickTop="1" x14ac:dyDescent="0.3">
      <c r="A37" s="1">
        <f t="shared" si="0"/>
        <v>36</v>
      </c>
      <c r="D37" s="16"/>
      <c r="E37" s="16"/>
      <c r="F37" s="16"/>
      <c r="G37" s="16"/>
    </row>
    <row r="38" spans="1:7" x14ac:dyDescent="0.3">
      <c r="A38" s="1">
        <f t="shared" si="0"/>
        <v>37</v>
      </c>
    </row>
  </sheetData>
  <mergeCells count="2">
    <mergeCell ref="B3:G3"/>
    <mergeCell ref="B4:G4"/>
  </mergeCells>
  <pageMargins left="0.7" right="0.7" top="0.75" bottom="0.75" header="0.3" footer="0.3"/>
  <pageSetup scale="7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59"/>
  <sheetViews>
    <sheetView topLeftCell="C1" zoomScale="80" zoomScaleNormal="80" workbookViewId="0">
      <selection activeCell="K53" sqref="K53:K55"/>
    </sheetView>
  </sheetViews>
  <sheetFormatPr defaultColWidth="15.58203125" defaultRowHeight="14" x14ac:dyDescent="0.3"/>
  <cols>
    <col min="1" max="1" width="4.58203125" customWidth="1"/>
    <col min="2" max="2" width="46" customWidth="1"/>
    <col min="27" max="27" width="16.58203125" bestFit="1" customWidth="1"/>
  </cols>
  <sheetData>
    <row r="1" spans="1:33" x14ac:dyDescent="0.3">
      <c r="A1" s="1">
        <v>0</v>
      </c>
    </row>
    <row r="2" spans="1:33" x14ac:dyDescent="0.3">
      <c r="A2" s="1">
        <f>A1+1</f>
        <v>1</v>
      </c>
      <c r="D2" s="4" t="s">
        <v>60</v>
      </c>
    </row>
    <row r="3" spans="1:33" x14ac:dyDescent="0.3">
      <c r="A3" s="1">
        <f t="shared" ref="A3:A51" si="0">A2+1</f>
        <v>2</v>
      </c>
      <c r="B3" s="5" t="s">
        <v>1</v>
      </c>
    </row>
    <row r="4" spans="1:33" x14ac:dyDescent="0.3">
      <c r="A4" s="1">
        <f t="shared" si="0"/>
        <v>3</v>
      </c>
      <c r="B4" s="5" t="s">
        <v>61</v>
      </c>
    </row>
    <row r="5" spans="1:33" x14ac:dyDescent="0.3">
      <c r="A5" s="1">
        <f t="shared" si="0"/>
        <v>4</v>
      </c>
      <c r="B5" s="5" t="s">
        <v>62</v>
      </c>
    </row>
    <row r="6" spans="1:33" x14ac:dyDescent="0.3">
      <c r="A6" s="1">
        <f t="shared" si="0"/>
        <v>5</v>
      </c>
      <c r="J6" s="67"/>
    </row>
    <row r="7" spans="1:33" x14ac:dyDescent="0.3">
      <c r="A7" s="1">
        <f t="shared" si="0"/>
        <v>6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/>
      <c r="AG7" s="2" t="s">
        <v>92</v>
      </c>
    </row>
    <row r="8" spans="1:33" x14ac:dyDescent="0.3">
      <c r="A8" s="1">
        <f t="shared" si="0"/>
        <v>7</v>
      </c>
      <c r="C8" s="2"/>
      <c r="D8" s="2" t="s">
        <v>93</v>
      </c>
      <c r="E8" s="2" t="s">
        <v>94</v>
      </c>
      <c r="F8" s="2" t="s">
        <v>95</v>
      </c>
      <c r="G8" s="2" t="s">
        <v>95</v>
      </c>
      <c r="H8" s="2" t="s">
        <v>95</v>
      </c>
      <c r="I8" s="2" t="s">
        <v>95</v>
      </c>
      <c r="J8" s="2" t="s">
        <v>95</v>
      </c>
      <c r="K8" s="2" t="s">
        <v>96</v>
      </c>
      <c r="L8" s="2" t="s">
        <v>93</v>
      </c>
      <c r="M8" s="2" t="s">
        <v>97</v>
      </c>
      <c r="N8" s="2" t="s">
        <v>93</v>
      </c>
      <c r="O8" s="2" t="s">
        <v>93</v>
      </c>
      <c r="P8" s="2"/>
      <c r="Q8" s="2" t="s">
        <v>93</v>
      </c>
      <c r="R8" s="2" t="s">
        <v>93</v>
      </c>
      <c r="S8" s="2" t="s">
        <v>93</v>
      </c>
      <c r="T8" s="2" t="s">
        <v>95</v>
      </c>
      <c r="U8" s="2" t="s">
        <v>98</v>
      </c>
      <c r="V8" s="2" t="s">
        <v>98</v>
      </c>
      <c r="W8" s="2" t="s">
        <v>95</v>
      </c>
      <c r="X8" s="2" t="s">
        <v>95</v>
      </c>
      <c r="Y8" s="2" t="s">
        <v>99</v>
      </c>
      <c r="Z8" s="2" t="s">
        <v>93</v>
      </c>
      <c r="AA8" s="2" t="s">
        <v>93</v>
      </c>
      <c r="AB8" s="2" t="s">
        <v>100</v>
      </c>
      <c r="AC8" s="2" t="s">
        <v>101</v>
      </c>
      <c r="AD8" s="2"/>
      <c r="AE8" s="2" t="s">
        <v>95</v>
      </c>
      <c r="AF8" s="2" t="s">
        <v>102</v>
      </c>
      <c r="AG8" s="2" t="s">
        <v>6</v>
      </c>
    </row>
    <row r="9" spans="1:33" x14ac:dyDescent="0.3">
      <c r="A9" s="1">
        <f t="shared" si="0"/>
        <v>8</v>
      </c>
      <c r="C9" s="2" t="s">
        <v>93</v>
      </c>
      <c r="D9" s="2" t="s">
        <v>103</v>
      </c>
      <c r="E9" s="2" t="s">
        <v>104</v>
      </c>
      <c r="F9" s="2" t="s">
        <v>105</v>
      </c>
      <c r="G9" s="2" t="s">
        <v>106</v>
      </c>
      <c r="H9" s="2" t="s">
        <v>107</v>
      </c>
      <c r="I9" s="2" t="s">
        <v>108</v>
      </c>
      <c r="J9" s="2" t="s">
        <v>109</v>
      </c>
      <c r="K9" s="2" t="s">
        <v>110</v>
      </c>
      <c r="L9" s="2" t="s">
        <v>111</v>
      </c>
      <c r="M9" s="2" t="s">
        <v>112</v>
      </c>
      <c r="N9" s="2" t="s">
        <v>113</v>
      </c>
      <c r="O9" s="2" t="s">
        <v>114</v>
      </c>
      <c r="P9" s="2" t="s">
        <v>93</v>
      </c>
      <c r="Q9" s="2" t="s">
        <v>115</v>
      </c>
      <c r="R9" s="2" t="s">
        <v>116</v>
      </c>
      <c r="S9" s="2" t="s">
        <v>117</v>
      </c>
      <c r="T9" s="2" t="s">
        <v>118</v>
      </c>
      <c r="U9" s="2" t="s">
        <v>119</v>
      </c>
      <c r="V9" s="2" t="s">
        <v>120</v>
      </c>
      <c r="W9" s="2" t="s">
        <v>121</v>
      </c>
      <c r="X9" s="2" t="s">
        <v>122</v>
      </c>
      <c r="Y9" s="2" t="s">
        <v>123</v>
      </c>
      <c r="Z9" s="2" t="s">
        <v>124</v>
      </c>
      <c r="AA9" s="2" t="s">
        <v>125</v>
      </c>
      <c r="AB9" s="2" t="s">
        <v>126</v>
      </c>
      <c r="AC9" s="2" t="s">
        <v>127</v>
      </c>
      <c r="AD9" s="2" t="s">
        <v>128</v>
      </c>
      <c r="AE9" s="2" t="s">
        <v>129</v>
      </c>
      <c r="AF9" s="2" t="s">
        <v>130</v>
      </c>
      <c r="AG9" s="2" t="s">
        <v>131</v>
      </c>
    </row>
    <row r="10" spans="1:33" ht="14.5" thickBot="1" x14ac:dyDescent="0.35">
      <c r="A10" s="1">
        <f t="shared" si="0"/>
        <v>9</v>
      </c>
      <c r="B10" s="3" t="s">
        <v>8</v>
      </c>
      <c r="C10" s="3" t="s">
        <v>132</v>
      </c>
      <c r="D10" s="3" t="s">
        <v>133</v>
      </c>
      <c r="E10" s="3" t="s">
        <v>133</v>
      </c>
      <c r="F10" s="3" t="s">
        <v>134</v>
      </c>
      <c r="G10" s="3" t="s">
        <v>135</v>
      </c>
      <c r="H10" s="3" t="s">
        <v>134</v>
      </c>
      <c r="I10" s="3" t="s">
        <v>136</v>
      </c>
      <c r="J10" s="3" t="s">
        <v>121</v>
      </c>
      <c r="K10" s="3" t="s">
        <v>137</v>
      </c>
      <c r="L10" s="3" t="s">
        <v>138</v>
      </c>
      <c r="M10" s="3" t="s">
        <v>139</v>
      </c>
      <c r="N10" s="3" t="s">
        <v>140</v>
      </c>
      <c r="O10" s="3" t="s">
        <v>141</v>
      </c>
      <c r="P10" s="3" t="s">
        <v>142</v>
      </c>
      <c r="Q10" s="3" t="s">
        <v>141</v>
      </c>
      <c r="R10" s="3" t="s">
        <v>143</v>
      </c>
      <c r="S10" s="3" t="s">
        <v>144</v>
      </c>
      <c r="T10" s="3" t="s">
        <v>134</v>
      </c>
      <c r="U10" s="3" t="s">
        <v>145</v>
      </c>
      <c r="V10" s="3" t="s">
        <v>146</v>
      </c>
      <c r="W10" s="3" t="s">
        <v>141</v>
      </c>
      <c r="X10" s="3" t="s">
        <v>141</v>
      </c>
      <c r="Y10" s="3" t="s">
        <v>141</v>
      </c>
      <c r="Z10" s="3" t="s">
        <v>147</v>
      </c>
      <c r="AA10" s="3" t="s">
        <v>148</v>
      </c>
      <c r="AB10" s="3" t="s">
        <v>149</v>
      </c>
      <c r="AC10" s="3" t="s">
        <v>150</v>
      </c>
      <c r="AD10" s="3" t="s">
        <v>151</v>
      </c>
      <c r="AE10" s="3" t="s">
        <v>152</v>
      </c>
      <c r="AF10" s="3" t="s">
        <v>10</v>
      </c>
      <c r="AG10" s="3" t="s">
        <v>11</v>
      </c>
    </row>
    <row r="11" spans="1:33" x14ac:dyDescent="0.3">
      <c r="A11" s="1">
        <f t="shared" si="0"/>
        <v>10</v>
      </c>
    </row>
    <row r="12" spans="1:33" x14ac:dyDescent="0.3">
      <c r="A12" s="1">
        <f t="shared" si="0"/>
        <v>11</v>
      </c>
      <c r="B12" t="s">
        <v>13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G12" s="6"/>
    </row>
    <row r="13" spans="1:33" x14ac:dyDescent="0.3">
      <c r="A13" s="1">
        <f t="shared" si="0"/>
        <v>12</v>
      </c>
      <c r="B13" t="s">
        <v>14</v>
      </c>
      <c r="C13" s="6">
        <f>'1.01 - FAC'!D92</f>
        <v>-459314615</v>
      </c>
      <c r="D13" s="6">
        <f>'1.02 - ES'!D80</f>
        <v>-149126006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>
        <f>SUM(C13:AE13)</f>
        <v>-608440621</v>
      </c>
      <c r="AG13" s="6">
        <f>'1.30 - Revenue Increase'!F27</f>
        <v>79757474.492500022</v>
      </c>
    </row>
    <row r="14" spans="1:33" x14ac:dyDescent="0.3">
      <c r="A14" s="1">
        <f t="shared" si="0"/>
        <v>13</v>
      </c>
      <c r="B14" t="s">
        <v>15</v>
      </c>
      <c r="C14" s="6"/>
      <c r="D14" s="6"/>
      <c r="E14" s="6">
        <f>'1.03 - ES Off-System'!F30</f>
        <v>-657368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>
        <f>'1.24 - Remove WSE Effects'!G23</f>
        <v>-24279543</v>
      </c>
      <c r="AA14" s="6"/>
      <c r="AB14" s="6"/>
      <c r="AC14" s="6"/>
      <c r="AD14" s="6"/>
      <c r="AE14" s="6"/>
      <c r="AF14" s="6">
        <f>SUM(C14:AE14)</f>
        <v>-24936911</v>
      </c>
      <c r="AG14" s="6"/>
    </row>
    <row r="15" spans="1:33" x14ac:dyDescent="0.3">
      <c r="A15" s="1">
        <f t="shared" si="0"/>
        <v>14</v>
      </c>
      <c r="B15" t="s">
        <v>16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>
        <f>SUM(C15:AE15)</f>
        <v>0</v>
      </c>
      <c r="AG15" s="6"/>
    </row>
    <row r="16" spans="1:33" x14ac:dyDescent="0.3">
      <c r="A16" s="1">
        <f t="shared" si="0"/>
        <v>15</v>
      </c>
      <c r="B16" t="s">
        <v>17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>
        <f>SUM(C16:AE16)</f>
        <v>0</v>
      </c>
      <c r="AG16" s="6"/>
    </row>
    <row r="17" spans="1:33" x14ac:dyDescent="0.3">
      <c r="A17" s="1">
        <f t="shared" si="0"/>
        <v>16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G17" s="6"/>
    </row>
    <row r="18" spans="1:33" x14ac:dyDescent="0.3">
      <c r="A18" s="1">
        <f t="shared" si="0"/>
        <v>17</v>
      </c>
      <c r="B18" t="s">
        <v>19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G18" s="6"/>
    </row>
    <row r="19" spans="1:33" x14ac:dyDescent="0.3">
      <c r="A19" s="1">
        <f t="shared" si="0"/>
        <v>18</v>
      </c>
      <c r="B19" t="s">
        <v>20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G19" s="6"/>
    </row>
    <row r="20" spans="1:33" x14ac:dyDescent="0.3">
      <c r="A20" s="1">
        <f t="shared" si="0"/>
        <v>19</v>
      </c>
      <c r="B20" t="s">
        <v>21</v>
      </c>
      <c r="C20" s="6">
        <f>'1.01 - FAC'!D95</f>
        <v>-3422780</v>
      </c>
      <c r="D20" s="6">
        <f>'1.02 - ES'!D84</f>
        <v>-56247379</v>
      </c>
      <c r="E20" s="6"/>
      <c r="F20" s="6"/>
      <c r="G20" s="6"/>
      <c r="H20" s="6">
        <f>'1.06 - Wages Salaries'!E46</f>
        <v>-1296006</v>
      </c>
      <c r="I20" s="6">
        <f>'1.07 - Payroll Taxes'!E44</f>
        <v>-122023</v>
      </c>
      <c r="J20" s="6">
        <f>'1.08 - Med Ins'!E43</f>
        <v>87804</v>
      </c>
      <c r="K20" s="6">
        <f>'1.09 - Benefits'!E41</f>
        <v>-418385</v>
      </c>
      <c r="L20" s="6"/>
      <c r="M20" s="6">
        <f>'1.11 - Retiree Med Ins'!E61</f>
        <v>465394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>
        <f t="shared" ref="AF20:AF29" si="1">SUM(C20:AE20)</f>
        <v>-60953375</v>
      </c>
      <c r="AG20" s="6"/>
    </row>
    <row r="21" spans="1:33" x14ac:dyDescent="0.3">
      <c r="A21" s="1">
        <f t="shared" si="0"/>
        <v>20</v>
      </c>
      <c r="B21" t="s">
        <v>22</v>
      </c>
      <c r="C21" s="6">
        <f>'1.01 - FAC'!D93</f>
        <v>-327966613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>
        <f t="shared" si="1"/>
        <v>-327966613</v>
      </c>
      <c r="AG21" s="6"/>
    </row>
    <row r="22" spans="1:33" x14ac:dyDescent="0.3">
      <c r="A22" s="1">
        <f t="shared" si="0"/>
        <v>21</v>
      </c>
      <c r="B22" t="s">
        <v>23</v>
      </c>
      <c r="C22" s="6">
        <f>'1.01 - FAC'!D94</f>
        <v>-127934541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>
        <f>'1.20 - Forced Outage &amp; High PP'!F70</f>
        <v>-632124</v>
      </c>
      <c r="W22" s="6"/>
      <c r="X22" s="6"/>
      <c r="Y22" s="6"/>
      <c r="Z22" s="6"/>
      <c r="AA22" s="6"/>
      <c r="AB22" s="6"/>
      <c r="AC22" s="6"/>
      <c r="AD22" s="6"/>
      <c r="AE22" s="6"/>
      <c r="AF22" s="6">
        <f t="shared" si="1"/>
        <v>-128566665</v>
      </c>
      <c r="AG22" s="6"/>
    </row>
    <row r="23" spans="1:33" x14ac:dyDescent="0.3">
      <c r="A23" s="1">
        <f t="shared" si="0"/>
        <v>22</v>
      </c>
      <c r="B23" t="s">
        <v>24</v>
      </c>
      <c r="C23" s="6"/>
      <c r="D23" s="6"/>
      <c r="E23" s="6"/>
      <c r="F23" s="6"/>
      <c r="G23" s="6"/>
      <c r="H23" s="6">
        <f>'1.06 - Wages Salaries'!E47</f>
        <v>480376</v>
      </c>
      <c r="I23" s="6">
        <f>'1.07 - Payroll Taxes'!E45</f>
        <v>35316</v>
      </c>
      <c r="J23" s="6">
        <f>'1.08 - Med Ins'!E44</f>
        <v>27549</v>
      </c>
      <c r="K23" s="6">
        <f>'1.09 - Benefits'!E42</f>
        <v>-123483</v>
      </c>
      <c r="L23" s="6"/>
      <c r="M23" s="6">
        <f>'1.11 - Retiree Med Ins'!E62</f>
        <v>137357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>
        <f>'1.22 - RTEP'!E44</f>
        <v>-737023</v>
      </c>
      <c r="Y23" s="6"/>
      <c r="Z23" s="6"/>
      <c r="AA23" s="6"/>
      <c r="AB23" s="6"/>
      <c r="AC23" s="6"/>
      <c r="AD23" s="6"/>
      <c r="AE23" s="6"/>
      <c r="AF23" s="6">
        <f t="shared" si="1"/>
        <v>-179908</v>
      </c>
      <c r="AG23" s="6"/>
    </row>
    <row r="24" spans="1:33" x14ac:dyDescent="0.3">
      <c r="A24" s="1">
        <f t="shared" si="0"/>
        <v>23</v>
      </c>
      <c r="B24" t="s">
        <v>25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>
        <f t="shared" si="1"/>
        <v>0</v>
      </c>
      <c r="AG24" s="6"/>
    </row>
    <row r="25" spans="1:33" x14ac:dyDescent="0.3">
      <c r="A25" s="1">
        <f t="shared" si="0"/>
        <v>24</v>
      </c>
      <c r="B25" t="s">
        <v>26</v>
      </c>
      <c r="C25" s="6"/>
      <c r="D25" s="6"/>
      <c r="E25" s="6"/>
      <c r="F25" s="6"/>
      <c r="G25" s="6"/>
      <c r="H25" s="6">
        <f>'1.06 - Wages Salaries'!E48</f>
        <v>647828</v>
      </c>
      <c r="I25" s="6">
        <f>'1.07 - Payroll Taxes'!E46</f>
        <v>60377</v>
      </c>
      <c r="J25" s="6">
        <f>'1.08 - Med Ins'!E45</f>
        <v>2240</v>
      </c>
      <c r="K25" s="6">
        <f>'1.09 - Benefits'!E43</f>
        <v>-10040</v>
      </c>
      <c r="L25" s="6"/>
      <c r="M25" s="6">
        <f>'1.11 - Retiree Med Ins'!E63</f>
        <v>11168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>
        <f t="shared" si="1"/>
        <v>711573</v>
      </c>
      <c r="AG25" s="6"/>
    </row>
    <row r="26" spans="1:33" x14ac:dyDescent="0.3">
      <c r="A26" s="1">
        <f t="shared" si="0"/>
        <v>25</v>
      </c>
      <c r="B26" t="s">
        <v>27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>
        <f t="shared" si="1"/>
        <v>0</v>
      </c>
      <c r="AG26" s="6"/>
    </row>
    <row r="27" spans="1:33" x14ac:dyDescent="0.3">
      <c r="A27" s="1">
        <f t="shared" si="0"/>
        <v>26</v>
      </c>
      <c r="B27" t="s">
        <v>28</v>
      </c>
      <c r="C27" s="6"/>
      <c r="D27" s="6"/>
      <c r="E27" s="6"/>
      <c r="F27" s="6"/>
      <c r="G27" s="6"/>
      <c r="H27" s="6">
        <f>'1.06 - Wages Salaries'!E49</f>
        <v>191372</v>
      </c>
      <c r="I27" s="6">
        <f>'1.07 - Payroll Taxes'!E47</f>
        <v>14699</v>
      </c>
      <c r="J27" s="6">
        <f>'1.08 - Med Ins'!E46</f>
        <v>3564</v>
      </c>
      <c r="K27" s="6">
        <f>'1.09 - Benefits'!E44</f>
        <v>-15974</v>
      </c>
      <c r="L27" s="6"/>
      <c r="M27" s="6">
        <f>'1.11 - Retiree Med Ins'!E64</f>
        <v>17769</v>
      </c>
      <c r="N27" s="6">
        <f>'1.12 - Advertising'!E24</f>
        <v>-150642</v>
      </c>
      <c r="O27" s="6"/>
      <c r="P27" s="6"/>
      <c r="Q27" s="6"/>
      <c r="R27" s="6">
        <f>ROUND(-'1.16 - Touchstone'!F12,0)</f>
        <v>-9963</v>
      </c>
      <c r="S27" s="6">
        <f>'1.17 - Non-Recur &amp; Other'!D36</f>
        <v>-184007</v>
      </c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>
        <f t="shared" si="1"/>
        <v>-133182</v>
      </c>
      <c r="AG27" s="6"/>
    </row>
    <row r="28" spans="1:33" x14ac:dyDescent="0.3">
      <c r="A28" s="1">
        <f t="shared" si="0"/>
        <v>27</v>
      </c>
      <c r="B28" t="s">
        <v>29</v>
      </c>
      <c r="C28" s="6"/>
      <c r="D28" s="6"/>
      <c r="E28" s="6"/>
      <c r="F28" s="6"/>
      <c r="G28" s="6"/>
      <c r="H28" s="6">
        <f>'1.06 - Wages Salaries'!E50</f>
        <v>1450</v>
      </c>
      <c r="I28" s="6">
        <f>'1.07 - Payroll Taxes'!E48</f>
        <v>88</v>
      </c>
      <c r="J28" s="6">
        <f>'1.08 - Med Ins'!E47</f>
        <v>43</v>
      </c>
      <c r="K28" s="6">
        <f>'1.09 - Benefits'!E45</f>
        <v>-194</v>
      </c>
      <c r="L28" s="6"/>
      <c r="M28" s="6">
        <f>'1.11 - Retiree Med Ins'!E65</f>
        <v>216</v>
      </c>
      <c r="N28" s="6">
        <f>'1.12 - Advertising'!E25</f>
        <v>-23477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>
        <f t="shared" si="1"/>
        <v>-21874</v>
      </c>
      <c r="AG28" s="6"/>
    </row>
    <row r="29" spans="1:33" s="7" customFormat="1" x14ac:dyDescent="0.3">
      <c r="A29" s="1">
        <f t="shared" si="0"/>
        <v>28</v>
      </c>
      <c r="B29" s="7" t="s">
        <v>30</v>
      </c>
      <c r="C29" s="1"/>
      <c r="D29" s="1">
        <f>'1.02 - ES'!D88</f>
        <v>-3350437</v>
      </c>
      <c r="E29" s="1"/>
      <c r="F29" s="1"/>
      <c r="G29" s="1"/>
      <c r="H29" s="1">
        <f>'1.06 - Wages Salaries'!E51</f>
        <v>1513071</v>
      </c>
      <c r="I29" s="1">
        <f>'1.07 - Payroll Taxes'!E49</f>
        <v>106871</v>
      </c>
      <c r="J29" s="1">
        <f>'1.08 - Med Ins'!E48</f>
        <v>57573</v>
      </c>
      <c r="K29" s="1">
        <f>'1.09 - Benefits'!E46</f>
        <v>-258063</v>
      </c>
      <c r="L29" s="1">
        <f>'1.10 - Misc. Employee Benefits'!F24</f>
        <v>-427310</v>
      </c>
      <c r="M29" s="1">
        <f>'1.11 - Retiree Med Ins'!E66</f>
        <v>287059</v>
      </c>
      <c r="N29" s="1"/>
      <c r="O29" s="1">
        <f>'1.13 - Directors Expenses'!G20</f>
        <v>-98967</v>
      </c>
      <c r="P29" s="1"/>
      <c r="Q29" s="1">
        <f>'1.15 - Lobbying'!F18</f>
        <v>-292095</v>
      </c>
      <c r="R29" s="1">
        <f>-ROUND(('1.16 - Touchstone'!F9+'1.16 - Touchstone'!F13),0)</f>
        <v>-433910</v>
      </c>
      <c r="S29" s="1">
        <f>'1.17 - Non-Recur &amp; Other'!E36+'1.17 - Non-Recur &amp; Other'!F36+'1.17 - Non-Recur &amp; Other'!G36</f>
        <v>-875391</v>
      </c>
      <c r="T29" s="1"/>
      <c r="U29" s="1"/>
      <c r="V29" s="1"/>
      <c r="W29" s="1">
        <f>'1.21 - Insurance Expense'!G34</f>
        <v>1060469</v>
      </c>
      <c r="X29" s="1"/>
      <c r="Y29" s="1">
        <f>'1.23 - Rate Case Expense'!F23</f>
        <v>216667</v>
      </c>
      <c r="Z29" s="1"/>
      <c r="AA29" s="1"/>
      <c r="AB29" s="1"/>
      <c r="AC29" s="1"/>
      <c r="AD29" s="1"/>
      <c r="AE29" s="1">
        <f>'1.29 - PSC Assessment'!F33</f>
        <v>132899</v>
      </c>
      <c r="AF29" s="1">
        <f t="shared" si="1"/>
        <v>-2361564</v>
      </c>
      <c r="AG29" s="1">
        <f>'1.30 - Revenue Increase'!F25</f>
        <v>123751</v>
      </c>
    </row>
    <row r="30" spans="1:33" x14ac:dyDescent="0.3">
      <c r="A30" s="1">
        <f t="shared" si="0"/>
        <v>29</v>
      </c>
      <c r="B30" t="s">
        <v>32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G30" s="6"/>
    </row>
    <row r="31" spans="1:33" x14ac:dyDescent="0.3">
      <c r="A31" s="1">
        <f t="shared" si="0"/>
        <v>30</v>
      </c>
      <c r="B31" t="s">
        <v>33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>
        <f>'1.25 - Remove Gen Expense'!D39</f>
        <v>-6088202.9574999996</v>
      </c>
      <c r="AB31" s="6">
        <f>'1.26 - Generator Maint Amort'!D44</f>
        <v>9166083</v>
      </c>
      <c r="AC31" s="6">
        <f>'1.27 - Gen Maint Threshold'!D52</f>
        <v>3290936</v>
      </c>
      <c r="AD31" s="6"/>
      <c r="AE31" s="6"/>
      <c r="AF31" s="6">
        <f>SUM(C31:AE31)</f>
        <v>6368816.0425000004</v>
      </c>
      <c r="AG31" s="6"/>
    </row>
    <row r="32" spans="1:33" x14ac:dyDescent="0.3">
      <c r="A32" s="1">
        <f t="shared" si="0"/>
        <v>31</v>
      </c>
      <c r="B32" t="s">
        <v>24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>
        <f>SUM(C32:AE32)</f>
        <v>0</v>
      </c>
      <c r="AG32" s="6"/>
    </row>
    <row r="33" spans="1:33" x14ac:dyDescent="0.3">
      <c r="A33" s="1">
        <f t="shared" si="0"/>
        <v>32</v>
      </c>
      <c r="B33" t="s">
        <v>26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>
        <f>SUM(C33:AE33)</f>
        <v>0</v>
      </c>
      <c r="AG33" s="6"/>
    </row>
    <row r="34" spans="1:33" x14ac:dyDescent="0.3">
      <c r="A34" s="1">
        <f t="shared" si="0"/>
        <v>33</v>
      </c>
      <c r="B34" t="s">
        <v>34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>
        <f>SUM(C34:AE34)</f>
        <v>0</v>
      </c>
      <c r="AG34" s="6"/>
    </row>
    <row r="35" spans="1:33" x14ac:dyDescent="0.3">
      <c r="A35" s="1">
        <f t="shared" si="0"/>
        <v>34</v>
      </c>
      <c r="B35" t="s">
        <v>36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G35" s="6"/>
    </row>
    <row r="36" spans="1:33" x14ac:dyDescent="0.3">
      <c r="A36" s="1">
        <f t="shared" si="0"/>
        <v>35</v>
      </c>
      <c r="B36" t="s">
        <v>37</v>
      </c>
      <c r="C36" s="6"/>
      <c r="D36" s="6">
        <f>'1.02 - ES'!D92</f>
        <v>-53993832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>
        <f>'1.18 - Depreciation'!F56</f>
        <v>8309434</v>
      </c>
      <c r="U36" s="6"/>
      <c r="V36" s="6"/>
      <c r="W36" s="6"/>
      <c r="X36" s="6"/>
      <c r="Y36" s="6"/>
      <c r="Z36" s="6"/>
      <c r="AA36" s="6"/>
      <c r="AB36" s="6"/>
      <c r="AC36" s="6"/>
      <c r="AD36" s="6">
        <f>'1.28 - Remove AROs'!F19</f>
        <v>-791263</v>
      </c>
      <c r="AE36" s="6"/>
      <c r="AF36" s="6">
        <f t="shared" ref="AF36:AF42" si="2">SUM(C36:AE36)</f>
        <v>-46475661</v>
      </c>
      <c r="AG36" s="6"/>
    </row>
    <row r="37" spans="1:33" x14ac:dyDescent="0.3">
      <c r="A37" s="1">
        <f t="shared" si="0"/>
        <v>36</v>
      </c>
      <c r="B37" t="s">
        <v>38</v>
      </c>
      <c r="C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>
        <f t="shared" si="2"/>
        <v>0</v>
      </c>
      <c r="AG37" s="6"/>
    </row>
    <row r="38" spans="1:33" x14ac:dyDescent="0.3">
      <c r="A38" s="1">
        <f t="shared" si="0"/>
        <v>37</v>
      </c>
      <c r="B38" t="s">
        <v>39</v>
      </c>
      <c r="C38" s="6"/>
      <c r="D38" s="6">
        <f>'1.02 - ES'!D94</f>
        <v>-20196960</v>
      </c>
      <c r="E38" s="6"/>
      <c r="F38" s="6">
        <f>'1.04 - LTD Interest Expense'!H213</f>
        <v>171226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>
        <f t="shared" si="2"/>
        <v>-20025734</v>
      </c>
      <c r="AG38" s="6"/>
    </row>
    <row r="39" spans="1:33" x14ac:dyDescent="0.3">
      <c r="A39" s="1">
        <f t="shared" si="0"/>
        <v>38</v>
      </c>
      <c r="B39" t="s">
        <v>40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>
        <f t="shared" si="2"/>
        <v>0</v>
      </c>
      <c r="AG39" s="6"/>
    </row>
    <row r="40" spans="1:33" x14ac:dyDescent="0.3">
      <c r="A40" s="1">
        <f t="shared" si="0"/>
        <v>39</v>
      </c>
      <c r="B40" t="s">
        <v>41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>
        <f t="shared" si="2"/>
        <v>0</v>
      </c>
      <c r="AG40" s="6"/>
    </row>
    <row r="41" spans="1:33" x14ac:dyDescent="0.3">
      <c r="A41" s="1">
        <f t="shared" si="0"/>
        <v>40</v>
      </c>
      <c r="B41" t="s">
        <v>42</v>
      </c>
      <c r="C41" s="6"/>
      <c r="D41" s="6">
        <f>'1.02 - ES'!D93</f>
        <v>-1449731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>
        <f t="shared" si="2"/>
        <v>-1449731</v>
      </c>
      <c r="AG41" s="6"/>
    </row>
    <row r="42" spans="1:33" x14ac:dyDescent="0.3">
      <c r="A42" s="1">
        <f t="shared" si="0"/>
        <v>41</v>
      </c>
      <c r="B42" t="s">
        <v>43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>
        <f>'1.14 - 426 Donations'!E18</f>
        <v>-138430</v>
      </c>
      <c r="Q42" s="6">
        <f>'1.15 - Lobbying'!F19</f>
        <v>-10624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>
        <f t="shared" si="2"/>
        <v>-149054</v>
      </c>
      <c r="AG42" s="6"/>
    </row>
    <row r="43" spans="1:33" x14ac:dyDescent="0.3">
      <c r="A43" s="1">
        <f t="shared" si="0"/>
        <v>42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G43" s="6"/>
    </row>
    <row r="44" spans="1:33" x14ac:dyDescent="0.3">
      <c r="A44" s="1">
        <f t="shared" si="0"/>
        <v>43</v>
      </c>
      <c r="B44" t="s">
        <v>47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G44" s="6"/>
    </row>
    <row r="45" spans="1:33" x14ac:dyDescent="0.3">
      <c r="A45" s="1">
        <f t="shared" si="0"/>
        <v>44</v>
      </c>
      <c r="B45" t="s">
        <v>48</v>
      </c>
      <c r="C45" s="6"/>
      <c r="D45" s="6"/>
      <c r="E45" s="6"/>
      <c r="F45" s="6"/>
      <c r="G45" s="6">
        <f>'1.05 - Interest Income'!H47</f>
        <v>2864733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>
        <f>SUM(C45:AE45)</f>
        <v>2864733</v>
      </c>
      <c r="AG45" s="6"/>
    </row>
    <row r="46" spans="1:33" x14ac:dyDescent="0.3">
      <c r="A46" s="1">
        <f t="shared" si="0"/>
        <v>45</v>
      </c>
      <c r="B46" t="s">
        <v>49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>
        <f>SUM(C46:AE46)</f>
        <v>0</v>
      </c>
      <c r="AG46" s="6"/>
    </row>
    <row r="47" spans="1:33" x14ac:dyDescent="0.3">
      <c r="A47" s="1">
        <f t="shared" si="0"/>
        <v>46</v>
      </c>
      <c r="B47" t="s">
        <v>50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>
        <f>'1.19 Outage Insurance'!G21</f>
        <v>-4691458.45</v>
      </c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>
        <f>SUM(C47:AE47)</f>
        <v>-4691458.45</v>
      </c>
      <c r="AG47" s="6"/>
    </row>
    <row r="48" spans="1:33" x14ac:dyDescent="0.3">
      <c r="A48" s="1">
        <f t="shared" si="0"/>
        <v>47</v>
      </c>
      <c r="B48" t="s">
        <v>51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>
        <f>SUM(C48:AE48)</f>
        <v>0</v>
      </c>
      <c r="AG48" s="6"/>
    </row>
    <row r="49" spans="1:33" x14ac:dyDescent="0.3">
      <c r="A49" s="1">
        <f t="shared" si="0"/>
        <v>48</v>
      </c>
      <c r="G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G49" s="6"/>
    </row>
    <row r="50" spans="1:33" x14ac:dyDescent="0.3">
      <c r="A50" s="1">
        <f t="shared" si="0"/>
        <v>49</v>
      </c>
      <c r="B50" t="s">
        <v>153</v>
      </c>
      <c r="D50" s="6">
        <f>'1.02 - ES'!D95</f>
        <v>-18481350</v>
      </c>
      <c r="AF50" s="6">
        <f>SUM(C50:AE50)</f>
        <v>-18481350</v>
      </c>
      <c r="AG50" s="6"/>
    </row>
    <row r="51" spans="1:33" x14ac:dyDescent="0.3">
      <c r="A51" s="1">
        <f t="shared" si="0"/>
        <v>50</v>
      </c>
      <c r="C51" s="6"/>
    </row>
    <row r="52" spans="1:33" x14ac:dyDescent="0.3">
      <c r="A52" s="1"/>
      <c r="C52" s="6"/>
    </row>
    <row r="53" spans="1:33" x14ac:dyDescent="0.3">
      <c r="A53" s="1"/>
    </row>
    <row r="54" spans="1:33" x14ac:dyDescent="0.3">
      <c r="A54" s="1"/>
    </row>
    <row r="55" spans="1:33" x14ac:dyDescent="0.3">
      <c r="A55" s="1"/>
    </row>
    <row r="56" spans="1:33" x14ac:dyDescent="0.3">
      <c r="A56" s="1"/>
    </row>
    <row r="57" spans="1:33" x14ac:dyDescent="0.3">
      <c r="A57" s="1"/>
    </row>
    <row r="58" spans="1:33" x14ac:dyDescent="0.3">
      <c r="A58" s="1"/>
    </row>
    <row r="59" spans="1:33" x14ac:dyDescent="0.3">
      <c r="A59" s="1"/>
    </row>
  </sheetData>
  <phoneticPr fontId="5" type="noConversion"/>
  <pageMargins left="0.7" right="0.7" top="0.75" bottom="0.75" header="0.3" footer="0.3"/>
  <pageSetup scale="7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I61"/>
  <sheetViews>
    <sheetView zoomScale="80" zoomScaleNormal="80" workbookViewId="0">
      <selection activeCell="O68" sqref="O68"/>
    </sheetView>
  </sheetViews>
  <sheetFormatPr defaultColWidth="17.58203125" defaultRowHeight="14" x14ac:dyDescent="0.3"/>
  <cols>
    <col min="1" max="1" width="4.58203125" customWidth="1"/>
  </cols>
  <sheetData>
    <row r="1" spans="1:9" x14ac:dyDescent="0.3">
      <c r="A1" s="1">
        <v>0</v>
      </c>
    </row>
    <row r="2" spans="1:9" x14ac:dyDescent="0.3">
      <c r="A2" s="1">
        <f>A1+1</f>
        <v>1</v>
      </c>
      <c r="G2" s="4" t="s">
        <v>710</v>
      </c>
    </row>
    <row r="3" spans="1:9" x14ac:dyDescent="0.3">
      <c r="A3" s="1">
        <f t="shared" ref="A3:A61" si="0">A2+1</f>
        <v>2</v>
      </c>
      <c r="B3" s="72" t="s">
        <v>1</v>
      </c>
      <c r="C3" s="72"/>
      <c r="D3" s="72"/>
      <c r="E3" s="72"/>
      <c r="F3" s="72"/>
      <c r="G3" s="72"/>
    </row>
    <row r="4" spans="1:9" x14ac:dyDescent="0.3">
      <c r="A4" s="1">
        <f t="shared" si="0"/>
        <v>3</v>
      </c>
      <c r="B4" s="72" t="s">
        <v>711</v>
      </c>
      <c r="C4" s="72"/>
      <c r="D4" s="72"/>
      <c r="E4" s="72"/>
      <c r="F4" s="72"/>
      <c r="G4" s="72"/>
      <c r="I4" s="61"/>
    </row>
    <row r="5" spans="1:9" x14ac:dyDescent="0.3">
      <c r="A5" s="1">
        <f t="shared" si="0"/>
        <v>4</v>
      </c>
    </row>
    <row r="6" spans="1:9" x14ac:dyDescent="0.3">
      <c r="A6" s="1">
        <f t="shared" si="0"/>
        <v>5</v>
      </c>
    </row>
    <row r="7" spans="1:9" x14ac:dyDescent="0.3">
      <c r="A7" s="1">
        <f t="shared" si="0"/>
        <v>6</v>
      </c>
      <c r="B7" t="s">
        <v>712</v>
      </c>
    </row>
    <row r="8" spans="1:9" x14ac:dyDescent="0.3">
      <c r="A8" s="1">
        <f t="shared" si="0"/>
        <v>7</v>
      </c>
      <c r="B8" t="s">
        <v>713</v>
      </c>
    </row>
    <row r="9" spans="1:9" x14ac:dyDescent="0.3">
      <c r="A9" s="1">
        <f t="shared" si="0"/>
        <v>8</v>
      </c>
      <c r="B9" t="s">
        <v>714</v>
      </c>
    </row>
    <row r="10" spans="1:9" x14ac:dyDescent="0.3">
      <c r="A10" s="1">
        <f t="shared" si="0"/>
        <v>9</v>
      </c>
    </row>
    <row r="11" spans="1:9" x14ac:dyDescent="0.3">
      <c r="A11" s="1">
        <f t="shared" si="0"/>
        <v>10</v>
      </c>
      <c r="B11" s="14" t="s">
        <v>715</v>
      </c>
    </row>
    <row r="12" spans="1:9" x14ac:dyDescent="0.3">
      <c r="A12" s="1">
        <f t="shared" si="0"/>
        <v>11</v>
      </c>
      <c r="D12" s="2"/>
      <c r="E12" s="2" t="s">
        <v>134</v>
      </c>
      <c r="F12" s="2"/>
    </row>
    <row r="13" spans="1:9" x14ac:dyDescent="0.3">
      <c r="A13" s="1">
        <f t="shared" si="0"/>
        <v>12</v>
      </c>
      <c r="D13" s="2" t="s">
        <v>716</v>
      </c>
      <c r="E13" s="2" t="s">
        <v>717</v>
      </c>
      <c r="F13" s="2" t="s">
        <v>718</v>
      </c>
    </row>
    <row r="14" spans="1:9" ht="14.5" thickBot="1" x14ac:dyDescent="0.35">
      <c r="A14" s="1">
        <f t="shared" si="0"/>
        <v>13</v>
      </c>
      <c r="B14" s="76" t="s">
        <v>719</v>
      </c>
      <c r="C14" s="76"/>
      <c r="D14" s="3" t="s">
        <v>134</v>
      </c>
      <c r="E14" s="3" t="s">
        <v>133</v>
      </c>
      <c r="F14" s="3" t="s">
        <v>720</v>
      </c>
    </row>
    <row r="15" spans="1:9" x14ac:dyDescent="0.3">
      <c r="A15" s="1">
        <f t="shared" si="0"/>
        <v>14</v>
      </c>
    </row>
    <row r="16" spans="1:9" x14ac:dyDescent="0.3">
      <c r="A16" s="1">
        <f t="shared" si="0"/>
        <v>15</v>
      </c>
      <c r="B16" t="s">
        <v>721</v>
      </c>
      <c r="D16" s="6">
        <v>911704.52</v>
      </c>
      <c r="E16" s="6">
        <v>0</v>
      </c>
      <c r="F16" s="6">
        <f>ROUND(D16-E16,0)</f>
        <v>911705</v>
      </c>
    </row>
    <row r="17" spans="1:7" x14ac:dyDescent="0.3">
      <c r="A17" s="1">
        <f t="shared" si="0"/>
        <v>16</v>
      </c>
      <c r="B17" t="s">
        <v>722</v>
      </c>
      <c r="D17" s="6">
        <v>96379569.430000007</v>
      </c>
      <c r="E17" s="6">
        <v>47833463</v>
      </c>
      <c r="F17" s="6">
        <f t="shared" ref="F17:F21" si="1">ROUND(D17-E17,0)</f>
        <v>48546106</v>
      </c>
    </row>
    <row r="18" spans="1:7" x14ac:dyDescent="0.3">
      <c r="A18" s="1">
        <f t="shared" si="0"/>
        <v>17</v>
      </c>
      <c r="B18" t="s">
        <v>723</v>
      </c>
      <c r="D18" s="6">
        <f>17453706.53+712705.92+85311.53+724949.04</f>
        <v>18976673.020000003</v>
      </c>
      <c r="E18" s="6">
        <v>0</v>
      </c>
      <c r="F18" s="6">
        <f t="shared" si="1"/>
        <v>18976673</v>
      </c>
    </row>
    <row r="19" spans="1:7" x14ac:dyDescent="0.3">
      <c r="A19" s="1">
        <f t="shared" si="0"/>
        <v>18</v>
      </c>
      <c r="B19" t="s">
        <v>724</v>
      </c>
      <c r="D19" s="6">
        <f>18286325.33</f>
        <v>18286325.329999998</v>
      </c>
      <c r="E19" s="6">
        <v>399981</v>
      </c>
      <c r="F19" s="6">
        <f t="shared" si="1"/>
        <v>17886344</v>
      </c>
    </row>
    <row r="20" spans="1:7" x14ac:dyDescent="0.3">
      <c r="A20" s="1">
        <f t="shared" si="0"/>
        <v>19</v>
      </c>
      <c r="B20" t="s">
        <v>725</v>
      </c>
      <c r="D20" s="6">
        <v>7898650.1299999999</v>
      </c>
      <c r="E20" s="6">
        <v>0</v>
      </c>
      <c r="F20" s="6">
        <f t="shared" si="1"/>
        <v>7898650</v>
      </c>
    </row>
    <row r="21" spans="1:7" x14ac:dyDescent="0.3">
      <c r="A21" s="1">
        <f t="shared" si="0"/>
        <v>20</v>
      </c>
      <c r="B21" t="s">
        <v>726</v>
      </c>
      <c r="D21" s="8">
        <f>529673.2+101787.65</f>
        <v>631460.85</v>
      </c>
      <c r="E21" s="8">
        <v>0</v>
      </c>
      <c r="F21" s="6">
        <f t="shared" si="1"/>
        <v>631461</v>
      </c>
    </row>
    <row r="22" spans="1:7" x14ac:dyDescent="0.3">
      <c r="A22" s="1">
        <f t="shared" si="0"/>
        <v>21</v>
      </c>
      <c r="D22" s="6"/>
      <c r="E22" s="6"/>
      <c r="F22" s="6"/>
    </row>
    <row r="23" spans="1:7" ht="14.5" thickBot="1" x14ac:dyDescent="0.35">
      <c r="A23" s="1">
        <f t="shared" si="0"/>
        <v>22</v>
      </c>
      <c r="B23" t="s">
        <v>176</v>
      </c>
      <c r="D23" s="10">
        <f>SUM(D16:D21)</f>
        <v>143084383.28</v>
      </c>
      <c r="E23" s="10">
        <f>SUM(E16:E21)</f>
        <v>48233444</v>
      </c>
      <c r="F23" s="10">
        <f>SUM(F16:F21)</f>
        <v>94850939</v>
      </c>
      <c r="G23" s="6"/>
    </row>
    <row r="24" spans="1:7" ht="14.5" thickTop="1" x14ac:dyDescent="0.3">
      <c r="A24" s="1">
        <f t="shared" si="0"/>
        <v>23</v>
      </c>
      <c r="D24" s="6"/>
      <c r="E24" s="6"/>
      <c r="F24" s="6"/>
    </row>
    <row r="25" spans="1:7" x14ac:dyDescent="0.3">
      <c r="A25" s="1">
        <f t="shared" si="0"/>
        <v>24</v>
      </c>
      <c r="B25" t="s">
        <v>727</v>
      </c>
    </row>
    <row r="26" spans="1:7" x14ac:dyDescent="0.3">
      <c r="A26" s="1">
        <f t="shared" si="0"/>
        <v>25</v>
      </c>
      <c r="B26" t="s">
        <v>728</v>
      </c>
    </row>
    <row r="27" spans="1:7" x14ac:dyDescent="0.3">
      <c r="A27" s="1">
        <f t="shared" si="0"/>
        <v>26</v>
      </c>
    </row>
    <row r="28" spans="1:7" x14ac:dyDescent="0.3">
      <c r="A28" s="1">
        <f t="shared" si="0"/>
        <v>27</v>
      </c>
      <c r="B28" s="14" t="s">
        <v>729</v>
      </c>
    </row>
    <row r="29" spans="1:7" x14ac:dyDescent="0.3">
      <c r="A29" s="1">
        <f t="shared" si="0"/>
        <v>28</v>
      </c>
      <c r="D29" s="2" t="s">
        <v>730</v>
      </c>
      <c r="E29" s="2" t="s">
        <v>731</v>
      </c>
      <c r="F29" s="2" t="s">
        <v>730</v>
      </c>
    </row>
    <row r="30" spans="1:7" x14ac:dyDescent="0.3">
      <c r="A30" s="1">
        <f t="shared" si="0"/>
        <v>29</v>
      </c>
      <c r="D30" s="2" t="s">
        <v>732</v>
      </c>
      <c r="E30" s="2" t="s">
        <v>717</v>
      </c>
      <c r="F30" s="2" t="s">
        <v>733</v>
      </c>
    </row>
    <row r="31" spans="1:7" ht="14.5" thickBot="1" x14ac:dyDescent="0.35">
      <c r="A31" s="1">
        <f t="shared" si="0"/>
        <v>30</v>
      </c>
      <c r="B31" s="76" t="s">
        <v>719</v>
      </c>
      <c r="C31" s="76"/>
      <c r="D31" s="3" t="s">
        <v>734</v>
      </c>
      <c r="E31" s="3" t="s">
        <v>133</v>
      </c>
      <c r="F31" s="3" t="s">
        <v>734</v>
      </c>
    </row>
    <row r="32" spans="1:7" x14ac:dyDescent="0.3">
      <c r="A32" s="1">
        <f t="shared" si="0"/>
        <v>31</v>
      </c>
    </row>
    <row r="33" spans="1:6" x14ac:dyDescent="0.3">
      <c r="A33" s="1">
        <f t="shared" si="0"/>
        <v>32</v>
      </c>
      <c r="B33" t="s">
        <v>721</v>
      </c>
      <c r="D33" s="6">
        <v>735656</v>
      </c>
      <c r="E33">
        <v>0</v>
      </c>
      <c r="F33" s="6">
        <f t="shared" ref="F33:F38" si="2">D33-E33</f>
        <v>735656</v>
      </c>
    </row>
    <row r="34" spans="1:6" x14ac:dyDescent="0.3">
      <c r="A34" s="1">
        <f t="shared" si="0"/>
        <v>33</v>
      </c>
      <c r="B34" t="s">
        <v>722</v>
      </c>
      <c r="D34" s="6">
        <v>84074159</v>
      </c>
      <c r="E34" s="6">
        <v>38755962</v>
      </c>
      <c r="F34" s="6">
        <f t="shared" si="2"/>
        <v>45318197</v>
      </c>
    </row>
    <row r="35" spans="1:6" x14ac:dyDescent="0.3">
      <c r="A35" s="1">
        <f t="shared" si="0"/>
        <v>34</v>
      </c>
      <c r="B35" t="s">
        <v>723</v>
      </c>
      <c r="D35" s="6">
        <v>22220183</v>
      </c>
      <c r="E35" s="6">
        <v>0</v>
      </c>
      <c r="F35" s="6">
        <f t="shared" si="2"/>
        <v>22220183</v>
      </c>
    </row>
    <row r="36" spans="1:6" x14ac:dyDescent="0.3">
      <c r="A36" s="1">
        <f t="shared" si="0"/>
        <v>35</v>
      </c>
      <c r="B36" t="s">
        <v>724</v>
      </c>
      <c r="D36" s="6">
        <v>23096245</v>
      </c>
      <c r="E36" s="6">
        <v>802313</v>
      </c>
      <c r="F36" s="6">
        <f t="shared" si="2"/>
        <v>22293932</v>
      </c>
    </row>
    <row r="37" spans="1:6" x14ac:dyDescent="0.3">
      <c r="A37" s="1">
        <f t="shared" si="0"/>
        <v>36</v>
      </c>
      <c r="B37" t="s">
        <v>725</v>
      </c>
      <c r="D37" s="6">
        <v>8586607</v>
      </c>
      <c r="E37" s="6">
        <v>0</v>
      </c>
      <c r="F37" s="6">
        <f t="shared" si="2"/>
        <v>8586607</v>
      </c>
    </row>
    <row r="38" spans="1:6" x14ac:dyDescent="0.3">
      <c r="A38" s="1">
        <f t="shared" si="0"/>
        <v>37</v>
      </c>
      <c r="B38" t="s">
        <v>726</v>
      </c>
      <c r="D38" s="8">
        <f>7283829-3278031</f>
        <v>4005798</v>
      </c>
      <c r="E38" s="8">
        <v>0</v>
      </c>
      <c r="F38" s="8">
        <f t="shared" si="2"/>
        <v>4005798</v>
      </c>
    </row>
    <row r="39" spans="1:6" x14ac:dyDescent="0.3">
      <c r="A39" s="1">
        <f t="shared" si="0"/>
        <v>38</v>
      </c>
      <c r="D39" s="6"/>
      <c r="E39" s="6"/>
      <c r="F39" s="6"/>
    </row>
    <row r="40" spans="1:6" ht="14.5" thickBot="1" x14ac:dyDescent="0.35">
      <c r="A40" s="1">
        <f t="shared" si="0"/>
        <v>39</v>
      </c>
      <c r="B40" t="s">
        <v>176</v>
      </c>
      <c r="D40" s="10">
        <f>SUM(D33:D38)</f>
        <v>142718648</v>
      </c>
      <c r="E40" s="10">
        <f>SUM(E34:E39)</f>
        <v>39558275</v>
      </c>
      <c r="F40" s="10">
        <f>SUM(F33:F38)</f>
        <v>103160373</v>
      </c>
    </row>
    <row r="41" spans="1:6" ht="14.5" thickTop="1" x14ac:dyDescent="0.3">
      <c r="A41" s="1">
        <f t="shared" si="0"/>
        <v>40</v>
      </c>
      <c r="D41" s="6"/>
      <c r="E41" s="6"/>
      <c r="F41" s="6"/>
    </row>
    <row r="42" spans="1:6" x14ac:dyDescent="0.3">
      <c r="A42" s="1">
        <f t="shared" si="0"/>
        <v>41</v>
      </c>
      <c r="B42" s="14" t="s">
        <v>735</v>
      </c>
    </row>
    <row r="43" spans="1:6" x14ac:dyDescent="0.3">
      <c r="A43" s="1">
        <f t="shared" si="0"/>
        <v>42</v>
      </c>
      <c r="D43" s="2"/>
      <c r="E43" s="2" t="s">
        <v>730</v>
      </c>
      <c r="F43" s="2"/>
    </row>
    <row r="44" spans="1:6" x14ac:dyDescent="0.3">
      <c r="A44" s="1">
        <f t="shared" si="0"/>
        <v>43</v>
      </c>
      <c r="D44" s="2" t="s">
        <v>718</v>
      </c>
      <c r="E44" s="2" t="s">
        <v>733</v>
      </c>
      <c r="F44" s="2" t="s">
        <v>736</v>
      </c>
    </row>
    <row r="45" spans="1:6" ht="14.5" thickBot="1" x14ac:dyDescent="0.35">
      <c r="A45" s="1">
        <f t="shared" si="0"/>
        <v>44</v>
      </c>
      <c r="B45" s="76" t="s">
        <v>719</v>
      </c>
      <c r="C45" s="76"/>
      <c r="D45" s="3" t="s">
        <v>720</v>
      </c>
      <c r="E45" s="3" t="s">
        <v>734</v>
      </c>
      <c r="F45" s="3" t="s">
        <v>134</v>
      </c>
    </row>
    <row r="46" spans="1:6" x14ac:dyDescent="0.3">
      <c r="A46" s="1">
        <f t="shared" si="0"/>
        <v>45</v>
      </c>
    </row>
    <row r="47" spans="1:6" x14ac:dyDescent="0.3">
      <c r="A47" s="1">
        <f t="shared" si="0"/>
        <v>46</v>
      </c>
      <c r="B47" t="s">
        <v>721</v>
      </c>
      <c r="D47" s="6">
        <f>F16</f>
        <v>911705</v>
      </c>
      <c r="E47" s="6">
        <f>F33</f>
        <v>735656</v>
      </c>
      <c r="F47" s="6">
        <f>E47-D47</f>
        <v>-176049</v>
      </c>
    </row>
    <row r="48" spans="1:6" x14ac:dyDescent="0.3">
      <c r="A48" s="1">
        <f t="shared" si="0"/>
        <v>47</v>
      </c>
      <c r="B48" t="s">
        <v>722</v>
      </c>
      <c r="D48" s="6">
        <f t="shared" ref="D48:D52" si="3">F17</f>
        <v>48546106</v>
      </c>
      <c r="E48" s="6">
        <f t="shared" ref="E48:E52" si="4">F34</f>
        <v>45318197</v>
      </c>
      <c r="F48" s="6">
        <f t="shared" ref="F48:F52" si="5">E48-D48</f>
        <v>-3227909</v>
      </c>
    </row>
    <row r="49" spans="1:6" x14ac:dyDescent="0.3">
      <c r="A49" s="1">
        <f t="shared" si="0"/>
        <v>48</v>
      </c>
      <c r="B49" t="s">
        <v>723</v>
      </c>
      <c r="D49" s="6">
        <f t="shared" si="3"/>
        <v>18976673</v>
      </c>
      <c r="E49" s="6">
        <f t="shared" si="4"/>
        <v>22220183</v>
      </c>
      <c r="F49" s="6">
        <f t="shared" si="5"/>
        <v>3243510</v>
      </c>
    </row>
    <row r="50" spans="1:6" x14ac:dyDescent="0.3">
      <c r="A50" s="1">
        <f t="shared" si="0"/>
        <v>49</v>
      </c>
      <c r="B50" t="s">
        <v>724</v>
      </c>
      <c r="D50" s="6">
        <f t="shared" si="3"/>
        <v>17886344</v>
      </c>
      <c r="E50" s="6">
        <f t="shared" si="4"/>
        <v>22293932</v>
      </c>
      <c r="F50" s="6">
        <f t="shared" si="5"/>
        <v>4407588</v>
      </c>
    </row>
    <row r="51" spans="1:6" x14ac:dyDescent="0.3">
      <c r="A51" s="1">
        <f t="shared" si="0"/>
        <v>50</v>
      </c>
      <c r="B51" t="s">
        <v>725</v>
      </c>
      <c r="D51" s="6">
        <f t="shared" si="3"/>
        <v>7898650</v>
      </c>
      <c r="E51" s="6">
        <f t="shared" si="4"/>
        <v>8586607</v>
      </c>
      <c r="F51" s="6">
        <f t="shared" si="5"/>
        <v>687957</v>
      </c>
    </row>
    <row r="52" spans="1:6" x14ac:dyDescent="0.3">
      <c r="A52" s="1">
        <f t="shared" si="0"/>
        <v>51</v>
      </c>
      <c r="B52" t="s">
        <v>726</v>
      </c>
      <c r="D52" s="8">
        <f t="shared" si="3"/>
        <v>631461</v>
      </c>
      <c r="E52" s="8">
        <f t="shared" si="4"/>
        <v>4005798</v>
      </c>
      <c r="F52" s="8">
        <f t="shared" si="5"/>
        <v>3374337</v>
      </c>
    </row>
    <row r="53" spans="1:6" x14ac:dyDescent="0.3">
      <c r="A53" s="1">
        <f t="shared" si="0"/>
        <v>52</v>
      </c>
      <c r="D53" s="6"/>
      <c r="E53" s="6"/>
      <c r="F53" s="6"/>
    </row>
    <row r="54" spans="1:6" ht="14.5" thickBot="1" x14ac:dyDescent="0.35">
      <c r="A54" s="1">
        <f t="shared" si="0"/>
        <v>53</v>
      </c>
      <c r="B54" t="s">
        <v>176</v>
      </c>
      <c r="D54" s="10">
        <f>SUM(D47:D52)</f>
        <v>94850939</v>
      </c>
      <c r="E54" s="10">
        <f>SUM(E47:E52)</f>
        <v>103160373</v>
      </c>
      <c r="F54" s="10">
        <f>SUM(F47:F52)</f>
        <v>8309434</v>
      </c>
    </row>
    <row r="55" spans="1:6" ht="14.5" thickTop="1" x14ac:dyDescent="0.3">
      <c r="A55" s="1">
        <f t="shared" si="0"/>
        <v>54</v>
      </c>
    </row>
    <row r="56" spans="1:6" ht="14.5" thickBot="1" x14ac:dyDescent="0.35">
      <c r="A56" s="1">
        <f t="shared" si="0"/>
        <v>55</v>
      </c>
      <c r="D56" t="s">
        <v>636</v>
      </c>
      <c r="F56" s="10">
        <f>F54</f>
        <v>8309434</v>
      </c>
    </row>
    <row r="57" spans="1:6" ht="14.5" thickTop="1" x14ac:dyDescent="0.3">
      <c r="A57" s="1">
        <f t="shared" si="0"/>
        <v>56</v>
      </c>
    </row>
    <row r="58" spans="1:6" x14ac:dyDescent="0.3">
      <c r="A58" s="1">
        <f t="shared" si="0"/>
        <v>57</v>
      </c>
    </row>
    <row r="59" spans="1:6" x14ac:dyDescent="0.3">
      <c r="A59" s="1">
        <f t="shared" si="0"/>
        <v>58</v>
      </c>
    </row>
    <row r="60" spans="1:6" x14ac:dyDescent="0.3">
      <c r="A60" s="1">
        <f t="shared" si="0"/>
        <v>59</v>
      </c>
    </row>
    <row r="61" spans="1:6" x14ac:dyDescent="0.3">
      <c r="A61" s="1">
        <f t="shared" si="0"/>
        <v>60</v>
      </c>
    </row>
  </sheetData>
  <mergeCells count="5">
    <mergeCell ref="B3:G3"/>
    <mergeCell ref="B4:G4"/>
    <mergeCell ref="B14:C14"/>
    <mergeCell ref="B31:C31"/>
    <mergeCell ref="B45:C45"/>
  </mergeCells>
  <pageMargins left="0.7" right="0.7" top="0.75" bottom="0.75" header="0.3" footer="0.3"/>
  <pageSetup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G25"/>
  <sheetViews>
    <sheetView zoomScale="80" zoomScaleNormal="80" workbookViewId="0">
      <selection activeCell="K53" sqref="K53:K55"/>
    </sheetView>
  </sheetViews>
  <sheetFormatPr defaultColWidth="15.58203125" defaultRowHeight="14" x14ac:dyDescent="0.3"/>
  <cols>
    <col min="1" max="1" width="4.58203125" customWidth="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737</v>
      </c>
    </row>
    <row r="3" spans="1:7" x14ac:dyDescent="0.3">
      <c r="A3" s="1">
        <f t="shared" ref="A3:A21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738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</row>
    <row r="6" spans="1:7" x14ac:dyDescent="0.3">
      <c r="A6" s="1">
        <f t="shared" si="0"/>
        <v>5</v>
      </c>
    </row>
    <row r="7" spans="1:7" x14ac:dyDescent="0.3">
      <c r="A7" s="1">
        <f t="shared" si="0"/>
        <v>6</v>
      </c>
    </row>
    <row r="8" spans="1:7" x14ac:dyDescent="0.3">
      <c r="A8" s="1">
        <f t="shared" si="0"/>
        <v>7</v>
      </c>
      <c r="B8" t="s">
        <v>739</v>
      </c>
    </row>
    <row r="9" spans="1:7" x14ac:dyDescent="0.3">
      <c r="A9" s="1">
        <f t="shared" si="0"/>
        <v>8</v>
      </c>
      <c r="B9" t="s">
        <v>740</v>
      </c>
    </row>
    <row r="10" spans="1:7" x14ac:dyDescent="0.3">
      <c r="A10" s="1">
        <f t="shared" si="0"/>
        <v>9</v>
      </c>
      <c r="B10" t="s">
        <v>741</v>
      </c>
    </row>
    <row r="11" spans="1:7" x14ac:dyDescent="0.3">
      <c r="A11" s="1">
        <f t="shared" si="0"/>
        <v>10</v>
      </c>
    </row>
    <row r="12" spans="1:7" x14ac:dyDescent="0.3">
      <c r="A12" s="1">
        <f t="shared" si="0"/>
        <v>11</v>
      </c>
      <c r="B12" t="s">
        <v>742</v>
      </c>
    </row>
    <row r="13" spans="1:7" x14ac:dyDescent="0.3">
      <c r="A13" s="1">
        <f t="shared" si="0"/>
        <v>12</v>
      </c>
    </row>
    <row r="14" spans="1:7" x14ac:dyDescent="0.3">
      <c r="A14" s="1">
        <f t="shared" si="0"/>
        <v>13</v>
      </c>
      <c r="E14" s="2"/>
    </row>
    <row r="15" spans="1:7" x14ac:dyDescent="0.3">
      <c r="A15" s="1">
        <f t="shared" si="0"/>
        <v>14</v>
      </c>
      <c r="B15" t="s">
        <v>743</v>
      </c>
      <c r="G15" s="6"/>
    </row>
    <row r="16" spans="1:7" x14ac:dyDescent="0.3">
      <c r="A16" s="1">
        <f t="shared" si="0"/>
        <v>15</v>
      </c>
      <c r="B16" t="s">
        <v>744</v>
      </c>
      <c r="G16" s="6">
        <v>4579281.43</v>
      </c>
    </row>
    <row r="17" spans="1:7" x14ac:dyDescent="0.3">
      <c r="A17" s="1">
        <f t="shared" si="0"/>
        <v>16</v>
      </c>
      <c r="B17" t="s">
        <v>745</v>
      </c>
      <c r="G17" s="6">
        <v>87700.23</v>
      </c>
    </row>
    <row r="18" spans="1:7" x14ac:dyDescent="0.3">
      <c r="A18" s="1">
        <f t="shared" si="0"/>
        <v>17</v>
      </c>
      <c r="B18" t="s">
        <v>746</v>
      </c>
      <c r="G18" s="6">
        <v>24476.79</v>
      </c>
    </row>
    <row r="19" spans="1:7" x14ac:dyDescent="0.3">
      <c r="A19" s="1">
        <f t="shared" si="0"/>
        <v>18</v>
      </c>
      <c r="B19" t="s">
        <v>747</v>
      </c>
      <c r="G19" s="8">
        <f>SUM(G16:G18)</f>
        <v>4691458.45</v>
      </c>
    </row>
    <row r="20" spans="1:7" x14ac:dyDescent="0.3">
      <c r="A20" s="1">
        <f t="shared" si="0"/>
        <v>19</v>
      </c>
      <c r="G20" s="6"/>
    </row>
    <row r="21" spans="1:7" ht="14.5" thickBot="1" x14ac:dyDescent="0.35">
      <c r="A21" s="1">
        <f t="shared" si="0"/>
        <v>20</v>
      </c>
      <c r="B21" t="s">
        <v>748</v>
      </c>
      <c r="G21" s="10">
        <f>-(G19)</f>
        <v>-4691458.45</v>
      </c>
    </row>
    <row r="22" spans="1:7" ht="14.5" thickTop="1" x14ac:dyDescent="0.3">
      <c r="G22" s="6"/>
    </row>
    <row r="23" spans="1:7" x14ac:dyDescent="0.3">
      <c r="G23" s="6"/>
    </row>
    <row r="24" spans="1:7" x14ac:dyDescent="0.3">
      <c r="G24" s="6"/>
    </row>
    <row r="25" spans="1:7" x14ac:dyDescent="0.3">
      <c r="B25" s="16"/>
      <c r="G25" s="6"/>
    </row>
  </sheetData>
  <mergeCells count="2">
    <mergeCell ref="B3:G3"/>
    <mergeCell ref="B4:G4"/>
  </mergeCells>
  <phoneticPr fontId="5" type="noConversion"/>
  <pageMargins left="0.7" right="0.7" top="0.75" bottom="0.75" header="0.3" footer="0.3"/>
  <pageSetup scale="84"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1:G72"/>
  <sheetViews>
    <sheetView zoomScale="80" zoomScaleNormal="80" workbookViewId="0">
      <selection activeCell="K53" sqref="K53:K55"/>
    </sheetView>
  </sheetViews>
  <sheetFormatPr defaultColWidth="15.58203125" defaultRowHeight="14" x14ac:dyDescent="0.3"/>
  <cols>
    <col min="1" max="1" width="4.58203125" customWidth="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749</v>
      </c>
    </row>
    <row r="3" spans="1:7" x14ac:dyDescent="0.3">
      <c r="A3" s="1">
        <f t="shared" ref="A3:A16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750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</row>
    <row r="6" spans="1:7" x14ac:dyDescent="0.3">
      <c r="A6" s="1">
        <f t="shared" si="0"/>
        <v>5</v>
      </c>
      <c r="B6" s="14" t="s">
        <v>751</v>
      </c>
    </row>
    <row r="7" spans="1:7" x14ac:dyDescent="0.3">
      <c r="A7" s="1">
        <f t="shared" si="0"/>
        <v>6</v>
      </c>
    </row>
    <row r="8" spans="1:7" x14ac:dyDescent="0.3">
      <c r="A8" s="1">
        <f t="shared" si="0"/>
        <v>7</v>
      </c>
      <c r="B8" t="s">
        <v>932</v>
      </c>
    </row>
    <row r="9" spans="1:7" x14ac:dyDescent="0.3">
      <c r="A9" s="1">
        <f t="shared" si="0"/>
        <v>8</v>
      </c>
      <c r="B9" t="s">
        <v>752</v>
      </c>
    </row>
    <row r="10" spans="1:7" x14ac:dyDescent="0.3">
      <c r="A10" s="1">
        <f t="shared" si="0"/>
        <v>9</v>
      </c>
      <c r="B10" t="s">
        <v>753</v>
      </c>
    </row>
    <row r="11" spans="1:7" x14ac:dyDescent="0.3">
      <c r="A11" s="1">
        <f t="shared" si="0"/>
        <v>10</v>
      </c>
    </row>
    <row r="12" spans="1:7" x14ac:dyDescent="0.3">
      <c r="A12" s="1">
        <f t="shared" si="0"/>
        <v>11</v>
      </c>
      <c r="B12" t="s">
        <v>754</v>
      </c>
    </row>
    <row r="13" spans="1:7" x14ac:dyDescent="0.3">
      <c r="A13" s="1">
        <f t="shared" si="0"/>
        <v>12</v>
      </c>
      <c r="B13" s="2"/>
      <c r="C13" s="2"/>
      <c r="D13" s="2" t="s">
        <v>755</v>
      </c>
      <c r="E13" s="2"/>
      <c r="F13" s="2" t="s">
        <v>756</v>
      </c>
    </row>
    <row r="14" spans="1:7" ht="14.5" thickBot="1" x14ac:dyDescent="0.35">
      <c r="A14" s="1">
        <f t="shared" si="0"/>
        <v>13</v>
      </c>
      <c r="B14" s="3" t="s">
        <v>160</v>
      </c>
      <c r="C14" s="3"/>
      <c r="D14" s="3" t="s">
        <v>593</v>
      </c>
      <c r="E14" s="3"/>
      <c r="F14" s="3" t="s">
        <v>195</v>
      </c>
    </row>
    <row r="15" spans="1:7" x14ac:dyDescent="0.3">
      <c r="A15" s="1">
        <f t="shared" si="0"/>
        <v>14</v>
      </c>
    </row>
    <row r="16" spans="1:7" x14ac:dyDescent="0.3">
      <c r="A16" s="1">
        <f t="shared" si="0"/>
        <v>15</v>
      </c>
      <c r="B16" s="15" t="s">
        <v>757</v>
      </c>
      <c r="C16" s="6"/>
      <c r="D16" s="6">
        <v>762387</v>
      </c>
      <c r="F16" s="6">
        <v>0</v>
      </c>
    </row>
    <row r="17" spans="1:6" x14ac:dyDescent="0.3">
      <c r="A17" s="1">
        <f t="shared" ref="A17:A41" si="1">A16+1</f>
        <v>16</v>
      </c>
      <c r="B17" s="15" t="s">
        <v>165</v>
      </c>
      <c r="C17" s="6"/>
      <c r="D17" s="6">
        <v>29385</v>
      </c>
      <c r="F17" s="6">
        <v>137930</v>
      </c>
    </row>
    <row r="18" spans="1:6" x14ac:dyDescent="0.3">
      <c r="A18" s="1">
        <f t="shared" si="1"/>
        <v>17</v>
      </c>
      <c r="B18" s="15" t="s">
        <v>166</v>
      </c>
      <c r="C18" s="6"/>
      <c r="D18" s="6">
        <v>83830</v>
      </c>
      <c r="F18" s="6">
        <v>0</v>
      </c>
    </row>
    <row r="19" spans="1:6" x14ac:dyDescent="0.3">
      <c r="A19" s="1">
        <f t="shared" si="1"/>
        <v>18</v>
      </c>
      <c r="B19" s="15" t="s">
        <v>167</v>
      </c>
      <c r="C19" s="6"/>
      <c r="D19" s="6">
        <v>27864</v>
      </c>
      <c r="F19" s="6">
        <v>346595</v>
      </c>
    </row>
    <row r="20" spans="1:6" x14ac:dyDescent="0.3">
      <c r="A20" s="1">
        <f t="shared" si="1"/>
        <v>19</v>
      </c>
      <c r="B20" s="15" t="s">
        <v>168</v>
      </c>
      <c r="C20" s="6"/>
      <c r="D20" s="6">
        <v>10755</v>
      </c>
      <c r="F20" s="6">
        <v>0</v>
      </c>
    </row>
    <row r="21" spans="1:6" x14ac:dyDescent="0.3">
      <c r="A21" s="1">
        <f t="shared" si="1"/>
        <v>20</v>
      </c>
      <c r="B21" s="15" t="s">
        <v>169</v>
      </c>
      <c r="C21" s="6"/>
      <c r="D21" s="6">
        <v>0</v>
      </c>
      <c r="F21" s="6">
        <v>367240</v>
      </c>
    </row>
    <row r="22" spans="1:6" x14ac:dyDescent="0.3">
      <c r="A22" s="1">
        <f t="shared" si="1"/>
        <v>21</v>
      </c>
      <c r="B22" s="15" t="s">
        <v>170</v>
      </c>
      <c r="C22" s="6"/>
      <c r="D22" s="6">
        <v>31260</v>
      </c>
      <c r="F22" s="6">
        <v>174317</v>
      </c>
    </row>
    <row r="23" spans="1:6" x14ac:dyDescent="0.3">
      <c r="A23" s="1">
        <f t="shared" si="1"/>
        <v>22</v>
      </c>
      <c r="B23" s="15" t="s">
        <v>171</v>
      </c>
      <c r="C23" s="6"/>
      <c r="D23" s="6">
        <v>37216</v>
      </c>
      <c r="F23" s="6">
        <v>107630</v>
      </c>
    </row>
    <row r="24" spans="1:6" x14ac:dyDescent="0.3">
      <c r="A24" s="1">
        <f t="shared" si="1"/>
        <v>23</v>
      </c>
      <c r="B24" s="15" t="s">
        <v>172</v>
      </c>
      <c r="C24" s="6"/>
      <c r="D24" s="6">
        <v>13513</v>
      </c>
      <c r="F24" s="6">
        <v>308855</v>
      </c>
    </row>
    <row r="25" spans="1:6" x14ac:dyDescent="0.3">
      <c r="A25" s="1">
        <f t="shared" si="1"/>
        <v>24</v>
      </c>
      <c r="B25" s="15" t="s">
        <v>173</v>
      </c>
      <c r="C25" s="6"/>
      <c r="D25" s="6">
        <v>151295</v>
      </c>
      <c r="F25" s="6">
        <v>329657</v>
      </c>
    </row>
    <row r="26" spans="1:6" x14ac:dyDescent="0.3">
      <c r="A26" s="1">
        <f t="shared" si="1"/>
        <v>25</v>
      </c>
      <c r="B26" s="15" t="s">
        <v>174</v>
      </c>
      <c r="C26" s="6"/>
      <c r="D26" s="6">
        <v>57729</v>
      </c>
      <c r="F26" s="6">
        <v>146804</v>
      </c>
    </row>
    <row r="27" spans="1:6" x14ac:dyDescent="0.3">
      <c r="A27" s="1">
        <f t="shared" si="1"/>
        <v>26</v>
      </c>
      <c r="B27" s="15" t="s">
        <v>758</v>
      </c>
      <c r="C27" s="6"/>
      <c r="D27" s="8">
        <v>16962377</v>
      </c>
      <c r="F27" s="8">
        <v>18676425</v>
      </c>
    </row>
    <row r="28" spans="1:6" x14ac:dyDescent="0.3">
      <c r="A28" s="1">
        <f t="shared" si="1"/>
        <v>27</v>
      </c>
      <c r="C28" s="6"/>
      <c r="D28" s="6"/>
      <c r="F28" s="6"/>
    </row>
    <row r="29" spans="1:6" ht="14.5" thickBot="1" x14ac:dyDescent="0.35">
      <c r="A29" s="1">
        <f t="shared" si="1"/>
        <v>28</v>
      </c>
      <c r="C29" s="6"/>
      <c r="D29" s="10">
        <f>SUM(D16:D27)</f>
        <v>18167611</v>
      </c>
      <c r="F29" s="10">
        <f>SUM(F16:F27)</f>
        <v>20595453</v>
      </c>
    </row>
    <row r="30" spans="1:6" ht="14.5" thickTop="1" x14ac:dyDescent="0.3">
      <c r="A30" s="1">
        <f t="shared" si="1"/>
        <v>29</v>
      </c>
    </row>
    <row r="31" spans="1:6" x14ac:dyDescent="0.3">
      <c r="A31" s="1">
        <f t="shared" si="1"/>
        <v>30</v>
      </c>
      <c r="B31" s="43">
        <v>43435</v>
      </c>
      <c r="D31" s="6">
        <v>26311</v>
      </c>
      <c r="F31" s="6">
        <v>0</v>
      </c>
    </row>
    <row r="32" spans="1:6" x14ac:dyDescent="0.3">
      <c r="A32" s="1">
        <f t="shared" si="1"/>
        <v>31</v>
      </c>
      <c r="F32" s="6"/>
    </row>
    <row r="33" spans="1:6" x14ac:dyDescent="0.3">
      <c r="A33" s="1">
        <f t="shared" si="1"/>
        <v>32</v>
      </c>
      <c r="B33" s="43">
        <v>43800</v>
      </c>
      <c r="D33" s="6">
        <v>177096</v>
      </c>
      <c r="F33" s="6">
        <v>74373</v>
      </c>
    </row>
    <row r="34" spans="1:6" x14ac:dyDescent="0.3">
      <c r="A34" s="1">
        <f t="shared" si="1"/>
        <v>33</v>
      </c>
      <c r="F34" s="6"/>
    </row>
    <row r="35" spans="1:6" x14ac:dyDescent="0.3">
      <c r="A35" s="1">
        <f t="shared" si="1"/>
        <v>34</v>
      </c>
      <c r="B35" s="43">
        <v>44166</v>
      </c>
      <c r="D35" s="6">
        <v>2586</v>
      </c>
      <c r="E35" s="6"/>
      <c r="F35" s="6">
        <v>0</v>
      </c>
    </row>
    <row r="36" spans="1:6" x14ac:dyDescent="0.3">
      <c r="A36" s="1">
        <f t="shared" si="1"/>
        <v>35</v>
      </c>
      <c r="D36" s="6"/>
      <c r="F36" s="6"/>
    </row>
    <row r="37" spans="1:6" x14ac:dyDescent="0.3">
      <c r="A37" s="1">
        <f t="shared" si="1"/>
        <v>36</v>
      </c>
      <c r="B37" s="43">
        <v>44531</v>
      </c>
      <c r="D37" s="6">
        <v>400088</v>
      </c>
      <c r="F37" s="6">
        <v>51890</v>
      </c>
    </row>
    <row r="38" spans="1:6" x14ac:dyDescent="0.3">
      <c r="A38" s="1">
        <f t="shared" si="1"/>
        <v>37</v>
      </c>
      <c r="D38" s="6"/>
      <c r="F38" s="6"/>
    </row>
    <row r="39" spans="1:6" x14ac:dyDescent="0.3">
      <c r="A39" s="1">
        <f t="shared" si="1"/>
        <v>38</v>
      </c>
      <c r="B39" s="43">
        <v>45261</v>
      </c>
      <c r="D39" s="8">
        <v>10598</v>
      </c>
      <c r="F39" s="8">
        <v>0</v>
      </c>
    </row>
    <row r="40" spans="1:6" x14ac:dyDescent="0.3">
      <c r="A40" s="1">
        <f t="shared" si="1"/>
        <v>39</v>
      </c>
      <c r="F40" s="6"/>
    </row>
    <row r="41" spans="1:6" ht="14.5" thickBot="1" x14ac:dyDescent="0.35">
      <c r="A41" s="1">
        <f t="shared" si="1"/>
        <v>40</v>
      </c>
      <c r="B41" s="44" t="s">
        <v>617</v>
      </c>
      <c r="D41" s="10">
        <f>AVERAGE(D31:D39)</f>
        <v>123335.8</v>
      </c>
      <c r="E41" s="6"/>
      <c r="F41" s="10">
        <f>AVERAGE(F31:F39)</f>
        <v>25252.6</v>
      </c>
    </row>
    <row r="42" spans="1:6" ht="14.5" thickTop="1" x14ac:dyDescent="0.3">
      <c r="A42" s="1">
        <f t="shared" ref="A42:A52" si="2">A41+1</f>
        <v>41</v>
      </c>
    </row>
    <row r="43" spans="1:6" x14ac:dyDescent="0.3">
      <c r="A43" s="1">
        <f t="shared" si="2"/>
        <v>42</v>
      </c>
    </row>
    <row r="44" spans="1:6" ht="14.5" thickBot="1" x14ac:dyDescent="0.35">
      <c r="A44" s="1">
        <f t="shared" si="2"/>
        <v>43</v>
      </c>
      <c r="B44" t="s">
        <v>759</v>
      </c>
      <c r="D44" s="45">
        <f>SUM(D16:D26,D41)</f>
        <v>1328569.8</v>
      </c>
      <c r="F44" s="45">
        <f>SUM(F16:F26,F41)</f>
        <v>1944280.6</v>
      </c>
    </row>
    <row r="45" spans="1:6" x14ac:dyDescent="0.3">
      <c r="A45" s="1">
        <f t="shared" si="2"/>
        <v>44</v>
      </c>
      <c r="B45" t="s">
        <v>760</v>
      </c>
    </row>
    <row r="46" spans="1:6" x14ac:dyDescent="0.3">
      <c r="A46" s="1">
        <f t="shared" si="2"/>
        <v>45</v>
      </c>
    </row>
    <row r="47" spans="1:6" x14ac:dyDescent="0.3">
      <c r="A47" s="1">
        <f t="shared" si="2"/>
        <v>46</v>
      </c>
      <c r="B47" s="14" t="s">
        <v>761</v>
      </c>
    </row>
    <row r="48" spans="1:6" x14ac:dyDescent="0.3">
      <c r="A48" s="1">
        <f t="shared" si="2"/>
        <v>47</v>
      </c>
    </row>
    <row r="49" spans="1:6" x14ac:dyDescent="0.3">
      <c r="A49" s="1">
        <f t="shared" si="2"/>
        <v>48</v>
      </c>
      <c r="B49" s="2"/>
      <c r="C49" s="2"/>
      <c r="D49" s="2" t="s">
        <v>755</v>
      </c>
      <c r="E49" s="2"/>
      <c r="F49" s="2" t="s">
        <v>756</v>
      </c>
    </row>
    <row r="50" spans="1:6" ht="14.5" thickBot="1" x14ac:dyDescent="0.35">
      <c r="A50" s="1">
        <f t="shared" si="2"/>
        <v>49</v>
      </c>
      <c r="B50" s="3" t="s">
        <v>762</v>
      </c>
      <c r="C50" s="3"/>
      <c r="D50" s="3" t="s">
        <v>593</v>
      </c>
      <c r="E50" s="3"/>
      <c r="F50" s="3" t="s">
        <v>195</v>
      </c>
    </row>
    <row r="51" spans="1:6" x14ac:dyDescent="0.3">
      <c r="A51" s="1">
        <f t="shared" si="2"/>
        <v>50</v>
      </c>
    </row>
    <row r="52" spans="1:6" x14ac:dyDescent="0.3">
      <c r="A52" s="1">
        <f t="shared" si="2"/>
        <v>51</v>
      </c>
      <c r="B52" s="27" t="s">
        <v>763</v>
      </c>
      <c r="D52" s="6">
        <v>492122</v>
      </c>
      <c r="E52" s="6"/>
      <c r="F52" s="6">
        <v>1236831</v>
      </c>
    </row>
    <row r="53" spans="1:6" x14ac:dyDescent="0.3">
      <c r="A53" s="1">
        <f t="shared" ref="A53:A71" si="3">A52+1</f>
        <v>52</v>
      </c>
      <c r="B53" s="27"/>
      <c r="D53" s="6"/>
      <c r="E53" s="6"/>
      <c r="F53" s="6"/>
    </row>
    <row r="54" spans="1:6" x14ac:dyDescent="0.3">
      <c r="A54" s="1">
        <f t="shared" si="3"/>
        <v>53</v>
      </c>
      <c r="B54" s="27" t="s">
        <v>764</v>
      </c>
      <c r="D54" s="6">
        <v>308974</v>
      </c>
      <c r="E54" s="6"/>
      <c r="F54" s="6">
        <v>68386</v>
      </c>
    </row>
    <row r="55" spans="1:6" x14ac:dyDescent="0.3">
      <c r="A55" s="1">
        <f t="shared" si="3"/>
        <v>54</v>
      </c>
      <c r="B55" s="27"/>
      <c r="D55" s="6"/>
      <c r="E55" s="6"/>
      <c r="F55" s="6"/>
    </row>
    <row r="56" spans="1:6" x14ac:dyDescent="0.3">
      <c r="A56" s="1">
        <f t="shared" si="3"/>
        <v>55</v>
      </c>
      <c r="B56" s="27" t="s">
        <v>765</v>
      </c>
      <c r="D56" s="6">
        <v>737058</v>
      </c>
      <c r="E56" s="6"/>
      <c r="F56" s="6">
        <v>1263007</v>
      </c>
    </row>
    <row r="57" spans="1:6" x14ac:dyDescent="0.3">
      <c r="A57" s="1">
        <f t="shared" si="3"/>
        <v>56</v>
      </c>
      <c r="B57" s="27"/>
      <c r="D57" s="6"/>
      <c r="E57" s="6"/>
      <c r="F57" s="6"/>
    </row>
    <row r="58" spans="1:6" x14ac:dyDescent="0.3">
      <c r="A58" s="1">
        <f t="shared" si="3"/>
        <v>57</v>
      </c>
      <c r="B58" s="27" t="s">
        <v>766</v>
      </c>
      <c r="D58" s="6">
        <f>D44</f>
        <v>1328569.8</v>
      </c>
      <c r="E58" s="6"/>
      <c r="F58" s="6">
        <f>F44</f>
        <v>1944280.6</v>
      </c>
    </row>
    <row r="59" spans="1:6" x14ac:dyDescent="0.3">
      <c r="A59" s="1">
        <f t="shared" si="3"/>
        <v>58</v>
      </c>
      <c r="B59" s="27"/>
      <c r="D59" s="6"/>
      <c r="E59" s="6"/>
      <c r="F59" s="6"/>
    </row>
    <row r="60" spans="1:6" x14ac:dyDescent="0.3">
      <c r="A60" s="1">
        <f t="shared" si="3"/>
        <v>59</v>
      </c>
      <c r="B60" s="27" t="s">
        <v>767</v>
      </c>
      <c r="D60" s="8">
        <v>1907351</v>
      </c>
      <c r="E60" s="6"/>
      <c r="F60" s="8">
        <v>727611</v>
      </c>
    </row>
    <row r="61" spans="1:6" x14ac:dyDescent="0.3">
      <c r="A61" s="1">
        <f t="shared" si="3"/>
        <v>60</v>
      </c>
      <c r="D61" s="6"/>
      <c r="E61" s="6"/>
      <c r="F61" s="6"/>
    </row>
    <row r="62" spans="1:6" ht="14.5" thickBot="1" x14ac:dyDescent="0.35">
      <c r="A62" s="1">
        <f t="shared" si="3"/>
        <v>61</v>
      </c>
      <c r="B62" t="s">
        <v>768</v>
      </c>
      <c r="D62" s="10">
        <f>SUM(D52:D60)</f>
        <v>4774074.8</v>
      </c>
      <c r="E62" s="6"/>
      <c r="F62" s="10">
        <f>SUM(F52:F60)</f>
        <v>5240115.5999999996</v>
      </c>
    </row>
    <row r="63" spans="1:6" ht="14.5" thickTop="1" x14ac:dyDescent="0.3">
      <c r="A63" s="1">
        <f t="shared" si="3"/>
        <v>62</v>
      </c>
      <c r="D63" s="6"/>
      <c r="E63" s="6"/>
      <c r="F63" s="6"/>
    </row>
    <row r="64" spans="1:6" x14ac:dyDescent="0.3">
      <c r="A64" s="1">
        <f t="shared" si="3"/>
        <v>63</v>
      </c>
      <c r="B64" t="s">
        <v>769</v>
      </c>
      <c r="D64" s="6">
        <f>ROUND(D62/5,0)</f>
        <v>954815</v>
      </c>
      <c r="E64" s="6"/>
      <c r="F64" s="6">
        <f>ROUND(F62/5,0)</f>
        <v>1048023</v>
      </c>
    </row>
    <row r="65" spans="1:6" x14ac:dyDescent="0.3">
      <c r="A65" s="1">
        <f t="shared" si="3"/>
        <v>64</v>
      </c>
      <c r="D65" s="6"/>
      <c r="E65" s="6"/>
      <c r="F65" s="6"/>
    </row>
    <row r="66" spans="1:6" x14ac:dyDescent="0.3">
      <c r="A66" s="1">
        <f t="shared" si="3"/>
        <v>65</v>
      </c>
      <c r="B66" t="s">
        <v>770</v>
      </c>
      <c r="D66" s="8">
        <f>D60</f>
        <v>1907351</v>
      </c>
      <c r="E66" s="6"/>
      <c r="F66" s="8">
        <f>F60</f>
        <v>727611</v>
      </c>
    </row>
    <row r="67" spans="1:6" x14ac:dyDescent="0.3">
      <c r="A67" s="1">
        <f t="shared" si="3"/>
        <v>66</v>
      </c>
    </row>
    <row r="68" spans="1:6" ht="14.5" thickBot="1" x14ac:dyDescent="0.35">
      <c r="A68" s="1">
        <f t="shared" si="3"/>
        <v>67</v>
      </c>
      <c r="B68" t="s">
        <v>771</v>
      </c>
      <c r="D68" s="10">
        <f>D64-D66</f>
        <v>-952536</v>
      </c>
      <c r="F68" s="10">
        <f>F64-F66</f>
        <v>320412</v>
      </c>
    </row>
    <row r="69" spans="1:6" ht="14.5" thickTop="1" x14ac:dyDescent="0.3">
      <c r="A69" s="1">
        <f t="shared" si="3"/>
        <v>68</v>
      </c>
    </row>
    <row r="70" spans="1:6" ht="14.5" thickBot="1" x14ac:dyDescent="0.35">
      <c r="A70" s="1">
        <f t="shared" si="3"/>
        <v>69</v>
      </c>
      <c r="B70" t="s">
        <v>772</v>
      </c>
      <c r="F70" s="10">
        <f>D68+F68</f>
        <v>-632124</v>
      </c>
    </row>
    <row r="71" spans="1:6" ht="14.5" thickTop="1" x14ac:dyDescent="0.3">
      <c r="A71" s="1">
        <f t="shared" si="3"/>
        <v>70</v>
      </c>
    </row>
    <row r="72" spans="1:6" x14ac:dyDescent="0.3">
      <c r="A72" s="1"/>
    </row>
  </sheetData>
  <mergeCells count="2">
    <mergeCell ref="B3:G3"/>
    <mergeCell ref="B4:G4"/>
  </mergeCells>
  <pageMargins left="0.7" right="0.7" top="0.75" bottom="0.75" header="0.3" footer="0.3"/>
  <pageSetup scale="84" orientation="portrait" horizontalDpi="1200" verticalDpi="1200" r:id="rId1"/>
  <rowBreaks count="1" manualBreakCount="1">
    <brk id="46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1:G40"/>
  <sheetViews>
    <sheetView zoomScale="80" zoomScaleNormal="80" workbookViewId="0">
      <selection activeCell="K29" sqref="K29"/>
    </sheetView>
  </sheetViews>
  <sheetFormatPr defaultColWidth="15.58203125" defaultRowHeight="14" x14ac:dyDescent="0.3"/>
  <cols>
    <col min="1" max="1" width="4.58203125" customWidth="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773</v>
      </c>
    </row>
    <row r="3" spans="1:7" x14ac:dyDescent="0.3">
      <c r="A3" s="1">
        <f t="shared" ref="A3:A40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774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</row>
    <row r="6" spans="1:7" x14ac:dyDescent="0.3">
      <c r="A6" s="1">
        <f t="shared" si="0"/>
        <v>5</v>
      </c>
    </row>
    <row r="7" spans="1:7" x14ac:dyDescent="0.3">
      <c r="A7" s="1">
        <f t="shared" si="0"/>
        <v>6</v>
      </c>
    </row>
    <row r="8" spans="1:7" x14ac:dyDescent="0.3">
      <c r="A8" s="1">
        <f t="shared" si="0"/>
        <v>7</v>
      </c>
      <c r="B8" t="s">
        <v>775</v>
      </c>
    </row>
    <row r="9" spans="1:7" x14ac:dyDescent="0.3">
      <c r="A9" s="1">
        <f t="shared" si="0"/>
        <v>8</v>
      </c>
      <c r="B9" t="s">
        <v>776</v>
      </c>
    </row>
    <row r="10" spans="1:7" x14ac:dyDescent="0.3">
      <c r="A10" s="1">
        <f t="shared" si="0"/>
        <v>9</v>
      </c>
    </row>
    <row r="11" spans="1:7" x14ac:dyDescent="0.3">
      <c r="A11" s="1">
        <f t="shared" si="0"/>
        <v>10</v>
      </c>
      <c r="E11" s="2" t="s">
        <v>777</v>
      </c>
      <c r="F11" s="2" t="s">
        <v>778</v>
      </c>
      <c r="G11" s="2"/>
    </row>
    <row r="12" spans="1:7" ht="14.5" thickBot="1" x14ac:dyDescent="0.35">
      <c r="A12" s="1">
        <f t="shared" si="0"/>
        <v>11</v>
      </c>
      <c r="E12" s="3" t="s">
        <v>779</v>
      </c>
      <c r="F12" s="3" t="s">
        <v>134</v>
      </c>
      <c r="G12" s="3" t="s">
        <v>97</v>
      </c>
    </row>
    <row r="13" spans="1:7" x14ac:dyDescent="0.3">
      <c r="A13" s="1">
        <f t="shared" si="0"/>
        <v>12</v>
      </c>
    </row>
    <row r="14" spans="1:7" x14ac:dyDescent="0.3">
      <c r="A14" s="1">
        <f t="shared" si="0"/>
        <v>13</v>
      </c>
      <c r="B14" t="s">
        <v>780</v>
      </c>
      <c r="E14" s="6">
        <v>526756.24</v>
      </c>
      <c r="F14" s="6">
        <v>490465.9</v>
      </c>
      <c r="G14" s="6">
        <f>ROUND(E14-F14,0)</f>
        <v>36290</v>
      </c>
    </row>
    <row r="15" spans="1:7" x14ac:dyDescent="0.3">
      <c r="A15" s="1">
        <f t="shared" si="0"/>
        <v>14</v>
      </c>
      <c r="B15" t="s">
        <v>781</v>
      </c>
      <c r="E15" s="6">
        <v>903184.22</v>
      </c>
      <c r="F15" s="6">
        <v>871664.87000000011</v>
      </c>
      <c r="G15" s="6">
        <f t="shared" ref="G15:G23" si="1">ROUND(E15-F15,0)</f>
        <v>31519</v>
      </c>
    </row>
    <row r="16" spans="1:7" x14ac:dyDescent="0.3">
      <c r="A16" s="1">
        <f t="shared" si="0"/>
        <v>15</v>
      </c>
      <c r="B16" t="s">
        <v>782</v>
      </c>
      <c r="E16" s="6">
        <v>323392.8</v>
      </c>
      <c r="F16" s="6">
        <v>301109.7</v>
      </c>
      <c r="G16" s="6">
        <f t="shared" si="1"/>
        <v>22283</v>
      </c>
    </row>
    <row r="17" spans="1:7" x14ac:dyDescent="0.3">
      <c r="A17" s="1">
        <f t="shared" si="0"/>
        <v>16</v>
      </c>
      <c r="B17" t="s">
        <v>783</v>
      </c>
      <c r="E17" s="6">
        <v>287211.36</v>
      </c>
      <c r="F17" s="6">
        <v>273543.15000000002</v>
      </c>
      <c r="G17" s="6">
        <f t="shared" si="1"/>
        <v>13668</v>
      </c>
    </row>
    <row r="18" spans="1:7" x14ac:dyDescent="0.3">
      <c r="A18" s="1">
        <f t="shared" si="0"/>
        <v>17</v>
      </c>
      <c r="B18" t="s">
        <v>784</v>
      </c>
      <c r="E18" s="6">
        <v>21862</v>
      </c>
      <c r="F18" s="6">
        <v>21862</v>
      </c>
      <c r="G18" s="6">
        <f t="shared" si="1"/>
        <v>0</v>
      </c>
    </row>
    <row r="19" spans="1:7" x14ac:dyDescent="0.3">
      <c r="A19" s="1">
        <f t="shared" si="0"/>
        <v>18</v>
      </c>
      <c r="B19" t="s">
        <v>785</v>
      </c>
      <c r="E19" s="6">
        <v>242992.42</v>
      </c>
      <c r="F19" s="6">
        <v>311837.74</v>
      </c>
      <c r="G19" s="6">
        <f t="shared" si="1"/>
        <v>-68845</v>
      </c>
    </row>
    <row r="20" spans="1:7" x14ac:dyDescent="0.3">
      <c r="A20" s="1">
        <f t="shared" si="0"/>
        <v>19</v>
      </c>
      <c r="B20" t="s">
        <v>786</v>
      </c>
      <c r="E20" s="6">
        <v>38776</v>
      </c>
      <c r="F20" s="6">
        <v>37990.03</v>
      </c>
      <c r="G20" s="6">
        <f t="shared" si="1"/>
        <v>786</v>
      </c>
    </row>
    <row r="21" spans="1:7" x14ac:dyDescent="0.3">
      <c r="A21" s="1">
        <f t="shared" si="0"/>
        <v>20</v>
      </c>
      <c r="B21" t="s">
        <v>787</v>
      </c>
      <c r="E21" s="6">
        <v>79648</v>
      </c>
      <c r="F21" s="6">
        <v>76897.06</v>
      </c>
      <c r="G21" s="6">
        <f t="shared" si="1"/>
        <v>2751</v>
      </c>
    </row>
    <row r="22" spans="1:7" x14ac:dyDescent="0.3">
      <c r="A22" s="1">
        <f t="shared" si="0"/>
        <v>21</v>
      </c>
      <c r="B22" t="s">
        <v>788</v>
      </c>
      <c r="E22" s="6">
        <v>31954</v>
      </c>
      <c r="F22" s="6">
        <v>29606.080000000002</v>
      </c>
      <c r="G22" s="6">
        <f t="shared" si="1"/>
        <v>2348</v>
      </c>
    </row>
    <row r="23" spans="1:7" x14ac:dyDescent="0.3">
      <c r="A23" s="1">
        <f t="shared" si="0"/>
        <v>22</v>
      </c>
      <c r="B23" t="s">
        <v>789</v>
      </c>
      <c r="E23" s="6">
        <v>1063720</v>
      </c>
      <c r="F23" s="6">
        <v>1158740</v>
      </c>
      <c r="G23" s="8">
        <f t="shared" si="1"/>
        <v>-95020</v>
      </c>
    </row>
    <row r="24" spans="1:7" x14ac:dyDescent="0.3">
      <c r="A24" s="1">
        <f t="shared" si="0"/>
        <v>23</v>
      </c>
      <c r="B24" t="s">
        <v>790</v>
      </c>
      <c r="E24" s="6"/>
      <c r="F24" s="6"/>
      <c r="G24" s="9">
        <f>SUM(G14:G23)</f>
        <v>-54220</v>
      </c>
    </row>
    <row r="25" spans="1:7" x14ac:dyDescent="0.3">
      <c r="A25" s="1">
        <f t="shared" si="0"/>
        <v>24</v>
      </c>
      <c r="E25" s="6"/>
      <c r="F25" s="6"/>
      <c r="G25" s="6"/>
    </row>
    <row r="26" spans="1:7" x14ac:dyDescent="0.3">
      <c r="A26" s="1">
        <f t="shared" si="0"/>
        <v>25</v>
      </c>
      <c r="E26" s="28" t="s">
        <v>791</v>
      </c>
      <c r="F26" s="2" t="s">
        <v>778</v>
      </c>
      <c r="G26" s="2"/>
    </row>
    <row r="27" spans="1:7" ht="14.5" thickBot="1" x14ac:dyDescent="0.35">
      <c r="A27" s="1">
        <f t="shared" si="0"/>
        <v>26</v>
      </c>
      <c r="E27" s="29" t="s">
        <v>779</v>
      </c>
      <c r="F27" s="3" t="s">
        <v>134</v>
      </c>
      <c r="G27" s="3" t="s">
        <v>97</v>
      </c>
    </row>
    <row r="28" spans="1:7" x14ac:dyDescent="0.3">
      <c r="A28" s="1">
        <f t="shared" si="0"/>
        <v>27</v>
      </c>
      <c r="E28" s="6"/>
      <c r="F28" s="6"/>
      <c r="G28" s="6"/>
    </row>
    <row r="29" spans="1:7" x14ac:dyDescent="0.3">
      <c r="A29" s="1">
        <f t="shared" si="0"/>
        <v>28</v>
      </c>
      <c r="B29" t="s">
        <v>792</v>
      </c>
      <c r="E29" s="6">
        <v>586880</v>
      </c>
      <c r="F29" s="6">
        <v>612033.4</v>
      </c>
      <c r="G29" s="6">
        <f t="shared" ref="G29:G31" si="2">ROUND(E29-F29,0)</f>
        <v>-25153</v>
      </c>
    </row>
    <row r="30" spans="1:7" x14ac:dyDescent="0.3">
      <c r="A30" s="1">
        <f t="shared" si="0"/>
        <v>29</v>
      </c>
      <c r="B30" t="s">
        <v>793</v>
      </c>
      <c r="E30" s="6">
        <v>6836717</v>
      </c>
      <c r="F30" s="6">
        <v>5648875.1500000004</v>
      </c>
      <c r="G30" s="6">
        <f t="shared" si="2"/>
        <v>1187842</v>
      </c>
    </row>
    <row r="31" spans="1:7" x14ac:dyDescent="0.3">
      <c r="A31" s="1">
        <f t="shared" si="0"/>
        <v>30</v>
      </c>
      <c r="B31" t="s">
        <v>794</v>
      </c>
      <c r="E31" s="6">
        <v>47500</v>
      </c>
      <c r="F31" s="6">
        <v>95500</v>
      </c>
      <c r="G31" s="8">
        <f t="shared" si="2"/>
        <v>-48000</v>
      </c>
    </row>
    <row r="32" spans="1:7" x14ac:dyDescent="0.3">
      <c r="A32" s="1">
        <f t="shared" si="0"/>
        <v>31</v>
      </c>
      <c r="B32" t="s">
        <v>790</v>
      </c>
      <c r="E32" s="6"/>
      <c r="F32" s="6"/>
      <c r="G32" s="9">
        <f>SUM(G29:G31)</f>
        <v>1114689</v>
      </c>
    </row>
    <row r="33" spans="1:7" x14ac:dyDescent="0.3">
      <c r="A33" s="1">
        <f t="shared" si="0"/>
        <v>32</v>
      </c>
      <c r="E33" s="6"/>
      <c r="F33" s="6"/>
      <c r="G33" s="6"/>
    </row>
    <row r="34" spans="1:7" ht="14.5" thickBot="1" x14ac:dyDescent="0.35">
      <c r="A34" s="1">
        <f t="shared" si="0"/>
        <v>33</v>
      </c>
      <c r="B34" t="s">
        <v>795</v>
      </c>
      <c r="E34" s="6"/>
      <c r="F34" s="6"/>
      <c r="G34" s="10">
        <f>G24+G32</f>
        <v>1060469</v>
      </c>
    </row>
    <row r="35" spans="1:7" ht="14.5" thickTop="1" x14ac:dyDescent="0.3">
      <c r="A35" s="1">
        <f t="shared" si="0"/>
        <v>34</v>
      </c>
      <c r="E35" s="6"/>
      <c r="F35" s="6"/>
      <c r="G35" s="6"/>
    </row>
    <row r="36" spans="1:7" x14ac:dyDescent="0.3">
      <c r="A36" s="1">
        <f t="shared" si="0"/>
        <v>35</v>
      </c>
      <c r="E36" s="6"/>
      <c r="F36" s="6"/>
      <c r="G36" s="6"/>
    </row>
    <row r="37" spans="1:7" x14ac:dyDescent="0.3">
      <c r="A37" s="1">
        <f t="shared" si="0"/>
        <v>36</v>
      </c>
      <c r="E37" s="6"/>
      <c r="F37" s="6"/>
      <c r="G37" s="6"/>
    </row>
    <row r="38" spans="1:7" x14ac:dyDescent="0.3">
      <c r="A38" s="1">
        <f t="shared" si="0"/>
        <v>37</v>
      </c>
      <c r="E38" s="6"/>
      <c r="F38" s="6"/>
      <c r="G38" s="6"/>
    </row>
    <row r="39" spans="1:7" x14ac:dyDescent="0.3">
      <c r="A39" s="1">
        <f t="shared" si="0"/>
        <v>38</v>
      </c>
      <c r="E39" s="6"/>
      <c r="F39" s="6"/>
      <c r="G39" s="6"/>
    </row>
    <row r="40" spans="1:7" x14ac:dyDescent="0.3">
      <c r="A40" s="1">
        <f t="shared" si="0"/>
        <v>39</v>
      </c>
      <c r="E40" s="6"/>
      <c r="F40" s="6"/>
      <c r="G40" s="6"/>
    </row>
  </sheetData>
  <mergeCells count="2">
    <mergeCell ref="B3:G3"/>
    <mergeCell ref="B4:G4"/>
  </mergeCells>
  <pageMargins left="0.7" right="0.7" top="0.75" bottom="0.75" header="0.3" footer="0.3"/>
  <pageSetup scale="83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A1:L47"/>
  <sheetViews>
    <sheetView zoomScale="80" zoomScaleNormal="80" workbookViewId="0">
      <selection activeCell="K24" sqref="K24"/>
    </sheetView>
  </sheetViews>
  <sheetFormatPr defaultColWidth="15.58203125" defaultRowHeight="14" x14ac:dyDescent="0.3"/>
  <cols>
    <col min="1" max="1" width="4.58203125" customWidth="1"/>
  </cols>
  <sheetData>
    <row r="1" spans="1:12" x14ac:dyDescent="0.3">
      <c r="A1" s="1">
        <v>0</v>
      </c>
    </row>
    <row r="2" spans="1:12" x14ac:dyDescent="0.3">
      <c r="A2" s="1">
        <f>A1+1</f>
        <v>1</v>
      </c>
      <c r="G2" s="4" t="s">
        <v>796</v>
      </c>
    </row>
    <row r="3" spans="1:12" x14ac:dyDescent="0.3">
      <c r="A3" s="1">
        <f t="shared" ref="A3:A45" si="0">A2+1</f>
        <v>2</v>
      </c>
      <c r="B3" s="72" t="s">
        <v>1</v>
      </c>
      <c r="C3" s="72"/>
      <c r="D3" s="72"/>
      <c r="E3" s="72"/>
      <c r="F3" s="72"/>
      <c r="G3" s="72"/>
    </row>
    <row r="4" spans="1:12" x14ac:dyDescent="0.3">
      <c r="A4" s="1">
        <f t="shared" si="0"/>
        <v>3</v>
      </c>
      <c r="B4" s="72" t="s">
        <v>797</v>
      </c>
      <c r="C4" s="72"/>
      <c r="D4" s="72"/>
      <c r="E4" s="72"/>
      <c r="F4" s="72"/>
      <c r="G4" s="72"/>
    </row>
    <row r="5" spans="1:12" x14ac:dyDescent="0.3">
      <c r="A5" s="1">
        <f t="shared" si="0"/>
        <v>4</v>
      </c>
    </row>
    <row r="6" spans="1:12" x14ac:dyDescent="0.3">
      <c r="A6" s="1">
        <f t="shared" si="0"/>
        <v>5</v>
      </c>
    </row>
    <row r="7" spans="1:12" x14ac:dyDescent="0.3">
      <c r="A7" s="1">
        <f t="shared" si="0"/>
        <v>6</v>
      </c>
    </row>
    <row r="8" spans="1:12" x14ac:dyDescent="0.3">
      <c r="A8" s="1">
        <f t="shared" si="0"/>
        <v>7</v>
      </c>
      <c r="B8" t="s">
        <v>798</v>
      </c>
    </row>
    <row r="9" spans="1:12" x14ac:dyDescent="0.3">
      <c r="A9" s="1">
        <f t="shared" si="0"/>
        <v>8</v>
      </c>
      <c r="B9" t="s">
        <v>799</v>
      </c>
    </row>
    <row r="10" spans="1:12" x14ac:dyDescent="0.3">
      <c r="A10" s="1">
        <f t="shared" si="0"/>
        <v>9</v>
      </c>
      <c r="B10" t="s">
        <v>800</v>
      </c>
    </row>
    <row r="11" spans="1:12" x14ac:dyDescent="0.3">
      <c r="A11" s="1">
        <f t="shared" si="0"/>
        <v>10</v>
      </c>
    </row>
    <row r="12" spans="1:12" x14ac:dyDescent="0.3">
      <c r="A12" s="1">
        <f t="shared" si="0"/>
        <v>11</v>
      </c>
      <c r="D12" s="2" t="s">
        <v>801</v>
      </c>
      <c r="E12" s="2" t="s">
        <v>802</v>
      </c>
      <c r="F12" s="2" t="s">
        <v>803</v>
      </c>
    </row>
    <row r="13" spans="1:12" ht="14.5" thickBot="1" x14ac:dyDescent="0.35">
      <c r="A13" s="1">
        <f t="shared" si="0"/>
        <v>12</v>
      </c>
      <c r="C13" s="3" t="s">
        <v>160</v>
      </c>
      <c r="D13" s="3" t="s">
        <v>804</v>
      </c>
      <c r="E13" s="3" t="s">
        <v>804</v>
      </c>
      <c r="F13" s="3" t="s">
        <v>804</v>
      </c>
    </row>
    <row r="14" spans="1:12" x14ac:dyDescent="0.3">
      <c r="A14" s="1">
        <f t="shared" si="0"/>
        <v>13</v>
      </c>
      <c r="J14" s="6"/>
      <c r="K14" s="6"/>
      <c r="L14" s="6"/>
    </row>
    <row r="15" spans="1:12" x14ac:dyDescent="0.3">
      <c r="A15" s="1">
        <f t="shared" si="0"/>
        <v>14</v>
      </c>
      <c r="C15" s="35" t="s">
        <v>164</v>
      </c>
      <c r="D15" s="6">
        <v>993370</v>
      </c>
      <c r="E15" s="6">
        <v>-39015</v>
      </c>
      <c r="F15" s="6">
        <f>D15+E15</f>
        <v>954355</v>
      </c>
      <c r="J15" s="6"/>
      <c r="K15" s="6"/>
      <c r="L15" s="6"/>
    </row>
    <row r="16" spans="1:12" x14ac:dyDescent="0.3">
      <c r="A16" s="1">
        <f t="shared" si="0"/>
        <v>15</v>
      </c>
      <c r="C16" t="s">
        <v>165</v>
      </c>
      <c r="D16" s="6">
        <v>954661</v>
      </c>
      <c r="E16" s="6">
        <v>-39015</v>
      </c>
      <c r="F16" s="6">
        <f t="shared" ref="F16:F34" si="1">D16+E16</f>
        <v>915646</v>
      </c>
      <c r="J16" s="6"/>
      <c r="K16" s="6"/>
      <c r="L16" s="6"/>
    </row>
    <row r="17" spans="1:12" x14ac:dyDescent="0.3">
      <c r="A17" s="1">
        <f t="shared" si="0"/>
        <v>16</v>
      </c>
      <c r="C17" t="s">
        <v>166</v>
      </c>
      <c r="D17" s="6">
        <v>954683</v>
      </c>
      <c r="E17" s="6">
        <v>-39015</v>
      </c>
      <c r="F17" s="6">
        <f t="shared" si="1"/>
        <v>915668</v>
      </c>
      <c r="J17" s="6"/>
      <c r="K17" s="6"/>
      <c r="L17" s="6"/>
    </row>
    <row r="18" spans="1:12" x14ac:dyDescent="0.3">
      <c r="A18" s="1">
        <f t="shared" si="0"/>
        <v>17</v>
      </c>
      <c r="C18" t="s">
        <v>167</v>
      </c>
      <c r="D18" s="6">
        <v>956122</v>
      </c>
      <c r="E18" s="6">
        <v>-39015</v>
      </c>
      <c r="F18" s="6">
        <f t="shared" si="1"/>
        <v>917107</v>
      </c>
      <c r="J18" s="6"/>
      <c r="K18" s="6"/>
      <c r="L18" s="6"/>
    </row>
    <row r="19" spans="1:12" x14ac:dyDescent="0.3">
      <c r="A19" s="1">
        <f t="shared" si="0"/>
        <v>18</v>
      </c>
      <c r="C19" t="s">
        <v>168</v>
      </c>
      <c r="D19" s="6">
        <v>956121</v>
      </c>
      <c r="E19" s="6">
        <v>-39015</v>
      </c>
      <c r="F19" s="6">
        <f t="shared" si="1"/>
        <v>917106</v>
      </c>
      <c r="I19" s="35"/>
      <c r="J19" s="6"/>
      <c r="K19" s="6"/>
      <c r="L19" s="6"/>
    </row>
    <row r="20" spans="1:12" x14ac:dyDescent="0.3">
      <c r="A20" s="1">
        <f t="shared" si="0"/>
        <v>19</v>
      </c>
      <c r="C20" t="s">
        <v>169</v>
      </c>
      <c r="D20" s="6">
        <v>981110</v>
      </c>
      <c r="E20" s="6">
        <v>-39015</v>
      </c>
      <c r="F20" s="6">
        <f t="shared" si="1"/>
        <v>942095</v>
      </c>
      <c r="I20" s="35"/>
      <c r="J20" s="6"/>
      <c r="K20" s="6"/>
      <c r="L20" s="6"/>
    </row>
    <row r="21" spans="1:12" x14ac:dyDescent="0.3">
      <c r="A21" s="1">
        <f t="shared" si="0"/>
        <v>20</v>
      </c>
      <c r="C21" t="s">
        <v>170</v>
      </c>
      <c r="D21" s="6">
        <v>981111</v>
      </c>
      <c r="E21" s="6">
        <v>-39015</v>
      </c>
      <c r="F21" s="6">
        <f t="shared" si="1"/>
        <v>942096</v>
      </c>
      <c r="J21" s="6"/>
      <c r="K21" s="6"/>
      <c r="L21" s="6"/>
    </row>
    <row r="22" spans="1:12" x14ac:dyDescent="0.3">
      <c r="A22" s="1">
        <f t="shared" si="0"/>
        <v>21</v>
      </c>
      <c r="C22" t="s">
        <v>171</v>
      </c>
      <c r="D22" s="6">
        <v>981111</v>
      </c>
      <c r="E22" s="6">
        <v>-39015</v>
      </c>
      <c r="F22" s="6">
        <f t="shared" si="1"/>
        <v>942096</v>
      </c>
      <c r="J22" s="6"/>
      <c r="K22" s="6"/>
      <c r="L22" s="6"/>
    </row>
    <row r="23" spans="1:12" x14ac:dyDescent="0.3">
      <c r="A23" s="1">
        <f t="shared" si="0"/>
        <v>22</v>
      </c>
      <c r="C23" t="s">
        <v>172</v>
      </c>
      <c r="D23" s="6">
        <v>981111</v>
      </c>
      <c r="E23" s="6">
        <v>-39015</v>
      </c>
      <c r="F23" s="6">
        <f t="shared" si="1"/>
        <v>942096</v>
      </c>
      <c r="J23" s="6"/>
      <c r="K23" s="6"/>
      <c r="L23" s="6"/>
    </row>
    <row r="24" spans="1:12" x14ac:dyDescent="0.3">
      <c r="A24" s="1">
        <f t="shared" si="0"/>
        <v>23</v>
      </c>
      <c r="C24" t="s">
        <v>173</v>
      </c>
      <c r="D24" s="6">
        <v>981111</v>
      </c>
      <c r="E24" s="6">
        <v>-39015</v>
      </c>
      <c r="F24" s="6">
        <f t="shared" si="1"/>
        <v>942096</v>
      </c>
      <c r="J24" s="6"/>
      <c r="K24" s="6"/>
      <c r="L24" s="6"/>
    </row>
    <row r="25" spans="1:12" x14ac:dyDescent="0.3">
      <c r="A25" s="1">
        <f t="shared" si="0"/>
        <v>24</v>
      </c>
      <c r="C25" t="s">
        <v>174</v>
      </c>
      <c r="D25" s="6">
        <v>981110</v>
      </c>
      <c r="E25" s="6">
        <v>-39015</v>
      </c>
      <c r="F25" s="6">
        <f t="shared" si="1"/>
        <v>942095</v>
      </c>
      <c r="I25" s="35"/>
      <c r="J25" s="6"/>
      <c r="K25" s="6"/>
      <c r="L25" s="6"/>
    </row>
    <row r="26" spans="1:12" x14ac:dyDescent="0.3">
      <c r="A26" s="1">
        <f t="shared" si="0"/>
        <v>25</v>
      </c>
      <c r="C26" s="35" t="s">
        <v>175</v>
      </c>
      <c r="D26" s="8">
        <v>890614</v>
      </c>
      <c r="E26" s="6">
        <v>-39015</v>
      </c>
      <c r="F26" s="8">
        <f t="shared" si="1"/>
        <v>851599</v>
      </c>
      <c r="J26" s="6"/>
      <c r="K26" s="6"/>
      <c r="L26" s="6"/>
    </row>
    <row r="27" spans="1:12" ht="14.5" thickBot="1" x14ac:dyDescent="0.35">
      <c r="A27" s="1">
        <f t="shared" si="0"/>
        <v>26</v>
      </c>
      <c r="C27" t="s">
        <v>805</v>
      </c>
      <c r="D27" s="26">
        <f>SUM(D15:D26)</f>
        <v>11592235</v>
      </c>
      <c r="E27" s="26">
        <f>SUM(E15:E26)</f>
        <v>-468180</v>
      </c>
      <c r="F27" s="26">
        <f>SUM(F15:F26)</f>
        <v>11124055</v>
      </c>
      <c r="L27" s="6"/>
    </row>
    <row r="28" spans="1:12" ht="14.5" thickTop="1" x14ac:dyDescent="0.3">
      <c r="A28" s="1">
        <f t="shared" si="0"/>
        <v>27</v>
      </c>
      <c r="D28" s="6"/>
      <c r="E28" s="6"/>
      <c r="F28" s="6"/>
      <c r="L28" s="6"/>
    </row>
    <row r="29" spans="1:12" x14ac:dyDescent="0.3">
      <c r="A29" s="1">
        <f t="shared" si="0"/>
        <v>28</v>
      </c>
      <c r="C29" s="35" t="s">
        <v>806</v>
      </c>
      <c r="D29" s="6">
        <v>903213</v>
      </c>
      <c r="E29" s="6">
        <v>-38985</v>
      </c>
      <c r="F29" s="6">
        <f t="shared" si="1"/>
        <v>864228</v>
      </c>
    </row>
    <row r="30" spans="1:12" x14ac:dyDescent="0.3">
      <c r="A30" s="1">
        <f t="shared" si="0"/>
        <v>29</v>
      </c>
      <c r="C30" t="s">
        <v>165</v>
      </c>
      <c r="D30" s="6">
        <v>906155</v>
      </c>
      <c r="E30" s="6">
        <v>-38985</v>
      </c>
      <c r="F30" s="6">
        <f t="shared" si="1"/>
        <v>867170</v>
      </c>
      <c r="I30" s="35"/>
      <c r="J30" s="6"/>
      <c r="K30" s="6"/>
      <c r="L30" s="6"/>
    </row>
    <row r="31" spans="1:12" x14ac:dyDescent="0.3">
      <c r="A31" s="1">
        <f t="shared" si="0"/>
        <v>30</v>
      </c>
      <c r="C31" t="s">
        <v>166</v>
      </c>
      <c r="D31" s="6">
        <v>906155</v>
      </c>
      <c r="E31" s="6">
        <v>-38985</v>
      </c>
      <c r="F31" s="6">
        <f t="shared" si="1"/>
        <v>867170</v>
      </c>
      <c r="J31" s="6"/>
      <c r="K31" s="6"/>
      <c r="L31" s="6"/>
    </row>
    <row r="32" spans="1:12" x14ac:dyDescent="0.3">
      <c r="A32" s="1">
        <f t="shared" si="0"/>
        <v>31</v>
      </c>
      <c r="C32" t="s">
        <v>167</v>
      </c>
      <c r="D32" s="6">
        <v>906155</v>
      </c>
      <c r="E32" s="6">
        <v>-38985</v>
      </c>
      <c r="F32" s="6">
        <f t="shared" si="1"/>
        <v>867170</v>
      </c>
      <c r="J32" s="6"/>
      <c r="K32" s="6"/>
      <c r="L32" s="6"/>
    </row>
    <row r="33" spans="1:12" x14ac:dyDescent="0.3">
      <c r="A33" s="1">
        <f t="shared" si="0"/>
        <v>32</v>
      </c>
      <c r="C33" t="s">
        <v>168</v>
      </c>
      <c r="D33" s="6">
        <v>906155</v>
      </c>
      <c r="E33" s="6">
        <v>-38984</v>
      </c>
      <c r="F33" s="6">
        <f t="shared" si="1"/>
        <v>867171</v>
      </c>
      <c r="J33" s="6"/>
      <c r="K33" s="6"/>
      <c r="L33" s="6"/>
    </row>
    <row r="34" spans="1:12" x14ac:dyDescent="0.3">
      <c r="A34" s="1">
        <f t="shared" si="0"/>
        <v>33</v>
      </c>
      <c r="C34" s="35" t="s">
        <v>574</v>
      </c>
      <c r="D34" s="8">
        <v>899591</v>
      </c>
      <c r="E34" s="8">
        <v>-38984</v>
      </c>
      <c r="F34" s="8">
        <f t="shared" si="1"/>
        <v>860607</v>
      </c>
      <c r="J34" s="6"/>
      <c r="K34" s="6"/>
      <c r="L34" s="6"/>
    </row>
    <row r="35" spans="1:12" ht="14.5" thickBot="1" x14ac:dyDescent="0.35">
      <c r="A35" s="1">
        <f t="shared" si="0"/>
        <v>34</v>
      </c>
      <c r="C35" t="s">
        <v>807</v>
      </c>
      <c r="D35" s="26">
        <f>SUM(D29:D34)</f>
        <v>5427424</v>
      </c>
      <c r="E35" s="26">
        <f t="shared" ref="E35:F35" si="2">SUM(E29:E34)</f>
        <v>-233908</v>
      </c>
      <c r="F35" s="26">
        <f t="shared" si="2"/>
        <v>5193516</v>
      </c>
      <c r="I35" s="35"/>
      <c r="J35" s="6"/>
      <c r="K35" s="6"/>
      <c r="L35" s="6"/>
    </row>
    <row r="36" spans="1:12" ht="14.5" thickTop="1" x14ac:dyDescent="0.3">
      <c r="A36" s="1">
        <f t="shared" si="0"/>
        <v>35</v>
      </c>
      <c r="D36" s="6"/>
      <c r="E36" s="6"/>
      <c r="F36" s="6"/>
      <c r="J36" s="6"/>
      <c r="K36" s="6"/>
      <c r="L36" s="6"/>
    </row>
    <row r="37" spans="1:12" x14ac:dyDescent="0.3">
      <c r="A37" s="1">
        <f t="shared" si="0"/>
        <v>36</v>
      </c>
      <c r="C37" t="s">
        <v>808</v>
      </c>
      <c r="D37" s="6"/>
      <c r="E37" s="6"/>
      <c r="F37" s="6"/>
      <c r="J37" s="1"/>
      <c r="K37" s="1"/>
      <c r="L37" s="1"/>
    </row>
    <row r="38" spans="1:12" x14ac:dyDescent="0.3">
      <c r="A38" s="1">
        <f t="shared" si="0"/>
        <v>37</v>
      </c>
      <c r="C38" t="s">
        <v>809</v>
      </c>
      <c r="D38" s="6">
        <f>ROUND(D35*2,0)</f>
        <v>10854848</v>
      </c>
      <c r="E38" s="6">
        <f>ROUND(E35*2,0)</f>
        <v>-467816</v>
      </c>
      <c r="F38" s="6">
        <f t="shared" ref="F38" si="3">ROUND(F35*2,0)</f>
        <v>10387032</v>
      </c>
      <c r="J38" s="1"/>
      <c r="K38" s="1"/>
      <c r="L38" s="1"/>
    </row>
    <row r="39" spans="1:12" x14ac:dyDescent="0.3">
      <c r="A39" s="1">
        <f t="shared" si="0"/>
        <v>38</v>
      </c>
      <c r="C39" t="s">
        <v>810</v>
      </c>
      <c r="D39" s="6"/>
      <c r="E39" s="6"/>
      <c r="F39" s="6"/>
      <c r="J39" s="1"/>
      <c r="K39" s="1"/>
      <c r="L39" s="1"/>
    </row>
    <row r="40" spans="1:12" x14ac:dyDescent="0.3">
      <c r="A40" s="1">
        <f t="shared" si="0"/>
        <v>39</v>
      </c>
      <c r="C40" t="s">
        <v>811</v>
      </c>
      <c r="D40" s="8">
        <f>D27</f>
        <v>11592235</v>
      </c>
      <c r="E40" s="8">
        <f>E27</f>
        <v>-468180</v>
      </c>
      <c r="F40" s="8">
        <f>F27</f>
        <v>11124055</v>
      </c>
      <c r="J40" s="1"/>
      <c r="K40" s="1"/>
      <c r="L40" s="1"/>
    </row>
    <row r="41" spans="1:12" x14ac:dyDescent="0.3">
      <c r="A41" s="1">
        <f t="shared" si="0"/>
        <v>40</v>
      </c>
      <c r="C41" t="s">
        <v>812</v>
      </c>
      <c r="D41" s="6"/>
      <c r="E41" s="6"/>
      <c r="F41" s="6"/>
      <c r="J41" s="1"/>
      <c r="K41" s="1"/>
      <c r="L41" s="1"/>
    </row>
    <row r="42" spans="1:12" ht="14.5" thickBot="1" x14ac:dyDescent="0.35">
      <c r="A42" s="1">
        <f t="shared" si="0"/>
        <v>41</v>
      </c>
      <c r="C42" t="s">
        <v>813</v>
      </c>
      <c r="D42" s="10">
        <f>D38-D40</f>
        <v>-737387</v>
      </c>
      <c r="E42" s="10">
        <f t="shared" ref="E42" si="4">E38-E40</f>
        <v>364</v>
      </c>
      <c r="F42" s="10">
        <f>F38-F40</f>
        <v>-737023</v>
      </c>
      <c r="J42" s="1"/>
      <c r="K42" s="1"/>
      <c r="L42" s="1"/>
    </row>
    <row r="43" spans="1:12" ht="14.5" thickTop="1" x14ac:dyDescent="0.3">
      <c r="A43" s="1">
        <f t="shared" si="0"/>
        <v>42</v>
      </c>
      <c r="D43" s="6"/>
      <c r="E43" s="6"/>
      <c r="F43" s="6"/>
      <c r="J43" s="1"/>
      <c r="K43" s="1"/>
      <c r="L43" s="1"/>
    </row>
    <row r="44" spans="1:12" ht="14.5" thickBot="1" x14ac:dyDescent="0.35">
      <c r="A44" s="1">
        <f t="shared" si="0"/>
        <v>43</v>
      </c>
      <c r="C44" t="s">
        <v>814</v>
      </c>
      <c r="E44" s="10">
        <f>F42</f>
        <v>-737023</v>
      </c>
      <c r="L44" s="6"/>
    </row>
    <row r="45" spans="1:12" ht="14.5" thickTop="1" x14ac:dyDescent="0.3">
      <c r="A45" s="1">
        <f t="shared" si="0"/>
        <v>44</v>
      </c>
      <c r="L45" s="6"/>
    </row>
    <row r="46" spans="1:12" x14ac:dyDescent="0.3">
      <c r="A46" s="1"/>
      <c r="C46" s="6"/>
      <c r="D46" s="1"/>
      <c r="E46" s="6"/>
    </row>
    <row r="47" spans="1:12" x14ac:dyDescent="0.3">
      <c r="A47" s="1"/>
    </row>
  </sheetData>
  <mergeCells count="2">
    <mergeCell ref="B3:G3"/>
    <mergeCell ref="B4:G4"/>
  </mergeCells>
  <pageMargins left="0.7" right="0.7" top="0.75" bottom="0.75" header="0.3" footer="0.3"/>
  <pageSetup scale="8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</sheetPr>
  <dimension ref="A1:G25"/>
  <sheetViews>
    <sheetView zoomScale="80" zoomScaleNormal="80" workbookViewId="0">
      <selection activeCell="J13" sqref="J13"/>
    </sheetView>
  </sheetViews>
  <sheetFormatPr defaultColWidth="15.58203125" defaultRowHeight="14" x14ac:dyDescent="0.3"/>
  <cols>
    <col min="1" max="1" width="4.58203125" customWidth="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815</v>
      </c>
    </row>
    <row r="3" spans="1:7" x14ac:dyDescent="0.3">
      <c r="A3" s="1">
        <f t="shared" ref="A3:A25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816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</row>
    <row r="6" spans="1:7" x14ac:dyDescent="0.3">
      <c r="A6" s="1">
        <f t="shared" si="0"/>
        <v>5</v>
      </c>
    </row>
    <row r="7" spans="1:7" x14ac:dyDescent="0.3">
      <c r="A7" s="1">
        <f t="shared" si="0"/>
        <v>6</v>
      </c>
    </row>
    <row r="8" spans="1:7" x14ac:dyDescent="0.3">
      <c r="A8" s="1">
        <f t="shared" si="0"/>
        <v>7</v>
      </c>
      <c r="B8" t="s">
        <v>817</v>
      </c>
    </row>
    <row r="9" spans="1:7" x14ac:dyDescent="0.3">
      <c r="A9" s="1">
        <f t="shared" si="0"/>
        <v>8</v>
      </c>
      <c r="B9" t="s">
        <v>818</v>
      </c>
    </row>
    <row r="10" spans="1:7" x14ac:dyDescent="0.3">
      <c r="A10" s="1">
        <f t="shared" si="0"/>
        <v>9</v>
      </c>
    </row>
    <row r="11" spans="1:7" x14ac:dyDescent="0.3">
      <c r="A11" s="1">
        <f t="shared" si="0"/>
        <v>10</v>
      </c>
    </row>
    <row r="12" spans="1:7" x14ac:dyDescent="0.3">
      <c r="A12" s="1">
        <f t="shared" si="0"/>
        <v>11</v>
      </c>
      <c r="B12" t="s">
        <v>819</v>
      </c>
    </row>
    <row r="13" spans="1:7" x14ac:dyDescent="0.3">
      <c r="A13" s="1">
        <f t="shared" si="0"/>
        <v>12</v>
      </c>
      <c r="B13" t="s">
        <v>820</v>
      </c>
      <c r="F13" s="6">
        <v>80000</v>
      </c>
    </row>
    <row r="14" spans="1:7" x14ac:dyDescent="0.3">
      <c r="A14" s="1">
        <f t="shared" si="0"/>
        <v>13</v>
      </c>
      <c r="B14" t="s">
        <v>821</v>
      </c>
      <c r="F14" s="6">
        <v>60000</v>
      </c>
    </row>
    <row r="15" spans="1:7" x14ac:dyDescent="0.3">
      <c r="A15" s="1">
        <f t="shared" si="0"/>
        <v>14</v>
      </c>
      <c r="B15" t="s">
        <v>822</v>
      </c>
      <c r="F15" s="6">
        <v>50000</v>
      </c>
    </row>
    <row r="16" spans="1:7" x14ac:dyDescent="0.3">
      <c r="A16" s="1">
        <f t="shared" si="0"/>
        <v>15</v>
      </c>
      <c r="B16" t="s">
        <v>823</v>
      </c>
      <c r="F16" s="6">
        <v>175000</v>
      </c>
    </row>
    <row r="17" spans="1:6" x14ac:dyDescent="0.3">
      <c r="A17" s="1">
        <f t="shared" si="0"/>
        <v>16</v>
      </c>
      <c r="B17" t="s">
        <v>824</v>
      </c>
      <c r="F17" s="6">
        <v>10000</v>
      </c>
    </row>
    <row r="18" spans="1:6" x14ac:dyDescent="0.3">
      <c r="A18" s="1">
        <f t="shared" si="0"/>
        <v>17</v>
      </c>
      <c r="B18" t="s">
        <v>825</v>
      </c>
      <c r="F18" s="6">
        <v>270000</v>
      </c>
    </row>
    <row r="19" spans="1:6" x14ac:dyDescent="0.3">
      <c r="A19" s="1">
        <f t="shared" si="0"/>
        <v>18</v>
      </c>
      <c r="B19" t="s">
        <v>826</v>
      </c>
      <c r="F19" s="8">
        <v>5000</v>
      </c>
    </row>
    <row r="20" spans="1:6" x14ac:dyDescent="0.3">
      <c r="A20" s="1">
        <f t="shared" si="0"/>
        <v>19</v>
      </c>
      <c r="F20" s="6"/>
    </row>
    <row r="21" spans="1:6" ht="14.5" thickBot="1" x14ac:dyDescent="0.35">
      <c r="A21" s="1">
        <f t="shared" si="0"/>
        <v>20</v>
      </c>
      <c r="B21" t="s">
        <v>827</v>
      </c>
      <c r="F21" s="10">
        <f>SUM(F13:F19)</f>
        <v>650000</v>
      </c>
    </row>
    <row r="22" spans="1:6" ht="14.5" thickTop="1" x14ac:dyDescent="0.3">
      <c r="A22" s="1">
        <f t="shared" si="0"/>
        <v>21</v>
      </c>
      <c r="F22" s="6"/>
    </row>
    <row r="23" spans="1:6" ht="14.5" thickBot="1" x14ac:dyDescent="0.35">
      <c r="A23" s="1">
        <f t="shared" si="0"/>
        <v>22</v>
      </c>
      <c r="B23" t="s">
        <v>828</v>
      </c>
      <c r="F23" s="10">
        <f>ROUND(F21/3,0)</f>
        <v>216667</v>
      </c>
    </row>
    <row r="24" spans="1:6" ht="14.5" thickTop="1" x14ac:dyDescent="0.3">
      <c r="A24" s="1">
        <f t="shared" si="0"/>
        <v>23</v>
      </c>
    </row>
    <row r="25" spans="1:6" x14ac:dyDescent="0.3">
      <c r="A25" s="1">
        <f t="shared" si="0"/>
        <v>24</v>
      </c>
    </row>
  </sheetData>
  <mergeCells count="2">
    <mergeCell ref="B3:G3"/>
    <mergeCell ref="B4:G4"/>
  </mergeCells>
  <pageMargins left="0.7" right="0.7" top="0.75" bottom="0.75" header="0.3" footer="0.3"/>
  <pageSetup scale="84"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</sheetPr>
  <dimension ref="A1:G24"/>
  <sheetViews>
    <sheetView zoomScale="80" zoomScaleNormal="80" workbookViewId="0">
      <selection activeCell="J25" sqref="J25"/>
    </sheetView>
  </sheetViews>
  <sheetFormatPr defaultColWidth="15.58203125" defaultRowHeight="14" x14ac:dyDescent="0.3"/>
  <cols>
    <col min="1" max="1" width="4.83203125" customWidth="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829</v>
      </c>
    </row>
    <row r="3" spans="1:7" x14ac:dyDescent="0.3">
      <c r="A3" s="1">
        <f t="shared" ref="A3:A23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830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</row>
    <row r="6" spans="1:7" x14ac:dyDescent="0.3">
      <c r="A6" s="1">
        <f t="shared" si="0"/>
        <v>5</v>
      </c>
    </row>
    <row r="7" spans="1:7" x14ac:dyDescent="0.3">
      <c r="A7" s="1">
        <f t="shared" si="0"/>
        <v>6</v>
      </c>
    </row>
    <row r="8" spans="1:7" x14ac:dyDescent="0.3">
      <c r="A8" s="1">
        <f t="shared" si="0"/>
        <v>7</v>
      </c>
      <c r="B8" t="s">
        <v>831</v>
      </c>
    </row>
    <row r="9" spans="1:7" x14ac:dyDescent="0.3">
      <c r="A9" s="1">
        <f t="shared" si="0"/>
        <v>8</v>
      </c>
      <c r="B9" t="s">
        <v>832</v>
      </c>
    </row>
    <row r="10" spans="1:7" x14ac:dyDescent="0.3">
      <c r="A10" s="1">
        <f t="shared" si="0"/>
        <v>9</v>
      </c>
    </row>
    <row r="11" spans="1:7" x14ac:dyDescent="0.3">
      <c r="A11" s="1">
        <f t="shared" si="0"/>
        <v>10</v>
      </c>
    </row>
    <row r="12" spans="1:7" x14ac:dyDescent="0.3">
      <c r="A12" s="1">
        <f t="shared" si="0"/>
        <v>11</v>
      </c>
      <c r="B12" t="s">
        <v>833</v>
      </c>
      <c r="G12" s="6"/>
    </row>
    <row r="13" spans="1:7" x14ac:dyDescent="0.3">
      <c r="A13" s="1">
        <f t="shared" si="0"/>
        <v>12</v>
      </c>
      <c r="B13" t="s">
        <v>834</v>
      </c>
      <c r="G13" s="6">
        <v>6316786.5800000001</v>
      </c>
    </row>
    <row r="14" spans="1:7" x14ac:dyDescent="0.3">
      <c r="A14" s="1">
        <f t="shared" si="0"/>
        <v>13</v>
      </c>
      <c r="B14" t="s">
        <v>835</v>
      </c>
      <c r="G14" s="6">
        <v>-4317102.93</v>
      </c>
    </row>
    <row r="15" spans="1:7" x14ac:dyDescent="0.3">
      <c r="A15" s="1">
        <f t="shared" si="0"/>
        <v>14</v>
      </c>
      <c r="B15" t="s">
        <v>836</v>
      </c>
      <c r="G15" s="6">
        <v>-107629.04</v>
      </c>
    </row>
    <row r="16" spans="1:7" x14ac:dyDescent="0.3">
      <c r="A16" s="1">
        <f t="shared" si="0"/>
        <v>15</v>
      </c>
      <c r="B16" t="s">
        <v>837</v>
      </c>
      <c r="G16" s="8">
        <f>SUM(G13:G15)</f>
        <v>1892054.6100000003</v>
      </c>
    </row>
    <row r="17" spans="1:7" x14ac:dyDescent="0.3">
      <c r="A17" s="1">
        <f t="shared" si="0"/>
        <v>16</v>
      </c>
      <c r="G17" s="6"/>
    </row>
    <row r="18" spans="1:7" x14ac:dyDescent="0.3">
      <c r="A18" s="1">
        <f t="shared" si="0"/>
        <v>17</v>
      </c>
      <c r="B18" t="s">
        <v>838</v>
      </c>
      <c r="G18" s="6">
        <f>22278781.59</f>
        <v>22278781.59</v>
      </c>
    </row>
    <row r="19" spans="1:7" x14ac:dyDescent="0.3">
      <c r="A19" s="1">
        <f t="shared" si="0"/>
        <v>18</v>
      </c>
      <c r="B19" t="s">
        <v>839</v>
      </c>
      <c r="G19" s="6">
        <f>177232.86</f>
        <v>177232.86</v>
      </c>
    </row>
    <row r="20" spans="1:7" x14ac:dyDescent="0.3">
      <c r="A20" s="1">
        <f t="shared" si="0"/>
        <v>19</v>
      </c>
      <c r="B20" t="s">
        <v>840</v>
      </c>
      <c r="G20" s="6">
        <f>-68525.63</f>
        <v>-68525.63</v>
      </c>
    </row>
    <row r="21" spans="1:7" x14ac:dyDescent="0.3">
      <c r="A21" s="1">
        <f t="shared" si="0"/>
        <v>20</v>
      </c>
      <c r="G21" s="8">
        <f>SUM(G18:G20)</f>
        <v>22387488.82</v>
      </c>
    </row>
    <row r="22" spans="1:7" x14ac:dyDescent="0.3">
      <c r="A22" s="1">
        <f t="shared" si="0"/>
        <v>21</v>
      </c>
      <c r="B22" s="16"/>
      <c r="G22" s="6"/>
    </row>
    <row r="23" spans="1:7" ht="14.5" thickBot="1" x14ac:dyDescent="0.35">
      <c r="A23" s="1">
        <f t="shared" si="0"/>
        <v>22</v>
      </c>
      <c r="B23" t="s">
        <v>841</v>
      </c>
      <c r="G23" s="10">
        <f>ROUND(-(G16+G21),0)</f>
        <v>-24279543</v>
      </c>
    </row>
    <row r="24" spans="1:7" ht="14.5" thickTop="1" x14ac:dyDescent="0.3">
      <c r="A24" s="1"/>
      <c r="G24" s="6"/>
    </row>
  </sheetData>
  <mergeCells count="2">
    <mergeCell ref="B3:G3"/>
    <mergeCell ref="B4:G4"/>
  </mergeCells>
  <pageMargins left="0.7" right="0.7" top="0.75" bottom="0.75" header="0.3" footer="0.3"/>
  <pageSetup scale="84" orientation="portrait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5CE08-D6E1-43C1-A553-ACB492D84BC8}">
  <sheetPr>
    <tabColor rgb="FF92D050"/>
  </sheetPr>
  <dimension ref="A1:G44"/>
  <sheetViews>
    <sheetView zoomScale="80" zoomScaleNormal="80" workbookViewId="0">
      <selection activeCell="H53" sqref="H53"/>
    </sheetView>
  </sheetViews>
  <sheetFormatPr defaultColWidth="15.58203125" defaultRowHeight="14" x14ac:dyDescent="0.3"/>
  <cols>
    <col min="1" max="1" width="4.58203125" customWidth="1"/>
    <col min="2" max="2" width="44.5" bestFit="1" customWidth="1"/>
    <col min="3" max="3" width="3.08203125" customWidth="1"/>
    <col min="4" max="7" width="17.58203125" customWidth="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842</v>
      </c>
    </row>
    <row r="3" spans="1:7" x14ac:dyDescent="0.3">
      <c r="A3" s="1">
        <f t="shared" ref="A3:A44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843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  <c r="B5" s="5"/>
      <c r="C5" s="5"/>
      <c r="D5" s="5"/>
      <c r="E5" s="5"/>
      <c r="F5" s="5"/>
      <c r="G5" s="5"/>
    </row>
    <row r="6" spans="1:7" x14ac:dyDescent="0.3">
      <c r="A6" s="1">
        <f t="shared" si="0"/>
        <v>5</v>
      </c>
      <c r="B6" s="24" t="s">
        <v>844</v>
      </c>
      <c r="C6" s="5"/>
      <c r="D6" s="5"/>
      <c r="E6" s="5"/>
      <c r="F6" s="5"/>
      <c r="G6" s="5"/>
    </row>
    <row r="7" spans="1:7" x14ac:dyDescent="0.3">
      <c r="A7" s="1">
        <f t="shared" si="0"/>
        <v>6</v>
      </c>
      <c r="B7" s="24" t="s">
        <v>845</v>
      </c>
      <c r="C7" s="5"/>
      <c r="D7" s="5"/>
      <c r="E7" s="5"/>
      <c r="F7" s="5"/>
      <c r="G7" s="5"/>
    </row>
    <row r="8" spans="1:7" x14ac:dyDescent="0.3">
      <c r="A8" s="1">
        <f t="shared" si="0"/>
        <v>7</v>
      </c>
      <c r="B8" t="s">
        <v>846</v>
      </c>
    </row>
    <row r="9" spans="1:7" x14ac:dyDescent="0.3">
      <c r="A9" s="1">
        <f t="shared" si="0"/>
        <v>8</v>
      </c>
      <c r="B9" t="s">
        <v>847</v>
      </c>
    </row>
    <row r="10" spans="1:7" x14ac:dyDescent="0.3">
      <c r="A10" s="1">
        <f t="shared" si="0"/>
        <v>9</v>
      </c>
    </row>
    <row r="11" spans="1:7" x14ac:dyDescent="0.3">
      <c r="A11" s="1">
        <f t="shared" si="0"/>
        <v>10</v>
      </c>
    </row>
    <row r="12" spans="1:7" x14ac:dyDescent="0.3">
      <c r="A12" s="1">
        <f t="shared" si="0"/>
        <v>11</v>
      </c>
      <c r="B12" s="47" t="s">
        <v>848</v>
      </c>
      <c r="C12" s="48"/>
      <c r="D12" s="48">
        <v>2023</v>
      </c>
      <c r="E12" s="50"/>
      <c r="F12" s="50"/>
      <c r="G12" s="50"/>
    </row>
    <row r="13" spans="1:7" ht="14.5" x14ac:dyDescent="0.35">
      <c r="A13" s="1">
        <f t="shared" si="0"/>
        <v>12</v>
      </c>
      <c r="B13" s="46"/>
    </row>
    <row r="14" spans="1:7" x14ac:dyDescent="0.3">
      <c r="A14" s="1">
        <f t="shared" si="0"/>
        <v>13</v>
      </c>
      <c r="B14" s="49">
        <v>413200</v>
      </c>
      <c r="C14" s="50"/>
      <c r="D14" s="51">
        <v>41449</v>
      </c>
      <c r="E14" s="51"/>
      <c r="F14" s="51"/>
      <c r="G14" s="51"/>
    </row>
    <row r="15" spans="1:7" x14ac:dyDescent="0.3">
      <c r="A15" s="1">
        <f t="shared" si="0"/>
        <v>14</v>
      </c>
      <c r="B15" s="49">
        <v>510000</v>
      </c>
      <c r="C15" s="50"/>
      <c r="D15" s="51">
        <v>3775554</v>
      </c>
      <c r="E15" s="51"/>
      <c r="F15" s="51"/>
      <c r="G15" s="51"/>
    </row>
    <row r="16" spans="1:7" x14ac:dyDescent="0.3">
      <c r="A16" s="1">
        <f t="shared" si="0"/>
        <v>15</v>
      </c>
      <c r="B16" s="49">
        <v>511000</v>
      </c>
      <c r="C16" s="50"/>
      <c r="D16" s="51">
        <v>7381253</v>
      </c>
      <c r="E16" s="51"/>
      <c r="F16" s="51"/>
      <c r="G16" s="51"/>
    </row>
    <row r="17" spans="1:7" x14ac:dyDescent="0.3">
      <c r="A17" s="1">
        <f t="shared" si="0"/>
        <v>16</v>
      </c>
      <c r="B17" s="49">
        <v>512000</v>
      </c>
      <c r="C17" s="50"/>
      <c r="D17" s="51">
        <v>61760196</v>
      </c>
      <c r="E17" s="51"/>
      <c r="F17" s="51"/>
      <c r="G17" s="51"/>
    </row>
    <row r="18" spans="1:7" x14ac:dyDescent="0.3">
      <c r="A18" s="1">
        <f t="shared" si="0"/>
        <v>17</v>
      </c>
      <c r="B18" s="49">
        <v>513000</v>
      </c>
      <c r="C18" s="50"/>
      <c r="D18" s="51">
        <v>23685335</v>
      </c>
      <c r="E18" s="51"/>
      <c r="F18" s="51"/>
      <c r="G18" s="51"/>
    </row>
    <row r="19" spans="1:7" x14ac:dyDescent="0.3">
      <c r="A19" s="1">
        <f t="shared" si="0"/>
        <v>18</v>
      </c>
      <c r="B19" s="49">
        <v>551000</v>
      </c>
      <c r="C19" s="50"/>
      <c r="D19" s="51">
        <v>620018.82999999996</v>
      </c>
      <c r="E19" s="51"/>
      <c r="F19" s="51"/>
      <c r="G19" s="51"/>
    </row>
    <row r="20" spans="1:7" x14ac:dyDescent="0.3">
      <c r="A20" s="1">
        <f t="shared" si="0"/>
        <v>19</v>
      </c>
      <c r="B20" s="49">
        <v>552000</v>
      </c>
      <c r="C20" s="50"/>
      <c r="D20" s="51">
        <v>1650833</v>
      </c>
      <c r="E20" s="51"/>
      <c r="F20" s="51"/>
      <c r="G20" s="51"/>
    </row>
    <row r="21" spans="1:7" x14ac:dyDescent="0.3">
      <c r="A21" s="1">
        <f t="shared" si="0"/>
        <v>20</v>
      </c>
      <c r="B21" s="52">
        <v>553000</v>
      </c>
      <c r="C21" s="48"/>
      <c r="D21" s="53">
        <v>12453758</v>
      </c>
      <c r="E21" s="51"/>
      <c r="F21" s="51"/>
      <c r="G21" s="51"/>
    </row>
    <row r="22" spans="1:7" x14ac:dyDescent="0.3">
      <c r="A22" s="1">
        <f t="shared" si="0"/>
        <v>21</v>
      </c>
    </row>
    <row r="23" spans="1:7" x14ac:dyDescent="0.3">
      <c r="A23" s="1">
        <f t="shared" si="0"/>
        <v>22</v>
      </c>
      <c r="B23" s="54" t="s">
        <v>849</v>
      </c>
      <c r="C23" s="50"/>
      <c r="D23" s="51">
        <f>SUM(D14:D21)</f>
        <v>111368396.83</v>
      </c>
      <c r="E23" s="51"/>
      <c r="F23" s="51"/>
      <c r="G23" s="51"/>
    </row>
    <row r="24" spans="1:7" x14ac:dyDescent="0.3">
      <c r="A24" s="1">
        <f t="shared" si="0"/>
        <v>23</v>
      </c>
      <c r="B24" s="54" t="s">
        <v>850</v>
      </c>
      <c r="C24" s="50"/>
      <c r="D24" s="55">
        <v>-905523</v>
      </c>
      <c r="E24" s="55"/>
      <c r="F24" s="55"/>
      <c r="G24" s="55"/>
    </row>
    <row r="25" spans="1:7" x14ac:dyDescent="0.3">
      <c r="A25" s="1">
        <f t="shared" si="0"/>
        <v>24</v>
      </c>
      <c r="B25" s="54" t="s">
        <v>851</v>
      </c>
      <c r="C25" s="50"/>
      <c r="D25" s="55">
        <v>-22267417</v>
      </c>
      <c r="E25" s="55"/>
      <c r="F25" s="55"/>
      <c r="G25" s="55"/>
    </row>
    <row r="26" spans="1:7" x14ac:dyDescent="0.3">
      <c r="A26" s="1">
        <f t="shared" si="0"/>
        <v>25</v>
      </c>
      <c r="B26" s="56"/>
      <c r="C26" s="50"/>
      <c r="D26" s="50"/>
      <c r="E26" s="55"/>
      <c r="F26" s="50"/>
      <c r="G26" s="50"/>
    </row>
    <row r="27" spans="1:7" x14ac:dyDescent="0.3">
      <c r="A27" s="1">
        <f t="shared" si="0"/>
        <v>26</v>
      </c>
      <c r="B27" s="54" t="s">
        <v>852</v>
      </c>
      <c r="C27" s="50"/>
      <c r="D27" s="51">
        <f>SUM(D23:D25)</f>
        <v>88195456.829999998</v>
      </c>
      <c r="E27" s="51"/>
      <c r="F27" s="51"/>
      <c r="G27" s="51"/>
    </row>
    <row r="28" spans="1:7" x14ac:dyDescent="0.3">
      <c r="A28" s="1">
        <f t="shared" si="0"/>
        <v>27</v>
      </c>
      <c r="B28" s="56"/>
      <c r="C28" s="50"/>
      <c r="D28" s="50"/>
      <c r="E28" s="55"/>
      <c r="F28" s="50"/>
    </row>
    <row r="29" spans="1:7" x14ac:dyDescent="0.3">
      <c r="A29" s="1">
        <f t="shared" si="0"/>
        <v>28</v>
      </c>
      <c r="B29" s="54" t="s">
        <v>853</v>
      </c>
      <c r="C29" s="50"/>
      <c r="D29" s="51">
        <v>63842645</v>
      </c>
      <c r="E29" s="51"/>
      <c r="F29" s="50"/>
    </row>
    <row r="30" spans="1:7" x14ac:dyDescent="0.3">
      <c r="A30" s="1">
        <f t="shared" si="0"/>
        <v>29</v>
      </c>
      <c r="B30" s="50"/>
      <c r="C30" s="50"/>
      <c r="D30" s="50"/>
      <c r="E30" s="50"/>
      <c r="F30" s="50"/>
    </row>
    <row r="31" spans="1:7" x14ac:dyDescent="0.3">
      <c r="A31" s="1">
        <f t="shared" si="0"/>
        <v>30</v>
      </c>
      <c r="B31" s="54" t="s">
        <v>854</v>
      </c>
      <c r="C31" s="50"/>
      <c r="D31" s="51">
        <f>D27-D29</f>
        <v>24352811.829999998</v>
      </c>
      <c r="E31" s="51"/>
      <c r="F31" s="51"/>
    </row>
    <row r="32" spans="1:7" x14ac:dyDescent="0.3">
      <c r="A32" s="1">
        <f t="shared" si="0"/>
        <v>31</v>
      </c>
      <c r="B32" s="70" t="s">
        <v>931</v>
      </c>
      <c r="C32" s="50"/>
      <c r="D32" s="58">
        <v>0.75</v>
      </c>
      <c r="E32" s="62"/>
      <c r="F32" s="50"/>
    </row>
    <row r="33" spans="1:6" x14ac:dyDescent="0.3">
      <c r="A33" s="1">
        <f t="shared" si="0"/>
        <v>32</v>
      </c>
      <c r="B33" s="50"/>
      <c r="C33" s="50"/>
      <c r="D33" s="50"/>
      <c r="E33" s="50"/>
      <c r="F33" s="50"/>
    </row>
    <row r="34" spans="1:6" x14ac:dyDescent="0.3">
      <c r="A34" s="1">
        <f t="shared" si="0"/>
        <v>33</v>
      </c>
      <c r="B34" s="54" t="s">
        <v>855</v>
      </c>
      <c r="C34" s="50"/>
      <c r="D34" s="51">
        <f>D31*D32</f>
        <v>18264608.872499999</v>
      </c>
      <c r="E34" s="51"/>
      <c r="F34" s="50"/>
    </row>
    <row r="35" spans="1:6" x14ac:dyDescent="0.3">
      <c r="A35" s="1">
        <f t="shared" si="0"/>
        <v>34</v>
      </c>
      <c r="B35" s="50"/>
      <c r="C35" s="50"/>
      <c r="D35" s="50"/>
      <c r="E35" s="50"/>
      <c r="F35" s="50"/>
    </row>
    <row r="36" spans="1:6" x14ac:dyDescent="0.3">
      <c r="A36" s="1">
        <f t="shared" si="0"/>
        <v>35</v>
      </c>
      <c r="B36" s="54" t="s">
        <v>856</v>
      </c>
      <c r="C36" s="50"/>
      <c r="D36" s="51"/>
      <c r="E36" s="51"/>
      <c r="F36" s="50"/>
    </row>
    <row r="37" spans="1:6" x14ac:dyDescent="0.3">
      <c r="A37" s="1">
        <f t="shared" si="0"/>
        <v>36</v>
      </c>
      <c r="B37" s="44" t="s">
        <v>857</v>
      </c>
      <c r="C37" s="50"/>
      <c r="D37" s="64">
        <f>D31*0.25</f>
        <v>6088202.9574999996</v>
      </c>
      <c r="E37" s="50"/>
      <c r="F37" s="50"/>
    </row>
    <row r="38" spans="1:6" x14ac:dyDescent="0.3">
      <c r="A38" s="1">
        <f t="shared" si="0"/>
        <v>37</v>
      </c>
      <c r="B38" s="54"/>
      <c r="C38" s="50"/>
      <c r="D38" s="51"/>
      <c r="E38" s="51"/>
      <c r="F38" s="50"/>
    </row>
    <row r="39" spans="1:6" ht="14.5" thickBot="1" x14ac:dyDescent="0.35">
      <c r="A39" s="1">
        <f t="shared" si="0"/>
        <v>38</v>
      </c>
      <c r="B39" s="44" t="s">
        <v>858</v>
      </c>
      <c r="D39" s="65">
        <f>-D37</f>
        <v>-6088202.9574999996</v>
      </c>
      <c r="E39" s="6"/>
      <c r="F39" s="6"/>
    </row>
    <row r="40" spans="1:6" ht="14.5" thickTop="1" x14ac:dyDescent="0.3">
      <c r="A40" s="1">
        <f t="shared" si="0"/>
        <v>39</v>
      </c>
    </row>
    <row r="41" spans="1:6" x14ac:dyDescent="0.3">
      <c r="A41" s="1">
        <f t="shared" si="0"/>
        <v>40</v>
      </c>
    </row>
    <row r="42" spans="1:6" x14ac:dyDescent="0.3">
      <c r="A42" s="1">
        <f t="shared" si="0"/>
        <v>41</v>
      </c>
      <c r="D42" s="63"/>
    </row>
    <row r="43" spans="1:6" x14ac:dyDescent="0.3">
      <c r="A43" s="1">
        <f t="shared" si="0"/>
        <v>42</v>
      </c>
    </row>
    <row r="44" spans="1:6" x14ac:dyDescent="0.3">
      <c r="A44" s="1">
        <f t="shared" si="0"/>
        <v>43</v>
      </c>
      <c r="D44" s="63"/>
    </row>
  </sheetData>
  <mergeCells count="2">
    <mergeCell ref="B3:G3"/>
    <mergeCell ref="B4:G4"/>
  </mergeCells>
  <pageMargins left="0.7" right="0.7" top="0.75" bottom="0.75" header="0.3" footer="0.3"/>
  <pageSetup scale="6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664EC-B1CC-47EC-8C6A-E0CA177F8F1E}">
  <sheetPr>
    <tabColor rgb="FF92D050"/>
  </sheetPr>
  <dimension ref="A1:H48"/>
  <sheetViews>
    <sheetView zoomScale="80" zoomScaleNormal="80" workbookViewId="0">
      <selection activeCell="F42" sqref="F42"/>
    </sheetView>
  </sheetViews>
  <sheetFormatPr defaultColWidth="15.58203125" defaultRowHeight="14" x14ac:dyDescent="0.3"/>
  <cols>
    <col min="1" max="1" width="4.58203125" customWidth="1"/>
    <col min="2" max="2" width="44.5" bestFit="1" customWidth="1"/>
    <col min="3" max="3" width="3.08203125" customWidth="1"/>
    <col min="4" max="7" width="17.58203125" customWidth="1"/>
    <col min="8" max="8" width="15.58203125" style="7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859</v>
      </c>
    </row>
    <row r="3" spans="1:7" x14ac:dyDescent="0.3">
      <c r="A3" s="1">
        <f t="shared" ref="A3:A44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860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  <c r="B5" s="5"/>
      <c r="C5" s="5"/>
      <c r="D5" s="5"/>
      <c r="E5" s="5"/>
      <c r="F5" s="5"/>
      <c r="G5" s="5"/>
    </row>
    <row r="6" spans="1:7" x14ac:dyDescent="0.3">
      <c r="A6" s="1">
        <f t="shared" si="0"/>
        <v>5</v>
      </c>
      <c r="B6" s="24" t="s">
        <v>844</v>
      </c>
      <c r="C6" s="5"/>
      <c r="D6" s="5"/>
      <c r="E6" s="5"/>
      <c r="F6" s="5"/>
      <c r="G6" s="5"/>
    </row>
    <row r="7" spans="1:7" x14ac:dyDescent="0.3">
      <c r="A7" s="1">
        <f t="shared" si="0"/>
        <v>6</v>
      </c>
      <c r="B7" s="24" t="s">
        <v>861</v>
      </c>
      <c r="C7" s="5"/>
      <c r="D7" s="5"/>
      <c r="E7" s="5"/>
      <c r="F7" s="5"/>
      <c r="G7" s="5"/>
    </row>
    <row r="8" spans="1:7" x14ac:dyDescent="0.3">
      <c r="A8" s="1">
        <f t="shared" si="0"/>
        <v>7</v>
      </c>
      <c r="B8" t="s">
        <v>862</v>
      </c>
    </row>
    <row r="9" spans="1:7" x14ac:dyDescent="0.3">
      <c r="A9" s="1">
        <f t="shared" si="0"/>
        <v>8</v>
      </c>
      <c r="B9" t="s">
        <v>863</v>
      </c>
    </row>
    <row r="10" spans="1:7" x14ac:dyDescent="0.3">
      <c r="A10" s="1">
        <f t="shared" si="0"/>
        <v>9</v>
      </c>
      <c r="B10" t="s">
        <v>864</v>
      </c>
    </row>
    <row r="11" spans="1:7" x14ac:dyDescent="0.3">
      <c r="A11" s="1">
        <f t="shared" si="0"/>
        <v>10</v>
      </c>
    </row>
    <row r="12" spans="1:7" x14ac:dyDescent="0.3">
      <c r="A12" s="1">
        <f t="shared" si="0"/>
        <v>11</v>
      </c>
      <c r="B12" s="47" t="s">
        <v>848</v>
      </c>
      <c r="C12" s="48"/>
      <c r="D12" s="48">
        <v>2023</v>
      </c>
      <c r="E12" s="48">
        <v>2022</v>
      </c>
      <c r="F12" s="48">
        <v>2021</v>
      </c>
      <c r="G12" s="48">
        <v>2020</v>
      </c>
    </row>
    <row r="13" spans="1:7" ht="14.5" x14ac:dyDescent="0.35">
      <c r="A13" s="1">
        <f t="shared" si="0"/>
        <v>12</v>
      </c>
      <c r="B13" s="46"/>
    </row>
    <row r="14" spans="1:7" x14ac:dyDescent="0.3">
      <c r="A14" s="1">
        <f t="shared" si="0"/>
        <v>13</v>
      </c>
      <c r="B14" s="49">
        <v>413200</v>
      </c>
      <c r="C14" s="50"/>
      <c r="D14" s="51">
        <v>41449</v>
      </c>
      <c r="E14" s="51">
        <v>271089</v>
      </c>
      <c r="F14" s="51">
        <v>114983.34</v>
      </c>
      <c r="G14" s="51">
        <v>73897.89</v>
      </c>
    </row>
    <row r="15" spans="1:7" x14ac:dyDescent="0.3">
      <c r="A15" s="1">
        <f t="shared" si="0"/>
        <v>14</v>
      </c>
      <c r="B15" s="49">
        <v>510000</v>
      </c>
      <c r="C15" s="50"/>
      <c r="D15" s="51">
        <v>3775554</v>
      </c>
      <c r="E15" s="51">
        <v>3667652</v>
      </c>
      <c r="F15" s="51">
        <v>3634998.56</v>
      </c>
      <c r="G15" s="51">
        <v>3413566.42</v>
      </c>
    </row>
    <row r="16" spans="1:7" x14ac:dyDescent="0.3">
      <c r="A16" s="1">
        <f t="shared" si="0"/>
        <v>15</v>
      </c>
      <c r="B16" s="49">
        <v>511000</v>
      </c>
      <c r="C16" s="50"/>
      <c r="D16" s="51">
        <v>7381253</v>
      </c>
      <c r="E16" s="51">
        <v>7006708</v>
      </c>
      <c r="F16" s="51">
        <v>5881102.5599999996</v>
      </c>
      <c r="G16" s="51">
        <v>5135413.29</v>
      </c>
    </row>
    <row r="17" spans="1:7" x14ac:dyDescent="0.3">
      <c r="A17" s="1">
        <f t="shared" si="0"/>
        <v>16</v>
      </c>
      <c r="B17" s="49">
        <v>512000</v>
      </c>
      <c r="C17" s="50"/>
      <c r="D17" s="51">
        <v>61760196</v>
      </c>
      <c r="E17" s="51">
        <v>57426176</v>
      </c>
      <c r="F17" s="51">
        <v>59537274.369999997</v>
      </c>
      <c r="G17" s="51">
        <v>50449925.590000004</v>
      </c>
    </row>
    <row r="18" spans="1:7" x14ac:dyDescent="0.3">
      <c r="A18" s="1">
        <f t="shared" si="0"/>
        <v>17</v>
      </c>
      <c r="B18" s="49">
        <v>513000</v>
      </c>
      <c r="C18" s="50"/>
      <c r="D18" s="51">
        <v>23685335</v>
      </c>
      <c r="E18" s="51">
        <v>17208953</v>
      </c>
      <c r="F18" s="51">
        <v>11146304.4</v>
      </c>
      <c r="G18" s="51">
        <v>8408959.4399999995</v>
      </c>
    </row>
    <row r="19" spans="1:7" x14ac:dyDescent="0.3">
      <c r="A19" s="1">
        <f t="shared" si="0"/>
        <v>18</v>
      </c>
      <c r="B19" s="49">
        <v>551000</v>
      </c>
      <c r="C19" s="50"/>
      <c r="D19" s="51">
        <v>620018.82999999996</v>
      </c>
      <c r="E19" s="51">
        <v>546728</v>
      </c>
      <c r="F19" s="51">
        <v>565097.13</v>
      </c>
      <c r="G19" s="51">
        <v>532019.75</v>
      </c>
    </row>
    <row r="20" spans="1:7" x14ac:dyDescent="0.3">
      <c r="A20" s="1">
        <f t="shared" si="0"/>
        <v>19</v>
      </c>
      <c r="B20" s="49">
        <v>552000</v>
      </c>
      <c r="C20" s="50"/>
      <c r="D20" s="51">
        <v>1650833</v>
      </c>
      <c r="E20" s="51">
        <v>1037052</v>
      </c>
      <c r="F20" s="51">
        <v>1659403.46</v>
      </c>
      <c r="G20" s="51">
        <v>1104872.45</v>
      </c>
    </row>
    <row r="21" spans="1:7" x14ac:dyDescent="0.3">
      <c r="A21" s="1">
        <f t="shared" si="0"/>
        <v>20</v>
      </c>
      <c r="B21" s="52">
        <v>553000</v>
      </c>
      <c r="C21" s="48"/>
      <c r="D21" s="53">
        <v>12453758</v>
      </c>
      <c r="E21" s="53">
        <v>12681751</v>
      </c>
      <c r="F21" s="53">
        <v>21820262.59</v>
      </c>
      <c r="G21" s="53">
        <v>7215827.0599999996</v>
      </c>
    </row>
    <row r="22" spans="1:7" x14ac:dyDescent="0.3">
      <c r="A22" s="1">
        <f t="shared" si="0"/>
        <v>21</v>
      </c>
    </row>
    <row r="23" spans="1:7" x14ac:dyDescent="0.3">
      <c r="A23" s="1">
        <f t="shared" si="0"/>
        <v>22</v>
      </c>
      <c r="B23" s="54" t="s">
        <v>849</v>
      </c>
      <c r="C23" s="50"/>
      <c r="D23" s="51">
        <f>SUM(D14:D21)</f>
        <v>111368396.83</v>
      </c>
      <c r="E23" s="51">
        <f>SUM(E14:E21)</f>
        <v>99846109</v>
      </c>
      <c r="F23" s="51">
        <f>SUM(F14:F21)</f>
        <v>104359426.41</v>
      </c>
      <c r="G23" s="51">
        <f>SUM(G14:G21)</f>
        <v>76334481.890000015</v>
      </c>
    </row>
    <row r="24" spans="1:7" x14ac:dyDescent="0.3">
      <c r="A24" s="1">
        <f t="shared" si="0"/>
        <v>23</v>
      </c>
      <c r="B24" s="54" t="s">
        <v>850</v>
      </c>
      <c r="C24" s="50"/>
      <c r="D24" s="55">
        <v>-905523</v>
      </c>
      <c r="E24" s="55">
        <f>D24</f>
        <v>-905523</v>
      </c>
      <c r="F24" s="55">
        <f>D24</f>
        <v>-905523</v>
      </c>
      <c r="G24" s="55">
        <f>E24</f>
        <v>-905523</v>
      </c>
    </row>
    <row r="25" spans="1:7" x14ac:dyDescent="0.3">
      <c r="A25" s="1">
        <f t="shared" si="0"/>
        <v>24</v>
      </c>
      <c r="B25" s="54" t="s">
        <v>851</v>
      </c>
      <c r="C25" s="50"/>
      <c r="D25" s="55">
        <v>-22267417</v>
      </c>
      <c r="E25" s="55">
        <v>-22786421</v>
      </c>
      <c r="F25" s="55">
        <v>-18825620.780000001</v>
      </c>
      <c r="G25" s="55">
        <v>-16381302.470000001</v>
      </c>
    </row>
    <row r="26" spans="1:7" x14ac:dyDescent="0.3">
      <c r="A26" s="1">
        <f t="shared" si="0"/>
        <v>25</v>
      </c>
      <c r="B26" s="56"/>
      <c r="C26" s="50"/>
      <c r="D26" s="50"/>
      <c r="E26" s="55"/>
      <c r="F26" s="50"/>
      <c r="G26" s="50"/>
    </row>
    <row r="27" spans="1:7" x14ac:dyDescent="0.3">
      <c r="A27" s="1">
        <f t="shared" si="0"/>
        <v>26</v>
      </c>
      <c r="B27" s="54" t="s">
        <v>852</v>
      </c>
      <c r="C27" s="50"/>
      <c r="D27" s="51">
        <f>SUM(D23:D25)</f>
        <v>88195456.829999998</v>
      </c>
      <c r="E27" s="51">
        <f>SUM(E23:E25)</f>
        <v>76154165</v>
      </c>
      <c r="F27" s="51">
        <f>SUM(F23:F25)</f>
        <v>84628282.629999995</v>
      </c>
      <c r="G27" s="51">
        <f>SUM(G23:G25)</f>
        <v>59047656.420000017</v>
      </c>
    </row>
    <row r="28" spans="1:7" x14ac:dyDescent="0.3">
      <c r="A28" s="1">
        <f t="shared" si="0"/>
        <v>27</v>
      </c>
      <c r="B28" s="56"/>
      <c r="C28" s="50"/>
      <c r="D28" s="50"/>
      <c r="E28" s="55"/>
      <c r="F28" s="50"/>
    </row>
    <row r="29" spans="1:7" x14ac:dyDescent="0.3">
      <c r="A29" s="1">
        <f t="shared" si="0"/>
        <v>28</v>
      </c>
      <c r="B29" s="54" t="s">
        <v>853</v>
      </c>
      <c r="C29" s="50"/>
      <c r="D29" s="51">
        <v>63842645</v>
      </c>
      <c r="E29" s="51">
        <v>63842645</v>
      </c>
      <c r="F29" s="50"/>
    </row>
    <row r="30" spans="1:7" x14ac:dyDescent="0.3">
      <c r="A30" s="1">
        <f t="shared" si="0"/>
        <v>29</v>
      </c>
      <c r="B30" s="50"/>
      <c r="C30" s="50"/>
      <c r="D30" s="50"/>
      <c r="E30" s="50"/>
      <c r="F30" s="50"/>
    </row>
    <row r="31" spans="1:7" x14ac:dyDescent="0.3">
      <c r="A31" s="1">
        <f t="shared" si="0"/>
        <v>30</v>
      </c>
      <c r="B31" s="54" t="s">
        <v>854</v>
      </c>
      <c r="C31" s="50"/>
      <c r="D31" s="51">
        <f>D27-D29</f>
        <v>24352811.829999998</v>
      </c>
      <c r="E31" s="51">
        <f>E27-E29</f>
        <v>12311520</v>
      </c>
      <c r="F31" s="51"/>
    </row>
    <row r="32" spans="1:7" x14ac:dyDescent="0.3">
      <c r="A32" s="1">
        <f t="shared" si="0"/>
        <v>31</v>
      </c>
      <c r="B32" s="70" t="s">
        <v>931</v>
      </c>
      <c r="C32" s="50"/>
      <c r="D32" s="58">
        <v>0.75</v>
      </c>
      <c r="E32" s="58">
        <v>0.75</v>
      </c>
      <c r="F32" s="50"/>
    </row>
    <row r="33" spans="1:6" x14ac:dyDescent="0.3">
      <c r="A33" s="1">
        <f t="shared" si="0"/>
        <v>32</v>
      </c>
      <c r="B33" s="50"/>
      <c r="C33" s="50"/>
      <c r="D33" s="50"/>
      <c r="E33" s="50"/>
      <c r="F33" s="50"/>
    </row>
    <row r="34" spans="1:6" x14ac:dyDescent="0.3">
      <c r="A34" s="1">
        <f t="shared" si="0"/>
        <v>33</v>
      </c>
      <c r="B34" s="54" t="s">
        <v>855</v>
      </c>
      <c r="C34" s="50"/>
      <c r="D34" s="51">
        <f>D31*D32</f>
        <v>18264608.872499999</v>
      </c>
      <c r="E34" s="51">
        <f>E31*E32</f>
        <v>9233640</v>
      </c>
      <c r="F34" s="50"/>
    </row>
    <row r="35" spans="1:6" x14ac:dyDescent="0.3">
      <c r="A35" s="1">
        <f t="shared" si="0"/>
        <v>34</v>
      </c>
      <c r="B35" s="50"/>
      <c r="C35" s="50"/>
      <c r="D35" s="50"/>
      <c r="E35" s="50"/>
      <c r="F35" s="50"/>
    </row>
    <row r="36" spans="1:6" x14ac:dyDescent="0.3">
      <c r="A36" s="1">
        <f t="shared" si="0"/>
        <v>35</v>
      </c>
      <c r="B36" s="54" t="s">
        <v>865</v>
      </c>
      <c r="C36" s="50"/>
      <c r="D36" s="51">
        <f>E34</f>
        <v>9233640</v>
      </c>
      <c r="E36" s="51"/>
      <c r="F36" s="50"/>
    </row>
    <row r="37" spans="1:6" x14ac:dyDescent="0.3">
      <c r="A37" s="1">
        <f t="shared" si="0"/>
        <v>36</v>
      </c>
      <c r="B37" s="50"/>
      <c r="C37" s="50"/>
      <c r="D37" s="50"/>
      <c r="E37" s="50"/>
      <c r="F37" s="50"/>
    </row>
    <row r="38" spans="1:6" ht="14.5" thickBot="1" x14ac:dyDescent="0.35">
      <c r="A38" s="1">
        <f t="shared" si="0"/>
        <v>37</v>
      </c>
      <c r="B38" s="54" t="s">
        <v>866</v>
      </c>
      <c r="C38" s="50"/>
      <c r="D38" s="57">
        <f>D34+D36</f>
        <v>27498248.872499999</v>
      </c>
      <c r="E38" s="57">
        <f>E34+E36</f>
        <v>9233640</v>
      </c>
      <c r="F38" s="50"/>
    </row>
    <row r="39" spans="1:6" ht="14.5" thickTop="1" x14ac:dyDescent="0.3">
      <c r="A39" s="1">
        <f t="shared" si="0"/>
        <v>38</v>
      </c>
    </row>
    <row r="40" spans="1:6" x14ac:dyDescent="0.3">
      <c r="A40" s="1">
        <f t="shared" si="0"/>
        <v>39</v>
      </c>
      <c r="B40" t="s">
        <v>867</v>
      </c>
      <c r="D40">
        <v>3</v>
      </c>
      <c r="E40" t="s">
        <v>868</v>
      </c>
    </row>
    <row r="41" spans="1:6" x14ac:dyDescent="0.3">
      <c r="A41" s="1">
        <f t="shared" si="0"/>
        <v>40</v>
      </c>
    </row>
    <row r="42" spans="1:6" ht="14.5" thickBot="1" x14ac:dyDescent="0.35">
      <c r="A42" s="1">
        <f t="shared" si="0"/>
        <v>41</v>
      </c>
      <c r="B42" t="s">
        <v>869</v>
      </c>
      <c r="D42" s="59">
        <f>ROUND(D38/D40,0)</f>
        <v>9166083</v>
      </c>
    </row>
    <row r="43" spans="1:6" ht="14.5" thickTop="1" x14ac:dyDescent="0.3">
      <c r="A43" s="1">
        <f t="shared" si="0"/>
        <v>42</v>
      </c>
    </row>
    <row r="44" spans="1:6" ht="14.5" thickBot="1" x14ac:dyDescent="0.35">
      <c r="A44" s="1">
        <f t="shared" si="0"/>
        <v>43</v>
      </c>
      <c r="B44" t="s">
        <v>636</v>
      </c>
      <c r="D44" s="59">
        <f>D42</f>
        <v>9166083</v>
      </c>
    </row>
    <row r="45" spans="1:6" ht="14.5" thickTop="1" x14ac:dyDescent="0.3"/>
    <row r="48" spans="1:6" x14ac:dyDescent="0.3">
      <c r="D48" s="63"/>
    </row>
  </sheetData>
  <mergeCells count="2">
    <mergeCell ref="B3:G3"/>
    <mergeCell ref="B4:G4"/>
  </mergeCells>
  <pageMargins left="0.7" right="0.7" top="0.75" bottom="0.75" header="0.3" footer="0.3"/>
  <pageSetup scale="6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084E1-2576-4172-BDE2-4683C8DD0FBF}">
  <sheetPr>
    <tabColor rgb="FF92D050"/>
  </sheetPr>
  <dimension ref="A1:G56"/>
  <sheetViews>
    <sheetView zoomScale="80" zoomScaleNormal="80" workbookViewId="0">
      <selection activeCell="L82" sqref="L82"/>
    </sheetView>
  </sheetViews>
  <sheetFormatPr defaultColWidth="15.58203125" defaultRowHeight="14" x14ac:dyDescent="0.3"/>
  <cols>
    <col min="1" max="1" width="4.58203125" customWidth="1"/>
    <col min="2" max="2" width="45.58203125" customWidth="1"/>
    <col min="3" max="3" width="3.08203125" customWidth="1"/>
    <col min="4" max="7" width="17.58203125" customWidth="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870</v>
      </c>
    </row>
    <row r="3" spans="1:7" x14ac:dyDescent="0.3">
      <c r="A3" s="1">
        <f t="shared" ref="A3:A52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860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  <c r="B5" s="5"/>
      <c r="C5" s="5"/>
      <c r="D5" s="5"/>
      <c r="E5" s="5"/>
      <c r="F5" s="5"/>
      <c r="G5" s="5"/>
    </row>
    <row r="6" spans="1:7" x14ac:dyDescent="0.3">
      <c r="A6" s="1">
        <f t="shared" si="0"/>
        <v>5</v>
      </c>
      <c r="B6" s="24" t="s">
        <v>844</v>
      </c>
      <c r="C6" s="5"/>
      <c r="D6" s="5"/>
      <c r="E6" s="5"/>
      <c r="F6" s="5"/>
      <c r="G6" s="5"/>
    </row>
    <row r="7" spans="1:7" x14ac:dyDescent="0.3">
      <c r="A7" s="1">
        <f t="shared" si="0"/>
        <v>6</v>
      </c>
      <c r="B7" s="24" t="s">
        <v>861</v>
      </c>
      <c r="C7" s="5"/>
      <c r="D7" s="5"/>
      <c r="E7" s="5"/>
      <c r="F7" s="5"/>
      <c r="G7" s="5"/>
    </row>
    <row r="8" spans="1:7" x14ac:dyDescent="0.3">
      <c r="A8" s="1">
        <f t="shared" si="0"/>
        <v>7</v>
      </c>
      <c r="B8" t="s">
        <v>871</v>
      </c>
    </row>
    <row r="9" spans="1:7" x14ac:dyDescent="0.3">
      <c r="A9" s="1">
        <f t="shared" si="0"/>
        <v>8</v>
      </c>
      <c r="B9" t="s">
        <v>872</v>
      </c>
    </row>
    <row r="10" spans="1:7" x14ac:dyDescent="0.3">
      <c r="A10" s="1">
        <f t="shared" si="0"/>
        <v>9</v>
      </c>
      <c r="B10" t="s">
        <v>873</v>
      </c>
    </row>
    <row r="11" spans="1:7" x14ac:dyDescent="0.3">
      <c r="A11" s="1">
        <f t="shared" si="0"/>
        <v>10</v>
      </c>
      <c r="B11" t="s">
        <v>874</v>
      </c>
    </row>
    <row r="12" spans="1:7" x14ac:dyDescent="0.3">
      <c r="A12" s="1">
        <f t="shared" si="0"/>
        <v>11</v>
      </c>
      <c r="B12" t="s">
        <v>875</v>
      </c>
    </row>
    <row r="13" spans="1:7" x14ac:dyDescent="0.3">
      <c r="A13" s="1">
        <f t="shared" si="0"/>
        <v>12</v>
      </c>
      <c r="B13" t="s">
        <v>876</v>
      </c>
    </row>
    <row r="14" spans="1:7" x14ac:dyDescent="0.3">
      <c r="A14" s="1">
        <f t="shared" si="0"/>
        <v>13</v>
      </c>
      <c r="B14" t="s">
        <v>877</v>
      </c>
    </row>
    <row r="15" spans="1:7" x14ac:dyDescent="0.3">
      <c r="A15" s="1">
        <f t="shared" si="0"/>
        <v>14</v>
      </c>
      <c r="B15" t="s">
        <v>878</v>
      </c>
    </row>
    <row r="16" spans="1:7" x14ac:dyDescent="0.3">
      <c r="A16" s="1">
        <f t="shared" si="0"/>
        <v>15</v>
      </c>
    </row>
    <row r="17" spans="1:7" x14ac:dyDescent="0.3">
      <c r="A17" s="1">
        <f t="shared" si="0"/>
        <v>16</v>
      </c>
      <c r="B17" s="47" t="s">
        <v>848</v>
      </c>
      <c r="C17" s="48"/>
      <c r="D17" s="48">
        <v>2023</v>
      </c>
      <c r="E17" s="48">
        <v>2022</v>
      </c>
      <c r="F17" s="48">
        <v>2021</v>
      </c>
      <c r="G17" s="48">
        <v>2020</v>
      </c>
    </row>
    <row r="18" spans="1:7" ht="14.5" x14ac:dyDescent="0.35">
      <c r="A18" s="1">
        <f t="shared" si="0"/>
        <v>17</v>
      </c>
      <c r="B18" s="46"/>
    </row>
    <row r="19" spans="1:7" x14ac:dyDescent="0.3">
      <c r="A19" s="1">
        <f t="shared" si="0"/>
        <v>18</v>
      </c>
      <c r="B19" s="49">
        <v>413200</v>
      </c>
      <c r="C19" s="50"/>
      <c r="D19" s="51">
        <v>41449</v>
      </c>
      <c r="E19" s="51">
        <v>271089</v>
      </c>
      <c r="F19" s="51">
        <v>114983.34</v>
      </c>
      <c r="G19" s="51">
        <v>73897.89</v>
      </c>
    </row>
    <row r="20" spans="1:7" x14ac:dyDescent="0.3">
      <c r="A20" s="1">
        <f t="shared" si="0"/>
        <v>19</v>
      </c>
      <c r="B20" s="49">
        <v>510000</v>
      </c>
      <c r="C20" s="50"/>
      <c r="D20" s="51">
        <v>3775554</v>
      </c>
      <c r="E20" s="51">
        <v>3667652</v>
      </c>
      <c r="F20" s="51">
        <v>3634998.56</v>
      </c>
      <c r="G20" s="51">
        <v>3413566.42</v>
      </c>
    </row>
    <row r="21" spans="1:7" x14ac:dyDescent="0.3">
      <c r="A21" s="1">
        <f t="shared" si="0"/>
        <v>20</v>
      </c>
      <c r="B21" s="49">
        <v>511000</v>
      </c>
      <c r="C21" s="50"/>
      <c r="D21" s="51">
        <v>7381253</v>
      </c>
      <c r="E21" s="51">
        <v>7006708</v>
      </c>
      <c r="F21" s="51">
        <v>5881102.5599999996</v>
      </c>
      <c r="G21" s="51">
        <v>5135413.29</v>
      </c>
    </row>
    <row r="22" spans="1:7" x14ac:dyDescent="0.3">
      <c r="A22" s="1">
        <f t="shared" si="0"/>
        <v>21</v>
      </c>
      <c r="B22" s="49">
        <v>512000</v>
      </c>
      <c r="C22" s="50"/>
      <c r="D22" s="51">
        <v>61760196</v>
      </c>
      <c r="E22" s="51">
        <v>57426176</v>
      </c>
      <c r="F22" s="51">
        <v>59537274.369999997</v>
      </c>
      <c r="G22" s="51">
        <v>50449925.590000004</v>
      </c>
    </row>
    <row r="23" spans="1:7" x14ac:dyDescent="0.3">
      <c r="A23" s="1">
        <f t="shared" si="0"/>
        <v>22</v>
      </c>
      <c r="B23" s="49">
        <v>513000</v>
      </c>
      <c r="C23" s="50"/>
      <c r="D23" s="51">
        <v>23685335</v>
      </c>
      <c r="E23" s="51">
        <v>17208953</v>
      </c>
      <c r="F23" s="51">
        <v>11146304.4</v>
      </c>
      <c r="G23" s="51">
        <v>8408959.4399999995</v>
      </c>
    </row>
    <row r="24" spans="1:7" x14ac:dyDescent="0.3">
      <c r="A24" s="1">
        <f t="shared" si="0"/>
        <v>23</v>
      </c>
      <c r="B24" s="49">
        <v>551000</v>
      </c>
      <c r="C24" s="50"/>
      <c r="D24" s="51">
        <v>620018.82999999996</v>
      </c>
      <c r="E24" s="51">
        <v>546728</v>
      </c>
      <c r="F24" s="51">
        <v>565097.13</v>
      </c>
      <c r="G24" s="51">
        <v>532019.75</v>
      </c>
    </row>
    <row r="25" spans="1:7" x14ac:dyDescent="0.3">
      <c r="A25" s="1">
        <f t="shared" si="0"/>
        <v>24</v>
      </c>
      <c r="B25" s="49">
        <v>552000</v>
      </c>
      <c r="C25" s="50"/>
      <c r="D25" s="51">
        <v>1650833</v>
      </c>
      <c r="E25" s="51">
        <v>1037052</v>
      </c>
      <c r="F25" s="51">
        <v>1659403.46</v>
      </c>
      <c r="G25" s="51">
        <v>1104872.45</v>
      </c>
    </row>
    <row r="26" spans="1:7" x14ac:dyDescent="0.3">
      <c r="A26" s="1">
        <f t="shared" si="0"/>
        <v>25</v>
      </c>
      <c r="B26" s="52">
        <v>553000</v>
      </c>
      <c r="C26" s="48"/>
      <c r="D26" s="53">
        <v>12453758</v>
      </c>
      <c r="E26" s="53">
        <v>12681751</v>
      </c>
      <c r="F26" s="53">
        <v>21820262.59</v>
      </c>
      <c r="G26" s="53">
        <v>7215827.0599999996</v>
      </c>
    </row>
    <row r="27" spans="1:7" x14ac:dyDescent="0.3">
      <c r="A27" s="1">
        <f t="shared" si="0"/>
        <v>26</v>
      </c>
    </row>
    <row r="28" spans="1:7" x14ac:dyDescent="0.3">
      <c r="A28" s="1">
        <f t="shared" si="0"/>
        <v>27</v>
      </c>
      <c r="B28" s="54" t="s">
        <v>849</v>
      </c>
      <c r="C28" s="50"/>
      <c r="D28" s="51">
        <f>SUM(D19:D26)</f>
        <v>111368396.83</v>
      </c>
      <c r="E28" s="51">
        <f>SUM(E19:E26)</f>
        <v>99846109</v>
      </c>
      <c r="F28" s="51">
        <f>SUM(F19:F26)</f>
        <v>104359426.41</v>
      </c>
      <c r="G28" s="51">
        <f>SUM(G19:G26)</f>
        <v>76334481.890000015</v>
      </c>
    </row>
    <row r="29" spans="1:7" x14ac:dyDescent="0.3">
      <c r="A29" s="1">
        <f t="shared" si="0"/>
        <v>28</v>
      </c>
      <c r="B29" s="54" t="s">
        <v>850</v>
      </c>
      <c r="C29" s="50"/>
      <c r="D29" s="55">
        <v>-905523</v>
      </c>
      <c r="E29" s="55">
        <f>D29</f>
        <v>-905523</v>
      </c>
      <c r="F29" s="55">
        <f>D29</f>
        <v>-905523</v>
      </c>
      <c r="G29" s="55">
        <f>E29</f>
        <v>-905523</v>
      </c>
    </row>
    <row r="30" spans="1:7" x14ac:dyDescent="0.3">
      <c r="A30" s="1">
        <f t="shared" si="0"/>
        <v>29</v>
      </c>
      <c r="B30" s="54" t="s">
        <v>851</v>
      </c>
      <c r="C30" s="50"/>
      <c r="D30" s="55">
        <v>-22267417</v>
      </c>
      <c r="E30" s="55">
        <v>-22786421</v>
      </c>
      <c r="F30" s="55">
        <v>-18825620.780000001</v>
      </c>
      <c r="G30" s="55">
        <v>-16381302.470000001</v>
      </c>
    </row>
    <row r="31" spans="1:7" x14ac:dyDescent="0.3">
      <c r="A31" s="1">
        <f t="shared" si="0"/>
        <v>30</v>
      </c>
      <c r="B31" s="56"/>
      <c r="C31" s="50"/>
      <c r="D31" s="50"/>
      <c r="E31" s="55"/>
      <c r="F31" s="50"/>
      <c r="G31" s="50"/>
    </row>
    <row r="32" spans="1:7" x14ac:dyDescent="0.3">
      <c r="A32" s="1">
        <f t="shared" si="0"/>
        <v>31</v>
      </c>
      <c r="B32" s="54" t="s">
        <v>852</v>
      </c>
      <c r="C32" s="50"/>
      <c r="D32" s="51">
        <f>SUM(D28:D30)</f>
        <v>88195456.829999998</v>
      </c>
      <c r="E32" s="51">
        <f>SUM(E28:E30)</f>
        <v>76154165</v>
      </c>
      <c r="F32" s="51">
        <f>SUM(F28:F30)</f>
        <v>84628282.629999995</v>
      </c>
      <c r="G32" s="51">
        <f>SUM(G28:G30)</f>
        <v>59047656.420000017</v>
      </c>
    </row>
    <row r="33" spans="1:6" x14ac:dyDescent="0.3">
      <c r="A33" s="1">
        <f t="shared" si="0"/>
        <v>32</v>
      </c>
      <c r="B33" s="56"/>
      <c r="C33" s="50"/>
      <c r="D33" s="50"/>
      <c r="E33" s="55"/>
      <c r="F33" s="50"/>
    </row>
    <row r="34" spans="1:6" x14ac:dyDescent="0.3">
      <c r="A34" s="1">
        <f t="shared" si="0"/>
        <v>33</v>
      </c>
      <c r="B34" s="54" t="s">
        <v>879</v>
      </c>
      <c r="C34" s="50"/>
      <c r="D34" s="51">
        <v>63842645</v>
      </c>
      <c r="E34" s="51">
        <v>63842645</v>
      </c>
      <c r="F34" s="50"/>
    </row>
    <row r="35" spans="1:6" x14ac:dyDescent="0.3">
      <c r="A35" s="1">
        <f t="shared" si="0"/>
        <v>34</v>
      </c>
      <c r="B35" s="50"/>
      <c r="C35" s="50"/>
      <c r="D35" s="50"/>
      <c r="E35" s="50"/>
      <c r="F35" s="50"/>
    </row>
    <row r="36" spans="1:6" x14ac:dyDescent="0.3">
      <c r="A36" s="1">
        <f t="shared" si="0"/>
        <v>35</v>
      </c>
      <c r="B36" s="54" t="s">
        <v>854</v>
      </c>
      <c r="C36" s="50"/>
      <c r="D36" s="51">
        <f>D32-D34</f>
        <v>24352811.829999998</v>
      </c>
      <c r="E36" s="51">
        <f>E32-E34</f>
        <v>12311520</v>
      </c>
      <c r="F36" s="51"/>
    </row>
    <row r="37" spans="1:6" x14ac:dyDescent="0.3">
      <c r="A37" s="1">
        <f t="shared" si="0"/>
        <v>36</v>
      </c>
      <c r="B37" s="70" t="s">
        <v>931</v>
      </c>
      <c r="C37" s="50"/>
      <c r="D37" s="58">
        <v>0.75</v>
      </c>
      <c r="E37" s="58">
        <v>0.75</v>
      </c>
      <c r="F37" s="50"/>
    </row>
    <row r="38" spans="1:6" x14ac:dyDescent="0.3">
      <c r="A38" s="1">
        <f t="shared" si="0"/>
        <v>37</v>
      </c>
      <c r="B38" s="50"/>
      <c r="C38" s="50"/>
      <c r="D38" s="50"/>
      <c r="E38" s="50"/>
      <c r="F38" s="50"/>
    </row>
    <row r="39" spans="1:6" x14ac:dyDescent="0.3">
      <c r="A39" s="1">
        <f t="shared" si="0"/>
        <v>38</v>
      </c>
      <c r="B39" s="54" t="s">
        <v>880</v>
      </c>
      <c r="C39" s="50"/>
      <c r="D39" s="51">
        <f>D36*D37</f>
        <v>18264608.872499999</v>
      </c>
      <c r="E39" s="51">
        <f>E36*E37</f>
        <v>9233640</v>
      </c>
      <c r="F39" s="50"/>
    </row>
    <row r="40" spans="1:6" x14ac:dyDescent="0.3">
      <c r="A40" s="1">
        <f t="shared" si="0"/>
        <v>39</v>
      </c>
      <c r="B40" s="54" t="s">
        <v>881</v>
      </c>
      <c r="C40" s="50"/>
      <c r="D40" s="51">
        <f>D36-D39</f>
        <v>6088202.9574999996</v>
      </c>
      <c r="E40" s="51">
        <f>E36-E39</f>
        <v>3077880</v>
      </c>
      <c r="F40" s="50"/>
    </row>
    <row r="41" spans="1:6" x14ac:dyDescent="0.3">
      <c r="A41" s="1">
        <f t="shared" si="0"/>
        <v>40</v>
      </c>
      <c r="F41" s="50"/>
    </row>
    <row r="42" spans="1:6" x14ac:dyDescent="0.3">
      <c r="A42" s="1">
        <f t="shared" si="0"/>
        <v>41</v>
      </c>
      <c r="B42" s="54" t="s">
        <v>882</v>
      </c>
      <c r="C42" s="50"/>
      <c r="D42" s="64">
        <f>AVERAGE($D$32:$G$32)</f>
        <v>77006390.219999999</v>
      </c>
      <c r="E42" s="64"/>
      <c r="F42" s="64"/>
    </row>
    <row r="43" spans="1:6" x14ac:dyDescent="0.3">
      <c r="A43" s="1">
        <f t="shared" si="0"/>
        <v>42</v>
      </c>
      <c r="B43" s="54"/>
      <c r="C43" s="50"/>
      <c r="D43" s="51"/>
      <c r="E43" s="51"/>
      <c r="F43" s="64"/>
    </row>
    <row r="44" spans="1:6" x14ac:dyDescent="0.3">
      <c r="A44" s="1">
        <f t="shared" si="0"/>
        <v>43</v>
      </c>
      <c r="B44" s="54" t="s">
        <v>883</v>
      </c>
      <c r="D44" s="63">
        <f>IF(D32-D42&gt;0,D32-D42,0)</f>
        <v>11189066.609999999</v>
      </c>
      <c r="E44" s="63"/>
    </row>
    <row r="45" spans="1:6" x14ac:dyDescent="0.3">
      <c r="A45" s="1">
        <f t="shared" si="0"/>
        <v>44</v>
      </c>
      <c r="B45" s="54" t="s">
        <v>884</v>
      </c>
      <c r="D45" s="66">
        <v>0.75</v>
      </c>
      <c r="E45" s="66"/>
    </row>
    <row r="46" spans="1:6" x14ac:dyDescent="0.3">
      <c r="A46" s="1">
        <f t="shared" si="0"/>
        <v>45</v>
      </c>
    </row>
    <row r="47" spans="1:6" x14ac:dyDescent="0.3">
      <c r="A47" s="1">
        <f t="shared" si="0"/>
        <v>46</v>
      </c>
      <c r="B47" s="54" t="s">
        <v>885</v>
      </c>
      <c r="C47" s="50"/>
      <c r="D47" s="51">
        <f>D44*D45</f>
        <v>8391799.9574999996</v>
      </c>
      <c r="E47" s="51"/>
    </row>
    <row r="48" spans="1:6" x14ac:dyDescent="0.3">
      <c r="A48" s="1">
        <f t="shared" si="0"/>
        <v>47</v>
      </c>
      <c r="B48" s="54" t="s">
        <v>886</v>
      </c>
      <c r="C48" s="50"/>
      <c r="D48" s="51">
        <f>D44-D47</f>
        <v>2797266.6524999999</v>
      </c>
      <c r="E48" s="51"/>
    </row>
    <row r="49" spans="1:5" x14ac:dyDescent="0.3">
      <c r="A49" s="1">
        <f t="shared" si="0"/>
        <v>48</v>
      </c>
      <c r="D49" s="63"/>
    </row>
    <row r="50" spans="1:5" x14ac:dyDescent="0.3">
      <c r="A50" s="1">
        <f t="shared" si="0"/>
        <v>49</v>
      </c>
      <c r="B50" s="54" t="s">
        <v>887</v>
      </c>
      <c r="D50" s="63">
        <f>D40-D48</f>
        <v>3290936.3049999997</v>
      </c>
      <c r="E50" s="63"/>
    </row>
    <row r="51" spans="1:5" x14ac:dyDescent="0.3">
      <c r="A51" s="1">
        <f t="shared" si="0"/>
        <v>50</v>
      </c>
    </row>
    <row r="52" spans="1:5" ht="14.5" thickBot="1" x14ac:dyDescent="0.35">
      <c r="A52" s="1">
        <f t="shared" si="0"/>
        <v>51</v>
      </c>
      <c r="B52" s="54" t="s">
        <v>888</v>
      </c>
      <c r="D52" s="59">
        <f>ROUND(D50+E50,0)</f>
        <v>3290936</v>
      </c>
    </row>
    <row r="53" spans="1:5" ht="14.5" thickTop="1" x14ac:dyDescent="0.3">
      <c r="A53" s="1"/>
    </row>
    <row r="54" spans="1:5" x14ac:dyDescent="0.3">
      <c r="A54" s="1"/>
      <c r="B54" s="44"/>
    </row>
    <row r="55" spans="1:5" x14ac:dyDescent="0.3">
      <c r="A55" s="1"/>
    </row>
    <row r="56" spans="1:5" x14ac:dyDescent="0.3">
      <c r="A56" s="1"/>
      <c r="B56" s="44"/>
      <c r="D56" s="63"/>
    </row>
  </sheetData>
  <mergeCells count="2">
    <mergeCell ref="B3:G3"/>
    <mergeCell ref="B4:G4"/>
  </mergeCells>
  <pageMargins left="0.7" right="0.7" top="0.75" bottom="0.75" header="0.3" footer="0.3"/>
  <pageSetup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F100"/>
  <sheetViews>
    <sheetView zoomScale="80" zoomScaleNormal="80" workbookViewId="0">
      <selection activeCell="I52" sqref="I52"/>
    </sheetView>
  </sheetViews>
  <sheetFormatPr defaultColWidth="15.58203125" defaultRowHeight="14" x14ac:dyDescent="0.3"/>
  <cols>
    <col min="1" max="1" width="4.58203125" customWidth="1"/>
    <col min="2" max="2" width="20.58203125" customWidth="1"/>
  </cols>
  <sheetData>
    <row r="1" spans="1:6" x14ac:dyDescent="0.3">
      <c r="A1" s="1">
        <v>0</v>
      </c>
    </row>
    <row r="2" spans="1:6" x14ac:dyDescent="0.3">
      <c r="A2" s="1">
        <f>A1+1</f>
        <v>1</v>
      </c>
      <c r="F2" s="4" t="s">
        <v>154</v>
      </c>
    </row>
    <row r="3" spans="1:6" x14ac:dyDescent="0.3">
      <c r="A3" s="1">
        <f t="shared" ref="A3:A67" si="0">A2+1</f>
        <v>2</v>
      </c>
      <c r="B3" s="72" t="s">
        <v>1</v>
      </c>
      <c r="C3" s="72"/>
      <c r="D3" s="72"/>
      <c r="E3" s="72"/>
      <c r="F3" s="72"/>
    </row>
    <row r="4" spans="1:6" x14ac:dyDescent="0.3">
      <c r="A4" s="1">
        <f t="shared" si="0"/>
        <v>3</v>
      </c>
      <c r="B4" s="72" t="s">
        <v>155</v>
      </c>
      <c r="C4" s="72"/>
      <c r="D4" s="72"/>
      <c r="E4" s="72"/>
      <c r="F4" s="72"/>
    </row>
    <row r="5" spans="1:6" x14ac:dyDescent="0.3">
      <c r="A5" s="1">
        <f t="shared" si="0"/>
        <v>4</v>
      </c>
    </row>
    <row r="6" spans="1:6" x14ac:dyDescent="0.3">
      <c r="A6" s="1">
        <f t="shared" si="0"/>
        <v>5</v>
      </c>
    </row>
    <row r="7" spans="1:6" x14ac:dyDescent="0.3">
      <c r="A7" s="1">
        <f t="shared" si="0"/>
        <v>6</v>
      </c>
      <c r="B7" s="38" t="s">
        <v>156</v>
      </c>
      <c r="C7" s="37"/>
    </row>
    <row r="8" spans="1:6" x14ac:dyDescent="0.3">
      <c r="A8" s="1">
        <f t="shared" si="0"/>
        <v>7</v>
      </c>
    </row>
    <row r="9" spans="1:6" x14ac:dyDescent="0.3">
      <c r="A9" s="1">
        <f t="shared" si="0"/>
        <v>8</v>
      </c>
      <c r="B9" s="2"/>
      <c r="C9" s="2" t="s">
        <v>157</v>
      </c>
      <c r="D9" s="2" t="s">
        <v>158</v>
      </c>
      <c r="E9" s="2" t="s">
        <v>159</v>
      </c>
    </row>
    <row r="10" spans="1:6" ht="14.5" thickBot="1" x14ac:dyDescent="0.35">
      <c r="A10" s="1">
        <f t="shared" si="0"/>
        <v>9</v>
      </c>
      <c r="B10" s="3" t="s">
        <v>160</v>
      </c>
      <c r="C10" s="3" t="s">
        <v>161</v>
      </c>
      <c r="D10" s="3" t="s">
        <v>162</v>
      </c>
      <c r="E10" s="3" t="s">
        <v>163</v>
      </c>
    </row>
    <row r="11" spans="1:6" x14ac:dyDescent="0.3">
      <c r="A11" s="1">
        <f t="shared" si="0"/>
        <v>10</v>
      </c>
    </row>
    <row r="12" spans="1:6" x14ac:dyDescent="0.3">
      <c r="A12" s="1">
        <f t="shared" si="0"/>
        <v>11</v>
      </c>
      <c r="B12" s="15" t="s">
        <v>164</v>
      </c>
      <c r="C12" s="1">
        <f>1254929.655-766.991</f>
        <v>1254162.6640000001</v>
      </c>
      <c r="D12" s="16">
        <v>26.24</v>
      </c>
      <c r="E12" s="6">
        <f>ROUND(C12*D12,0)</f>
        <v>32909228</v>
      </c>
    </row>
    <row r="13" spans="1:6" x14ac:dyDescent="0.3">
      <c r="A13" s="1">
        <f t="shared" si="0"/>
        <v>12</v>
      </c>
      <c r="B13" s="15" t="s">
        <v>165</v>
      </c>
      <c r="C13" s="1">
        <f>1055989.574-554.886</f>
        <v>1055434.6880000001</v>
      </c>
      <c r="D13" s="16">
        <f>D12</f>
        <v>26.24</v>
      </c>
      <c r="E13" s="6">
        <f t="shared" ref="E13:E23" si="1">ROUND(C13*D13,0)</f>
        <v>27694606</v>
      </c>
    </row>
    <row r="14" spans="1:6" x14ac:dyDescent="0.3">
      <c r="A14" s="1">
        <f t="shared" si="0"/>
        <v>13</v>
      </c>
      <c r="B14" s="15" t="s">
        <v>166</v>
      </c>
      <c r="C14" s="1">
        <f>1108376.16-711.147</f>
        <v>1107665.0129999998</v>
      </c>
      <c r="D14" s="16">
        <f>D13</f>
        <v>26.24</v>
      </c>
      <c r="E14" s="6">
        <f t="shared" si="1"/>
        <v>29065130</v>
      </c>
    </row>
    <row r="15" spans="1:6" x14ac:dyDescent="0.3">
      <c r="A15" s="1">
        <f t="shared" si="0"/>
        <v>14</v>
      </c>
      <c r="B15" s="15" t="s">
        <v>167</v>
      </c>
      <c r="C15" s="1">
        <f>927154.045-748.618</f>
        <v>926405.42700000003</v>
      </c>
      <c r="D15" s="16">
        <f t="shared" ref="D15:D23" si="2">D14</f>
        <v>26.24</v>
      </c>
      <c r="E15" s="6">
        <f t="shared" si="1"/>
        <v>24308878</v>
      </c>
    </row>
    <row r="16" spans="1:6" x14ac:dyDescent="0.3">
      <c r="A16" s="1">
        <f t="shared" si="0"/>
        <v>15</v>
      </c>
      <c r="B16" s="15" t="s">
        <v>168</v>
      </c>
      <c r="C16" s="1">
        <f>962444.403-793.12</f>
        <v>961651.28300000005</v>
      </c>
      <c r="D16" s="16">
        <f t="shared" si="2"/>
        <v>26.24</v>
      </c>
      <c r="E16" s="6">
        <f t="shared" si="1"/>
        <v>25233730</v>
      </c>
    </row>
    <row r="17" spans="1:5" x14ac:dyDescent="0.3">
      <c r="A17" s="1">
        <f t="shared" si="0"/>
        <v>16</v>
      </c>
      <c r="B17" s="15" t="s">
        <v>169</v>
      </c>
      <c r="C17" s="1">
        <f>1002561.581-512.228</f>
        <v>1002049.353</v>
      </c>
      <c r="D17" s="16">
        <f t="shared" si="2"/>
        <v>26.24</v>
      </c>
      <c r="E17" s="6">
        <f t="shared" si="1"/>
        <v>26293775</v>
      </c>
    </row>
    <row r="18" spans="1:5" x14ac:dyDescent="0.3">
      <c r="A18" s="1">
        <f t="shared" si="0"/>
        <v>17</v>
      </c>
      <c r="B18" s="15" t="s">
        <v>170</v>
      </c>
      <c r="C18" s="1">
        <f>1209441.847-666.17</f>
        <v>1208775.6770000001</v>
      </c>
      <c r="D18" s="16">
        <f t="shared" si="2"/>
        <v>26.24</v>
      </c>
      <c r="E18" s="6">
        <f t="shared" si="1"/>
        <v>31718274</v>
      </c>
    </row>
    <row r="19" spans="1:5" x14ac:dyDescent="0.3">
      <c r="A19" s="1">
        <f t="shared" si="0"/>
        <v>18</v>
      </c>
      <c r="B19" s="15" t="s">
        <v>171</v>
      </c>
      <c r="C19" s="1">
        <f>1173507.809-420.837</f>
        <v>1173086.9719999998</v>
      </c>
      <c r="D19" s="16">
        <f t="shared" si="2"/>
        <v>26.24</v>
      </c>
      <c r="E19" s="6">
        <f t="shared" si="1"/>
        <v>30781802</v>
      </c>
    </row>
    <row r="20" spans="1:5" x14ac:dyDescent="0.3">
      <c r="A20" s="1">
        <f t="shared" si="0"/>
        <v>19</v>
      </c>
      <c r="B20" s="15" t="s">
        <v>172</v>
      </c>
      <c r="C20" s="1">
        <f>979546.897-108.806</f>
        <v>979438.09100000001</v>
      </c>
      <c r="D20" s="16">
        <f t="shared" si="2"/>
        <v>26.24</v>
      </c>
      <c r="E20" s="6">
        <f t="shared" si="1"/>
        <v>25700456</v>
      </c>
    </row>
    <row r="21" spans="1:5" x14ac:dyDescent="0.3">
      <c r="A21" s="1">
        <f t="shared" si="0"/>
        <v>20</v>
      </c>
      <c r="B21" s="15" t="s">
        <v>173</v>
      </c>
      <c r="C21" s="1">
        <f>968951.567-53.494</f>
        <v>968898.07300000009</v>
      </c>
      <c r="D21" s="16">
        <f t="shared" si="2"/>
        <v>26.24</v>
      </c>
      <c r="E21" s="6">
        <f t="shared" si="1"/>
        <v>25423885</v>
      </c>
    </row>
    <row r="22" spans="1:5" x14ac:dyDescent="0.3">
      <c r="A22" s="1">
        <f t="shared" si="0"/>
        <v>21</v>
      </c>
      <c r="B22" s="15" t="s">
        <v>174</v>
      </c>
      <c r="C22" s="1">
        <f>1117302.279-302.251</f>
        <v>1117000.0280000002</v>
      </c>
      <c r="D22" s="16">
        <f t="shared" si="2"/>
        <v>26.24</v>
      </c>
      <c r="E22" s="6">
        <f t="shared" si="1"/>
        <v>29310081</v>
      </c>
    </row>
    <row r="23" spans="1:5" x14ac:dyDescent="0.3">
      <c r="A23" s="1">
        <f t="shared" si="0"/>
        <v>22</v>
      </c>
      <c r="B23" s="15" t="s">
        <v>175</v>
      </c>
      <c r="C23" s="17">
        <f>1262439.357-444.882</f>
        <v>1261994.4750000001</v>
      </c>
      <c r="D23" s="16">
        <f t="shared" si="2"/>
        <v>26.24</v>
      </c>
      <c r="E23" s="8">
        <f t="shared" si="1"/>
        <v>33114735</v>
      </c>
    </row>
    <row r="24" spans="1:5" x14ac:dyDescent="0.3">
      <c r="A24" s="1">
        <f t="shared" si="0"/>
        <v>23</v>
      </c>
      <c r="C24" s="1"/>
      <c r="E24" s="6"/>
    </row>
    <row r="25" spans="1:5" ht="14.5" thickBot="1" x14ac:dyDescent="0.35">
      <c r="A25" s="1">
        <f t="shared" si="0"/>
        <v>24</v>
      </c>
      <c r="B25" s="15" t="s">
        <v>176</v>
      </c>
      <c r="C25" s="18">
        <f>SUM(C12:C23)</f>
        <v>13016561.744000001</v>
      </c>
      <c r="E25" s="10">
        <f>ROUND(SUM(E12:E23),0)</f>
        <v>341554580</v>
      </c>
    </row>
    <row r="26" spans="1:5" ht="14.5" thickTop="1" x14ac:dyDescent="0.3">
      <c r="A26" s="1">
        <f t="shared" si="0"/>
        <v>25</v>
      </c>
      <c r="B26" s="15" t="s">
        <v>177</v>
      </c>
    </row>
    <row r="27" spans="1:5" x14ac:dyDescent="0.3">
      <c r="A27" s="1">
        <f t="shared" si="0"/>
        <v>26</v>
      </c>
    </row>
    <row r="28" spans="1:5" x14ac:dyDescent="0.3">
      <c r="A28" s="1">
        <f t="shared" si="0"/>
        <v>27</v>
      </c>
      <c r="B28" s="38" t="s">
        <v>178</v>
      </c>
      <c r="C28" s="37"/>
    </row>
    <row r="29" spans="1:5" x14ac:dyDescent="0.3">
      <c r="A29" s="1">
        <f t="shared" si="0"/>
        <v>28</v>
      </c>
    </row>
    <row r="30" spans="1:5" x14ac:dyDescent="0.3">
      <c r="A30" s="1">
        <f t="shared" si="0"/>
        <v>29</v>
      </c>
      <c r="B30" s="2"/>
      <c r="C30" s="2" t="s">
        <v>179</v>
      </c>
      <c r="D30" s="2" t="s">
        <v>179</v>
      </c>
      <c r="E30" s="2" t="s">
        <v>180</v>
      </c>
    </row>
    <row r="31" spans="1:5" ht="14.5" thickBot="1" x14ac:dyDescent="0.35">
      <c r="A31" s="1">
        <f t="shared" si="0"/>
        <v>30</v>
      </c>
      <c r="B31" s="3" t="s">
        <v>160</v>
      </c>
      <c r="C31" s="3" t="s">
        <v>181</v>
      </c>
      <c r="D31" s="3" t="s">
        <v>182</v>
      </c>
      <c r="E31" s="3" t="s">
        <v>181</v>
      </c>
    </row>
    <row r="32" spans="1:5" x14ac:dyDescent="0.3">
      <c r="A32" s="1">
        <f t="shared" si="0"/>
        <v>31</v>
      </c>
    </row>
    <row r="33" spans="1:5" x14ac:dyDescent="0.3">
      <c r="A33" s="1">
        <f t="shared" si="0"/>
        <v>32</v>
      </c>
      <c r="B33" s="15" t="s">
        <v>164</v>
      </c>
      <c r="C33" s="6">
        <v>27855774</v>
      </c>
      <c r="D33" s="6">
        <v>434050</v>
      </c>
      <c r="E33" s="6">
        <f>C33+D33</f>
        <v>28289824</v>
      </c>
    </row>
    <row r="34" spans="1:5" x14ac:dyDescent="0.3">
      <c r="A34" s="1">
        <f t="shared" si="0"/>
        <v>33</v>
      </c>
      <c r="B34" s="15" t="s">
        <v>165</v>
      </c>
      <c r="C34" s="6">
        <v>11906701</v>
      </c>
      <c r="D34" s="6">
        <v>206731</v>
      </c>
      <c r="E34" s="6">
        <f t="shared" ref="E34:E44" si="3">C34+D34</f>
        <v>12113432</v>
      </c>
    </row>
    <row r="35" spans="1:5" x14ac:dyDescent="0.3">
      <c r="A35" s="1">
        <f t="shared" si="0"/>
        <v>34</v>
      </c>
      <c r="B35" s="15" t="s">
        <v>166</v>
      </c>
      <c r="C35" s="6">
        <v>9726359</v>
      </c>
      <c r="D35" s="6">
        <v>168976</v>
      </c>
      <c r="E35" s="6">
        <f t="shared" si="3"/>
        <v>9895335</v>
      </c>
    </row>
    <row r="36" spans="1:5" x14ac:dyDescent="0.3">
      <c r="A36" s="1">
        <f t="shared" si="0"/>
        <v>35</v>
      </c>
      <c r="B36" s="15" t="s">
        <v>167</v>
      </c>
      <c r="C36" s="6">
        <v>8706465</v>
      </c>
      <c r="D36" s="6">
        <v>155105</v>
      </c>
      <c r="E36" s="6">
        <f t="shared" si="3"/>
        <v>8861570</v>
      </c>
    </row>
    <row r="37" spans="1:5" x14ac:dyDescent="0.3">
      <c r="A37" s="1">
        <f t="shared" si="0"/>
        <v>36</v>
      </c>
      <c r="B37" s="15" t="s">
        <v>168</v>
      </c>
      <c r="C37" s="6">
        <v>10584522</v>
      </c>
      <c r="D37" s="6">
        <v>182676</v>
      </c>
      <c r="E37" s="6">
        <f t="shared" si="3"/>
        <v>10767198</v>
      </c>
    </row>
    <row r="38" spans="1:5" x14ac:dyDescent="0.3">
      <c r="A38" s="1">
        <f t="shared" si="0"/>
        <v>37</v>
      </c>
      <c r="B38" s="15" t="s">
        <v>169</v>
      </c>
      <c r="C38" s="6">
        <v>4522746</v>
      </c>
      <c r="D38" s="6">
        <v>68012</v>
      </c>
      <c r="E38" s="6">
        <f t="shared" si="3"/>
        <v>4590758</v>
      </c>
    </row>
    <row r="39" spans="1:5" x14ac:dyDescent="0.3">
      <c r="A39" s="1">
        <f t="shared" si="0"/>
        <v>38</v>
      </c>
      <c r="B39" s="15" t="s">
        <v>170</v>
      </c>
      <c r="C39" s="6">
        <v>8132501</v>
      </c>
      <c r="D39" s="6">
        <v>109003</v>
      </c>
      <c r="E39" s="6">
        <f t="shared" si="3"/>
        <v>8241504</v>
      </c>
    </row>
    <row r="40" spans="1:5" x14ac:dyDescent="0.3">
      <c r="A40" s="1">
        <f t="shared" si="0"/>
        <v>39</v>
      </c>
      <c r="B40" s="15" t="s">
        <v>171</v>
      </c>
      <c r="C40" s="6">
        <v>12895899</v>
      </c>
      <c r="D40" s="6">
        <v>174930</v>
      </c>
      <c r="E40" s="6">
        <f t="shared" si="3"/>
        <v>13070829</v>
      </c>
    </row>
    <row r="41" spans="1:5" x14ac:dyDescent="0.3">
      <c r="A41" s="1">
        <f t="shared" si="0"/>
        <v>40</v>
      </c>
      <c r="B41" s="15" t="s">
        <v>172</v>
      </c>
      <c r="C41" s="6">
        <v>9993508</v>
      </c>
      <c r="D41" s="6">
        <v>122246</v>
      </c>
      <c r="E41" s="6">
        <f t="shared" si="3"/>
        <v>10115754</v>
      </c>
    </row>
    <row r="42" spans="1:5" x14ac:dyDescent="0.3">
      <c r="A42" s="1">
        <f t="shared" si="0"/>
        <v>41</v>
      </c>
      <c r="B42" s="15" t="s">
        <v>173</v>
      </c>
      <c r="C42" s="6">
        <v>10527925</v>
      </c>
      <c r="D42" s="6">
        <v>193340</v>
      </c>
      <c r="E42" s="6">
        <f t="shared" si="3"/>
        <v>10721265</v>
      </c>
    </row>
    <row r="43" spans="1:5" x14ac:dyDescent="0.3">
      <c r="A43" s="1">
        <f t="shared" si="0"/>
        <v>42</v>
      </c>
      <c r="B43" s="15" t="s">
        <v>174</v>
      </c>
      <c r="C43" s="6">
        <v>8864995</v>
      </c>
      <c r="D43" s="6">
        <v>139746</v>
      </c>
      <c r="E43" s="6">
        <f t="shared" si="3"/>
        <v>9004741</v>
      </c>
    </row>
    <row r="44" spans="1:5" x14ac:dyDescent="0.3">
      <c r="A44" s="1">
        <f t="shared" si="0"/>
        <v>43</v>
      </c>
      <c r="B44" s="15" t="s">
        <v>175</v>
      </c>
      <c r="C44" s="8">
        <v>7858615</v>
      </c>
      <c r="D44" s="8">
        <v>118706</v>
      </c>
      <c r="E44" s="8">
        <f t="shared" si="3"/>
        <v>7977321</v>
      </c>
    </row>
    <row r="45" spans="1:5" x14ac:dyDescent="0.3">
      <c r="A45" s="1">
        <f t="shared" si="0"/>
        <v>44</v>
      </c>
      <c r="C45" s="6"/>
      <c r="D45" s="6"/>
      <c r="E45" s="6"/>
    </row>
    <row r="46" spans="1:5" ht="14.5" thickBot="1" x14ac:dyDescent="0.35">
      <c r="A46" s="1">
        <f t="shared" si="0"/>
        <v>45</v>
      </c>
      <c r="B46" s="15" t="s">
        <v>176</v>
      </c>
      <c r="C46" s="10">
        <f>SUM(C33:C44)</f>
        <v>131576010</v>
      </c>
      <c r="D46" s="10">
        <f t="shared" ref="D46:E46" si="4">SUM(D33:D44)</f>
        <v>2073521</v>
      </c>
      <c r="E46" s="10">
        <f t="shared" si="4"/>
        <v>133649531</v>
      </c>
    </row>
    <row r="47" spans="1:5" ht="14.5" thickTop="1" x14ac:dyDescent="0.3">
      <c r="A47" s="1">
        <f t="shared" si="0"/>
        <v>46</v>
      </c>
    </row>
    <row r="48" spans="1:5" x14ac:dyDescent="0.3">
      <c r="A48" s="1">
        <f t="shared" si="0"/>
        <v>47</v>
      </c>
    </row>
    <row r="49" spans="1:6" x14ac:dyDescent="0.3">
      <c r="A49" s="1">
        <f t="shared" si="0"/>
        <v>48</v>
      </c>
      <c r="B49" s="38" t="s">
        <v>183</v>
      </c>
      <c r="C49" s="37"/>
      <c r="D49" s="37"/>
    </row>
    <row r="50" spans="1:6" x14ac:dyDescent="0.3">
      <c r="A50" s="1">
        <f t="shared" si="0"/>
        <v>49</v>
      </c>
    </row>
    <row r="51" spans="1:6" x14ac:dyDescent="0.3">
      <c r="A51" s="1">
        <f t="shared" si="0"/>
        <v>50</v>
      </c>
      <c r="B51" t="s">
        <v>184</v>
      </c>
      <c r="E51" s="6">
        <v>331259993</v>
      </c>
    </row>
    <row r="52" spans="1:6" x14ac:dyDescent="0.3">
      <c r="A52" s="1">
        <f t="shared" si="0"/>
        <v>51</v>
      </c>
      <c r="E52" s="6"/>
    </row>
    <row r="53" spans="1:6" x14ac:dyDescent="0.3">
      <c r="A53" s="1">
        <f t="shared" si="0"/>
        <v>52</v>
      </c>
      <c r="B53" t="s">
        <v>185</v>
      </c>
      <c r="E53" s="8">
        <v>3293380</v>
      </c>
    </row>
    <row r="54" spans="1:6" x14ac:dyDescent="0.3">
      <c r="A54" s="1">
        <f t="shared" si="0"/>
        <v>53</v>
      </c>
      <c r="E54" s="6"/>
    </row>
    <row r="55" spans="1:6" ht="14.5" thickBot="1" x14ac:dyDescent="0.35">
      <c r="A55" s="1">
        <f t="shared" si="0"/>
        <v>54</v>
      </c>
      <c r="B55" t="s">
        <v>186</v>
      </c>
      <c r="E55" s="10">
        <f>E51-E53</f>
        <v>327966613</v>
      </c>
    </row>
    <row r="56" spans="1:6" ht="14.5" thickTop="1" x14ac:dyDescent="0.3">
      <c r="A56" s="1">
        <f t="shared" si="0"/>
        <v>55</v>
      </c>
    </row>
    <row r="57" spans="1:6" x14ac:dyDescent="0.3">
      <c r="A57" s="1">
        <f>A56+1</f>
        <v>56</v>
      </c>
    </row>
    <row r="58" spans="1:6" x14ac:dyDescent="0.3">
      <c r="A58" s="1">
        <f t="shared" si="0"/>
        <v>57</v>
      </c>
      <c r="B58" s="38" t="s">
        <v>187</v>
      </c>
      <c r="C58" s="37"/>
      <c r="D58" s="37"/>
      <c r="E58" s="37"/>
      <c r="F58" s="37"/>
    </row>
    <row r="59" spans="1:6" x14ac:dyDescent="0.3">
      <c r="A59" s="1">
        <f t="shared" si="0"/>
        <v>58</v>
      </c>
    </row>
    <row r="60" spans="1:6" x14ac:dyDescent="0.3">
      <c r="A60" s="1">
        <f t="shared" si="0"/>
        <v>59</v>
      </c>
      <c r="C60" s="2"/>
      <c r="D60" s="2" t="s">
        <v>188</v>
      </c>
      <c r="E60" s="2" t="s">
        <v>188</v>
      </c>
      <c r="F60" s="2" t="s">
        <v>189</v>
      </c>
    </row>
    <row r="61" spans="1:6" x14ac:dyDescent="0.3">
      <c r="A61" s="1">
        <f t="shared" si="0"/>
        <v>60</v>
      </c>
      <c r="B61" s="2"/>
      <c r="C61" s="2" t="s">
        <v>190</v>
      </c>
      <c r="D61" s="2" t="s">
        <v>191</v>
      </c>
      <c r="E61" s="2" t="s">
        <v>192</v>
      </c>
      <c r="F61" s="2" t="s">
        <v>193</v>
      </c>
    </row>
    <row r="62" spans="1:6" ht="14.5" thickBot="1" x14ac:dyDescent="0.35">
      <c r="A62" s="1">
        <f t="shared" si="0"/>
        <v>61</v>
      </c>
      <c r="B62" s="3" t="s">
        <v>160</v>
      </c>
      <c r="C62" s="3" t="s">
        <v>194</v>
      </c>
      <c r="D62" s="3" t="s">
        <v>195</v>
      </c>
      <c r="E62" s="3" t="s">
        <v>196</v>
      </c>
      <c r="F62" s="3" t="s">
        <v>196</v>
      </c>
    </row>
    <row r="63" spans="1:6" x14ac:dyDescent="0.3">
      <c r="A63" s="1">
        <f t="shared" si="0"/>
        <v>62</v>
      </c>
    </row>
    <row r="64" spans="1:6" x14ac:dyDescent="0.3">
      <c r="A64" s="1">
        <f t="shared" si="0"/>
        <v>63</v>
      </c>
      <c r="B64" s="15" t="s">
        <v>164</v>
      </c>
      <c r="C64" s="6">
        <v>22715610</v>
      </c>
      <c r="D64" s="6">
        <v>0</v>
      </c>
      <c r="E64" s="6">
        <f>ROUND(C64-D64,0)</f>
        <v>22715610</v>
      </c>
      <c r="F64" s="6">
        <v>1391294</v>
      </c>
    </row>
    <row r="65" spans="1:6" x14ac:dyDescent="0.3">
      <c r="A65" s="1">
        <f t="shared" si="0"/>
        <v>64</v>
      </c>
      <c r="B65" s="15" t="s">
        <v>165</v>
      </c>
      <c r="C65" s="6">
        <v>14415056</v>
      </c>
      <c r="D65" s="6">
        <v>0</v>
      </c>
      <c r="E65" s="6">
        <f t="shared" ref="E65:E75" si="5">ROUND(C65-D65,0)</f>
        <v>14415056</v>
      </c>
      <c r="F65" s="6">
        <v>521925</v>
      </c>
    </row>
    <row r="66" spans="1:6" x14ac:dyDescent="0.3">
      <c r="A66" s="1">
        <f t="shared" si="0"/>
        <v>65</v>
      </c>
      <c r="B66" s="15" t="s">
        <v>166</v>
      </c>
      <c r="C66" s="6">
        <v>13511375</v>
      </c>
      <c r="D66" s="6">
        <v>0</v>
      </c>
      <c r="E66" s="6">
        <f t="shared" si="5"/>
        <v>13511375</v>
      </c>
      <c r="F66" s="6">
        <v>1214803</v>
      </c>
    </row>
    <row r="67" spans="1:6" x14ac:dyDescent="0.3">
      <c r="A67" s="1">
        <f t="shared" si="0"/>
        <v>66</v>
      </c>
      <c r="B67" s="15" t="s">
        <v>167</v>
      </c>
      <c r="C67" s="6">
        <v>7959146</v>
      </c>
      <c r="D67" s="6">
        <v>0</v>
      </c>
      <c r="E67" s="6">
        <f t="shared" si="5"/>
        <v>7959146</v>
      </c>
      <c r="F67" s="6">
        <v>613782</v>
      </c>
    </row>
    <row r="68" spans="1:6" x14ac:dyDescent="0.3">
      <c r="A68" s="1">
        <f t="shared" ref="A68:A100" si="6">A67+1</f>
        <v>67</v>
      </c>
      <c r="B68" s="15" t="s">
        <v>168</v>
      </c>
      <c r="C68" s="6">
        <v>10384989</v>
      </c>
      <c r="D68" s="6">
        <v>0</v>
      </c>
      <c r="E68" s="6">
        <f t="shared" si="5"/>
        <v>10384989</v>
      </c>
      <c r="F68" s="6">
        <v>-960912</v>
      </c>
    </row>
    <row r="69" spans="1:6" x14ac:dyDescent="0.3">
      <c r="A69" s="1">
        <f t="shared" si="6"/>
        <v>68</v>
      </c>
      <c r="B69" s="15" t="s">
        <v>169</v>
      </c>
      <c r="C69" s="6">
        <v>10063657</v>
      </c>
      <c r="D69" s="6">
        <v>0</v>
      </c>
      <c r="E69" s="6">
        <f t="shared" si="5"/>
        <v>10063657</v>
      </c>
      <c r="F69" s="6">
        <v>531019</v>
      </c>
    </row>
    <row r="70" spans="1:6" x14ac:dyDescent="0.3">
      <c r="A70" s="1">
        <f t="shared" si="6"/>
        <v>69</v>
      </c>
      <c r="B70" s="15" t="s">
        <v>170</v>
      </c>
      <c r="C70" s="6">
        <v>3501828</v>
      </c>
      <c r="D70" s="6">
        <v>38852</v>
      </c>
      <c r="E70" s="6">
        <f t="shared" si="5"/>
        <v>3462976</v>
      </c>
      <c r="F70" s="6">
        <v>221209</v>
      </c>
    </row>
    <row r="71" spans="1:6" x14ac:dyDescent="0.3">
      <c r="A71" s="1">
        <f t="shared" si="6"/>
        <v>70</v>
      </c>
      <c r="B71" s="15" t="s">
        <v>171</v>
      </c>
      <c r="C71" s="6">
        <v>6140799</v>
      </c>
      <c r="D71" s="6">
        <v>556681</v>
      </c>
      <c r="E71" s="6">
        <f t="shared" si="5"/>
        <v>5584118</v>
      </c>
      <c r="F71" s="6">
        <v>763054</v>
      </c>
    </row>
    <row r="72" spans="1:6" x14ac:dyDescent="0.3">
      <c r="A72" s="1">
        <f t="shared" si="6"/>
        <v>71</v>
      </c>
      <c r="B72" s="15" t="s">
        <v>172</v>
      </c>
      <c r="C72" s="6">
        <v>3524107</v>
      </c>
      <c r="D72" s="6">
        <v>151981</v>
      </c>
      <c r="E72" s="6">
        <f t="shared" si="5"/>
        <v>3372126</v>
      </c>
      <c r="F72" s="6">
        <v>698086</v>
      </c>
    </row>
    <row r="73" spans="1:6" x14ac:dyDescent="0.3">
      <c r="A73" s="1">
        <f t="shared" si="6"/>
        <v>72</v>
      </c>
      <c r="B73" s="15" t="s">
        <v>173</v>
      </c>
      <c r="C73" s="6">
        <v>11463210</v>
      </c>
      <c r="D73" s="6">
        <v>80422</v>
      </c>
      <c r="E73" s="6">
        <f t="shared" si="5"/>
        <v>11382788</v>
      </c>
      <c r="F73" s="6">
        <v>-516162</v>
      </c>
    </row>
    <row r="74" spans="1:6" x14ac:dyDescent="0.3">
      <c r="A74" s="1">
        <f t="shared" si="6"/>
        <v>73</v>
      </c>
      <c r="B74" s="15" t="s">
        <v>174</v>
      </c>
      <c r="C74" s="6">
        <v>12968565</v>
      </c>
      <c r="D74" s="6">
        <v>-100325</v>
      </c>
      <c r="E74" s="6">
        <f t="shared" si="5"/>
        <v>13068890</v>
      </c>
      <c r="F74" s="6">
        <v>-488656</v>
      </c>
    </row>
    <row r="75" spans="1:6" x14ac:dyDescent="0.3">
      <c r="A75" s="1">
        <f t="shared" si="6"/>
        <v>74</v>
      </c>
      <c r="B75" s="15" t="s">
        <v>175</v>
      </c>
      <c r="C75" s="8">
        <v>12013810</v>
      </c>
      <c r="D75" s="8">
        <v>0</v>
      </c>
      <c r="E75" s="8">
        <f t="shared" si="5"/>
        <v>12013810</v>
      </c>
      <c r="F75" s="8">
        <v>-566662</v>
      </c>
    </row>
    <row r="76" spans="1:6" x14ac:dyDescent="0.3">
      <c r="A76" s="1">
        <f t="shared" si="6"/>
        <v>75</v>
      </c>
      <c r="C76" s="6"/>
      <c r="D76" s="6"/>
      <c r="E76" s="6"/>
    </row>
    <row r="77" spans="1:6" ht="14.5" thickBot="1" x14ac:dyDescent="0.35">
      <c r="A77" s="1">
        <f t="shared" si="6"/>
        <v>76</v>
      </c>
      <c r="B77" s="15" t="s">
        <v>176</v>
      </c>
      <c r="C77" s="10">
        <f>SUM(C64:C75)</f>
        <v>128662152</v>
      </c>
      <c r="D77" s="10">
        <f t="shared" ref="D77:F77" si="7">SUM(D64:D75)</f>
        <v>727611</v>
      </c>
      <c r="E77" s="10">
        <f t="shared" si="7"/>
        <v>127934541</v>
      </c>
      <c r="F77" s="10">
        <f t="shared" si="7"/>
        <v>3422780</v>
      </c>
    </row>
    <row r="78" spans="1:6" ht="14.5" thickTop="1" x14ac:dyDescent="0.3">
      <c r="A78" s="1">
        <f t="shared" si="6"/>
        <v>77</v>
      </c>
    </row>
    <row r="79" spans="1:6" x14ac:dyDescent="0.3">
      <c r="A79" s="1">
        <f t="shared" si="6"/>
        <v>78</v>
      </c>
    </row>
    <row r="80" spans="1:6" x14ac:dyDescent="0.3">
      <c r="A80" s="1">
        <f t="shared" si="6"/>
        <v>79</v>
      </c>
      <c r="B80" s="38" t="s">
        <v>197</v>
      </c>
      <c r="C80" s="37"/>
      <c r="D80" s="37"/>
    </row>
    <row r="81" spans="1:6" x14ac:dyDescent="0.3">
      <c r="A81" s="1">
        <f t="shared" si="6"/>
        <v>80</v>
      </c>
    </row>
    <row r="82" spans="1:6" x14ac:dyDescent="0.3">
      <c r="A82" s="1">
        <f t="shared" si="6"/>
        <v>81</v>
      </c>
      <c r="B82" t="s">
        <v>198</v>
      </c>
      <c r="E82" s="6">
        <v>-15706696</v>
      </c>
      <c r="F82" t="s">
        <v>199</v>
      </c>
    </row>
    <row r="83" spans="1:6" x14ac:dyDescent="0.3">
      <c r="A83" s="1">
        <f t="shared" si="6"/>
        <v>82</v>
      </c>
      <c r="B83" t="s">
        <v>200</v>
      </c>
      <c r="E83" s="8">
        <f>-182800</f>
        <v>-182800</v>
      </c>
      <c r="F83" t="s">
        <v>201</v>
      </c>
    </row>
    <row r="84" spans="1:6" x14ac:dyDescent="0.3">
      <c r="A84" s="1">
        <f t="shared" si="6"/>
        <v>83</v>
      </c>
      <c r="B84" t="s">
        <v>202</v>
      </c>
      <c r="E84" s="6">
        <f>ROUND(E82+E83,0)</f>
        <v>-15889496</v>
      </c>
    </row>
    <row r="85" spans="1:6" x14ac:dyDescent="0.3">
      <c r="A85" s="1">
        <f t="shared" si="6"/>
        <v>84</v>
      </c>
    </row>
    <row r="86" spans="1:6" x14ac:dyDescent="0.3">
      <c r="A86" s="1">
        <f t="shared" si="6"/>
        <v>85</v>
      </c>
      <c r="B86" s="14" t="s">
        <v>203</v>
      </c>
    </row>
    <row r="87" spans="1:6" x14ac:dyDescent="0.3">
      <c r="A87" s="1">
        <f t="shared" si="6"/>
        <v>86</v>
      </c>
    </row>
    <row r="88" spans="1:6" x14ac:dyDescent="0.3">
      <c r="A88" s="1">
        <f t="shared" si="6"/>
        <v>87</v>
      </c>
      <c r="B88" t="s">
        <v>204</v>
      </c>
      <c r="D88" s="6"/>
    </row>
    <row r="89" spans="1:6" x14ac:dyDescent="0.3">
      <c r="A89" s="1">
        <f t="shared" si="6"/>
        <v>88</v>
      </c>
      <c r="C89" t="s">
        <v>205</v>
      </c>
      <c r="D89" s="6">
        <f>-E25</f>
        <v>-341554580</v>
      </c>
    </row>
    <row r="90" spans="1:6" x14ac:dyDescent="0.3">
      <c r="A90" s="1">
        <f t="shared" si="6"/>
        <v>89</v>
      </c>
      <c r="C90" t="s">
        <v>206</v>
      </c>
      <c r="D90" s="6">
        <f>-E46</f>
        <v>-133649531</v>
      </c>
    </row>
    <row r="91" spans="1:6" x14ac:dyDescent="0.3">
      <c r="A91" s="1">
        <f t="shared" si="6"/>
        <v>90</v>
      </c>
      <c r="C91" t="s">
        <v>207</v>
      </c>
      <c r="D91" s="8">
        <f>-E84</f>
        <v>15889496</v>
      </c>
    </row>
    <row r="92" spans="1:6" x14ac:dyDescent="0.3">
      <c r="A92" s="1">
        <f t="shared" si="6"/>
        <v>91</v>
      </c>
      <c r="C92" t="s">
        <v>208</v>
      </c>
      <c r="D92" s="6">
        <f>SUM(D89:D91)</f>
        <v>-459314615</v>
      </c>
    </row>
    <row r="93" spans="1:6" x14ac:dyDescent="0.3">
      <c r="A93" s="1">
        <f t="shared" si="6"/>
        <v>92</v>
      </c>
      <c r="B93" t="s">
        <v>209</v>
      </c>
      <c r="D93" s="6">
        <f>-E55</f>
        <v>-327966613</v>
      </c>
    </row>
    <row r="94" spans="1:6" x14ac:dyDescent="0.3">
      <c r="A94" s="1">
        <f t="shared" si="6"/>
        <v>93</v>
      </c>
      <c r="B94" t="s">
        <v>210</v>
      </c>
      <c r="D94" s="6">
        <f>-E77</f>
        <v>-127934541</v>
      </c>
    </row>
    <row r="95" spans="1:6" x14ac:dyDescent="0.3">
      <c r="A95" s="1">
        <f t="shared" si="6"/>
        <v>94</v>
      </c>
      <c r="B95" t="s">
        <v>211</v>
      </c>
      <c r="D95" s="6">
        <f>-F77</f>
        <v>-3422780</v>
      </c>
    </row>
    <row r="96" spans="1:6" x14ac:dyDescent="0.3">
      <c r="A96" s="1">
        <f t="shared" si="6"/>
        <v>95</v>
      </c>
      <c r="D96" s="6"/>
    </row>
    <row r="97" spans="1:4" x14ac:dyDescent="0.3">
      <c r="A97" s="1">
        <f t="shared" si="6"/>
        <v>96</v>
      </c>
      <c r="D97" s="41"/>
    </row>
    <row r="98" spans="1:4" x14ac:dyDescent="0.3">
      <c r="A98" s="1">
        <f t="shared" si="6"/>
        <v>97</v>
      </c>
    </row>
    <row r="99" spans="1:4" x14ac:dyDescent="0.3">
      <c r="A99" s="1">
        <f t="shared" si="6"/>
        <v>98</v>
      </c>
    </row>
    <row r="100" spans="1:4" x14ac:dyDescent="0.3">
      <c r="A100" s="1">
        <f t="shared" si="6"/>
        <v>99</v>
      </c>
    </row>
  </sheetData>
  <mergeCells count="2">
    <mergeCell ref="B3:F3"/>
    <mergeCell ref="B4:F4"/>
  </mergeCells>
  <pageMargins left="0.7" right="0.7" top="0.75" bottom="0.75" header="0.3" footer="0.3"/>
  <pageSetup scale="95" orientation="portrait" verticalDpi="300" r:id="rId1"/>
  <rowBreaks count="1" manualBreakCount="1">
    <brk id="47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0A310-F565-470F-82B2-27F66698C528}">
  <sheetPr>
    <tabColor rgb="FF92D050"/>
  </sheetPr>
  <dimension ref="A1:H25"/>
  <sheetViews>
    <sheetView zoomScale="80" zoomScaleNormal="80" workbookViewId="0">
      <selection activeCell="I13" sqref="I13"/>
    </sheetView>
  </sheetViews>
  <sheetFormatPr defaultColWidth="15.58203125" defaultRowHeight="14" x14ac:dyDescent="0.3"/>
  <cols>
    <col min="1" max="1" width="4.58203125" customWidth="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889</v>
      </c>
    </row>
    <row r="3" spans="1:7" x14ac:dyDescent="0.3">
      <c r="A3" s="1">
        <f t="shared" ref="A3:A19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936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</row>
    <row r="6" spans="1:7" x14ac:dyDescent="0.3">
      <c r="A6" s="1">
        <f t="shared" si="0"/>
        <v>5</v>
      </c>
    </row>
    <row r="7" spans="1:7" x14ac:dyDescent="0.3">
      <c r="A7" s="1">
        <f t="shared" si="0"/>
        <v>6</v>
      </c>
    </row>
    <row r="8" spans="1:7" x14ac:dyDescent="0.3">
      <c r="A8" s="1">
        <f t="shared" si="0"/>
        <v>7</v>
      </c>
      <c r="B8" t="s">
        <v>890</v>
      </c>
    </row>
    <row r="9" spans="1:7" x14ac:dyDescent="0.3">
      <c r="A9" s="1">
        <f t="shared" si="0"/>
        <v>8</v>
      </c>
      <c r="B9" t="s">
        <v>891</v>
      </c>
    </row>
    <row r="10" spans="1:7" x14ac:dyDescent="0.3">
      <c r="A10" s="1">
        <f t="shared" si="0"/>
        <v>9</v>
      </c>
    </row>
    <row r="11" spans="1:7" x14ac:dyDescent="0.3">
      <c r="A11" s="1">
        <f t="shared" si="0"/>
        <v>10</v>
      </c>
      <c r="C11" t="s">
        <v>892</v>
      </c>
    </row>
    <row r="12" spans="1:7" x14ac:dyDescent="0.3">
      <c r="A12" s="1">
        <f t="shared" si="0"/>
        <v>11</v>
      </c>
      <c r="C12" t="s">
        <v>893</v>
      </c>
      <c r="F12" s="6">
        <v>0</v>
      </c>
    </row>
    <row r="13" spans="1:7" x14ac:dyDescent="0.3">
      <c r="A13" s="1">
        <f t="shared" si="0"/>
        <v>12</v>
      </c>
      <c r="C13" t="s">
        <v>894</v>
      </c>
      <c r="F13" s="17">
        <v>281056.5</v>
      </c>
    </row>
    <row r="14" spans="1:7" x14ac:dyDescent="0.3">
      <c r="A14" s="1">
        <f t="shared" si="0"/>
        <v>13</v>
      </c>
    </row>
    <row r="15" spans="1:7" x14ac:dyDescent="0.3">
      <c r="A15" s="1">
        <f t="shared" si="0"/>
        <v>14</v>
      </c>
      <c r="C15" t="s">
        <v>895</v>
      </c>
    </row>
    <row r="16" spans="1:7" x14ac:dyDescent="0.3">
      <c r="A16" s="1">
        <f t="shared" si="0"/>
        <v>15</v>
      </c>
      <c r="C16" t="s">
        <v>893</v>
      </c>
      <c r="F16" s="6">
        <v>0</v>
      </c>
    </row>
    <row r="17" spans="1:8" x14ac:dyDescent="0.3">
      <c r="A17" s="1">
        <f t="shared" si="0"/>
        <v>16</v>
      </c>
      <c r="C17" t="s">
        <v>896</v>
      </c>
      <c r="F17" s="17">
        <v>510206</v>
      </c>
      <c r="G17" s="68"/>
      <c r="H17" s="68"/>
    </row>
    <row r="18" spans="1:8" x14ac:dyDescent="0.3">
      <c r="A18" s="1">
        <f t="shared" si="0"/>
        <v>17</v>
      </c>
    </row>
    <row r="19" spans="1:8" ht="14.5" thickBot="1" x14ac:dyDescent="0.35">
      <c r="A19" s="1">
        <f t="shared" si="0"/>
        <v>18</v>
      </c>
      <c r="C19" t="s">
        <v>897</v>
      </c>
      <c r="F19" s="10">
        <f>ROUND(F12-F13-F17,0)</f>
        <v>-791263</v>
      </c>
    </row>
    <row r="20" spans="1:8" ht="14.5" thickTop="1" x14ac:dyDescent="0.3">
      <c r="A20" s="1"/>
    </row>
    <row r="21" spans="1:8" x14ac:dyDescent="0.3">
      <c r="A21" s="1"/>
    </row>
    <row r="22" spans="1:8" x14ac:dyDescent="0.3">
      <c r="A22" s="1"/>
    </row>
    <row r="23" spans="1:8" x14ac:dyDescent="0.3">
      <c r="A23" s="1"/>
    </row>
    <row r="24" spans="1:8" x14ac:dyDescent="0.3">
      <c r="A24" s="1"/>
    </row>
    <row r="25" spans="1:8" x14ac:dyDescent="0.3">
      <c r="A25" s="1"/>
    </row>
  </sheetData>
  <mergeCells count="2">
    <mergeCell ref="B3:G3"/>
    <mergeCell ref="B4:G4"/>
  </mergeCells>
  <pageMargins left="0.7" right="0.7" top="0.75" bottom="0.75" header="0.3" footer="0.3"/>
  <pageSetup scale="8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</sheetPr>
  <dimension ref="A1:H36"/>
  <sheetViews>
    <sheetView zoomScale="80" zoomScaleNormal="80" workbookViewId="0">
      <selection activeCell="L33" sqref="L33"/>
    </sheetView>
  </sheetViews>
  <sheetFormatPr defaultColWidth="15.58203125" defaultRowHeight="14" x14ac:dyDescent="0.3"/>
  <cols>
    <col min="1" max="1" width="4.58203125" customWidth="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898</v>
      </c>
    </row>
    <row r="3" spans="1:7" x14ac:dyDescent="0.3">
      <c r="A3" s="1">
        <f t="shared" ref="A3:A36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899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</row>
    <row r="6" spans="1:7" x14ac:dyDescent="0.3">
      <c r="A6" s="1">
        <f t="shared" si="0"/>
        <v>5</v>
      </c>
    </row>
    <row r="7" spans="1:7" x14ac:dyDescent="0.3">
      <c r="A7" s="1">
        <f t="shared" si="0"/>
        <v>6</v>
      </c>
    </row>
    <row r="8" spans="1:7" x14ac:dyDescent="0.3">
      <c r="A8" s="1">
        <f t="shared" si="0"/>
        <v>7</v>
      </c>
      <c r="B8" t="s">
        <v>900</v>
      </c>
    </row>
    <row r="9" spans="1:7" x14ac:dyDescent="0.3">
      <c r="A9" s="1">
        <f t="shared" si="0"/>
        <v>8</v>
      </c>
      <c r="B9" t="s">
        <v>901</v>
      </c>
    </row>
    <row r="10" spans="1:7" x14ac:dyDescent="0.3">
      <c r="A10" s="1">
        <f t="shared" si="0"/>
        <v>9</v>
      </c>
      <c r="B10" t="s">
        <v>902</v>
      </c>
    </row>
    <row r="11" spans="1:7" x14ac:dyDescent="0.3">
      <c r="A11" s="1">
        <f t="shared" si="0"/>
        <v>10</v>
      </c>
      <c r="B11" t="s">
        <v>903</v>
      </c>
    </row>
    <row r="12" spans="1:7" x14ac:dyDescent="0.3">
      <c r="A12" s="1">
        <f t="shared" si="0"/>
        <v>11</v>
      </c>
      <c r="B12" t="s">
        <v>904</v>
      </c>
    </row>
    <row r="13" spans="1:7" x14ac:dyDescent="0.3">
      <c r="A13" s="1">
        <f t="shared" si="0"/>
        <v>12</v>
      </c>
    </row>
    <row r="14" spans="1:7" x14ac:dyDescent="0.3">
      <c r="A14" s="1">
        <f t="shared" si="0"/>
        <v>13</v>
      </c>
    </row>
    <row r="15" spans="1:7" x14ac:dyDescent="0.3">
      <c r="A15" s="1">
        <f t="shared" si="0"/>
        <v>14</v>
      </c>
      <c r="B15" t="s">
        <v>905</v>
      </c>
      <c r="F15" s="6">
        <f>'Ex 1 Adjust-Rev Inc'!C15</f>
        <v>1110193731</v>
      </c>
    </row>
    <row r="16" spans="1:7" x14ac:dyDescent="0.3">
      <c r="A16" s="1">
        <f t="shared" si="0"/>
        <v>15</v>
      </c>
      <c r="B16" t="s">
        <v>906</v>
      </c>
      <c r="F16" s="8">
        <v>377597</v>
      </c>
    </row>
    <row r="17" spans="1:8" x14ac:dyDescent="0.3">
      <c r="A17" s="1">
        <f t="shared" si="0"/>
        <v>16</v>
      </c>
      <c r="B17" t="s">
        <v>907</v>
      </c>
      <c r="F17" s="6">
        <f>F15+F16</f>
        <v>1110571328</v>
      </c>
    </row>
    <row r="18" spans="1:8" x14ac:dyDescent="0.3">
      <c r="A18" s="1">
        <f t="shared" si="0"/>
        <v>17</v>
      </c>
      <c r="B18" t="s">
        <v>908</v>
      </c>
      <c r="F18" s="6">
        <v>47376935</v>
      </c>
    </row>
    <row r="19" spans="1:8" x14ac:dyDescent="0.3">
      <c r="A19" s="1">
        <f t="shared" si="0"/>
        <v>18</v>
      </c>
      <c r="B19" t="s">
        <v>909</v>
      </c>
      <c r="F19" s="8">
        <v>1539516</v>
      </c>
    </row>
    <row r="20" spans="1:8" x14ac:dyDescent="0.3">
      <c r="A20" s="1">
        <f t="shared" si="0"/>
        <v>19</v>
      </c>
      <c r="F20" s="6"/>
    </row>
    <row r="21" spans="1:8" x14ac:dyDescent="0.3">
      <c r="A21" s="1">
        <f t="shared" si="0"/>
        <v>20</v>
      </c>
      <c r="B21" t="s">
        <v>910</v>
      </c>
      <c r="F21" s="6">
        <f>F17-F18-F19</f>
        <v>1061654877</v>
      </c>
      <c r="H21" s="6"/>
    </row>
    <row r="22" spans="1:8" x14ac:dyDescent="0.3">
      <c r="A22" s="1">
        <f t="shared" si="0"/>
        <v>21</v>
      </c>
      <c r="F22" s="6"/>
      <c r="H22" s="6"/>
    </row>
    <row r="23" spans="1:8" x14ac:dyDescent="0.3">
      <c r="A23" s="1">
        <f t="shared" si="0"/>
        <v>22</v>
      </c>
      <c r="B23" t="s">
        <v>911</v>
      </c>
      <c r="F23" s="8">
        <v>0</v>
      </c>
    </row>
    <row r="24" spans="1:8" x14ac:dyDescent="0.3">
      <c r="A24" s="1">
        <f t="shared" si="0"/>
        <v>23</v>
      </c>
      <c r="F24" s="6"/>
    </row>
    <row r="25" spans="1:8" x14ac:dyDescent="0.3">
      <c r="A25" s="1">
        <f t="shared" si="0"/>
        <v>24</v>
      </c>
      <c r="B25" t="s">
        <v>912</v>
      </c>
      <c r="F25" s="6">
        <f>F21+F23</f>
        <v>1061654877</v>
      </c>
    </row>
    <row r="26" spans="1:8" x14ac:dyDescent="0.3">
      <c r="A26" s="1">
        <f t="shared" si="0"/>
        <v>25</v>
      </c>
      <c r="F26" s="6"/>
    </row>
    <row r="27" spans="1:8" x14ac:dyDescent="0.3">
      <c r="A27" s="1">
        <f t="shared" si="0"/>
        <v>26</v>
      </c>
      <c r="B27" t="s">
        <v>913</v>
      </c>
      <c r="F27" s="42">
        <v>1.554E-3</v>
      </c>
    </row>
    <row r="28" spans="1:8" x14ac:dyDescent="0.3">
      <c r="A28" s="1">
        <f t="shared" si="0"/>
        <v>27</v>
      </c>
      <c r="F28" s="6"/>
    </row>
    <row r="29" spans="1:8" x14ac:dyDescent="0.3">
      <c r="A29" s="1">
        <f t="shared" si="0"/>
        <v>28</v>
      </c>
      <c r="B29" t="s">
        <v>914</v>
      </c>
      <c r="F29" s="6">
        <f>ROUND(F25*F27,0)</f>
        <v>1649812</v>
      </c>
    </row>
    <row r="30" spans="1:8" x14ac:dyDescent="0.3">
      <c r="A30" s="1">
        <f t="shared" si="0"/>
        <v>29</v>
      </c>
      <c r="F30" s="6"/>
    </row>
    <row r="31" spans="1:8" x14ac:dyDescent="0.3">
      <c r="A31" s="1">
        <f t="shared" si="0"/>
        <v>30</v>
      </c>
      <c r="B31" t="s">
        <v>915</v>
      </c>
      <c r="F31" s="8">
        <v>1516913</v>
      </c>
    </row>
    <row r="32" spans="1:8" x14ac:dyDescent="0.3">
      <c r="A32" s="1">
        <f t="shared" si="0"/>
        <v>31</v>
      </c>
      <c r="F32" s="6"/>
    </row>
    <row r="33" spans="1:6" ht="14.5" thickBot="1" x14ac:dyDescent="0.35">
      <c r="A33" s="1">
        <f t="shared" si="0"/>
        <v>32</v>
      </c>
      <c r="B33" t="s">
        <v>916</v>
      </c>
      <c r="F33" s="10">
        <f>F29-F31</f>
        <v>132899</v>
      </c>
    </row>
    <row r="34" spans="1:6" ht="14.5" thickTop="1" x14ac:dyDescent="0.3">
      <c r="A34" s="1">
        <f t="shared" si="0"/>
        <v>33</v>
      </c>
    </row>
    <row r="35" spans="1:6" x14ac:dyDescent="0.3">
      <c r="A35" s="1">
        <f t="shared" si="0"/>
        <v>34</v>
      </c>
    </row>
    <row r="36" spans="1:6" x14ac:dyDescent="0.3">
      <c r="A36" s="1">
        <f t="shared" si="0"/>
        <v>35</v>
      </c>
    </row>
  </sheetData>
  <mergeCells count="2">
    <mergeCell ref="B3:G3"/>
    <mergeCell ref="B4:G4"/>
  </mergeCells>
  <pageMargins left="0.7" right="0.7" top="0.75" bottom="0.75" header="0.3" footer="0.3"/>
  <pageSetup scale="8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</sheetPr>
  <dimension ref="A1:J28"/>
  <sheetViews>
    <sheetView zoomScale="80" zoomScaleNormal="80" workbookViewId="0">
      <selection activeCell="K53" sqref="K53:K55"/>
    </sheetView>
  </sheetViews>
  <sheetFormatPr defaultColWidth="15.58203125" defaultRowHeight="14" x14ac:dyDescent="0.3"/>
  <cols>
    <col min="1" max="1" width="4.58203125" customWidth="1"/>
  </cols>
  <sheetData>
    <row r="1" spans="1:6" x14ac:dyDescent="0.3">
      <c r="A1" s="1">
        <v>0</v>
      </c>
    </row>
    <row r="2" spans="1:6" x14ac:dyDescent="0.3">
      <c r="A2" s="1">
        <f>A1+1</f>
        <v>1</v>
      </c>
      <c r="F2" s="4" t="s">
        <v>917</v>
      </c>
    </row>
    <row r="3" spans="1:6" x14ac:dyDescent="0.3">
      <c r="A3" s="1">
        <f t="shared" ref="A3:A28" si="0">A2+1</f>
        <v>2</v>
      </c>
      <c r="B3" s="72" t="s">
        <v>1</v>
      </c>
      <c r="C3" s="72"/>
      <c r="D3" s="72"/>
      <c r="E3" s="72"/>
      <c r="F3" s="72"/>
    </row>
    <row r="4" spans="1:6" x14ac:dyDescent="0.3">
      <c r="A4" s="1">
        <f t="shared" si="0"/>
        <v>3</v>
      </c>
      <c r="B4" s="72" t="s">
        <v>918</v>
      </c>
      <c r="C4" s="72"/>
      <c r="D4" s="72"/>
      <c r="E4" s="72"/>
      <c r="F4" s="72"/>
    </row>
    <row r="5" spans="1:6" x14ac:dyDescent="0.3">
      <c r="A5" s="1">
        <f t="shared" si="0"/>
        <v>4</v>
      </c>
    </row>
    <row r="6" spans="1:6" x14ac:dyDescent="0.3">
      <c r="A6" s="1">
        <f t="shared" si="0"/>
        <v>5</v>
      </c>
    </row>
    <row r="7" spans="1:6" x14ac:dyDescent="0.3">
      <c r="A7" s="1">
        <f t="shared" si="0"/>
        <v>6</v>
      </c>
    </row>
    <row r="8" spans="1:6" x14ac:dyDescent="0.3">
      <c r="A8" s="1">
        <f t="shared" si="0"/>
        <v>7</v>
      </c>
      <c r="B8" s="13" t="s">
        <v>919</v>
      </c>
    </row>
    <row r="9" spans="1:6" x14ac:dyDescent="0.3">
      <c r="A9" s="1">
        <f t="shared" si="0"/>
        <v>8</v>
      </c>
    </row>
    <row r="10" spans="1:6" x14ac:dyDescent="0.3">
      <c r="A10" s="1">
        <f t="shared" si="0"/>
        <v>9</v>
      </c>
      <c r="B10" t="s">
        <v>920</v>
      </c>
      <c r="F10" s="6">
        <f>'Ex 1 Adjust-Rev Inc'!E39</f>
        <v>86976217</v>
      </c>
    </row>
    <row r="11" spans="1:6" x14ac:dyDescent="0.3">
      <c r="A11" s="1">
        <f t="shared" si="0"/>
        <v>10</v>
      </c>
    </row>
    <row r="12" spans="1:6" x14ac:dyDescent="0.3">
      <c r="A12" s="1">
        <f t="shared" si="0"/>
        <v>11</v>
      </c>
      <c r="B12" t="s">
        <v>921</v>
      </c>
      <c r="F12" s="7">
        <v>1.5</v>
      </c>
    </row>
    <row r="13" spans="1:6" x14ac:dyDescent="0.3">
      <c r="A13" s="1">
        <f t="shared" si="0"/>
        <v>12</v>
      </c>
    </row>
    <row r="14" spans="1:6" x14ac:dyDescent="0.3">
      <c r="A14" s="1">
        <f t="shared" si="0"/>
        <v>13</v>
      </c>
      <c r="B14" t="s">
        <v>922</v>
      </c>
      <c r="F14" s="6">
        <f>ROUND(F10*(F12-1),0)</f>
        <v>43488109</v>
      </c>
    </row>
    <row r="15" spans="1:6" x14ac:dyDescent="0.3">
      <c r="A15" s="1">
        <f t="shared" si="0"/>
        <v>14</v>
      </c>
    </row>
    <row r="16" spans="1:6" x14ac:dyDescent="0.3">
      <c r="A16" s="1">
        <f t="shared" si="0"/>
        <v>15</v>
      </c>
      <c r="B16" t="s">
        <v>923</v>
      </c>
      <c r="F16" s="6">
        <f>'Ex 1 Adjust-Rev Inc'!E56</f>
        <v>-36145614.492500022</v>
      </c>
    </row>
    <row r="17" spans="1:10" x14ac:dyDescent="0.3">
      <c r="A17" s="1">
        <f t="shared" si="0"/>
        <v>16</v>
      </c>
    </row>
    <row r="18" spans="1:10" x14ac:dyDescent="0.3">
      <c r="A18" s="1">
        <f t="shared" si="0"/>
        <v>17</v>
      </c>
      <c r="B18" t="s">
        <v>924</v>
      </c>
      <c r="F18" s="6">
        <f>F14-F16</f>
        <v>79633723.492500022</v>
      </c>
    </row>
    <row r="19" spans="1:10" x14ac:dyDescent="0.3">
      <c r="A19" s="1">
        <f t="shared" si="0"/>
        <v>18</v>
      </c>
      <c r="G19" s="6"/>
    </row>
    <row r="20" spans="1:10" x14ac:dyDescent="0.3">
      <c r="A20" s="1">
        <f t="shared" si="0"/>
        <v>19</v>
      </c>
      <c r="B20" t="s">
        <v>925</v>
      </c>
    </row>
    <row r="21" spans="1:10" x14ac:dyDescent="0.3">
      <c r="A21" s="1">
        <f t="shared" si="0"/>
        <v>20</v>
      </c>
      <c r="B21" t="s">
        <v>926</v>
      </c>
      <c r="E21" s="6">
        <v>1649811.68</v>
      </c>
    </row>
    <row r="22" spans="1:10" x14ac:dyDescent="0.3">
      <c r="A22" s="1">
        <f t="shared" si="0"/>
        <v>21</v>
      </c>
      <c r="B22" t="s">
        <v>927</v>
      </c>
      <c r="E22" s="6">
        <f>'1.29 - PSC Assessment'!F21</f>
        <v>1061654877</v>
      </c>
      <c r="J22" s="6"/>
    </row>
    <row r="23" spans="1:10" x14ac:dyDescent="0.3">
      <c r="A23" s="1">
        <f t="shared" si="0"/>
        <v>22</v>
      </c>
      <c r="B23" t="s">
        <v>928</v>
      </c>
      <c r="F23" s="20">
        <f>ROUND(E21/E22,6)</f>
        <v>1.554E-3</v>
      </c>
    </row>
    <row r="24" spans="1:10" x14ac:dyDescent="0.3">
      <c r="A24" s="1">
        <f t="shared" si="0"/>
        <v>23</v>
      </c>
    </row>
    <row r="25" spans="1:10" x14ac:dyDescent="0.3">
      <c r="A25" s="1">
        <f t="shared" si="0"/>
        <v>24</v>
      </c>
      <c r="B25" t="s">
        <v>929</v>
      </c>
      <c r="F25" s="6">
        <f>ROUND(F18*F23,0)</f>
        <v>123751</v>
      </c>
    </row>
    <row r="26" spans="1:10" x14ac:dyDescent="0.3">
      <c r="A26" s="1">
        <f t="shared" si="0"/>
        <v>25</v>
      </c>
    </row>
    <row r="27" spans="1:10" x14ac:dyDescent="0.3">
      <c r="A27" s="1">
        <f t="shared" si="0"/>
        <v>26</v>
      </c>
      <c r="B27" t="s">
        <v>930</v>
      </c>
      <c r="F27" s="6">
        <f>F18+F25</f>
        <v>79757474.492500022</v>
      </c>
    </row>
    <row r="28" spans="1:10" x14ac:dyDescent="0.3">
      <c r="A28" s="1">
        <f t="shared" si="0"/>
        <v>27</v>
      </c>
    </row>
  </sheetData>
  <mergeCells count="2">
    <mergeCell ref="B3:F3"/>
    <mergeCell ref="B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M96"/>
  <sheetViews>
    <sheetView zoomScale="80" zoomScaleNormal="80" workbookViewId="0">
      <selection activeCell="O74" sqref="O74"/>
    </sheetView>
  </sheetViews>
  <sheetFormatPr defaultColWidth="15.58203125" defaultRowHeight="14" x14ac:dyDescent="0.3"/>
  <cols>
    <col min="1" max="1" width="4.58203125" customWidth="1"/>
    <col min="2" max="2" width="15.58203125" customWidth="1"/>
  </cols>
  <sheetData>
    <row r="1" spans="1:13" x14ac:dyDescent="0.3">
      <c r="A1" s="1">
        <v>0</v>
      </c>
    </row>
    <row r="2" spans="1:13" x14ac:dyDescent="0.3">
      <c r="A2" s="1">
        <f>A1+1</f>
        <v>1</v>
      </c>
      <c r="H2" s="4" t="s">
        <v>212</v>
      </c>
    </row>
    <row r="3" spans="1:13" x14ac:dyDescent="0.3">
      <c r="A3" s="1">
        <f t="shared" ref="A3:A83" si="0">A2+1</f>
        <v>2</v>
      </c>
      <c r="B3" s="72" t="s">
        <v>1</v>
      </c>
      <c r="C3" s="72"/>
      <c r="D3" s="72"/>
      <c r="E3" s="72"/>
      <c r="F3" s="72"/>
      <c r="G3" s="72"/>
      <c r="H3" s="72"/>
    </row>
    <row r="4" spans="1:13" x14ac:dyDescent="0.3">
      <c r="A4" s="1">
        <f t="shared" si="0"/>
        <v>3</v>
      </c>
      <c r="B4" s="72" t="s">
        <v>213</v>
      </c>
      <c r="C4" s="72"/>
      <c r="D4" s="72"/>
      <c r="E4" s="72"/>
      <c r="F4" s="72"/>
      <c r="G4" s="72"/>
      <c r="H4" s="72"/>
    </row>
    <row r="5" spans="1:13" x14ac:dyDescent="0.3">
      <c r="A5" s="1">
        <f t="shared" si="0"/>
        <v>4</v>
      </c>
    </row>
    <row r="6" spans="1:13" x14ac:dyDescent="0.3">
      <c r="A6" s="1">
        <f t="shared" si="0"/>
        <v>5</v>
      </c>
    </row>
    <row r="7" spans="1:13" x14ac:dyDescent="0.3">
      <c r="A7" s="1">
        <f t="shared" si="0"/>
        <v>6</v>
      </c>
      <c r="B7" s="38" t="s">
        <v>214</v>
      </c>
      <c r="C7" s="37"/>
    </row>
    <row r="8" spans="1:13" x14ac:dyDescent="0.3">
      <c r="A8" s="1">
        <f t="shared" si="0"/>
        <v>7</v>
      </c>
    </row>
    <row r="9" spans="1:13" x14ac:dyDescent="0.3">
      <c r="A9" s="1">
        <f t="shared" si="0"/>
        <v>8</v>
      </c>
      <c r="B9" t="s">
        <v>215</v>
      </c>
    </row>
    <row r="10" spans="1:13" x14ac:dyDescent="0.3">
      <c r="A10" s="1">
        <f t="shared" si="0"/>
        <v>9</v>
      </c>
      <c r="B10" t="s">
        <v>216</v>
      </c>
      <c r="H10" s="6">
        <v>144568536</v>
      </c>
    </row>
    <row r="11" spans="1:13" x14ac:dyDescent="0.3">
      <c r="A11" s="1">
        <f t="shared" si="0"/>
        <v>10</v>
      </c>
    </row>
    <row r="12" spans="1:13" x14ac:dyDescent="0.3">
      <c r="A12" s="1">
        <f t="shared" si="0"/>
        <v>11</v>
      </c>
    </row>
    <row r="13" spans="1:13" x14ac:dyDescent="0.3">
      <c r="A13" s="1">
        <f t="shared" si="0"/>
        <v>12</v>
      </c>
      <c r="B13" s="38" t="s">
        <v>217</v>
      </c>
      <c r="C13" s="37"/>
    </row>
    <row r="14" spans="1:13" x14ac:dyDescent="0.3">
      <c r="A14" s="1">
        <f t="shared" si="0"/>
        <v>13</v>
      </c>
      <c r="M14" s="6"/>
    </row>
    <row r="15" spans="1:13" x14ac:dyDescent="0.3">
      <c r="A15" s="1">
        <f t="shared" si="0"/>
        <v>14</v>
      </c>
      <c r="B15" t="s">
        <v>218</v>
      </c>
      <c r="M15" s="6"/>
    </row>
    <row r="16" spans="1:13" x14ac:dyDescent="0.3">
      <c r="A16" s="1">
        <f t="shared" si="0"/>
        <v>15</v>
      </c>
      <c r="B16" t="s">
        <v>219</v>
      </c>
      <c r="M16" s="6"/>
    </row>
    <row r="17" spans="1:13" x14ac:dyDescent="0.3">
      <c r="A17" s="1">
        <f t="shared" si="0"/>
        <v>16</v>
      </c>
      <c r="B17" t="s">
        <v>220</v>
      </c>
      <c r="M17" s="6"/>
    </row>
    <row r="18" spans="1:13" x14ac:dyDescent="0.3">
      <c r="A18" s="1">
        <f t="shared" si="0"/>
        <v>17</v>
      </c>
      <c r="B18" t="s">
        <v>221</v>
      </c>
      <c r="H18" s="6">
        <v>56225551</v>
      </c>
      <c r="M18" s="6"/>
    </row>
    <row r="19" spans="1:13" x14ac:dyDescent="0.3">
      <c r="A19" s="1">
        <f t="shared" si="0"/>
        <v>18</v>
      </c>
      <c r="M19" s="6"/>
    </row>
    <row r="20" spans="1:13" x14ac:dyDescent="0.3">
      <c r="A20" s="1">
        <f t="shared" si="0"/>
        <v>19</v>
      </c>
      <c r="B20" t="s">
        <v>222</v>
      </c>
      <c r="M20" s="6"/>
    </row>
    <row r="21" spans="1:13" x14ac:dyDescent="0.3">
      <c r="A21" s="1">
        <f t="shared" si="0"/>
        <v>20</v>
      </c>
      <c r="M21" s="6"/>
    </row>
    <row r="22" spans="1:13" x14ac:dyDescent="0.3">
      <c r="A22" s="1">
        <f t="shared" si="0"/>
        <v>21</v>
      </c>
      <c r="E22" s="2" t="s">
        <v>223</v>
      </c>
      <c r="F22" s="2"/>
      <c r="G22" s="2" t="s">
        <v>224</v>
      </c>
      <c r="M22" s="6"/>
    </row>
    <row r="23" spans="1:13" ht="14.5" thickBot="1" x14ac:dyDescent="0.35">
      <c r="A23" s="1">
        <f t="shared" si="0"/>
        <v>22</v>
      </c>
      <c r="B23" s="3" t="s">
        <v>160</v>
      </c>
      <c r="C23" s="3" t="s">
        <v>225</v>
      </c>
      <c r="D23" s="3" t="s">
        <v>121</v>
      </c>
      <c r="E23" s="3" t="s">
        <v>134</v>
      </c>
      <c r="F23" s="3" t="s">
        <v>226</v>
      </c>
      <c r="G23" s="3" t="s">
        <v>227</v>
      </c>
      <c r="H23" s="3" t="s">
        <v>228</v>
      </c>
      <c r="M23" s="6"/>
    </row>
    <row r="24" spans="1:13" x14ac:dyDescent="0.3">
      <c r="A24" s="1">
        <f t="shared" si="0"/>
        <v>23</v>
      </c>
      <c r="M24" s="6"/>
    </row>
    <row r="25" spans="1:13" x14ac:dyDescent="0.3">
      <c r="A25" s="1">
        <f t="shared" si="0"/>
        <v>24</v>
      </c>
      <c r="B25" s="15" t="s">
        <v>164</v>
      </c>
      <c r="C25" s="39">
        <v>375515</v>
      </c>
      <c r="D25" s="39">
        <v>102615</v>
      </c>
      <c r="E25" s="39">
        <v>848</v>
      </c>
      <c r="F25" s="39">
        <v>164119</v>
      </c>
      <c r="G25" s="39">
        <v>3943283</v>
      </c>
      <c r="H25" s="6">
        <f>SUM(C25:G25)</f>
        <v>4586380</v>
      </c>
      <c r="M25" s="6"/>
    </row>
    <row r="26" spans="1:13" x14ac:dyDescent="0.3">
      <c r="A26" s="1">
        <f t="shared" si="0"/>
        <v>25</v>
      </c>
      <c r="B26" s="15" t="s">
        <v>165</v>
      </c>
      <c r="C26" s="39">
        <v>800537</v>
      </c>
      <c r="D26" s="39">
        <v>102615</v>
      </c>
      <c r="E26" s="39">
        <v>961</v>
      </c>
      <c r="F26" s="39">
        <v>164119</v>
      </c>
      <c r="G26" s="39">
        <v>3880125</v>
      </c>
      <c r="H26" s="6">
        <f t="shared" ref="H26:H36" si="1">SUM(C26:G26)</f>
        <v>4948357</v>
      </c>
      <c r="M26" s="6"/>
    </row>
    <row r="27" spans="1:13" x14ac:dyDescent="0.3">
      <c r="A27" s="1">
        <f t="shared" si="0"/>
        <v>26</v>
      </c>
      <c r="B27" s="15" t="s">
        <v>166</v>
      </c>
      <c r="C27" s="39">
        <v>766534</v>
      </c>
      <c r="D27" s="39">
        <v>102615</v>
      </c>
      <c r="E27" s="39">
        <v>1166</v>
      </c>
      <c r="F27" s="39">
        <v>164119</v>
      </c>
      <c r="G27" s="39">
        <v>4293411</v>
      </c>
      <c r="H27" s="6">
        <f t="shared" si="1"/>
        <v>5327845</v>
      </c>
      <c r="M27" s="6"/>
    </row>
    <row r="28" spans="1:13" x14ac:dyDescent="0.3">
      <c r="A28" s="1">
        <f t="shared" si="0"/>
        <v>27</v>
      </c>
      <c r="B28" s="15" t="s">
        <v>167</v>
      </c>
      <c r="C28" s="39">
        <v>696316</v>
      </c>
      <c r="D28" s="39">
        <v>102615</v>
      </c>
      <c r="E28" s="39">
        <v>911</v>
      </c>
      <c r="F28" s="39">
        <v>164119</v>
      </c>
      <c r="G28" s="39">
        <v>3890461</v>
      </c>
      <c r="H28" s="6">
        <f t="shared" si="1"/>
        <v>4854422</v>
      </c>
      <c r="M28" s="19"/>
    </row>
    <row r="29" spans="1:13" x14ac:dyDescent="0.3">
      <c r="A29" s="1">
        <f t="shared" si="0"/>
        <v>28</v>
      </c>
      <c r="B29" s="15" t="s">
        <v>168</v>
      </c>
      <c r="C29" s="39">
        <v>711227</v>
      </c>
      <c r="D29" s="39">
        <v>102615</v>
      </c>
      <c r="E29" s="39">
        <v>1052</v>
      </c>
      <c r="F29" s="39">
        <v>164120</v>
      </c>
      <c r="G29" s="39">
        <v>3891894</v>
      </c>
      <c r="H29" s="6">
        <f t="shared" si="1"/>
        <v>4870908</v>
      </c>
      <c r="M29" s="6"/>
    </row>
    <row r="30" spans="1:13" x14ac:dyDescent="0.3">
      <c r="A30" s="1">
        <f t="shared" si="0"/>
        <v>29</v>
      </c>
      <c r="B30" s="15" t="s">
        <v>169</v>
      </c>
      <c r="C30" s="39">
        <v>767477</v>
      </c>
      <c r="D30" s="39">
        <v>130377</v>
      </c>
      <c r="E30" s="39">
        <v>1168</v>
      </c>
      <c r="F30" s="39">
        <v>157732</v>
      </c>
      <c r="G30" s="39">
        <f>4981939+6522</f>
        <v>4988461</v>
      </c>
      <c r="H30" s="6">
        <f t="shared" si="1"/>
        <v>6045215</v>
      </c>
      <c r="M30" s="6"/>
    </row>
    <row r="31" spans="1:13" x14ac:dyDescent="0.3">
      <c r="A31" s="1">
        <f t="shared" si="0"/>
        <v>30</v>
      </c>
      <c r="B31" s="15" t="s">
        <v>170</v>
      </c>
      <c r="C31" s="39">
        <v>546225</v>
      </c>
      <c r="D31" s="39">
        <v>130377</v>
      </c>
      <c r="E31" s="39">
        <v>2558</v>
      </c>
      <c r="F31" s="39">
        <v>157735</v>
      </c>
      <c r="G31" s="39">
        <v>3949897</v>
      </c>
      <c r="H31" s="6">
        <f t="shared" si="1"/>
        <v>4786792</v>
      </c>
    </row>
    <row r="32" spans="1:13" x14ac:dyDescent="0.3">
      <c r="A32" s="1">
        <f t="shared" si="0"/>
        <v>31</v>
      </c>
      <c r="B32" s="15" t="s">
        <v>171</v>
      </c>
      <c r="C32" s="39">
        <v>514069</v>
      </c>
      <c r="D32" s="39">
        <v>130377</v>
      </c>
      <c r="E32" s="39">
        <v>3102</v>
      </c>
      <c r="F32" s="39">
        <v>157732</v>
      </c>
      <c r="G32" s="39">
        <v>3946763</v>
      </c>
      <c r="H32" s="6">
        <f t="shared" si="1"/>
        <v>4752043</v>
      </c>
    </row>
    <row r="33" spans="1:8" x14ac:dyDescent="0.3">
      <c r="A33" s="1">
        <f t="shared" si="0"/>
        <v>32</v>
      </c>
      <c r="B33" s="15" t="s">
        <v>172</v>
      </c>
      <c r="C33" s="39">
        <v>823187</v>
      </c>
      <c r="D33" s="39">
        <v>130377</v>
      </c>
      <c r="E33" s="39">
        <v>2866</v>
      </c>
      <c r="F33" s="39">
        <v>157732</v>
      </c>
      <c r="G33" s="39">
        <v>3648345</v>
      </c>
      <c r="H33" s="6">
        <f t="shared" si="1"/>
        <v>4762507</v>
      </c>
    </row>
    <row r="34" spans="1:8" x14ac:dyDescent="0.3">
      <c r="A34" s="1">
        <f t="shared" si="0"/>
        <v>33</v>
      </c>
      <c r="B34" s="15" t="s">
        <v>173</v>
      </c>
      <c r="C34" s="39">
        <v>450812</v>
      </c>
      <c r="D34" s="39">
        <v>130377</v>
      </c>
      <c r="E34" s="39">
        <v>2411</v>
      </c>
      <c r="F34" s="39">
        <v>157732</v>
      </c>
      <c r="G34" s="39">
        <v>3948192</v>
      </c>
      <c r="H34" s="6">
        <f t="shared" si="1"/>
        <v>4689524</v>
      </c>
    </row>
    <row r="35" spans="1:8" x14ac:dyDescent="0.3">
      <c r="A35" s="1">
        <f t="shared" si="0"/>
        <v>34</v>
      </c>
      <c r="B35" s="15" t="s">
        <v>174</v>
      </c>
      <c r="C35" s="39">
        <v>378478</v>
      </c>
      <c r="D35" s="39">
        <v>130377</v>
      </c>
      <c r="E35" s="39">
        <v>2363</v>
      </c>
      <c r="F35" s="39">
        <v>157732</v>
      </c>
      <c r="G35" s="39">
        <v>3948192</v>
      </c>
      <c r="H35" s="6">
        <f t="shared" si="1"/>
        <v>4617142</v>
      </c>
    </row>
    <row r="36" spans="1:8" x14ac:dyDescent="0.3">
      <c r="A36" s="1">
        <f t="shared" si="0"/>
        <v>35</v>
      </c>
      <c r="B36" s="15" t="s">
        <v>175</v>
      </c>
      <c r="C36" s="40">
        <v>373220</v>
      </c>
      <c r="D36" s="40">
        <v>130377</v>
      </c>
      <c r="E36" s="40">
        <v>2422</v>
      </c>
      <c r="F36" s="40">
        <v>157732</v>
      </c>
      <c r="G36" s="40">
        <v>3910942</v>
      </c>
      <c r="H36" s="8">
        <f t="shared" si="1"/>
        <v>4574693</v>
      </c>
    </row>
    <row r="37" spans="1:8" x14ac:dyDescent="0.3">
      <c r="A37" s="1">
        <f t="shared" si="0"/>
        <v>36</v>
      </c>
      <c r="C37" s="6"/>
      <c r="D37" s="6"/>
      <c r="E37" s="6"/>
      <c r="F37" s="6"/>
      <c r="G37" s="6"/>
      <c r="H37" s="6"/>
    </row>
    <row r="38" spans="1:8" ht="14.5" thickBot="1" x14ac:dyDescent="0.35">
      <c r="A38" s="1">
        <f t="shared" si="0"/>
        <v>37</v>
      </c>
      <c r="B38" s="15" t="s">
        <v>176</v>
      </c>
      <c r="C38" s="10">
        <f>SUM(C25:C36)</f>
        <v>7203597</v>
      </c>
      <c r="D38" s="10">
        <f t="shared" ref="D38:H38" si="2">SUM(D25:D36)</f>
        <v>1425714</v>
      </c>
      <c r="E38" s="10">
        <f t="shared" si="2"/>
        <v>21828</v>
      </c>
      <c r="F38" s="10">
        <f t="shared" si="2"/>
        <v>1924723</v>
      </c>
      <c r="G38" s="10">
        <f t="shared" si="2"/>
        <v>48239966</v>
      </c>
      <c r="H38" s="10">
        <f t="shared" si="2"/>
        <v>58815828</v>
      </c>
    </row>
    <row r="39" spans="1:8" ht="14.5" thickTop="1" x14ac:dyDescent="0.3">
      <c r="A39" s="1">
        <f t="shared" si="0"/>
        <v>38</v>
      </c>
      <c r="C39" s="6"/>
      <c r="D39" s="6"/>
      <c r="E39" s="6"/>
      <c r="F39" s="6"/>
      <c r="G39" s="6"/>
      <c r="H39" s="6"/>
    </row>
    <row r="40" spans="1:8" x14ac:dyDescent="0.3">
      <c r="A40" s="1">
        <f t="shared" si="0"/>
        <v>39</v>
      </c>
      <c r="B40" s="15" t="s">
        <v>229</v>
      </c>
      <c r="C40" s="6"/>
      <c r="D40" s="6"/>
      <c r="E40" s="6"/>
      <c r="F40" s="6"/>
      <c r="G40" s="6"/>
      <c r="H40" s="6"/>
    </row>
    <row r="41" spans="1:8" x14ac:dyDescent="0.3">
      <c r="A41" s="1">
        <f t="shared" si="0"/>
        <v>40</v>
      </c>
      <c r="B41" t="s">
        <v>230</v>
      </c>
      <c r="C41" s="6"/>
      <c r="D41" s="39">
        <v>5753866</v>
      </c>
      <c r="E41" s="6"/>
      <c r="F41" s="6"/>
      <c r="G41" s="6"/>
      <c r="H41" s="6"/>
    </row>
    <row r="42" spans="1:8" x14ac:dyDescent="0.3">
      <c r="A42" s="1">
        <f t="shared" si="0"/>
        <v>41</v>
      </c>
      <c r="B42" s="15" t="s">
        <v>231</v>
      </c>
      <c r="C42" s="6"/>
      <c r="D42" s="39">
        <v>1449731</v>
      </c>
      <c r="E42" s="6" t="s">
        <v>232</v>
      </c>
      <c r="F42" s="6"/>
      <c r="G42" s="6"/>
      <c r="H42" s="6"/>
    </row>
    <row r="43" spans="1:8" x14ac:dyDescent="0.3">
      <c r="A43" s="1">
        <f t="shared" si="0"/>
        <v>42</v>
      </c>
      <c r="C43" s="6"/>
      <c r="D43" s="6"/>
      <c r="E43" s="6"/>
      <c r="F43" s="6"/>
      <c r="G43" s="6"/>
      <c r="H43" s="6"/>
    </row>
    <row r="44" spans="1:8" x14ac:dyDescent="0.3">
      <c r="A44" s="1">
        <f t="shared" si="0"/>
        <v>43</v>
      </c>
      <c r="B44" s="15" t="s">
        <v>233</v>
      </c>
    </row>
    <row r="45" spans="1:8" x14ac:dyDescent="0.3">
      <c r="A45" s="1">
        <f t="shared" si="0"/>
        <v>44</v>
      </c>
    </row>
    <row r="46" spans="1:8" x14ac:dyDescent="0.3">
      <c r="A46" s="1">
        <f t="shared" si="0"/>
        <v>45</v>
      </c>
      <c r="B46" t="s">
        <v>234</v>
      </c>
    </row>
    <row r="47" spans="1:8" x14ac:dyDescent="0.3">
      <c r="A47" s="1">
        <f t="shared" si="0"/>
        <v>46</v>
      </c>
      <c r="B47" t="s">
        <v>235</v>
      </c>
    </row>
    <row r="48" spans="1:8" x14ac:dyDescent="0.3">
      <c r="A48" s="1">
        <f t="shared" si="0"/>
        <v>47</v>
      </c>
      <c r="B48" t="s">
        <v>236</v>
      </c>
    </row>
    <row r="49" spans="1:7" x14ac:dyDescent="0.3">
      <c r="A49" s="1">
        <f t="shared" si="0"/>
        <v>48</v>
      </c>
      <c r="B49" t="s">
        <v>237</v>
      </c>
    </row>
    <row r="50" spans="1:7" x14ac:dyDescent="0.3">
      <c r="A50" s="1">
        <f t="shared" si="0"/>
        <v>49</v>
      </c>
      <c r="F50" s="6"/>
    </row>
    <row r="51" spans="1:7" x14ac:dyDescent="0.3">
      <c r="A51" s="1">
        <f t="shared" si="0"/>
        <v>50</v>
      </c>
      <c r="B51" t="s">
        <v>238</v>
      </c>
      <c r="F51" s="39">
        <v>38824554</v>
      </c>
      <c r="G51" t="s">
        <v>239</v>
      </c>
    </row>
    <row r="52" spans="1:7" x14ac:dyDescent="0.3">
      <c r="A52" s="1">
        <f t="shared" si="0"/>
        <v>51</v>
      </c>
      <c r="F52" s="6"/>
    </row>
    <row r="53" spans="1:7" x14ac:dyDescent="0.3">
      <c r="A53" s="1">
        <f t="shared" si="0"/>
        <v>52</v>
      </c>
      <c r="B53" t="s">
        <v>240</v>
      </c>
      <c r="F53" s="39">
        <v>20196960</v>
      </c>
    </row>
    <row r="54" spans="1:7" x14ac:dyDescent="0.3">
      <c r="A54" s="1">
        <f t="shared" si="0"/>
        <v>53</v>
      </c>
      <c r="F54" s="19"/>
    </row>
    <row r="55" spans="1:7" x14ac:dyDescent="0.3">
      <c r="A55" s="1">
        <f t="shared" si="0"/>
        <v>54</v>
      </c>
    </row>
    <row r="56" spans="1:7" x14ac:dyDescent="0.3">
      <c r="A56" s="1">
        <f t="shared" si="0"/>
        <v>55</v>
      </c>
      <c r="B56" s="38" t="s">
        <v>241</v>
      </c>
      <c r="C56" s="37"/>
      <c r="D56" s="37"/>
      <c r="E56" s="37"/>
    </row>
    <row r="57" spans="1:7" x14ac:dyDescent="0.3">
      <c r="A57" s="1">
        <f t="shared" si="0"/>
        <v>56</v>
      </c>
    </row>
    <row r="58" spans="1:7" x14ac:dyDescent="0.3">
      <c r="A58" s="1">
        <f t="shared" si="0"/>
        <v>57</v>
      </c>
      <c r="B58" t="s">
        <v>242</v>
      </c>
      <c r="F58" s="6">
        <v>4467824</v>
      </c>
      <c r="G58" t="s">
        <v>243</v>
      </c>
    </row>
    <row r="59" spans="1:7" x14ac:dyDescent="0.3">
      <c r="A59" s="1">
        <f t="shared" si="0"/>
        <v>58</v>
      </c>
      <c r="B59" t="s">
        <v>244</v>
      </c>
      <c r="F59" s="8">
        <v>89646</v>
      </c>
      <c r="G59" t="s">
        <v>245</v>
      </c>
    </row>
    <row r="60" spans="1:7" x14ac:dyDescent="0.3">
      <c r="A60" s="1">
        <f t="shared" si="0"/>
        <v>59</v>
      </c>
      <c r="B60" t="s">
        <v>246</v>
      </c>
      <c r="F60" s="6">
        <f>F58+F59</f>
        <v>4557470</v>
      </c>
    </row>
    <row r="61" spans="1:7" x14ac:dyDescent="0.3">
      <c r="A61" s="1">
        <f t="shared" si="0"/>
        <v>60</v>
      </c>
    </row>
    <row r="62" spans="1:7" x14ac:dyDescent="0.3">
      <c r="A62" s="1">
        <f t="shared" si="0"/>
        <v>61</v>
      </c>
    </row>
    <row r="63" spans="1:7" x14ac:dyDescent="0.3">
      <c r="A63" s="1">
        <f t="shared" si="0"/>
        <v>62</v>
      </c>
      <c r="B63" s="14" t="s">
        <v>247</v>
      </c>
    </row>
    <row r="64" spans="1:7" x14ac:dyDescent="0.3">
      <c r="A64" s="1">
        <f t="shared" si="0"/>
        <v>63</v>
      </c>
    </row>
    <row r="65" spans="1:7" x14ac:dyDescent="0.3">
      <c r="A65" s="1">
        <f t="shared" si="0"/>
        <v>64</v>
      </c>
      <c r="B65" t="s">
        <v>248</v>
      </c>
    </row>
    <row r="66" spans="1:7" x14ac:dyDescent="0.3">
      <c r="A66" s="1">
        <f t="shared" si="0"/>
        <v>65</v>
      </c>
      <c r="B66" t="s">
        <v>235</v>
      </c>
    </row>
    <row r="67" spans="1:7" x14ac:dyDescent="0.3">
      <c r="A67" s="1">
        <f t="shared" si="0"/>
        <v>66</v>
      </c>
      <c r="B67" t="s">
        <v>236</v>
      </c>
    </row>
    <row r="68" spans="1:7" x14ac:dyDescent="0.3">
      <c r="A68" s="1">
        <f t="shared" si="0"/>
        <v>67</v>
      </c>
      <c r="B68" t="s">
        <v>237</v>
      </c>
    </row>
    <row r="69" spans="1:7" x14ac:dyDescent="0.3">
      <c r="A69" s="1">
        <f t="shared" si="0"/>
        <v>68</v>
      </c>
      <c r="G69" s="6"/>
    </row>
    <row r="70" spans="1:7" x14ac:dyDescent="0.3">
      <c r="A70" s="1">
        <f t="shared" si="0"/>
        <v>69</v>
      </c>
      <c r="B70" t="s">
        <v>249</v>
      </c>
      <c r="F70" s="39">
        <v>36807139</v>
      </c>
      <c r="G70" t="s">
        <v>250</v>
      </c>
    </row>
    <row r="71" spans="1:7" x14ac:dyDescent="0.3">
      <c r="A71" s="1">
        <f t="shared" si="0"/>
        <v>70</v>
      </c>
      <c r="F71" s="6"/>
    </row>
    <row r="72" spans="1:7" x14ac:dyDescent="0.3">
      <c r="A72" s="1">
        <f t="shared" si="0"/>
        <v>71</v>
      </c>
      <c r="B72" t="s">
        <v>251</v>
      </c>
      <c r="F72" s="39">
        <v>18481350</v>
      </c>
    </row>
    <row r="73" spans="1:7" x14ac:dyDescent="0.3">
      <c r="A73" s="1">
        <f t="shared" si="0"/>
        <v>72</v>
      </c>
      <c r="G73" s="6"/>
    </row>
    <row r="74" spans="1:7" x14ac:dyDescent="0.3">
      <c r="A74" s="1">
        <f t="shared" si="0"/>
        <v>73</v>
      </c>
      <c r="G74" s="6"/>
    </row>
    <row r="75" spans="1:7" x14ac:dyDescent="0.3">
      <c r="A75" s="1">
        <f t="shared" si="0"/>
        <v>74</v>
      </c>
      <c r="B75" s="14" t="s">
        <v>203</v>
      </c>
    </row>
    <row r="76" spans="1:7" x14ac:dyDescent="0.3">
      <c r="A76" s="1">
        <f t="shared" si="0"/>
        <v>75</v>
      </c>
    </row>
    <row r="77" spans="1:7" x14ac:dyDescent="0.3">
      <c r="A77" s="1">
        <f t="shared" si="0"/>
        <v>76</v>
      </c>
      <c r="B77" t="s">
        <v>252</v>
      </c>
    </row>
    <row r="78" spans="1:7" x14ac:dyDescent="0.3">
      <c r="A78" s="1">
        <f t="shared" si="0"/>
        <v>77</v>
      </c>
      <c r="C78" t="s">
        <v>205</v>
      </c>
      <c r="D78" s="6">
        <f>-H10</f>
        <v>-144568536</v>
      </c>
    </row>
    <row r="79" spans="1:7" x14ac:dyDescent="0.3">
      <c r="A79" s="1">
        <f t="shared" si="0"/>
        <v>78</v>
      </c>
      <c r="C79" t="s">
        <v>253</v>
      </c>
      <c r="D79" s="8">
        <f>-F60</f>
        <v>-4557470</v>
      </c>
    </row>
    <row r="80" spans="1:7" x14ac:dyDescent="0.3">
      <c r="A80" s="1">
        <f t="shared" si="0"/>
        <v>79</v>
      </c>
      <c r="C80" t="s">
        <v>208</v>
      </c>
      <c r="D80" s="6">
        <f>D78+D79</f>
        <v>-149126006</v>
      </c>
    </row>
    <row r="81" spans="1:4" x14ac:dyDescent="0.3">
      <c r="A81" s="1">
        <f t="shared" si="0"/>
        <v>80</v>
      </c>
      <c r="B81" t="s">
        <v>254</v>
      </c>
    </row>
    <row r="82" spans="1:4" x14ac:dyDescent="0.3">
      <c r="A82" s="1">
        <f t="shared" si="0"/>
        <v>81</v>
      </c>
      <c r="C82" t="s">
        <v>218</v>
      </c>
      <c r="D82" s="6">
        <f>-H18</f>
        <v>-56225551</v>
      </c>
    </row>
    <row r="83" spans="1:4" x14ac:dyDescent="0.3">
      <c r="A83" s="1">
        <f t="shared" si="0"/>
        <v>82</v>
      </c>
      <c r="C83" t="s">
        <v>255</v>
      </c>
      <c r="D83" s="8">
        <f>-E38</f>
        <v>-21828</v>
      </c>
    </row>
    <row r="84" spans="1:4" x14ac:dyDescent="0.3">
      <c r="A84" s="1">
        <f t="shared" ref="A84:A96" si="3">A83+1</f>
        <v>83</v>
      </c>
      <c r="C84" t="s">
        <v>208</v>
      </c>
      <c r="D84" s="6">
        <f>D82+D83</f>
        <v>-56247379</v>
      </c>
    </row>
    <row r="85" spans="1:4" x14ac:dyDescent="0.3">
      <c r="A85" s="1">
        <f t="shared" si="3"/>
        <v>84</v>
      </c>
      <c r="B85" t="s">
        <v>256</v>
      </c>
    </row>
    <row r="86" spans="1:4" x14ac:dyDescent="0.3">
      <c r="A86" s="1">
        <f t="shared" si="3"/>
        <v>85</v>
      </c>
      <c r="C86" t="s">
        <v>121</v>
      </c>
      <c r="D86" s="6">
        <f>-D38</f>
        <v>-1425714</v>
      </c>
    </row>
    <row r="87" spans="1:4" x14ac:dyDescent="0.3">
      <c r="A87" s="1">
        <f t="shared" si="3"/>
        <v>86</v>
      </c>
      <c r="C87" t="s">
        <v>226</v>
      </c>
      <c r="D87" s="8">
        <f>-F38</f>
        <v>-1924723</v>
      </c>
    </row>
    <row r="88" spans="1:4" x14ac:dyDescent="0.3">
      <c r="A88" s="1">
        <f t="shared" si="3"/>
        <v>87</v>
      </c>
      <c r="C88" t="s">
        <v>208</v>
      </c>
      <c r="D88" s="6">
        <f>D86+D87</f>
        <v>-3350437</v>
      </c>
    </row>
    <row r="89" spans="1:4" x14ac:dyDescent="0.3">
      <c r="A89" s="1">
        <f t="shared" si="3"/>
        <v>88</v>
      </c>
      <c r="B89" t="s">
        <v>257</v>
      </c>
    </row>
    <row r="90" spans="1:4" x14ac:dyDescent="0.3">
      <c r="A90" s="1">
        <f t="shared" si="3"/>
        <v>89</v>
      </c>
      <c r="C90" t="s">
        <v>118</v>
      </c>
      <c r="D90" s="6">
        <f>-G38</f>
        <v>-48239966</v>
      </c>
    </row>
    <row r="91" spans="1:4" x14ac:dyDescent="0.3">
      <c r="A91" s="1">
        <f t="shared" si="3"/>
        <v>90</v>
      </c>
      <c r="C91" t="s">
        <v>258</v>
      </c>
      <c r="D91" s="8">
        <f>-D41</f>
        <v>-5753866</v>
      </c>
    </row>
    <row r="92" spans="1:4" x14ac:dyDescent="0.3">
      <c r="A92" s="1">
        <f t="shared" si="3"/>
        <v>91</v>
      </c>
      <c r="C92" t="s">
        <v>208</v>
      </c>
      <c r="D92" s="6">
        <f>D90+D91</f>
        <v>-53993832</v>
      </c>
    </row>
    <row r="93" spans="1:4" x14ac:dyDescent="0.3">
      <c r="A93" s="1">
        <f t="shared" si="3"/>
        <v>92</v>
      </c>
      <c r="B93" t="s">
        <v>259</v>
      </c>
      <c r="D93" s="6">
        <f>-D42</f>
        <v>-1449731</v>
      </c>
    </row>
    <row r="94" spans="1:4" x14ac:dyDescent="0.3">
      <c r="A94" s="1">
        <f t="shared" si="3"/>
        <v>93</v>
      </c>
      <c r="B94" t="s">
        <v>233</v>
      </c>
      <c r="D94" s="6">
        <f>-F53</f>
        <v>-20196960</v>
      </c>
    </row>
    <row r="95" spans="1:4" x14ac:dyDescent="0.3">
      <c r="A95" s="1">
        <f t="shared" si="3"/>
        <v>94</v>
      </c>
      <c r="B95" t="s">
        <v>153</v>
      </c>
      <c r="D95" s="6">
        <f>-F72</f>
        <v>-18481350</v>
      </c>
    </row>
    <row r="96" spans="1:4" x14ac:dyDescent="0.3">
      <c r="A96" s="1">
        <f t="shared" si="3"/>
        <v>95</v>
      </c>
    </row>
  </sheetData>
  <mergeCells count="2">
    <mergeCell ref="B3:H3"/>
    <mergeCell ref="B4:H4"/>
  </mergeCells>
  <pageMargins left="0.7" right="0.7" top="0.75" bottom="0.75" header="0.3" footer="0.3"/>
  <pageSetup scale="51" orientation="landscape" verticalDpi="300" r:id="rId1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G31"/>
  <sheetViews>
    <sheetView zoomScale="80" zoomScaleNormal="80" workbookViewId="0">
      <selection activeCell="J21" sqref="J21"/>
    </sheetView>
  </sheetViews>
  <sheetFormatPr defaultColWidth="15.58203125" defaultRowHeight="14" x14ac:dyDescent="0.3"/>
  <cols>
    <col min="1" max="1" width="4.58203125" customWidth="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260</v>
      </c>
    </row>
    <row r="3" spans="1:7" x14ac:dyDescent="0.3">
      <c r="A3" s="1">
        <f t="shared" ref="A3:A31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261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</row>
    <row r="6" spans="1:7" x14ac:dyDescent="0.3">
      <c r="A6" s="1">
        <f t="shared" si="0"/>
        <v>5</v>
      </c>
    </row>
    <row r="7" spans="1:7" x14ac:dyDescent="0.3">
      <c r="A7" s="1">
        <f t="shared" si="0"/>
        <v>6</v>
      </c>
      <c r="C7" s="2"/>
      <c r="D7" s="2" t="s">
        <v>262</v>
      </c>
      <c r="E7" s="2" t="s">
        <v>133</v>
      </c>
      <c r="F7" s="2" t="s">
        <v>262</v>
      </c>
    </row>
    <row r="8" spans="1:7" ht="14.5" thickBot="1" x14ac:dyDescent="0.35">
      <c r="A8" s="1">
        <f t="shared" si="0"/>
        <v>7</v>
      </c>
      <c r="C8" s="3" t="s">
        <v>160</v>
      </c>
      <c r="D8" s="3" t="s">
        <v>163</v>
      </c>
      <c r="E8" s="3" t="s">
        <v>263</v>
      </c>
      <c r="F8" s="3" t="s">
        <v>133</v>
      </c>
    </row>
    <row r="9" spans="1:7" x14ac:dyDescent="0.3">
      <c r="A9" s="1">
        <f t="shared" si="0"/>
        <v>8</v>
      </c>
    </row>
    <row r="10" spans="1:7" x14ac:dyDescent="0.3">
      <c r="A10" s="1">
        <f t="shared" si="0"/>
        <v>9</v>
      </c>
      <c r="C10" s="15" t="s">
        <v>164</v>
      </c>
      <c r="D10" s="6">
        <v>10206</v>
      </c>
      <c r="E10" s="21">
        <v>9.4E-2</v>
      </c>
      <c r="F10" s="6">
        <f>ROUND(D10*E10,0)</f>
        <v>959</v>
      </c>
    </row>
    <row r="11" spans="1:7" x14ac:dyDescent="0.3">
      <c r="A11" s="1">
        <f t="shared" si="0"/>
        <v>10</v>
      </c>
      <c r="C11" s="15" t="s">
        <v>165</v>
      </c>
      <c r="D11" s="6">
        <v>381508</v>
      </c>
      <c r="E11" s="21">
        <v>0.1196</v>
      </c>
      <c r="F11" s="6">
        <f t="shared" ref="F11:F21" si="1">ROUND(D11*E11,0)</f>
        <v>45628</v>
      </c>
    </row>
    <row r="12" spans="1:7" x14ac:dyDescent="0.3">
      <c r="A12" s="1">
        <f t="shared" si="0"/>
        <v>11</v>
      </c>
      <c r="C12" s="15" t="s">
        <v>166</v>
      </c>
      <c r="D12" s="6">
        <v>5579</v>
      </c>
      <c r="E12" s="21">
        <v>0.1628</v>
      </c>
      <c r="F12" s="6">
        <f t="shared" si="1"/>
        <v>908</v>
      </c>
    </row>
    <row r="13" spans="1:7" x14ac:dyDescent="0.3">
      <c r="A13" s="1">
        <f t="shared" si="0"/>
        <v>12</v>
      </c>
      <c r="C13" s="15" t="s">
        <v>167</v>
      </c>
      <c r="D13" s="6">
        <v>563323</v>
      </c>
      <c r="E13" s="21">
        <v>0.1583</v>
      </c>
      <c r="F13" s="6">
        <f t="shared" si="1"/>
        <v>89174</v>
      </c>
    </row>
    <row r="14" spans="1:7" x14ac:dyDescent="0.3">
      <c r="A14" s="1">
        <f t="shared" si="0"/>
        <v>13</v>
      </c>
      <c r="C14" s="15" t="s">
        <v>168</v>
      </c>
      <c r="D14" s="6">
        <v>179509</v>
      </c>
      <c r="E14" s="21">
        <v>0.187</v>
      </c>
      <c r="F14" s="6">
        <f t="shared" si="1"/>
        <v>33568</v>
      </c>
    </row>
    <row r="15" spans="1:7" x14ac:dyDescent="0.3">
      <c r="A15" s="1">
        <f t="shared" si="0"/>
        <v>14</v>
      </c>
      <c r="C15" s="15" t="s">
        <v>169</v>
      </c>
      <c r="D15" s="6">
        <v>18197</v>
      </c>
      <c r="E15" s="21">
        <v>0.19359999999999999</v>
      </c>
      <c r="F15" s="6">
        <f t="shared" si="1"/>
        <v>3523</v>
      </c>
    </row>
    <row r="16" spans="1:7" x14ac:dyDescent="0.3">
      <c r="A16" s="1">
        <f t="shared" si="0"/>
        <v>15</v>
      </c>
      <c r="C16" s="15" t="s">
        <v>170</v>
      </c>
      <c r="D16" s="6">
        <v>1760051</v>
      </c>
      <c r="E16" s="21">
        <v>0.19389999999999999</v>
      </c>
      <c r="F16" s="6">
        <f t="shared" si="1"/>
        <v>341274</v>
      </c>
    </row>
    <row r="17" spans="1:6" x14ac:dyDescent="0.3">
      <c r="A17" s="1">
        <f t="shared" si="0"/>
        <v>16</v>
      </c>
      <c r="C17" s="15" t="s">
        <v>171</v>
      </c>
      <c r="D17" s="6">
        <v>55066</v>
      </c>
      <c r="E17" s="21">
        <v>0.1515</v>
      </c>
      <c r="F17" s="6">
        <f t="shared" si="1"/>
        <v>8342</v>
      </c>
    </row>
    <row r="18" spans="1:6" x14ac:dyDescent="0.3">
      <c r="A18" s="1">
        <f t="shared" si="0"/>
        <v>17</v>
      </c>
      <c r="C18" s="15" t="s">
        <v>172</v>
      </c>
      <c r="D18" s="6">
        <v>582547</v>
      </c>
      <c r="E18" s="21">
        <v>0.1479</v>
      </c>
      <c r="F18" s="6">
        <f t="shared" si="1"/>
        <v>86159</v>
      </c>
    </row>
    <row r="19" spans="1:6" x14ac:dyDescent="0.3">
      <c r="A19" s="1">
        <f t="shared" si="0"/>
        <v>18</v>
      </c>
      <c r="C19" s="15" t="s">
        <v>173</v>
      </c>
      <c r="D19" s="6">
        <v>920</v>
      </c>
      <c r="E19" s="21">
        <v>0.17469999999999999</v>
      </c>
      <c r="F19" s="6">
        <f t="shared" si="1"/>
        <v>161</v>
      </c>
    </row>
    <row r="20" spans="1:6" x14ac:dyDescent="0.3">
      <c r="A20" s="1">
        <f t="shared" si="0"/>
        <v>19</v>
      </c>
      <c r="C20" s="15" t="s">
        <v>174</v>
      </c>
      <c r="D20" s="6">
        <v>61205</v>
      </c>
      <c r="E20" s="21">
        <v>0.17949999999999999</v>
      </c>
      <c r="F20" s="6">
        <f t="shared" si="1"/>
        <v>10986</v>
      </c>
    </row>
    <row r="21" spans="1:6" x14ac:dyDescent="0.3">
      <c r="A21" s="1">
        <f t="shared" si="0"/>
        <v>20</v>
      </c>
      <c r="C21" s="15" t="s">
        <v>175</v>
      </c>
      <c r="D21" s="8">
        <v>221268</v>
      </c>
      <c r="E21" s="21">
        <v>0.1658</v>
      </c>
      <c r="F21" s="8">
        <f t="shared" si="1"/>
        <v>36686</v>
      </c>
    </row>
    <row r="22" spans="1:6" x14ac:dyDescent="0.3">
      <c r="A22" s="1">
        <f t="shared" si="0"/>
        <v>21</v>
      </c>
      <c r="D22" s="6"/>
      <c r="F22" s="6"/>
    </row>
    <row r="23" spans="1:6" ht="14.5" thickBot="1" x14ac:dyDescent="0.35">
      <c r="A23" s="1">
        <f t="shared" si="0"/>
        <v>22</v>
      </c>
      <c r="D23" s="10">
        <f>SUM(D10:D21)</f>
        <v>3839379</v>
      </c>
      <c r="F23" s="10">
        <f>SUM(F10:F21)</f>
        <v>657368</v>
      </c>
    </row>
    <row r="24" spans="1:6" ht="14.5" thickTop="1" x14ac:dyDescent="0.3">
      <c r="A24" s="1">
        <f t="shared" si="0"/>
        <v>23</v>
      </c>
    </row>
    <row r="25" spans="1:6" x14ac:dyDescent="0.3">
      <c r="A25" s="1">
        <f t="shared" si="0"/>
        <v>24</v>
      </c>
    </row>
    <row r="26" spans="1:6" x14ac:dyDescent="0.3">
      <c r="A26" s="1">
        <f t="shared" si="0"/>
        <v>25</v>
      </c>
      <c r="C26" t="s">
        <v>264</v>
      </c>
    </row>
    <row r="27" spans="1:6" x14ac:dyDescent="0.3">
      <c r="A27" s="1">
        <f t="shared" si="0"/>
        <v>26</v>
      </c>
      <c r="C27" t="s">
        <v>265</v>
      </c>
    </row>
    <row r="28" spans="1:6" x14ac:dyDescent="0.3">
      <c r="A28" s="1">
        <f t="shared" si="0"/>
        <v>27</v>
      </c>
      <c r="C28" t="s">
        <v>266</v>
      </c>
    </row>
    <row r="29" spans="1:6" x14ac:dyDescent="0.3">
      <c r="A29" s="1">
        <f t="shared" si="0"/>
        <v>28</v>
      </c>
      <c r="C29" t="s">
        <v>267</v>
      </c>
    </row>
    <row r="30" spans="1:6" ht="14.5" thickBot="1" x14ac:dyDescent="0.35">
      <c r="A30" s="1">
        <f t="shared" si="0"/>
        <v>29</v>
      </c>
      <c r="C30" t="s">
        <v>268</v>
      </c>
      <c r="F30" s="10">
        <f>-F23</f>
        <v>-657368</v>
      </c>
    </row>
    <row r="31" spans="1:6" ht="14.5" thickTop="1" x14ac:dyDescent="0.3">
      <c r="A31" s="1">
        <f t="shared" si="0"/>
        <v>30</v>
      </c>
    </row>
  </sheetData>
  <mergeCells count="2">
    <mergeCell ref="B3:G3"/>
    <mergeCell ref="B4:G4"/>
  </mergeCells>
  <pageMargins left="0.7" right="0.7" top="0.75" bottom="0.75" header="0.3" footer="0.3"/>
  <pageSetup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J214"/>
  <sheetViews>
    <sheetView zoomScale="80" zoomScaleNormal="80" workbookViewId="0">
      <selection activeCell="J11" sqref="J11"/>
    </sheetView>
  </sheetViews>
  <sheetFormatPr defaultColWidth="15.58203125" defaultRowHeight="14" x14ac:dyDescent="0.3"/>
  <cols>
    <col min="1" max="1" width="4.58203125" customWidth="1"/>
    <col min="2" max="2" width="39.33203125" customWidth="1"/>
  </cols>
  <sheetData>
    <row r="1" spans="1:9" x14ac:dyDescent="0.3">
      <c r="A1" s="1">
        <v>0</v>
      </c>
    </row>
    <row r="2" spans="1:9" x14ac:dyDescent="0.3">
      <c r="A2" s="1">
        <f>A1+1</f>
        <v>1</v>
      </c>
      <c r="H2" s="4" t="s">
        <v>269</v>
      </c>
    </row>
    <row r="3" spans="1:9" x14ac:dyDescent="0.3">
      <c r="A3" s="1">
        <f t="shared" ref="A3:A6" si="0">A2+1</f>
        <v>2</v>
      </c>
      <c r="B3" s="72" t="s">
        <v>1</v>
      </c>
      <c r="C3" s="72"/>
      <c r="D3" s="72"/>
      <c r="E3" s="72"/>
      <c r="F3" s="72"/>
      <c r="G3" s="72"/>
      <c r="H3" s="72"/>
    </row>
    <row r="4" spans="1:9" x14ac:dyDescent="0.3">
      <c r="A4" s="1">
        <f t="shared" si="0"/>
        <v>3</v>
      </c>
      <c r="B4" s="72" t="s">
        <v>270</v>
      </c>
      <c r="C4" s="72"/>
      <c r="D4" s="72"/>
      <c r="E4" s="72"/>
      <c r="F4" s="72"/>
      <c r="G4" s="72"/>
      <c r="H4" s="72"/>
    </row>
    <row r="5" spans="1:9" x14ac:dyDescent="0.3">
      <c r="A5" s="1">
        <f t="shared" si="0"/>
        <v>4</v>
      </c>
    </row>
    <row r="6" spans="1:9" x14ac:dyDescent="0.3">
      <c r="A6" s="1">
        <f t="shared" si="0"/>
        <v>5</v>
      </c>
    </row>
    <row r="7" spans="1:9" x14ac:dyDescent="0.3">
      <c r="A7" s="1">
        <f t="shared" ref="A7:A70" si="1">A6+1</f>
        <v>6</v>
      </c>
      <c r="C7" s="2" t="s">
        <v>271</v>
      </c>
      <c r="D7" s="74" t="s">
        <v>272</v>
      </c>
      <c r="E7" s="75"/>
      <c r="F7" s="74" t="s">
        <v>273</v>
      </c>
      <c r="G7" s="75"/>
      <c r="H7" s="2" t="s">
        <v>274</v>
      </c>
    </row>
    <row r="8" spans="1:9" x14ac:dyDescent="0.3">
      <c r="A8" s="1">
        <f t="shared" si="1"/>
        <v>7</v>
      </c>
      <c r="C8" s="2" t="s">
        <v>275</v>
      </c>
      <c r="D8" s="2" t="s">
        <v>276</v>
      </c>
      <c r="E8" s="2" t="s">
        <v>277</v>
      </c>
      <c r="F8" s="2" t="s">
        <v>276</v>
      </c>
      <c r="G8" s="2" t="s">
        <v>277</v>
      </c>
      <c r="H8" s="2" t="s">
        <v>278</v>
      </c>
    </row>
    <row r="9" spans="1:9" ht="14.5" thickBot="1" x14ac:dyDescent="0.35">
      <c r="A9" s="1">
        <f t="shared" si="1"/>
        <v>8</v>
      </c>
      <c r="B9" s="3" t="s">
        <v>279</v>
      </c>
      <c r="C9" s="3" t="s">
        <v>280</v>
      </c>
      <c r="D9" s="25">
        <v>45291</v>
      </c>
      <c r="E9" s="25">
        <v>45473</v>
      </c>
      <c r="F9" s="25">
        <v>45291</v>
      </c>
      <c r="G9" s="25">
        <v>45473</v>
      </c>
      <c r="H9" s="3" t="s">
        <v>281</v>
      </c>
    </row>
    <row r="10" spans="1:9" x14ac:dyDescent="0.3">
      <c r="A10" s="1">
        <f t="shared" si="1"/>
        <v>9</v>
      </c>
    </row>
    <row r="11" spans="1:9" x14ac:dyDescent="0.3">
      <c r="A11" s="1">
        <f t="shared" si="1"/>
        <v>10</v>
      </c>
      <c r="B11" t="s">
        <v>282</v>
      </c>
      <c r="C11" s="6"/>
      <c r="D11" s="19"/>
      <c r="E11" s="19"/>
      <c r="F11" s="6"/>
      <c r="G11" s="6"/>
      <c r="H11" s="6"/>
    </row>
    <row r="12" spans="1:9" x14ac:dyDescent="0.3">
      <c r="A12" s="1">
        <f t="shared" si="1"/>
        <v>11</v>
      </c>
      <c r="B12" t="s">
        <v>283</v>
      </c>
      <c r="C12" s="6">
        <v>159000000</v>
      </c>
      <c r="D12" s="19">
        <v>4.6100000000000002E-2</v>
      </c>
      <c r="E12" s="19">
        <v>4.6100000000000002E-2</v>
      </c>
      <c r="F12" s="6">
        <f t="shared" ref="F12:F14" si="2">ROUND(C12*D12,0)</f>
        <v>7329900</v>
      </c>
      <c r="G12" s="6">
        <f t="shared" ref="G12:G14" si="3">ROUND(C12*E12,0)</f>
        <v>7329900</v>
      </c>
      <c r="H12" s="6">
        <v>7352309.7300000004</v>
      </c>
      <c r="I12" s="19"/>
    </row>
    <row r="13" spans="1:9" x14ac:dyDescent="0.3">
      <c r="A13" s="1">
        <f t="shared" si="1"/>
        <v>12</v>
      </c>
      <c r="B13" t="s">
        <v>284</v>
      </c>
      <c r="C13" s="6">
        <v>130000000</v>
      </c>
      <c r="D13" s="19">
        <v>4.4499999999999998E-2</v>
      </c>
      <c r="E13" s="19">
        <v>4.4499999999999998E-2</v>
      </c>
      <c r="F13" s="6">
        <f t="shared" si="2"/>
        <v>5785000</v>
      </c>
      <c r="G13" s="6">
        <f t="shared" si="3"/>
        <v>5785000</v>
      </c>
      <c r="H13" s="6">
        <v>5851131.9400000004</v>
      </c>
      <c r="I13" s="19"/>
    </row>
    <row r="14" spans="1:9" x14ac:dyDescent="0.3">
      <c r="A14" s="1">
        <f t="shared" si="1"/>
        <v>13</v>
      </c>
      <c r="B14" t="s">
        <v>285</v>
      </c>
      <c r="C14" s="8">
        <v>0</v>
      </c>
      <c r="D14" s="19">
        <v>2.8750000000000001E-2</v>
      </c>
      <c r="E14" s="19">
        <v>2.8750000000000001E-2</v>
      </c>
      <c r="F14" s="8">
        <f t="shared" si="2"/>
        <v>0</v>
      </c>
      <c r="G14" s="8">
        <f t="shared" si="3"/>
        <v>0</v>
      </c>
      <c r="H14" s="8">
        <v>16515.64</v>
      </c>
      <c r="I14" s="19"/>
    </row>
    <row r="15" spans="1:9" x14ac:dyDescent="0.3">
      <c r="A15" s="1">
        <f t="shared" si="1"/>
        <v>14</v>
      </c>
      <c r="C15" s="6"/>
      <c r="D15" s="19"/>
      <c r="E15" s="19"/>
      <c r="F15" s="6"/>
      <c r="G15" s="6"/>
      <c r="H15" s="6"/>
    </row>
    <row r="16" spans="1:9" x14ac:dyDescent="0.3">
      <c r="A16" s="1">
        <f t="shared" si="1"/>
        <v>15</v>
      </c>
      <c r="B16" t="s">
        <v>286</v>
      </c>
      <c r="C16" s="8">
        <f>SUM(C12:C14)</f>
        <v>289000000</v>
      </c>
      <c r="D16" s="19"/>
      <c r="E16" s="19"/>
      <c r="F16" s="8">
        <f>SUM(F12:F14)</f>
        <v>13114900</v>
      </c>
      <c r="G16" s="8">
        <f>SUM(G12:G14)</f>
        <v>13114900</v>
      </c>
      <c r="H16" s="8">
        <f>SUM(H12:H14)</f>
        <v>13219957.310000002</v>
      </c>
    </row>
    <row r="17" spans="1:9" x14ac:dyDescent="0.3">
      <c r="A17" s="1">
        <f t="shared" si="1"/>
        <v>16</v>
      </c>
      <c r="C17" s="6"/>
      <c r="D17" s="19"/>
      <c r="E17" s="19"/>
      <c r="F17" s="6"/>
      <c r="G17" s="6"/>
      <c r="H17" s="6"/>
    </row>
    <row r="18" spans="1:9" x14ac:dyDescent="0.3">
      <c r="A18" s="1">
        <f t="shared" si="1"/>
        <v>17</v>
      </c>
      <c r="B18" t="s">
        <v>287</v>
      </c>
      <c r="C18" s="6"/>
      <c r="D18" s="19"/>
      <c r="E18" s="19"/>
      <c r="F18" s="6"/>
      <c r="G18" s="6"/>
      <c r="H18" s="6"/>
    </row>
    <row r="19" spans="1:9" x14ac:dyDescent="0.3">
      <c r="A19" s="1">
        <f t="shared" si="1"/>
        <v>18</v>
      </c>
      <c r="B19" t="s">
        <v>288</v>
      </c>
      <c r="C19" s="6"/>
      <c r="D19" s="19"/>
      <c r="E19" s="19"/>
      <c r="F19" s="6"/>
      <c r="G19" s="6"/>
      <c r="H19" s="6"/>
    </row>
    <row r="20" spans="1:9" x14ac:dyDescent="0.3">
      <c r="A20" s="1">
        <f t="shared" si="1"/>
        <v>19</v>
      </c>
      <c r="B20" t="s">
        <v>289</v>
      </c>
      <c r="C20" s="6">
        <v>86666666.680000007</v>
      </c>
      <c r="D20" s="19">
        <v>4.2999999999999997E-2</v>
      </c>
      <c r="E20" s="19">
        <v>4.2999999999999997E-2</v>
      </c>
      <c r="F20" s="6">
        <f t="shared" ref="F20:F23" si="4">ROUND(C20*D20,0)</f>
        <v>3726667</v>
      </c>
      <c r="G20" s="6">
        <f t="shared" ref="G20:G23" si="5">ROUND(C20*E20,0)</f>
        <v>3726667</v>
      </c>
      <c r="H20" s="6">
        <v>3774444.4800000004</v>
      </c>
      <c r="I20" s="19"/>
    </row>
    <row r="21" spans="1:9" x14ac:dyDescent="0.3">
      <c r="A21" s="1">
        <f t="shared" si="1"/>
        <v>20</v>
      </c>
      <c r="B21" t="s">
        <v>290</v>
      </c>
      <c r="C21" s="6">
        <v>0</v>
      </c>
      <c r="D21" s="19">
        <v>4.0000000000000001E-3</v>
      </c>
      <c r="E21" s="19">
        <v>4.0000000000000001E-3</v>
      </c>
      <c r="F21" s="6">
        <f t="shared" si="4"/>
        <v>0</v>
      </c>
      <c r="G21" s="6">
        <f t="shared" si="5"/>
        <v>0</v>
      </c>
      <c r="H21" s="6">
        <v>898.89</v>
      </c>
      <c r="I21" s="19"/>
    </row>
    <row r="22" spans="1:9" x14ac:dyDescent="0.3">
      <c r="A22" s="1">
        <f t="shared" si="1"/>
        <v>21</v>
      </c>
      <c r="B22" t="s">
        <v>291</v>
      </c>
      <c r="C22" s="6">
        <v>16018196.050000001</v>
      </c>
      <c r="D22" s="19">
        <v>1.5299999999999999E-2</v>
      </c>
      <c r="E22" s="19">
        <v>1.5299999999999999E-2</v>
      </c>
      <c r="F22" s="6">
        <f t="shared" si="4"/>
        <v>245078</v>
      </c>
      <c r="G22" s="6">
        <f t="shared" si="5"/>
        <v>245078</v>
      </c>
      <c r="H22" s="6">
        <v>245547.17000000004</v>
      </c>
      <c r="I22" s="19"/>
    </row>
    <row r="23" spans="1:9" x14ac:dyDescent="0.3">
      <c r="A23" s="1">
        <f t="shared" si="1"/>
        <v>22</v>
      </c>
      <c r="B23" t="s">
        <v>292</v>
      </c>
      <c r="C23" s="8">
        <v>325315</v>
      </c>
      <c r="D23" s="19">
        <v>5.5E-2</v>
      </c>
      <c r="E23" s="19">
        <v>5.5E-2</v>
      </c>
      <c r="F23" s="8">
        <f t="shared" si="4"/>
        <v>17892</v>
      </c>
      <c r="G23" s="8">
        <f t="shared" si="5"/>
        <v>17892</v>
      </c>
      <c r="H23" s="8">
        <v>46745.760000000002</v>
      </c>
      <c r="I23" s="19"/>
    </row>
    <row r="24" spans="1:9" x14ac:dyDescent="0.3">
      <c r="A24" s="1">
        <f t="shared" si="1"/>
        <v>23</v>
      </c>
      <c r="C24" s="6"/>
      <c r="D24" s="19"/>
      <c r="E24" s="19"/>
      <c r="F24" s="6"/>
      <c r="G24" s="6"/>
      <c r="H24" s="6"/>
    </row>
    <row r="25" spans="1:9" x14ac:dyDescent="0.3">
      <c r="A25" s="1">
        <f t="shared" si="1"/>
        <v>24</v>
      </c>
      <c r="B25" t="s">
        <v>293</v>
      </c>
      <c r="C25" s="8">
        <f>SUM(C20:C23)</f>
        <v>103010177.73</v>
      </c>
      <c r="D25" s="19"/>
      <c r="E25" s="19"/>
      <c r="F25" s="8">
        <f>SUM(F20:F23)</f>
        <v>3989637</v>
      </c>
      <c r="G25" s="8">
        <f>SUM(G20:G23)</f>
        <v>3989637</v>
      </c>
      <c r="H25" s="8">
        <f>SUM(H20:H23)</f>
        <v>4067636.3000000003</v>
      </c>
    </row>
    <row r="26" spans="1:9" x14ac:dyDescent="0.3">
      <c r="A26" s="1">
        <f t="shared" si="1"/>
        <v>25</v>
      </c>
      <c r="C26" s="6"/>
      <c r="D26" s="19"/>
      <c r="E26" s="19"/>
      <c r="F26" s="6"/>
      <c r="G26" s="6"/>
      <c r="H26" s="6"/>
    </row>
    <row r="27" spans="1:9" x14ac:dyDescent="0.3">
      <c r="A27" s="1">
        <f t="shared" si="1"/>
        <v>26</v>
      </c>
      <c r="C27" s="6"/>
      <c r="D27" s="19"/>
      <c r="E27" s="19"/>
      <c r="F27" s="6"/>
      <c r="G27" s="6"/>
      <c r="H27" s="6"/>
    </row>
    <row r="28" spans="1:9" x14ac:dyDescent="0.3">
      <c r="A28" s="1">
        <f t="shared" si="1"/>
        <v>27</v>
      </c>
      <c r="B28" t="s">
        <v>294</v>
      </c>
      <c r="C28" s="6"/>
      <c r="D28" s="19"/>
      <c r="E28" s="19"/>
      <c r="F28" s="6"/>
      <c r="G28" s="6"/>
      <c r="H28" s="6"/>
    </row>
    <row r="29" spans="1:9" x14ac:dyDescent="0.3">
      <c r="A29" s="1">
        <f t="shared" si="1"/>
        <v>28</v>
      </c>
      <c r="B29" t="s">
        <v>295</v>
      </c>
      <c r="C29" s="6">
        <v>307575.65999999992</v>
      </c>
      <c r="D29" s="19">
        <v>4.5569999999999999E-2</v>
      </c>
      <c r="E29" s="19">
        <v>4.5569999999999999E-2</v>
      </c>
      <c r="F29" s="6">
        <f t="shared" ref="F29:F92" si="6">ROUND(C29*D29,0)</f>
        <v>14016</v>
      </c>
      <c r="G29" s="6">
        <f t="shared" ref="G29:G92" si="7">ROUND(C29*E29,0)</f>
        <v>14016</v>
      </c>
      <c r="H29" s="6">
        <v>18058.760000000002</v>
      </c>
      <c r="I29" s="19"/>
    </row>
    <row r="30" spans="1:9" x14ac:dyDescent="0.3">
      <c r="A30" s="1">
        <f t="shared" si="1"/>
        <v>29</v>
      </c>
      <c r="B30" t="s">
        <v>296</v>
      </c>
      <c r="C30" s="6">
        <v>1151629.7899999998</v>
      </c>
      <c r="D30" s="19">
        <v>4.709E-2</v>
      </c>
      <c r="E30" s="19">
        <v>4.709E-2</v>
      </c>
      <c r="F30" s="6">
        <f t="shared" si="6"/>
        <v>54230</v>
      </c>
      <c r="G30" s="6">
        <f t="shared" si="7"/>
        <v>54230</v>
      </c>
      <c r="H30" s="6">
        <v>69849.3</v>
      </c>
      <c r="I30" s="19"/>
    </row>
    <row r="31" spans="1:9" x14ac:dyDescent="0.3">
      <c r="A31" s="1">
        <f t="shared" si="1"/>
        <v>30</v>
      </c>
      <c r="B31" s="24" t="s">
        <v>297</v>
      </c>
      <c r="C31" s="6">
        <v>1247013.0900000001</v>
      </c>
      <c r="D31" s="19">
        <v>4.6240000000000003E-2</v>
      </c>
      <c r="E31" s="19">
        <v>4.6240000000000003E-2</v>
      </c>
      <c r="F31" s="6">
        <f t="shared" si="6"/>
        <v>57662</v>
      </c>
      <c r="G31" s="6">
        <f t="shared" si="7"/>
        <v>57662</v>
      </c>
      <c r="H31" s="6">
        <v>60154.080000000002</v>
      </c>
      <c r="I31" s="19"/>
    </row>
    <row r="32" spans="1:9" x14ac:dyDescent="0.3">
      <c r="A32" s="1">
        <f t="shared" si="1"/>
        <v>31</v>
      </c>
      <c r="B32" s="24" t="s">
        <v>298</v>
      </c>
      <c r="C32" s="6">
        <v>2707999.32</v>
      </c>
      <c r="D32" s="19">
        <v>4.6719999999999998E-2</v>
      </c>
      <c r="E32" s="19">
        <v>4.6719999999999998E-2</v>
      </c>
      <c r="F32" s="6">
        <f t="shared" si="6"/>
        <v>126518</v>
      </c>
      <c r="G32" s="6">
        <f t="shared" si="7"/>
        <v>126518</v>
      </c>
      <c r="H32" s="6">
        <v>131975.07</v>
      </c>
      <c r="I32" s="19"/>
    </row>
    <row r="33" spans="1:10" x14ac:dyDescent="0.3">
      <c r="A33" s="1">
        <f t="shared" si="1"/>
        <v>32</v>
      </c>
      <c r="B33" s="24" t="s">
        <v>299</v>
      </c>
      <c r="C33" s="6">
        <v>1490174.0800000003</v>
      </c>
      <c r="D33" s="19">
        <v>4.4850000000000001E-2</v>
      </c>
      <c r="E33" s="19">
        <v>4.4850000000000001E-2</v>
      </c>
      <c r="F33" s="6">
        <f t="shared" si="6"/>
        <v>66834</v>
      </c>
      <c r="G33" s="6">
        <f t="shared" si="7"/>
        <v>66834</v>
      </c>
      <c r="H33" s="6">
        <v>69739.570000000036</v>
      </c>
      <c r="I33" s="19"/>
    </row>
    <row r="34" spans="1:10" x14ac:dyDescent="0.3">
      <c r="A34" s="1">
        <f t="shared" si="1"/>
        <v>33</v>
      </c>
      <c r="B34" s="24" t="s">
        <v>300</v>
      </c>
      <c r="C34" s="6">
        <v>1347113.4</v>
      </c>
      <c r="D34" s="19">
        <v>4.6949999999999999E-2</v>
      </c>
      <c r="E34" s="19">
        <v>4.6949999999999999E-2</v>
      </c>
      <c r="F34" s="6">
        <f t="shared" si="6"/>
        <v>63247</v>
      </c>
      <c r="G34" s="6">
        <f t="shared" si="7"/>
        <v>63247</v>
      </c>
      <c r="H34" s="6">
        <v>81486.31</v>
      </c>
      <c r="I34" s="19"/>
    </row>
    <row r="35" spans="1:10" x14ac:dyDescent="0.3">
      <c r="A35" s="1">
        <f t="shared" si="1"/>
        <v>34</v>
      </c>
      <c r="B35" s="24" t="s">
        <v>301</v>
      </c>
      <c r="C35" s="6">
        <v>905917.29000000039</v>
      </c>
      <c r="D35" s="19">
        <v>4.802E-2</v>
      </c>
      <c r="E35" s="19">
        <v>4.802E-2</v>
      </c>
      <c r="F35" s="6">
        <f t="shared" si="6"/>
        <v>43502</v>
      </c>
      <c r="G35" s="6">
        <f t="shared" si="7"/>
        <v>43502</v>
      </c>
      <c r="H35" s="6">
        <v>56035.06</v>
      </c>
      <c r="I35" s="19"/>
    </row>
    <row r="36" spans="1:10" x14ac:dyDescent="0.3">
      <c r="A36" s="1">
        <f t="shared" si="1"/>
        <v>35</v>
      </c>
      <c r="B36" s="24" t="s">
        <v>302</v>
      </c>
      <c r="C36" s="6">
        <v>1311237.5000000012</v>
      </c>
      <c r="D36" s="19">
        <v>4.3660000000000004E-2</v>
      </c>
      <c r="E36" s="19">
        <v>4.3660000000000004E-2</v>
      </c>
      <c r="F36" s="6">
        <f t="shared" si="6"/>
        <v>57249</v>
      </c>
      <c r="G36" s="6">
        <f t="shared" si="7"/>
        <v>57249</v>
      </c>
      <c r="H36" s="6">
        <v>73808.25999999998</v>
      </c>
      <c r="I36" s="19"/>
    </row>
    <row r="37" spans="1:10" x14ac:dyDescent="0.3">
      <c r="A37" s="1">
        <f t="shared" si="1"/>
        <v>36</v>
      </c>
      <c r="B37" s="24" t="s">
        <v>303</v>
      </c>
      <c r="C37" s="6">
        <v>874808.94000000018</v>
      </c>
      <c r="D37" s="19">
        <v>4.3750000000000004E-2</v>
      </c>
      <c r="E37" s="19">
        <v>4.3750000000000004E-2</v>
      </c>
      <c r="F37" s="6">
        <f t="shared" si="6"/>
        <v>38273</v>
      </c>
      <c r="G37" s="6">
        <f t="shared" si="7"/>
        <v>38273</v>
      </c>
      <c r="H37" s="6">
        <v>49342.720000000016</v>
      </c>
      <c r="I37" s="19"/>
    </row>
    <row r="38" spans="1:10" x14ac:dyDescent="0.3">
      <c r="A38" s="1">
        <f t="shared" si="1"/>
        <v>37</v>
      </c>
      <c r="B38" s="24" t="s">
        <v>304</v>
      </c>
      <c r="C38" s="6">
        <v>1349527.5200000021</v>
      </c>
      <c r="D38" s="19">
        <v>4.7170000000000004E-2</v>
      </c>
      <c r="E38" s="19">
        <v>4.7170000000000004E-2</v>
      </c>
      <c r="F38" s="6">
        <f t="shared" si="6"/>
        <v>63657</v>
      </c>
      <c r="G38" s="6">
        <f t="shared" si="7"/>
        <v>63657</v>
      </c>
      <c r="H38" s="6">
        <v>82011.139999999985</v>
      </c>
      <c r="I38" s="19"/>
    </row>
    <row r="39" spans="1:10" x14ac:dyDescent="0.3">
      <c r="A39" s="1">
        <f t="shared" si="1"/>
        <v>38</v>
      </c>
      <c r="B39" s="24" t="s">
        <v>305</v>
      </c>
      <c r="C39" s="6">
        <v>894347.98999999976</v>
      </c>
      <c r="D39" s="19">
        <v>4.6440000000000002E-2</v>
      </c>
      <c r="E39" s="19">
        <v>4.6440000000000002E-2</v>
      </c>
      <c r="F39" s="6">
        <f t="shared" si="6"/>
        <v>41534</v>
      </c>
      <c r="G39" s="6">
        <f t="shared" si="7"/>
        <v>41534</v>
      </c>
      <c r="H39" s="6">
        <v>53516.689999999995</v>
      </c>
      <c r="I39" s="19"/>
    </row>
    <row r="40" spans="1:10" x14ac:dyDescent="0.3">
      <c r="A40" s="1">
        <f t="shared" si="1"/>
        <v>39</v>
      </c>
      <c r="B40" s="24" t="s">
        <v>306</v>
      </c>
      <c r="C40" s="6">
        <v>378252.4800000001</v>
      </c>
      <c r="D40" s="19">
        <v>4.4420000000000001E-2</v>
      </c>
      <c r="E40" s="19">
        <v>4.4420000000000001E-2</v>
      </c>
      <c r="F40" s="6">
        <f t="shared" si="6"/>
        <v>16802</v>
      </c>
      <c r="G40" s="6">
        <f t="shared" si="7"/>
        <v>16802</v>
      </c>
      <c r="H40" s="6">
        <v>21658.689999999995</v>
      </c>
      <c r="I40" s="19"/>
    </row>
    <row r="41" spans="1:10" x14ac:dyDescent="0.3">
      <c r="A41" s="1">
        <f t="shared" si="1"/>
        <v>40</v>
      </c>
      <c r="B41" s="24" t="s">
        <v>307</v>
      </c>
      <c r="C41" s="6">
        <v>235127.28999999995</v>
      </c>
      <c r="D41" s="19">
        <v>4.5010000000000001E-2</v>
      </c>
      <c r="E41" s="19">
        <v>4.5010000000000001E-2</v>
      </c>
      <c r="F41" s="6">
        <f t="shared" si="6"/>
        <v>10583</v>
      </c>
      <c r="G41" s="6">
        <f t="shared" si="7"/>
        <v>10583</v>
      </c>
      <c r="H41" s="6">
        <v>13640.490000000002</v>
      </c>
      <c r="I41" s="19"/>
      <c r="J41" s="6"/>
    </row>
    <row r="42" spans="1:10" x14ac:dyDescent="0.3">
      <c r="A42" s="1">
        <f t="shared" si="1"/>
        <v>41</v>
      </c>
      <c r="B42" s="24" t="s">
        <v>308</v>
      </c>
      <c r="C42" s="6">
        <v>517090.47</v>
      </c>
      <c r="D42" s="19">
        <v>4.5769999999999998E-2</v>
      </c>
      <c r="E42" s="19">
        <v>4.5769999999999998E-2</v>
      </c>
      <c r="F42" s="6">
        <f t="shared" si="6"/>
        <v>23667</v>
      </c>
      <c r="G42" s="6">
        <f t="shared" si="7"/>
        <v>23667</v>
      </c>
      <c r="H42" s="6">
        <v>30499.880000000016</v>
      </c>
      <c r="I42" s="19"/>
      <c r="J42" s="6"/>
    </row>
    <row r="43" spans="1:10" x14ac:dyDescent="0.3">
      <c r="A43" s="1">
        <f t="shared" si="1"/>
        <v>42</v>
      </c>
      <c r="B43" s="24" t="s">
        <v>309</v>
      </c>
      <c r="C43" s="6">
        <v>11727284.650000002</v>
      </c>
      <c r="D43" s="19">
        <v>4.4600000000000001E-2</v>
      </c>
      <c r="E43" s="19">
        <v>4.4600000000000001E-2</v>
      </c>
      <c r="F43" s="6">
        <f t="shared" si="6"/>
        <v>523037</v>
      </c>
      <c r="G43" s="6">
        <f t="shared" si="7"/>
        <v>523037</v>
      </c>
      <c r="H43" s="6">
        <v>540064.83000000007</v>
      </c>
      <c r="I43" s="19"/>
      <c r="J43" s="6"/>
    </row>
    <row r="44" spans="1:10" x14ac:dyDescent="0.3">
      <c r="A44" s="1">
        <f t="shared" si="1"/>
        <v>43</v>
      </c>
      <c r="B44" s="24" t="s">
        <v>310</v>
      </c>
      <c r="C44" s="6">
        <v>5476711.0099999998</v>
      </c>
      <c r="D44" s="19">
        <v>4.3380000000000002E-2</v>
      </c>
      <c r="E44" s="19">
        <v>4.3380000000000002E-2</v>
      </c>
      <c r="F44" s="6">
        <f t="shared" si="6"/>
        <v>237580</v>
      </c>
      <c r="G44" s="6">
        <f t="shared" si="7"/>
        <v>237580</v>
      </c>
      <c r="H44" s="6">
        <v>245364.12</v>
      </c>
      <c r="I44" s="19"/>
      <c r="J44" s="6"/>
    </row>
    <row r="45" spans="1:10" x14ac:dyDescent="0.3">
      <c r="A45" s="1">
        <f t="shared" si="1"/>
        <v>44</v>
      </c>
      <c r="B45" s="24" t="s">
        <v>311</v>
      </c>
      <c r="C45" s="6">
        <v>2124461.4800000004</v>
      </c>
      <c r="D45" s="19">
        <v>4.3060000000000001E-2</v>
      </c>
      <c r="E45" s="19">
        <v>4.3060000000000001E-2</v>
      </c>
      <c r="F45" s="6">
        <f t="shared" si="6"/>
        <v>91479</v>
      </c>
      <c r="G45" s="6">
        <f t="shared" si="7"/>
        <v>91479</v>
      </c>
      <c r="H45" s="6">
        <v>94481.73</v>
      </c>
      <c r="I45" s="19"/>
      <c r="J45" s="6"/>
    </row>
    <row r="46" spans="1:10" x14ac:dyDescent="0.3">
      <c r="A46" s="1">
        <f t="shared" si="1"/>
        <v>45</v>
      </c>
      <c r="B46" s="24" t="s">
        <v>312</v>
      </c>
      <c r="C46" s="6">
        <v>16052028.950000007</v>
      </c>
      <c r="D46" s="19">
        <v>4.6580000000000003E-2</v>
      </c>
      <c r="E46" s="19">
        <v>4.6580000000000003E-2</v>
      </c>
      <c r="F46" s="6">
        <f t="shared" si="6"/>
        <v>747704</v>
      </c>
      <c r="G46" s="6">
        <f t="shared" si="7"/>
        <v>747704</v>
      </c>
      <c r="H46" s="6">
        <v>760269.24</v>
      </c>
      <c r="I46" s="19"/>
      <c r="J46" s="6"/>
    </row>
    <row r="47" spans="1:10" x14ac:dyDescent="0.3">
      <c r="A47" s="1">
        <f t="shared" si="1"/>
        <v>46</v>
      </c>
      <c r="B47" s="24" t="s">
        <v>313</v>
      </c>
      <c r="C47" s="6">
        <v>15903461.099999996</v>
      </c>
      <c r="D47" s="19">
        <v>4.4970000000000003E-2</v>
      </c>
      <c r="E47" s="19">
        <v>4.4970000000000003E-2</v>
      </c>
      <c r="F47" s="6">
        <f t="shared" si="6"/>
        <v>715179</v>
      </c>
      <c r="G47" s="6">
        <f t="shared" si="7"/>
        <v>715179</v>
      </c>
      <c r="H47" s="6">
        <v>727370.83</v>
      </c>
      <c r="I47" s="19"/>
    </row>
    <row r="48" spans="1:10" x14ac:dyDescent="0.3">
      <c r="A48" s="1">
        <f t="shared" si="1"/>
        <v>47</v>
      </c>
      <c r="B48" s="24" t="s">
        <v>314</v>
      </c>
      <c r="C48" s="6">
        <v>15749950.129999999</v>
      </c>
      <c r="D48" s="19">
        <v>4.3319999999999997E-2</v>
      </c>
      <c r="E48" s="19">
        <v>4.3319999999999997E-2</v>
      </c>
      <c r="F48" s="6">
        <f t="shared" si="6"/>
        <v>682288</v>
      </c>
      <c r="G48" s="6">
        <f t="shared" si="7"/>
        <v>682288</v>
      </c>
      <c r="H48" s="6">
        <v>694090.33</v>
      </c>
      <c r="I48" s="19"/>
      <c r="J48" s="6"/>
    </row>
    <row r="49" spans="1:9" x14ac:dyDescent="0.3">
      <c r="A49" s="1">
        <f t="shared" si="1"/>
        <v>48</v>
      </c>
      <c r="B49" s="24" t="s">
        <v>315</v>
      </c>
      <c r="C49" s="6">
        <v>11964281.409999998</v>
      </c>
      <c r="D49" s="19">
        <v>4.3240000000000001E-2</v>
      </c>
      <c r="E49" s="19">
        <v>4.3240000000000001E-2</v>
      </c>
      <c r="F49" s="6">
        <f t="shared" si="6"/>
        <v>517336</v>
      </c>
      <c r="G49" s="6">
        <f t="shared" si="7"/>
        <v>517336</v>
      </c>
      <c r="H49" s="6">
        <v>526290.96000000008</v>
      </c>
      <c r="I49" s="19"/>
    </row>
    <row r="50" spans="1:9" x14ac:dyDescent="0.3">
      <c r="A50" s="1">
        <f t="shared" si="1"/>
        <v>49</v>
      </c>
      <c r="B50" s="24" t="s">
        <v>316</v>
      </c>
      <c r="C50" s="6">
        <v>19051885.859999996</v>
      </c>
      <c r="D50" s="19">
        <v>4.4679999999999997E-2</v>
      </c>
      <c r="E50" s="19">
        <v>4.4679999999999997E-2</v>
      </c>
      <c r="F50" s="6">
        <f t="shared" si="6"/>
        <v>851238</v>
      </c>
      <c r="G50" s="6">
        <f t="shared" si="7"/>
        <v>851238</v>
      </c>
      <c r="H50" s="6">
        <v>865787.30000000016</v>
      </c>
      <c r="I50" s="19"/>
    </row>
    <row r="51" spans="1:9" x14ac:dyDescent="0.3">
      <c r="A51" s="1">
        <f t="shared" si="1"/>
        <v>50</v>
      </c>
      <c r="B51" s="24" t="s">
        <v>317</v>
      </c>
      <c r="C51" s="6">
        <v>19054112.430000003</v>
      </c>
      <c r="D51" s="19">
        <v>4.4699999999999997E-2</v>
      </c>
      <c r="E51" s="19">
        <v>4.4699999999999997E-2</v>
      </c>
      <c r="F51" s="6">
        <f t="shared" si="6"/>
        <v>851719</v>
      </c>
      <c r="G51" s="6">
        <f t="shared" si="7"/>
        <v>851719</v>
      </c>
      <c r="H51" s="6">
        <v>866273.52</v>
      </c>
      <c r="I51" s="19"/>
    </row>
    <row r="52" spans="1:9" x14ac:dyDescent="0.3">
      <c r="A52" s="1">
        <f t="shared" si="1"/>
        <v>51</v>
      </c>
      <c r="B52" s="24" t="s">
        <v>318</v>
      </c>
      <c r="C52" s="6">
        <v>2332613.5500000003</v>
      </c>
      <c r="D52" s="19">
        <v>3.8010000000000002E-2</v>
      </c>
      <c r="E52" s="19">
        <v>3.8010000000000002E-2</v>
      </c>
      <c r="F52" s="6">
        <f t="shared" si="6"/>
        <v>88663</v>
      </c>
      <c r="G52" s="6">
        <f t="shared" si="7"/>
        <v>88663</v>
      </c>
      <c r="H52" s="6">
        <v>90269.58</v>
      </c>
      <c r="I52" s="19"/>
    </row>
    <row r="53" spans="1:9" x14ac:dyDescent="0.3">
      <c r="A53" s="1">
        <f t="shared" si="1"/>
        <v>52</v>
      </c>
      <c r="B53" s="24" t="s">
        <v>319</v>
      </c>
      <c r="C53" s="6">
        <v>259758.93999999977</v>
      </c>
      <c r="D53" s="19">
        <v>4.3529999999999999E-2</v>
      </c>
      <c r="E53" s="19">
        <v>4.3529999999999999E-2</v>
      </c>
      <c r="F53" s="6">
        <f t="shared" si="6"/>
        <v>11307</v>
      </c>
      <c r="G53" s="6">
        <f t="shared" si="7"/>
        <v>11307</v>
      </c>
      <c r="H53" s="6">
        <v>28020.37</v>
      </c>
      <c r="I53" s="19"/>
    </row>
    <row r="54" spans="1:9" x14ac:dyDescent="0.3">
      <c r="A54" s="1">
        <f t="shared" si="1"/>
        <v>53</v>
      </c>
      <c r="B54" s="24" t="s">
        <v>320</v>
      </c>
      <c r="C54" s="6">
        <v>61358.599999999948</v>
      </c>
      <c r="D54" s="19">
        <v>3.2239999999999998E-2</v>
      </c>
      <c r="E54" s="19">
        <v>3.2239999999999998E-2</v>
      </c>
      <c r="F54" s="6">
        <f t="shared" si="6"/>
        <v>1978</v>
      </c>
      <c r="G54" s="6">
        <f t="shared" si="7"/>
        <v>1978</v>
      </c>
      <c r="H54" s="6">
        <v>4915.7300000000023</v>
      </c>
      <c r="I54" s="19"/>
    </row>
    <row r="55" spans="1:9" x14ac:dyDescent="0.3">
      <c r="A55" s="1">
        <f t="shared" si="1"/>
        <v>54</v>
      </c>
      <c r="B55" s="24" t="s">
        <v>321</v>
      </c>
      <c r="C55" s="6">
        <v>188316.30999999997</v>
      </c>
      <c r="D55" s="19">
        <v>3.943E-2</v>
      </c>
      <c r="E55" s="19">
        <v>3.943E-2</v>
      </c>
      <c r="F55" s="6">
        <f t="shared" si="6"/>
        <v>7425</v>
      </c>
      <c r="G55" s="6">
        <f t="shared" si="7"/>
        <v>7425</v>
      </c>
      <c r="H55" s="6">
        <v>7621.2700000000013</v>
      </c>
      <c r="I55" s="19"/>
    </row>
    <row r="56" spans="1:9" x14ac:dyDescent="0.3">
      <c r="A56" s="1">
        <f t="shared" si="1"/>
        <v>55</v>
      </c>
      <c r="B56" s="24" t="s">
        <v>322</v>
      </c>
      <c r="C56" s="6">
        <v>17511709.629999999</v>
      </c>
      <c r="D56" s="19">
        <v>4.5109999999999997E-2</v>
      </c>
      <c r="E56" s="19">
        <v>4.5109999999999997E-2</v>
      </c>
      <c r="F56" s="6">
        <f t="shared" si="6"/>
        <v>789953</v>
      </c>
      <c r="G56" s="6">
        <f t="shared" si="7"/>
        <v>789953</v>
      </c>
      <c r="H56" s="6">
        <v>801264.71999999974</v>
      </c>
      <c r="I56" s="19"/>
    </row>
    <row r="57" spans="1:9" x14ac:dyDescent="0.3">
      <c r="A57" s="1">
        <f t="shared" si="1"/>
        <v>56</v>
      </c>
      <c r="B57" s="24" t="s">
        <v>323</v>
      </c>
      <c r="C57" s="6">
        <v>7657768.2800000003</v>
      </c>
      <c r="D57" s="19">
        <v>4.385E-2</v>
      </c>
      <c r="E57" s="19">
        <v>4.385E-2</v>
      </c>
      <c r="F57" s="6">
        <f t="shared" si="6"/>
        <v>335793</v>
      </c>
      <c r="G57" s="6">
        <f t="shared" si="7"/>
        <v>335793</v>
      </c>
      <c r="H57" s="6">
        <v>340663.12999999995</v>
      </c>
      <c r="I57" s="19"/>
    </row>
    <row r="58" spans="1:9" x14ac:dyDescent="0.3">
      <c r="A58" s="1">
        <f t="shared" si="1"/>
        <v>57</v>
      </c>
      <c r="B58" s="24" t="s">
        <v>324</v>
      </c>
      <c r="C58" s="6">
        <v>9114546.6300000008</v>
      </c>
      <c r="D58" s="19">
        <v>4.3819999999999998E-2</v>
      </c>
      <c r="E58" s="19">
        <v>4.3819999999999998E-2</v>
      </c>
      <c r="F58" s="6">
        <f t="shared" si="6"/>
        <v>399399</v>
      </c>
      <c r="G58" s="6">
        <f t="shared" si="7"/>
        <v>399399</v>
      </c>
      <c r="H58" s="6">
        <v>405193.63</v>
      </c>
      <c r="I58" s="19"/>
    </row>
    <row r="59" spans="1:9" x14ac:dyDescent="0.3">
      <c r="A59" s="1">
        <f t="shared" si="1"/>
        <v>58</v>
      </c>
      <c r="B59" s="24" t="s">
        <v>325</v>
      </c>
      <c r="C59" s="6">
        <v>4988468.9899999993</v>
      </c>
      <c r="D59" s="19">
        <v>4.3979999999999998E-2</v>
      </c>
      <c r="E59" s="19">
        <v>4.3979999999999998E-2</v>
      </c>
      <c r="F59" s="6">
        <f t="shared" si="6"/>
        <v>219393</v>
      </c>
      <c r="G59" s="6">
        <f t="shared" si="7"/>
        <v>219393</v>
      </c>
      <c r="H59" s="6">
        <v>222570.55000000002</v>
      </c>
      <c r="I59" s="19"/>
    </row>
    <row r="60" spans="1:9" x14ac:dyDescent="0.3">
      <c r="A60" s="1">
        <f t="shared" si="1"/>
        <v>59</v>
      </c>
      <c r="B60" s="24" t="s">
        <v>326</v>
      </c>
      <c r="C60" s="6">
        <v>457570.79999999993</v>
      </c>
      <c r="D60" s="19">
        <v>3.9219999999999998E-2</v>
      </c>
      <c r="E60" s="19">
        <v>3.9219999999999998E-2</v>
      </c>
      <c r="F60" s="6">
        <f t="shared" si="6"/>
        <v>17946</v>
      </c>
      <c r="G60" s="6">
        <f t="shared" si="7"/>
        <v>17946</v>
      </c>
      <c r="H60" s="6">
        <v>18218.590000000004</v>
      </c>
      <c r="I60" s="19"/>
    </row>
    <row r="61" spans="1:9" x14ac:dyDescent="0.3">
      <c r="A61" s="1">
        <f t="shared" si="1"/>
        <v>60</v>
      </c>
      <c r="B61" s="24" t="s">
        <v>327</v>
      </c>
      <c r="C61" s="6">
        <v>4424378.6399999997</v>
      </c>
      <c r="D61" s="19">
        <v>2.852E-2</v>
      </c>
      <c r="E61" s="19">
        <v>2.852E-2</v>
      </c>
      <c r="F61" s="6">
        <f t="shared" si="6"/>
        <v>126183</v>
      </c>
      <c r="G61" s="6">
        <f t="shared" si="7"/>
        <v>126183</v>
      </c>
      <c r="H61" s="6">
        <v>128313.44</v>
      </c>
      <c r="I61" s="19"/>
    </row>
    <row r="62" spans="1:9" x14ac:dyDescent="0.3">
      <c r="A62" s="1">
        <f t="shared" si="1"/>
        <v>61</v>
      </c>
      <c r="B62" s="24" t="s">
        <v>328</v>
      </c>
      <c r="C62" s="6">
        <v>844496.53999999992</v>
      </c>
      <c r="D62" s="19">
        <v>2.5489999999999999E-2</v>
      </c>
      <c r="E62" s="19">
        <v>2.5489999999999999E-2</v>
      </c>
      <c r="F62" s="6">
        <f t="shared" si="6"/>
        <v>21526</v>
      </c>
      <c r="G62" s="6">
        <f t="shared" si="7"/>
        <v>21526</v>
      </c>
      <c r="H62" s="6">
        <v>21900.409999999993</v>
      </c>
      <c r="I62" s="19"/>
    </row>
    <row r="63" spans="1:9" x14ac:dyDescent="0.3">
      <c r="A63" s="1">
        <f t="shared" si="1"/>
        <v>62</v>
      </c>
      <c r="B63" s="24" t="s">
        <v>329</v>
      </c>
      <c r="C63" s="6">
        <v>35540922.980000004</v>
      </c>
      <c r="D63" s="19">
        <v>4.6690000000000002E-2</v>
      </c>
      <c r="E63" s="19">
        <v>4.6690000000000002E-2</v>
      </c>
      <c r="F63" s="6">
        <f t="shared" si="6"/>
        <v>1659406</v>
      </c>
      <c r="G63" s="6">
        <f t="shared" si="7"/>
        <v>1659406</v>
      </c>
      <c r="H63" s="6">
        <v>1682788.9199999997</v>
      </c>
      <c r="I63" s="19"/>
    </row>
    <row r="64" spans="1:9" x14ac:dyDescent="0.3">
      <c r="A64" s="1">
        <f t="shared" si="1"/>
        <v>63</v>
      </c>
      <c r="B64" s="24" t="s">
        <v>330</v>
      </c>
      <c r="C64" s="6">
        <v>17533212.769999996</v>
      </c>
      <c r="D64" s="19">
        <v>4.3839999999999997E-2</v>
      </c>
      <c r="E64" s="19">
        <v>4.3839999999999997E-2</v>
      </c>
      <c r="F64" s="6">
        <f t="shared" si="6"/>
        <v>768656</v>
      </c>
      <c r="G64" s="6">
        <f t="shared" si="7"/>
        <v>768656</v>
      </c>
      <c r="H64" s="6">
        <v>779804.8899999999</v>
      </c>
      <c r="I64" s="19"/>
    </row>
    <row r="65" spans="1:9" x14ac:dyDescent="0.3">
      <c r="A65" s="1">
        <f t="shared" si="1"/>
        <v>64</v>
      </c>
      <c r="B65" s="24" t="s">
        <v>331</v>
      </c>
      <c r="C65" s="6">
        <v>35506256.490000002</v>
      </c>
      <c r="D65" s="19">
        <v>4.648E-2</v>
      </c>
      <c r="E65" s="19">
        <v>4.648E-2</v>
      </c>
      <c r="F65" s="6">
        <f t="shared" si="6"/>
        <v>1650331</v>
      </c>
      <c r="G65" s="6">
        <f t="shared" si="7"/>
        <v>1650331</v>
      </c>
      <c r="H65" s="6">
        <v>1673635.8699999994</v>
      </c>
      <c r="I65" s="19"/>
    </row>
    <row r="66" spans="1:9" x14ac:dyDescent="0.3">
      <c r="A66" s="1">
        <f t="shared" si="1"/>
        <v>65</v>
      </c>
      <c r="B66" s="24" t="s">
        <v>332</v>
      </c>
      <c r="C66" s="6">
        <v>35435124.299999997</v>
      </c>
      <c r="D66" s="19">
        <v>4.6050000000000001E-2</v>
      </c>
      <c r="E66" s="19">
        <v>4.6050000000000001E-2</v>
      </c>
      <c r="F66" s="6">
        <f t="shared" si="6"/>
        <v>1631787</v>
      </c>
      <c r="G66" s="6">
        <f t="shared" si="7"/>
        <v>1631787</v>
      </c>
      <c r="H66" s="6">
        <v>1654931.5800000003</v>
      </c>
      <c r="I66" s="19"/>
    </row>
    <row r="67" spans="1:9" x14ac:dyDescent="0.3">
      <c r="A67" s="1">
        <f t="shared" si="1"/>
        <v>66</v>
      </c>
      <c r="B67" s="24" t="s">
        <v>333</v>
      </c>
      <c r="C67" s="6">
        <v>5613852.7499999991</v>
      </c>
      <c r="D67" s="19">
        <v>4.3959999999999999E-2</v>
      </c>
      <c r="E67" s="19">
        <v>4.3959999999999999E-2</v>
      </c>
      <c r="F67" s="6">
        <f t="shared" si="6"/>
        <v>246785</v>
      </c>
      <c r="G67" s="6">
        <f t="shared" si="7"/>
        <v>246785</v>
      </c>
      <c r="H67" s="6">
        <v>250360.08999999997</v>
      </c>
      <c r="I67" s="19"/>
    </row>
    <row r="68" spans="1:9" x14ac:dyDescent="0.3">
      <c r="A68" s="1">
        <f t="shared" si="1"/>
        <v>67</v>
      </c>
      <c r="B68" s="24" t="s">
        <v>334</v>
      </c>
      <c r="C68" s="6">
        <v>14007064.860000001</v>
      </c>
      <c r="D68" s="19">
        <v>4.3549999999999998E-2</v>
      </c>
      <c r="E68" s="19">
        <v>4.3549999999999998E-2</v>
      </c>
      <c r="F68" s="6">
        <f t="shared" si="6"/>
        <v>610008</v>
      </c>
      <c r="G68" s="6">
        <f t="shared" si="7"/>
        <v>610008</v>
      </c>
      <c r="H68" s="6">
        <v>618881.38000000012</v>
      </c>
      <c r="I68" s="19"/>
    </row>
    <row r="69" spans="1:9" x14ac:dyDescent="0.3">
      <c r="A69" s="1">
        <f t="shared" si="1"/>
        <v>68</v>
      </c>
      <c r="B69" s="24" t="s">
        <v>335</v>
      </c>
      <c r="C69" s="6">
        <v>14015812.619999997</v>
      </c>
      <c r="D69" s="19">
        <v>4.3679999999999997E-2</v>
      </c>
      <c r="E69" s="19">
        <v>4.3679999999999997E-2</v>
      </c>
      <c r="F69" s="6">
        <f t="shared" si="6"/>
        <v>612211</v>
      </c>
      <c r="G69" s="6">
        <f t="shared" si="7"/>
        <v>612211</v>
      </c>
      <c r="H69" s="6">
        <v>621104.7699999999</v>
      </c>
      <c r="I69" s="19"/>
    </row>
    <row r="70" spans="1:9" x14ac:dyDescent="0.3">
      <c r="A70" s="1">
        <f t="shared" si="1"/>
        <v>69</v>
      </c>
      <c r="B70" s="24" t="s">
        <v>336</v>
      </c>
      <c r="C70" s="6">
        <v>17652793.860000003</v>
      </c>
      <c r="D70" s="19">
        <v>4.5269999999999998E-2</v>
      </c>
      <c r="E70" s="19">
        <v>4.5269999999999998E-2</v>
      </c>
      <c r="F70" s="6">
        <f t="shared" si="6"/>
        <v>799142</v>
      </c>
      <c r="G70" s="6">
        <f t="shared" si="7"/>
        <v>799142</v>
      </c>
      <c r="H70" s="6">
        <v>810566.52000000025</v>
      </c>
      <c r="I70" s="19"/>
    </row>
    <row r="71" spans="1:9" x14ac:dyDescent="0.3">
      <c r="A71" s="1">
        <f t="shared" ref="A71:A134" si="8">A70+1</f>
        <v>70</v>
      </c>
      <c r="B71" s="24" t="s">
        <v>337</v>
      </c>
      <c r="C71" s="6">
        <v>17732462.350000001</v>
      </c>
      <c r="D71" s="19">
        <v>4.623E-2</v>
      </c>
      <c r="E71" s="19">
        <v>4.623E-2</v>
      </c>
      <c r="F71" s="6">
        <f t="shared" si="6"/>
        <v>819772</v>
      </c>
      <c r="G71" s="6">
        <f t="shared" si="7"/>
        <v>819772</v>
      </c>
      <c r="H71" s="6">
        <v>831377.56</v>
      </c>
      <c r="I71" s="19"/>
    </row>
    <row r="72" spans="1:9" x14ac:dyDescent="0.3">
      <c r="A72" s="1">
        <f t="shared" si="8"/>
        <v>71</v>
      </c>
      <c r="B72" s="24" t="s">
        <v>338</v>
      </c>
      <c r="C72" s="6">
        <v>5517606.6899999985</v>
      </c>
      <c r="D72" s="19">
        <v>4.2979999999999997E-2</v>
      </c>
      <c r="E72" s="19">
        <v>4.2979999999999997E-2</v>
      </c>
      <c r="F72" s="6">
        <f t="shared" si="6"/>
        <v>237147</v>
      </c>
      <c r="G72" s="6">
        <f t="shared" si="7"/>
        <v>237147</v>
      </c>
      <c r="H72" s="6">
        <v>240616.36999999997</v>
      </c>
      <c r="I72" s="19"/>
    </row>
    <row r="73" spans="1:9" x14ac:dyDescent="0.3">
      <c r="A73" s="1">
        <f t="shared" si="8"/>
        <v>72</v>
      </c>
      <c r="B73" s="24" t="s">
        <v>339</v>
      </c>
      <c r="C73" s="6">
        <v>17502096.959999997</v>
      </c>
      <c r="D73" s="19">
        <v>4.3470000000000002E-2</v>
      </c>
      <c r="E73" s="19">
        <v>4.3470000000000002E-2</v>
      </c>
      <c r="F73" s="6">
        <f t="shared" si="6"/>
        <v>760816</v>
      </c>
      <c r="G73" s="6">
        <f t="shared" si="7"/>
        <v>760816</v>
      </c>
      <c r="H73" s="6">
        <v>771892.60000000021</v>
      </c>
      <c r="I73" s="19"/>
    </row>
    <row r="74" spans="1:9" x14ac:dyDescent="0.3">
      <c r="A74" s="1">
        <f t="shared" si="8"/>
        <v>73</v>
      </c>
      <c r="B74" s="24" t="s">
        <v>340</v>
      </c>
      <c r="C74" s="6">
        <v>17550841.700000007</v>
      </c>
      <c r="D74" s="19">
        <v>4.4049999999999999E-2</v>
      </c>
      <c r="E74" s="19">
        <v>4.4049999999999999E-2</v>
      </c>
      <c r="F74" s="6">
        <f t="shared" si="6"/>
        <v>773115</v>
      </c>
      <c r="G74" s="6">
        <f t="shared" si="7"/>
        <v>773115</v>
      </c>
      <c r="H74" s="6">
        <v>784304.32000000018</v>
      </c>
      <c r="I74" s="19"/>
    </row>
    <row r="75" spans="1:9" x14ac:dyDescent="0.3">
      <c r="A75" s="1">
        <f t="shared" si="8"/>
        <v>74</v>
      </c>
      <c r="B75" s="24" t="s">
        <v>341</v>
      </c>
      <c r="C75" s="6">
        <v>4790272.4100000011</v>
      </c>
      <c r="D75" s="19">
        <v>2.8459999999999999E-2</v>
      </c>
      <c r="E75" s="19">
        <v>2.8459999999999999E-2</v>
      </c>
      <c r="F75" s="6">
        <f t="shared" si="6"/>
        <v>136331</v>
      </c>
      <c r="G75" s="6">
        <f t="shared" si="7"/>
        <v>136331</v>
      </c>
      <c r="H75" s="6">
        <v>138633.95000000001</v>
      </c>
      <c r="I75" s="19"/>
    </row>
    <row r="76" spans="1:9" x14ac:dyDescent="0.3">
      <c r="A76" s="1">
        <f t="shared" si="8"/>
        <v>75</v>
      </c>
      <c r="B76" s="24" t="s">
        <v>342</v>
      </c>
      <c r="C76" s="6">
        <v>16877923.360000003</v>
      </c>
      <c r="D76" s="19">
        <v>3.6510000000000001E-2</v>
      </c>
      <c r="E76" s="19">
        <v>3.6510000000000001E-2</v>
      </c>
      <c r="F76" s="6">
        <f t="shared" si="6"/>
        <v>616213</v>
      </c>
      <c r="G76" s="6">
        <f t="shared" si="7"/>
        <v>616213</v>
      </c>
      <c r="H76" s="6">
        <v>625830.99</v>
      </c>
      <c r="I76" s="19"/>
    </row>
    <row r="77" spans="1:9" x14ac:dyDescent="0.3">
      <c r="A77" s="1">
        <f t="shared" si="8"/>
        <v>76</v>
      </c>
      <c r="B77" s="24" t="s">
        <v>343</v>
      </c>
      <c r="C77" s="6">
        <v>10212311.610000001</v>
      </c>
      <c r="D77" s="19">
        <v>4.2520000000000002E-2</v>
      </c>
      <c r="E77" s="19">
        <v>4.2520000000000002E-2</v>
      </c>
      <c r="F77" s="6">
        <f t="shared" si="6"/>
        <v>434227</v>
      </c>
      <c r="G77" s="6">
        <f t="shared" si="7"/>
        <v>434227</v>
      </c>
      <c r="H77" s="6">
        <v>440610.06000000011</v>
      </c>
      <c r="I77" s="19"/>
    </row>
    <row r="78" spans="1:9" x14ac:dyDescent="0.3">
      <c r="A78" s="1">
        <f t="shared" si="8"/>
        <v>77</v>
      </c>
      <c r="B78" s="24" t="s">
        <v>344</v>
      </c>
      <c r="C78" s="6">
        <v>1294247</v>
      </c>
      <c r="D78" s="19">
        <v>3.9539999999999999E-2</v>
      </c>
      <c r="E78" s="19">
        <v>3.9539999999999999E-2</v>
      </c>
      <c r="F78" s="6">
        <f t="shared" si="6"/>
        <v>51175</v>
      </c>
      <c r="G78" s="6">
        <f t="shared" si="7"/>
        <v>51175</v>
      </c>
      <c r="H78" s="6">
        <v>51949.520000000011</v>
      </c>
      <c r="I78" s="19"/>
    </row>
    <row r="79" spans="1:9" x14ac:dyDescent="0.3">
      <c r="A79" s="1">
        <f t="shared" si="8"/>
        <v>78</v>
      </c>
      <c r="B79" s="24" t="s">
        <v>345</v>
      </c>
      <c r="C79" s="6">
        <v>1140797.75</v>
      </c>
      <c r="D79" s="19">
        <v>2.3689999999999999E-2</v>
      </c>
      <c r="E79" s="19">
        <v>2.3689999999999999E-2</v>
      </c>
      <c r="F79" s="6">
        <f t="shared" si="6"/>
        <v>27025</v>
      </c>
      <c r="G79" s="6">
        <f t="shared" si="7"/>
        <v>27025</v>
      </c>
      <c r="H79" s="6">
        <v>27503.510000000002</v>
      </c>
      <c r="I79" s="19"/>
    </row>
    <row r="80" spans="1:9" x14ac:dyDescent="0.3">
      <c r="A80" s="1">
        <f t="shared" si="8"/>
        <v>79</v>
      </c>
      <c r="B80" s="24" t="s">
        <v>346</v>
      </c>
      <c r="C80" s="6">
        <v>6981295.6399999997</v>
      </c>
      <c r="D80" s="19">
        <v>4.3959999999999999E-2</v>
      </c>
      <c r="E80" s="19">
        <v>4.3959999999999999E-2</v>
      </c>
      <c r="F80" s="6">
        <f t="shared" si="6"/>
        <v>306898</v>
      </c>
      <c r="G80" s="6">
        <f t="shared" si="7"/>
        <v>306898</v>
      </c>
      <c r="H80" s="6">
        <v>311733.52</v>
      </c>
      <c r="I80" s="19"/>
    </row>
    <row r="81" spans="1:9" x14ac:dyDescent="0.3">
      <c r="A81" s="1">
        <f t="shared" si="8"/>
        <v>80</v>
      </c>
      <c r="B81" s="24" t="s">
        <v>347</v>
      </c>
      <c r="C81" s="6">
        <v>296226.36999999994</v>
      </c>
      <c r="D81" s="19">
        <v>3.9129999999999998E-2</v>
      </c>
      <c r="E81" s="19">
        <v>3.9129999999999998E-2</v>
      </c>
      <c r="F81" s="6">
        <f t="shared" si="6"/>
        <v>11591</v>
      </c>
      <c r="G81" s="6">
        <f t="shared" si="7"/>
        <v>11591</v>
      </c>
      <c r="H81" s="6">
        <v>11782.480000000003</v>
      </c>
      <c r="I81" s="19"/>
    </row>
    <row r="82" spans="1:9" x14ac:dyDescent="0.3">
      <c r="A82" s="1">
        <f t="shared" si="8"/>
        <v>81</v>
      </c>
      <c r="B82" s="24" t="s">
        <v>348</v>
      </c>
      <c r="C82" s="6">
        <v>16643276.100000001</v>
      </c>
      <c r="D82" s="19">
        <v>2.3019999999999999E-2</v>
      </c>
      <c r="E82" s="19">
        <v>2.3019999999999999E-2</v>
      </c>
      <c r="F82" s="6">
        <f t="shared" si="6"/>
        <v>383128</v>
      </c>
      <c r="G82" s="6">
        <f t="shared" si="7"/>
        <v>383128</v>
      </c>
      <c r="H82" s="6">
        <v>390453.38</v>
      </c>
      <c r="I82" s="19"/>
    </row>
    <row r="83" spans="1:9" x14ac:dyDescent="0.3">
      <c r="A83" s="1">
        <f t="shared" si="8"/>
        <v>82</v>
      </c>
      <c r="B83" s="24" t="s">
        <v>349</v>
      </c>
      <c r="C83" s="6">
        <v>16112666.049999995</v>
      </c>
      <c r="D83" s="19">
        <v>2.3380000000000001E-2</v>
      </c>
      <c r="E83" s="19">
        <v>2.3380000000000001E-2</v>
      </c>
      <c r="F83" s="6">
        <f t="shared" si="6"/>
        <v>376714</v>
      </c>
      <c r="G83" s="6">
        <f t="shared" si="7"/>
        <v>376714</v>
      </c>
      <c r="H83" s="6">
        <v>383893.33000000007</v>
      </c>
      <c r="I83" s="19"/>
    </row>
    <row r="84" spans="1:9" x14ac:dyDescent="0.3">
      <c r="A84" s="1">
        <f t="shared" si="8"/>
        <v>83</v>
      </c>
      <c r="B84" s="24" t="s">
        <v>350</v>
      </c>
      <c r="C84" s="6">
        <v>8801921.6900000032</v>
      </c>
      <c r="D84" s="19">
        <v>2.5100000000000001E-2</v>
      </c>
      <c r="E84" s="19">
        <v>2.5100000000000001E-2</v>
      </c>
      <c r="F84" s="6">
        <f t="shared" si="6"/>
        <v>220928</v>
      </c>
      <c r="G84" s="6">
        <f t="shared" si="7"/>
        <v>220928</v>
      </c>
      <c r="H84" s="6">
        <v>225073.66999999998</v>
      </c>
      <c r="I84" s="19"/>
    </row>
    <row r="85" spans="1:9" x14ac:dyDescent="0.3">
      <c r="A85" s="1">
        <f t="shared" si="8"/>
        <v>84</v>
      </c>
      <c r="B85" s="24" t="s">
        <v>351</v>
      </c>
      <c r="C85" s="6">
        <v>4783344.75</v>
      </c>
      <c r="D85" s="19">
        <v>2.393E-2</v>
      </c>
      <c r="E85" s="19">
        <v>2.393E-2</v>
      </c>
      <c r="F85" s="6">
        <f t="shared" si="6"/>
        <v>114465</v>
      </c>
      <c r="G85" s="6">
        <f t="shared" si="7"/>
        <v>114465</v>
      </c>
      <c r="H85" s="6">
        <v>116636.06000000001</v>
      </c>
      <c r="I85" s="19"/>
    </row>
    <row r="86" spans="1:9" x14ac:dyDescent="0.3">
      <c r="A86" s="1">
        <f t="shared" si="8"/>
        <v>85</v>
      </c>
      <c r="B86" s="24" t="s">
        <v>352</v>
      </c>
      <c r="C86" s="6">
        <v>8411614.4499999993</v>
      </c>
      <c r="D86" s="19">
        <v>3.338E-2</v>
      </c>
      <c r="E86" s="19">
        <v>3.338E-2</v>
      </c>
      <c r="F86" s="6">
        <f t="shared" si="6"/>
        <v>280780</v>
      </c>
      <c r="G86" s="6">
        <f t="shared" si="7"/>
        <v>280780</v>
      </c>
      <c r="H86" s="6">
        <v>285664.06999999995</v>
      </c>
      <c r="I86" s="19"/>
    </row>
    <row r="87" spans="1:9" x14ac:dyDescent="0.3">
      <c r="A87" s="1">
        <f t="shared" si="8"/>
        <v>86</v>
      </c>
      <c r="B87" s="24" t="s">
        <v>353</v>
      </c>
      <c r="C87" s="6">
        <v>12237240.5</v>
      </c>
      <c r="D87" s="19">
        <v>3.5130000000000002E-2</v>
      </c>
      <c r="E87" s="19">
        <v>3.5130000000000002E-2</v>
      </c>
      <c r="F87" s="6">
        <f t="shared" si="6"/>
        <v>429894</v>
      </c>
      <c r="G87" s="6">
        <f t="shared" si="7"/>
        <v>429894</v>
      </c>
      <c r="H87" s="6">
        <v>437252.44000000006</v>
      </c>
      <c r="I87" s="19"/>
    </row>
    <row r="88" spans="1:9" x14ac:dyDescent="0.3">
      <c r="A88" s="1">
        <f t="shared" si="8"/>
        <v>87</v>
      </c>
      <c r="B88" s="24" t="s">
        <v>354</v>
      </c>
      <c r="C88" s="6">
        <v>24582414.669999991</v>
      </c>
      <c r="D88" s="19">
        <v>3.9879999999999999E-2</v>
      </c>
      <c r="E88" s="19">
        <v>3.9879999999999999E-2</v>
      </c>
      <c r="F88" s="6">
        <f t="shared" si="6"/>
        <v>980347</v>
      </c>
      <c r="G88" s="6">
        <f t="shared" si="7"/>
        <v>980347</v>
      </c>
      <c r="H88" s="6">
        <v>995143.31000000041</v>
      </c>
      <c r="I88" s="19"/>
    </row>
    <row r="89" spans="1:9" x14ac:dyDescent="0.3">
      <c r="A89" s="1">
        <f t="shared" si="8"/>
        <v>88</v>
      </c>
      <c r="B89" s="24" t="s">
        <v>355</v>
      </c>
      <c r="C89" s="6">
        <v>17868414.730000004</v>
      </c>
      <c r="D89" s="19">
        <v>4.3740000000000001E-2</v>
      </c>
      <c r="E89" s="19">
        <v>4.3740000000000001E-2</v>
      </c>
      <c r="F89" s="6">
        <f t="shared" si="6"/>
        <v>781564</v>
      </c>
      <c r="G89" s="6">
        <f t="shared" si="7"/>
        <v>781564</v>
      </c>
      <c r="H89" s="6">
        <v>792912.01</v>
      </c>
      <c r="I89" s="19"/>
    </row>
    <row r="90" spans="1:9" x14ac:dyDescent="0.3">
      <c r="A90" s="1">
        <f t="shared" si="8"/>
        <v>89</v>
      </c>
      <c r="B90" s="24" t="s">
        <v>356</v>
      </c>
      <c r="C90" s="6">
        <v>17881879.34</v>
      </c>
      <c r="D90" s="19">
        <v>4.3909999999999998E-2</v>
      </c>
      <c r="E90" s="19">
        <v>4.3909999999999998E-2</v>
      </c>
      <c r="F90" s="6">
        <f t="shared" si="6"/>
        <v>785193</v>
      </c>
      <c r="G90" s="6">
        <f t="shared" si="7"/>
        <v>785193</v>
      </c>
      <c r="H90" s="6">
        <v>796574.02</v>
      </c>
      <c r="I90" s="19"/>
    </row>
    <row r="91" spans="1:9" x14ac:dyDescent="0.3">
      <c r="A91" s="1">
        <f t="shared" si="8"/>
        <v>90</v>
      </c>
      <c r="B91" s="24" t="s">
        <v>357</v>
      </c>
      <c r="C91" s="6">
        <v>18050145.399999999</v>
      </c>
      <c r="D91" s="19">
        <v>4.6050000000000001E-2</v>
      </c>
      <c r="E91" s="19">
        <v>4.6050000000000001E-2</v>
      </c>
      <c r="F91" s="6">
        <f t="shared" si="6"/>
        <v>831209</v>
      </c>
      <c r="G91" s="6">
        <f t="shared" si="7"/>
        <v>831209</v>
      </c>
      <c r="H91" s="6">
        <v>842998.49999999988</v>
      </c>
      <c r="I91" s="19"/>
    </row>
    <row r="92" spans="1:9" x14ac:dyDescent="0.3">
      <c r="A92" s="1">
        <f t="shared" si="8"/>
        <v>91</v>
      </c>
      <c r="B92" s="24" t="s">
        <v>358</v>
      </c>
      <c r="C92" s="6">
        <v>28880232.609999999</v>
      </c>
      <c r="D92" s="19">
        <v>4.6050000000000001E-2</v>
      </c>
      <c r="E92" s="19">
        <v>4.6050000000000001E-2</v>
      </c>
      <c r="F92" s="6">
        <f t="shared" si="6"/>
        <v>1329935</v>
      </c>
      <c r="G92" s="6">
        <f t="shared" si="7"/>
        <v>1329935</v>
      </c>
      <c r="H92" s="6">
        <v>1348797.59</v>
      </c>
      <c r="I92" s="19"/>
    </row>
    <row r="93" spans="1:9" x14ac:dyDescent="0.3">
      <c r="A93" s="1">
        <f t="shared" si="8"/>
        <v>92</v>
      </c>
      <c r="B93" s="24" t="s">
        <v>359</v>
      </c>
      <c r="C93" s="6">
        <v>18046240.470000003</v>
      </c>
      <c r="D93" s="19">
        <v>4.5999999999999999E-2</v>
      </c>
      <c r="E93" s="19">
        <v>4.5999999999999999E-2</v>
      </c>
      <c r="F93" s="6">
        <f t="shared" ref="F93:F156" si="9">ROUND(C93*D93,0)</f>
        <v>830127</v>
      </c>
      <c r="G93" s="6">
        <f t="shared" ref="G93:G156" si="10">ROUND(C93*E93,0)</f>
        <v>830127</v>
      </c>
      <c r="H93" s="6">
        <v>841906.98999999976</v>
      </c>
      <c r="I93" s="19"/>
    </row>
    <row r="94" spans="1:9" x14ac:dyDescent="0.3">
      <c r="A94" s="1">
        <f t="shared" si="8"/>
        <v>93</v>
      </c>
      <c r="B94" s="24" t="s">
        <v>360</v>
      </c>
      <c r="C94" s="6">
        <v>17779346.000000004</v>
      </c>
      <c r="D94" s="19">
        <v>4.2619999999999998E-2</v>
      </c>
      <c r="E94" s="19">
        <v>4.2619999999999998E-2</v>
      </c>
      <c r="F94" s="6">
        <f t="shared" si="9"/>
        <v>757756</v>
      </c>
      <c r="G94" s="6">
        <f t="shared" si="10"/>
        <v>757756</v>
      </c>
      <c r="H94" s="6">
        <v>768882.55</v>
      </c>
      <c r="I94" s="19"/>
    </row>
    <row r="95" spans="1:9" x14ac:dyDescent="0.3">
      <c r="A95" s="1">
        <f t="shared" si="8"/>
        <v>94</v>
      </c>
      <c r="B95" s="24" t="s">
        <v>361</v>
      </c>
      <c r="C95" s="6">
        <v>17649428.520000003</v>
      </c>
      <c r="D95" s="19">
        <v>4.1000000000000002E-2</v>
      </c>
      <c r="E95" s="19">
        <v>4.1000000000000002E-2</v>
      </c>
      <c r="F95" s="6">
        <f t="shared" si="9"/>
        <v>723627</v>
      </c>
      <c r="G95" s="6">
        <f t="shared" si="10"/>
        <v>723627</v>
      </c>
      <c r="H95" s="6">
        <v>734426.62</v>
      </c>
      <c r="I95" s="19"/>
    </row>
    <row r="96" spans="1:9" x14ac:dyDescent="0.3">
      <c r="A96" s="1">
        <f t="shared" si="8"/>
        <v>95</v>
      </c>
      <c r="B96" s="24" t="s">
        <v>362</v>
      </c>
      <c r="C96" s="6">
        <v>17939536.56000001</v>
      </c>
      <c r="D96" s="19">
        <v>4.4639999999999999E-2</v>
      </c>
      <c r="E96" s="19">
        <v>4.4639999999999999E-2</v>
      </c>
      <c r="F96" s="6">
        <f t="shared" si="9"/>
        <v>800821</v>
      </c>
      <c r="G96" s="6">
        <f t="shared" si="10"/>
        <v>800821</v>
      </c>
      <c r="H96" s="6">
        <v>812342.74000000011</v>
      </c>
      <c r="I96" s="19"/>
    </row>
    <row r="97" spans="1:9" x14ac:dyDescent="0.3">
      <c r="A97" s="1">
        <f t="shared" si="8"/>
        <v>96</v>
      </c>
      <c r="B97" s="24" t="s">
        <v>363</v>
      </c>
      <c r="C97" s="6">
        <v>18022000.269999996</v>
      </c>
      <c r="D97" s="19">
        <v>4.5690000000000001E-2</v>
      </c>
      <c r="E97" s="19">
        <v>4.5690000000000001E-2</v>
      </c>
      <c r="F97" s="6">
        <f t="shared" si="9"/>
        <v>823425</v>
      </c>
      <c r="G97" s="6">
        <f t="shared" si="10"/>
        <v>823425</v>
      </c>
      <c r="H97" s="6">
        <v>835146.83000000019</v>
      </c>
      <c r="I97" s="19"/>
    </row>
    <row r="98" spans="1:9" x14ac:dyDescent="0.3">
      <c r="A98" s="1">
        <f t="shared" si="8"/>
        <v>97</v>
      </c>
      <c r="B98" s="24" t="s">
        <v>364</v>
      </c>
      <c r="C98" s="6">
        <v>17881088.140000004</v>
      </c>
      <c r="D98" s="19">
        <v>4.3900000000000002E-2</v>
      </c>
      <c r="E98" s="19">
        <v>4.3900000000000002E-2</v>
      </c>
      <c r="F98" s="6">
        <f t="shared" si="9"/>
        <v>784980</v>
      </c>
      <c r="G98" s="6">
        <f t="shared" si="10"/>
        <v>784980</v>
      </c>
      <c r="H98" s="6">
        <v>796358.49999999988</v>
      </c>
      <c r="I98" s="19"/>
    </row>
    <row r="99" spans="1:9" x14ac:dyDescent="0.3">
      <c r="A99" s="1">
        <f t="shared" si="8"/>
        <v>98</v>
      </c>
      <c r="B99" s="24" t="s">
        <v>365</v>
      </c>
      <c r="C99" s="6">
        <v>14146586.369999999</v>
      </c>
      <c r="D99" s="19">
        <v>4.1419999999999998E-2</v>
      </c>
      <c r="E99" s="19">
        <v>4.1419999999999998E-2</v>
      </c>
      <c r="F99" s="6">
        <f t="shared" si="9"/>
        <v>585952</v>
      </c>
      <c r="G99" s="6">
        <f t="shared" si="10"/>
        <v>585952</v>
      </c>
      <c r="H99" s="6">
        <v>594660.1</v>
      </c>
      <c r="I99" s="19"/>
    </row>
    <row r="100" spans="1:9" x14ac:dyDescent="0.3">
      <c r="A100" s="1">
        <f t="shared" si="8"/>
        <v>99</v>
      </c>
      <c r="B100" s="24" t="s">
        <v>366</v>
      </c>
      <c r="C100" s="6">
        <v>14179974.32</v>
      </c>
      <c r="D100" s="19">
        <v>4.1939999999999998E-2</v>
      </c>
      <c r="E100" s="19">
        <v>4.1939999999999998E-2</v>
      </c>
      <c r="F100" s="6">
        <f t="shared" si="9"/>
        <v>594708</v>
      </c>
      <c r="G100" s="6">
        <f t="shared" si="10"/>
        <v>594708</v>
      </c>
      <c r="H100" s="6">
        <v>603500.71999999986</v>
      </c>
      <c r="I100" s="19"/>
    </row>
    <row r="101" spans="1:9" x14ac:dyDescent="0.3">
      <c r="A101" s="1">
        <f t="shared" si="8"/>
        <v>100</v>
      </c>
      <c r="B101" s="24" t="s">
        <v>367</v>
      </c>
      <c r="C101" s="6">
        <v>14167786.969999999</v>
      </c>
      <c r="D101" s="19">
        <v>4.1750000000000002E-2</v>
      </c>
      <c r="E101" s="19">
        <v>4.1750000000000002E-2</v>
      </c>
      <c r="F101" s="6">
        <f t="shared" si="9"/>
        <v>591505</v>
      </c>
      <c r="G101" s="6">
        <f t="shared" si="10"/>
        <v>591505</v>
      </c>
      <c r="H101" s="6">
        <v>600267.04</v>
      </c>
      <c r="I101" s="19"/>
    </row>
    <row r="102" spans="1:9" x14ac:dyDescent="0.3">
      <c r="A102" s="1">
        <f t="shared" si="8"/>
        <v>101</v>
      </c>
      <c r="B102" s="24" t="s">
        <v>368</v>
      </c>
      <c r="C102" s="6">
        <v>4214517.37</v>
      </c>
      <c r="D102" s="19">
        <v>3.9899999999999998E-2</v>
      </c>
      <c r="E102" s="19">
        <v>3.9899999999999998E-2</v>
      </c>
      <c r="F102" s="6">
        <f t="shared" si="9"/>
        <v>168159</v>
      </c>
      <c r="G102" s="6">
        <f t="shared" si="10"/>
        <v>168159</v>
      </c>
      <c r="H102" s="6">
        <v>170696.81</v>
      </c>
      <c r="I102" s="19"/>
    </row>
    <row r="103" spans="1:9" x14ac:dyDescent="0.3">
      <c r="A103" s="1">
        <f t="shared" si="8"/>
        <v>102</v>
      </c>
      <c r="B103" s="24" t="s">
        <v>369</v>
      </c>
      <c r="C103" s="6">
        <v>13660361.859999999</v>
      </c>
      <c r="D103" s="19">
        <v>4.5080000000000002E-2</v>
      </c>
      <c r="E103" s="19">
        <v>4.5080000000000002E-2</v>
      </c>
      <c r="F103" s="6">
        <f t="shared" si="9"/>
        <v>615809</v>
      </c>
      <c r="G103" s="6">
        <f t="shared" si="10"/>
        <v>615809</v>
      </c>
      <c r="H103" s="6">
        <v>624629.68000000017</v>
      </c>
      <c r="I103" s="19"/>
    </row>
    <row r="104" spans="1:9" x14ac:dyDescent="0.3">
      <c r="A104" s="1">
        <f t="shared" si="8"/>
        <v>103</v>
      </c>
      <c r="B104" s="24" t="s">
        <v>370</v>
      </c>
      <c r="C104" s="6">
        <v>638634.70999999985</v>
      </c>
      <c r="D104" s="19">
        <v>3.9219999999999998E-2</v>
      </c>
      <c r="E104" s="19">
        <v>3.9219999999999998E-2</v>
      </c>
      <c r="F104" s="6">
        <f t="shared" si="9"/>
        <v>25047</v>
      </c>
      <c r="G104" s="6">
        <f t="shared" si="10"/>
        <v>25047</v>
      </c>
      <c r="H104" s="6">
        <v>25427.780000000006</v>
      </c>
      <c r="I104" s="19"/>
    </row>
    <row r="105" spans="1:9" x14ac:dyDescent="0.3">
      <c r="A105" s="1">
        <f t="shared" si="8"/>
        <v>104</v>
      </c>
      <c r="B105" s="24" t="s">
        <v>371</v>
      </c>
      <c r="C105" s="6">
        <v>9043308.7600000035</v>
      </c>
      <c r="D105" s="19">
        <v>3.9539999999999999E-2</v>
      </c>
      <c r="E105" s="19">
        <v>3.9539999999999999E-2</v>
      </c>
      <c r="F105" s="6">
        <f t="shared" si="9"/>
        <v>357572</v>
      </c>
      <c r="G105" s="6">
        <f t="shared" si="10"/>
        <v>357572</v>
      </c>
      <c r="H105" s="6">
        <v>362987.73</v>
      </c>
      <c r="I105" s="19"/>
    </row>
    <row r="106" spans="1:9" x14ac:dyDescent="0.3">
      <c r="A106" s="1">
        <f t="shared" si="8"/>
        <v>105</v>
      </c>
      <c r="B106" s="24" t="s">
        <v>372</v>
      </c>
      <c r="C106" s="6">
        <v>2222771.1799999992</v>
      </c>
      <c r="D106" s="19">
        <v>2.4320000000000001E-2</v>
      </c>
      <c r="E106" s="19">
        <v>2.4320000000000001E-2</v>
      </c>
      <c r="F106" s="6">
        <f t="shared" si="9"/>
        <v>54058</v>
      </c>
      <c r="G106" s="6">
        <f t="shared" si="10"/>
        <v>54058</v>
      </c>
      <c r="H106" s="6">
        <v>55008.190000000017</v>
      </c>
      <c r="I106" s="19"/>
    </row>
    <row r="107" spans="1:9" x14ac:dyDescent="0.3">
      <c r="A107" s="1">
        <f t="shared" si="8"/>
        <v>106</v>
      </c>
      <c r="B107" s="24" t="s">
        <v>373</v>
      </c>
      <c r="C107" s="6">
        <v>13798357.709999999</v>
      </c>
      <c r="D107" s="19">
        <v>4.1369999999999997E-2</v>
      </c>
      <c r="E107" s="19">
        <v>4.1369999999999997E-2</v>
      </c>
      <c r="F107" s="6">
        <f t="shared" si="9"/>
        <v>570838</v>
      </c>
      <c r="G107" s="6">
        <f t="shared" si="10"/>
        <v>570838</v>
      </c>
      <c r="H107" s="6">
        <v>580055.3600000001</v>
      </c>
      <c r="I107" s="19"/>
    </row>
    <row r="108" spans="1:9" x14ac:dyDescent="0.3">
      <c r="A108" s="1">
        <f t="shared" si="8"/>
        <v>107</v>
      </c>
      <c r="B108" s="24" t="s">
        <v>374</v>
      </c>
      <c r="C108" s="6">
        <v>13011563.929999998</v>
      </c>
      <c r="D108" s="19">
        <v>3.9780000000000003E-2</v>
      </c>
      <c r="E108" s="19">
        <v>3.9780000000000003E-2</v>
      </c>
      <c r="F108" s="6">
        <f t="shared" si="9"/>
        <v>517600</v>
      </c>
      <c r="G108" s="6">
        <f t="shared" si="10"/>
        <v>517600</v>
      </c>
      <c r="H108" s="6">
        <v>526083.43999999994</v>
      </c>
      <c r="I108" s="19"/>
    </row>
    <row r="109" spans="1:9" x14ac:dyDescent="0.3">
      <c r="A109" s="1">
        <f t="shared" si="8"/>
        <v>108</v>
      </c>
      <c r="B109" s="24" t="s">
        <v>375</v>
      </c>
      <c r="C109" s="6">
        <v>17231972.430000003</v>
      </c>
      <c r="D109" s="19">
        <v>4.1169999999999998E-2</v>
      </c>
      <c r="E109" s="19">
        <v>4.1169999999999998E-2</v>
      </c>
      <c r="F109" s="6">
        <f t="shared" si="9"/>
        <v>709440</v>
      </c>
      <c r="G109" s="6">
        <f t="shared" si="10"/>
        <v>709440</v>
      </c>
      <c r="H109" s="6">
        <v>720917.2000000003</v>
      </c>
      <c r="I109" s="19"/>
    </row>
    <row r="110" spans="1:9" x14ac:dyDescent="0.3">
      <c r="A110" s="1">
        <f t="shared" si="8"/>
        <v>109</v>
      </c>
      <c r="B110" s="24" t="s">
        <v>376</v>
      </c>
      <c r="C110" s="6">
        <v>17231972.430000003</v>
      </c>
      <c r="D110" s="19">
        <v>4.1169999999999998E-2</v>
      </c>
      <c r="E110" s="19">
        <v>4.1169999999999998E-2</v>
      </c>
      <c r="F110" s="6">
        <f t="shared" si="9"/>
        <v>709440</v>
      </c>
      <c r="G110" s="6">
        <f t="shared" si="10"/>
        <v>709440</v>
      </c>
      <c r="H110" s="6">
        <v>720917.2000000003</v>
      </c>
      <c r="I110" s="19"/>
    </row>
    <row r="111" spans="1:9" x14ac:dyDescent="0.3">
      <c r="A111" s="1">
        <f t="shared" si="8"/>
        <v>110</v>
      </c>
      <c r="B111" s="24" t="s">
        <v>377</v>
      </c>
      <c r="C111" s="6">
        <v>17263106.720000003</v>
      </c>
      <c r="D111" s="19">
        <v>4.156E-2</v>
      </c>
      <c r="E111" s="19">
        <v>4.156E-2</v>
      </c>
      <c r="F111" s="6">
        <f t="shared" si="9"/>
        <v>717455</v>
      </c>
      <c r="G111" s="6">
        <f t="shared" si="10"/>
        <v>717455</v>
      </c>
      <c r="H111" s="6">
        <v>729018.75000000023</v>
      </c>
      <c r="I111" s="19"/>
    </row>
    <row r="112" spans="1:9" x14ac:dyDescent="0.3">
      <c r="A112" s="1">
        <f t="shared" si="8"/>
        <v>111</v>
      </c>
      <c r="B112" s="24" t="s">
        <v>378</v>
      </c>
      <c r="C112" s="6">
        <v>17263106.720000003</v>
      </c>
      <c r="D112" s="19">
        <v>4.156E-2</v>
      </c>
      <c r="E112" s="19">
        <v>4.156E-2</v>
      </c>
      <c r="F112" s="6">
        <f t="shared" si="9"/>
        <v>717455</v>
      </c>
      <c r="G112" s="6">
        <f t="shared" si="10"/>
        <v>717455</v>
      </c>
      <c r="H112" s="6">
        <v>729018.75000000023</v>
      </c>
      <c r="I112" s="19"/>
    </row>
    <row r="113" spans="1:9" x14ac:dyDescent="0.3">
      <c r="A113" s="1">
        <f t="shared" si="8"/>
        <v>112</v>
      </c>
      <c r="B113" s="24" t="s">
        <v>379</v>
      </c>
      <c r="C113" s="6">
        <v>13950622.799999999</v>
      </c>
      <c r="D113" s="19">
        <v>4.3770000000000003E-2</v>
      </c>
      <c r="E113" s="19">
        <v>4.3770000000000003E-2</v>
      </c>
      <c r="F113" s="6">
        <f t="shared" si="9"/>
        <v>610619</v>
      </c>
      <c r="G113" s="6">
        <f t="shared" si="10"/>
        <v>610619</v>
      </c>
      <c r="H113" s="6">
        <v>620257.55999999994</v>
      </c>
      <c r="I113" s="19"/>
    </row>
    <row r="114" spans="1:9" x14ac:dyDescent="0.3">
      <c r="A114" s="1">
        <f t="shared" si="8"/>
        <v>113</v>
      </c>
      <c r="B114" s="24" t="s">
        <v>380</v>
      </c>
      <c r="C114" s="6">
        <v>6276646.0600000005</v>
      </c>
      <c r="D114" s="19">
        <v>4.3729999999999998E-2</v>
      </c>
      <c r="E114" s="19">
        <v>4.3729999999999998E-2</v>
      </c>
      <c r="F114" s="6">
        <f t="shared" si="9"/>
        <v>274478</v>
      </c>
      <c r="G114" s="6">
        <f t="shared" si="10"/>
        <v>274478</v>
      </c>
      <c r="H114" s="6">
        <v>278812.07</v>
      </c>
      <c r="I114" s="19"/>
    </row>
    <row r="115" spans="1:9" x14ac:dyDescent="0.3">
      <c r="A115" s="1">
        <f t="shared" si="8"/>
        <v>114</v>
      </c>
      <c r="B115" s="24" t="s">
        <v>381</v>
      </c>
      <c r="C115" s="6">
        <v>853993.19000000029</v>
      </c>
      <c r="D115" s="19">
        <v>3.8969999999999998E-2</v>
      </c>
      <c r="E115" s="19">
        <v>3.8969999999999998E-2</v>
      </c>
      <c r="F115" s="6">
        <f t="shared" si="9"/>
        <v>33280</v>
      </c>
      <c r="G115" s="6">
        <f t="shared" si="10"/>
        <v>33280</v>
      </c>
      <c r="H115" s="6">
        <v>33829.770000000019</v>
      </c>
      <c r="I115" s="19"/>
    </row>
    <row r="116" spans="1:9" x14ac:dyDescent="0.3">
      <c r="A116" s="1">
        <f t="shared" si="8"/>
        <v>115</v>
      </c>
      <c r="B116" s="24" t="s">
        <v>382</v>
      </c>
      <c r="C116" s="6">
        <v>8717470.1600000001</v>
      </c>
      <c r="D116" s="19">
        <v>4.197E-2</v>
      </c>
      <c r="E116" s="19">
        <v>4.197E-2</v>
      </c>
      <c r="F116" s="6">
        <f t="shared" si="9"/>
        <v>365872</v>
      </c>
      <c r="G116" s="6">
        <f t="shared" si="10"/>
        <v>365872</v>
      </c>
      <c r="H116" s="6">
        <v>371746.68</v>
      </c>
      <c r="I116" s="19"/>
    </row>
    <row r="117" spans="1:9" x14ac:dyDescent="0.3">
      <c r="A117" s="1">
        <f t="shared" si="8"/>
        <v>116</v>
      </c>
      <c r="B117" s="24" t="s">
        <v>383</v>
      </c>
      <c r="C117" s="6">
        <v>24513160.540000003</v>
      </c>
      <c r="D117" s="19">
        <v>2.811E-2</v>
      </c>
      <c r="E117" s="19">
        <v>2.811E-2</v>
      </c>
      <c r="F117" s="6">
        <f t="shared" si="9"/>
        <v>689065</v>
      </c>
      <c r="G117" s="6">
        <f t="shared" si="10"/>
        <v>689065</v>
      </c>
      <c r="H117" s="6">
        <v>701645.59</v>
      </c>
      <c r="I117" s="19"/>
    </row>
    <row r="118" spans="1:9" x14ac:dyDescent="0.3">
      <c r="A118" s="1">
        <f t="shared" si="8"/>
        <v>117</v>
      </c>
      <c r="B118" s="24" t="s">
        <v>384</v>
      </c>
      <c r="C118" s="6">
        <v>25922246.23</v>
      </c>
      <c r="D118" s="19">
        <v>3.1620000000000002E-2</v>
      </c>
      <c r="E118" s="19">
        <v>3.1620000000000002E-2</v>
      </c>
      <c r="F118" s="6">
        <f t="shared" si="9"/>
        <v>819661</v>
      </c>
      <c r="G118" s="6">
        <f t="shared" si="10"/>
        <v>819661</v>
      </c>
      <c r="H118" s="6">
        <v>834153.12000000023</v>
      </c>
      <c r="I118" s="19"/>
    </row>
    <row r="119" spans="1:9" x14ac:dyDescent="0.3">
      <c r="A119" s="1">
        <f t="shared" si="8"/>
        <v>118</v>
      </c>
      <c r="B119" s="24" t="s">
        <v>385</v>
      </c>
      <c r="C119" s="6">
        <v>15400572.440000003</v>
      </c>
      <c r="D119" s="19">
        <v>3.3160000000000002E-2</v>
      </c>
      <c r="E119" s="19">
        <v>3.3160000000000002E-2</v>
      </c>
      <c r="F119" s="6">
        <f t="shared" si="9"/>
        <v>510683</v>
      </c>
      <c r="G119" s="6">
        <f t="shared" si="10"/>
        <v>510683</v>
      </c>
      <c r="H119" s="6">
        <v>519584.71999999991</v>
      </c>
      <c r="I119" s="19"/>
    </row>
    <row r="120" spans="1:9" x14ac:dyDescent="0.3">
      <c r="A120" s="1">
        <f t="shared" si="8"/>
        <v>119</v>
      </c>
      <c r="B120" s="24" t="s">
        <v>386</v>
      </c>
      <c r="C120" s="6">
        <v>18564838.020000003</v>
      </c>
      <c r="D120" s="19">
        <v>4.0669999999999998E-2</v>
      </c>
      <c r="E120" s="19">
        <v>4.0669999999999998E-2</v>
      </c>
      <c r="F120" s="6">
        <f t="shared" si="9"/>
        <v>755032</v>
      </c>
      <c r="G120" s="6">
        <f t="shared" si="10"/>
        <v>755032</v>
      </c>
      <c r="H120" s="6">
        <v>763415.33999999985</v>
      </c>
      <c r="I120" s="19"/>
    </row>
    <row r="121" spans="1:9" x14ac:dyDescent="0.3">
      <c r="A121" s="1">
        <f t="shared" si="8"/>
        <v>120</v>
      </c>
      <c r="B121" s="24" t="s">
        <v>387</v>
      </c>
      <c r="C121" s="6">
        <v>22271572.279999997</v>
      </c>
      <c r="D121" s="19">
        <v>2.7910000000000001E-2</v>
      </c>
      <c r="E121" s="19">
        <v>2.7910000000000001E-2</v>
      </c>
      <c r="F121" s="6">
        <f t="shared" si="9"/>
        <v>621600</v>
      </c>
      <c r="G121" s="6">
        <f t="shared" si="10"/>
        <v>621600</v>
      </c>
      <c r="H121" s="6">
        <v>629678.50999999989</v>
      </c>
      <c r="I121" s="19"/>
    </row>
    <row r="122" spans="1:9" x14ac:dyDescent="0.3">
      <c r="A122" s="1">
        <f t="shared" si="8"/>
        <v>121</v>
      </c>
      <c r="B122" s="24" t="s">
        <v>388</v>
      </c>
      <c r="C122" s="6">
        <v>22426593.939999994</v>
      </c>
      <c r="D122" s="19">
        <v>2.9159999999999998E-2</v>
      </c>
      <c r="E122" s="19">
        <v>2.9159999999999998E-2</v>
      </c>
      <c r="F122" s="6">
        <f t="shared" si="9"/>
        <v>653959</v>
      </c>
      <c r="G122" s="6">
        <f t="shared" si="10"/>
        <v>653959</v>
      </c>
      <c r="H122" s="6">
        <v>662331.2300000001</v>
      </c>
      <c r="I122" s="19"/>
    </row>
    <row r="123" spans="1:9" x14ac:dyDescent="0.3">
      <c r="A123" s="1">
        <f t="shared" si="8"/>
        <v>122</v>
      </c>
      <c r="B123" s="24" t="s">
        <v>389</v>
      </c>
      <c r="C123" s="6">
        <v>22574178.969999999</v>
      </c>
      <c r="D123" s="19">
        <v>3.0939999999999999E-2</v>
      </c>
      <c r="E123" s="19">
        <v>3.0939999999999999E-2</v>
      </c>
      <c r="F123" s="6">
        <f t="shared" si="9"/>
        <v>698445</v>
      </c>
      <c r="G123" s="6">
        <f t="shared" si="10"/>
        <v>698445</v>
      </c>
      <c r="H123" s="6">
        <v>707194.66999999981</v>
      </c>
      <c r="I123" s="19"/>
    </row>
    <row r="124" spans="1:9" x14ac:dyDescent="0.3">
      <c r="A124" s="1">
        <f t="shared" si="8"/>
        <v>123</v>
      </c>
      <c r="B124" s="24" t="s">
        <v>390</v>
      </c>
      <c r="C124" s="6">
        <v>14228137.660000002</v>
      </c>
      <c r="D124" s="19">
        <v>2.928E-2</v>
      </c>
      <c r="E124" s="19">
        <v>2.928E-2</v>
      </c>
      <c r="F124" s="6">
        <f t="shared" si="9"/>
        <v>416600</v>
      </c>
      <c r="G124" s="6">
        <f t="shared" si="10"/>
        <v>416600</v>
      </c>
      <c r="H124" s="6">
        <v>421925.25000000006</v>
      </c>
      <c r="I124" s="19"/>
    </row>
    <row r="125" spans="1:9" x14ac:dyDescent="0.3">
      <c r="A125" s="1">
        <f t="shared" si="8"/>
        <v>124</v>
      </c>
      <c r="B125" s="24" t="s">
        <v>391</v>
      </c>
      <c r="C125" s="6">
        <v>21799752.939999998</v>
      </c>
      <c r="D125" s="19">
        <v>2.495E-2</v>
      </c>
      <c r="E125" s="19">
        <v>2.495E-2</v>
      </c>
      <c r="F125" s="6">
        <f t="shared" si="9"/>
        <v>543904</v>
      </c>
      <c r="G125" s="6">
        <f t="shared" si="10"/>
        <v>543904</v>
      </c>
      <c r="H125" s="6">
        <v>551229.23</v>
      </c>
      <c r="I125" s="19"/>
    </row>
    <row r="126" spans="1:9" x14ac:dyDescent="0.3">
      <c r="A126" s="1">
        <f t="shared" si="8"/>
        <v>125</v>
      </c>
      <c r="B126" s="24" t="s">
        <v>392</v>
      </c>
      <c r="C126" s="6">
        <v>20285590.100000001</v>
      </c>
      <c r="D126" s="19">
        <v>2.724E-2</v>
      </c>
      <c r="E126" s="19">
        <v>2.724E-2</v>
      </c>
      <c r="F126" s="6">
        <f t="shared" si="9"/>
        <v>552579</v>
      </c>
      <c r="G126" s="6">
        <f t="shared" si="10"/>
        <v>552579</v>
      </c>
      <c r="H126" s="6">
        <v>559819.68000000017</v>
      </c>
      <c r="I126" s="19"/>
    </row>
    <row r="127" spans="1:9" x14ac:dyDescent="0.3">
      <c r="A127" s="1">
        <f t="shared" si="8"/>
        <v>126</v>
      </c>
      <c r="B127" s="24" t="s">
        <v>393</v>
      </c>
      <c r="C127" s="6">
        <v>10323178.630000001</v>
      </c>
      <c r="D127" s="19">
        <v>2.5729999999999999E-2</v>
      </c>
      <c r="E127" s="19">
        <v>2.5729999999999999E-2</v>
      </c>
      <c r="F127" s="6">
        <f t="shared" si="9"/>
        <v>265615</v>
      </c>
      <c r="G127" s="6">
        <f t="shared" si="10"/>
        <v>265615</v>
      </c>
      <c r="H127" s="6">
        <v>269159.45000000007</v>
      </c>
      <c r="I127" s="19"/>
    </row>
    <row r="128" spans="1:9" x14ac:dyDescent="0.3">
      <c r="A128" s="1">
        <f t="shared" si="8"/>
        <v>127</v>
      </c>
      <c r="B128" s="24" t="s">
        <v>394</v>
      </c>
      <c r="C128" s="6">
        <v>16917622.110000003</v>
      </c>
      <c r="D128" s="19">
        <v>2.656E-2</v>
      </c>
      <c r="E128" s="19">
        <v>2.656E-2</v>
      </c>
      <c r="F128" s="6">
        <f t="shared" si="9"/>
        <v>449332</v>
      </c>
      <c r="G128" s="6">
        <f t="shared" si="10"/>
        <v>449332</v>
      </c>
      <c r="H128" s="6">
        <v>455267.85999999993</v>
      </c>
      <c r="I128" s="19"/>
    </row>
    <row r="129" spans="1:9" x14ac:dyDescent="0.3">
      <c r="A129" s="1">
        <f t="shared" si="8"/>
        <v>128</v>
      </c>
      <c r="B129" s="24" t="s">
        <v>395</v>
      </c>
      <c r="C129" s="6">
        <v>18387130.779999997</v>
      </c>
      <c r="D129" s="19">
        <v>2.5899999999999999E-2</v>
      </c>
      <c r="E129" s="19">
        <v>2.5899999999999999E-2</v>
      </c>
      <c r="F129" s="6">
        <f t="shared" si="9"/>
        <v>476227</v>
      </c>
      <c r="G129" s="6">
        <f t="shared" si="10"/>
        <v>476227</v>
      </c>
      <c r="H129" s="6">
        <v>484472.60000000015</v>
      </c>
      <c r="I129" s="19"/>
    </row>
    <row r="130" spans="1:9" x14ac:dyDescent="0.3">
      <c r="A130" s="1">
        <f t="shared" si="8"/>
        <v>129</v>
      </c>
      <c r="B130" s="24" t="s">
        <v>396</v>
      </c>
      <c r="C130" s="6">
        <v>14323726.529999999</v>
      </c>
      <c r="D130" s="19">
        <v>2.7130000000000001E-2</v>
      </c>
      <c r="E130" s="19">
        <v>2.7130000000000001E-2</v>
      </c>
      <c r="F130" s="6">
        <f t="shared" si="9"/>
        <v>388603</v>
      </c>
      <c r="G130" s="6">
        <f t="shared" si="10"/>
        <v>388603</v>
      </c>
      <c r="H130" s="6">
        <v>395251.88999999996</v>
      </c>
      <c r="I130" s="19"/>
    </row>
    <row r="131" spans="1:9" x14ac:dyDescent="0.3">
      <c r="A131" s="1">
        <f t="shared" si="8"/>
        <v>130</v>
      </c>
      <c r="B131" s="24" t="s">
        <v>397</v>
      </c>
      <c r="C131" s="6">
        <v>7645286.8000000007</v>
      </c>
      <c r="D131" s="19">
        <v>2.8000000000000001E-2</v>
      </c>
      <c r="E131" s="19">
        <v>2.8000000000000001E-2</v>
      </c>
      <c r="F131" s="6">
        <f t="shared" si="9"/>
        <v>214068</v>
      </c>
      <c r="G131" s="6">
        <f t="shared" si="10"/>
        <v>214068</v>
      </c>
      <c r="H131" s="6">
        <v>217700.09000000005</v>
      </c>
      <c r="I131" s="19"/>
    </row>
    <row r="132" spans="1:9" x14ac:dyDescent="0.3">
      <c r="A132" s="1">
        <f t="shared" si="8"/>
        <v>131</v>
      </c>
      <c r="B132" s="24" t="s">
        <v>398</v>
      </c>
      <c r="C132" s="6">
        <v>6939164.6899999995</v>
      </c>
      <c r="D132" s="19">
        <v>2.5489999999999999E-2</v>
      </c>
      <c r="E132" s="19">
        <v>2.5489999999999999E-2</v>
      </c>
      <c r="F132" s="6">
        <f t="shared" si="9"/>
        <v>176879</v>
      </c>
      <c r="G132" s="6">
        <f t="shared" si="10"/>
        <v>176879</v>
      </c>
      <c r="H132" s="6">
        <v>179954.13</v>
      </c>
      <c r="I132" s="19"/>
    </row>
    <row r="133" spans="1:9" x14ac:dyDescent="0.3">
      <c r="A133" s="1">
        <f t="shared" si="8"/>
        <v>132</v>
      </c>
      <c r="B133" s="24" t="s">
        <v>399</v>
      </c>
      <c r="C133" s="6">
        <v>8255480.7999999998</v>
      </c>
      <c r="D133" s="19">
        <v>3.202E-2</v>
      </c>
      <c r="E133" s="19">
        <v>3.202E-2</v>
      </c>
      <c r="F133" s="6">
        <f t="shared" si="9"/>
        <v>264340</v>
      </c>
      <c r="G133" s="6">
        <f t="shared" si="10"/>
        <v>264340</v>
      </c>
      <c r="H133" s="6">
        <v>268653.11000000004</v>
      </c>
      <c r="I133" s="19"/>
    </row>
    <row r="134" spans="1:9" x14ac:dyDescent="0.3">
      <c r="A134" s="1">
        <f t="shared" si="8"/>
        <v>133</v>
      </c>
      <c r="B134" s="24" t="s">
        <v>400</v>
      </c>
      <c r="C134" s="6">
        <v>15366397.669999994</v>
      </c>
      <c r="D134" s="19">
        <v>2.563E-2</v>
      </c>
      <c r="E134" s="19">
        <v>2.563E-2</v>
      </c>
      <c r="F134" s="6">
        <f t="shared" si="9"/>
        <v>393841</v>
      </c>
      <c r="G134" s="6">
        <f t="shared" si="10"/>
        <v>393841</v>
      </c>
      <c r="H134" s="6">
        <v>400677.91000000003</v>
      </c>
      <c r="I134" s="19"/>
    </row>
    <row r="135" spans="1:9" x14ac:dyDescent="0.3">
      <c r="A135" s="1">
        <f t="shared" ref="A135:A144" si="11">A134+1</f>
        <v>134</v>
      </c>
      <c r="B135" s="24" t="s">
        <v>401</v>
      </c>
      <c r="C135" s="6">
        <v>486574.81999999995</v>
      </c>
      <c r="D135" s="19">
        <v>2.3779999999999999E-2</v>
      </c>
      <c r="E135" s="19">
        <v>2.3779999999999999E-2</v>
      </c>
      <c r="F135" s="6">
        <f t="shared" si="9"/>
        <v>11571</v>
      </c>
      <c r="G135" s="6">
        <f t="shared" si="10"/>
        <v>11571</v>
      </c>
      <c r="H135" s="6">
        <v>11775.220000000001</v>
      </c>
      <c r="I135" s="19"/>
    </row>
    <row r="136" spans="1:9" x14ac:dyDescent="0.3">
      <c r="A136" s="1">
        <f t="shared" si="11"/>
        <v>135</v>
      </c>
      <c r="B136" s="24" t="s">
        <v>402</v>
      </c>
      <c r="C136" s="6">
        <v>28274872.719999991</v>
      </c>
      <c r="D136" s="19">
        <v>2.9819999999999999E-2</v>
      </c>
      <c r="E136" s="19">
        <v>2.9819999999999999E-2</v>
      </c>
      <c r="F136" s="6">
        <f t="shared" si="9"/>
        <v>843157</v>
      </c>
      <c r="G136" s="6">
        <f t="shared" si="10"/>
        <v>843157</v>
      </c>
      <c r="H136" s="6">
        <v>851149.87999999989</v>
      </c>
      <c r="I136" s="19"/>
    </row>
    <row r="137" spans="1:9" x14ac:dyDescent="0.3">
      <c r="A137" s="1">
        <f t="shared" si="11"/>
        <v>136</v>
      </c>
      <c r="B137" s="24" t="s">
        <v>403</v>
      </c>
      <c r="C137" s="6">
        <v>9676073.2900000028</v>
      </c>
      <c r="D137" s="19">
        <v>2.6339999999999999E-2</v>
      </c>
      <c r="E137" s="19">
        <v>2.6339999999999999E-2</v>
      </c>
      <c r="F137" s="6">
        <f t="shared" si="9"/>
        <v>254868</v>
      </c>
      <c r="G137" s="6">
        <f t="shared" si="10"/>
        <v>254868</v>
      </c>
      <c r="H137" s="6">
        <v>257415.21999999997</v>
      </c>
      <c r="I137" s="19"/>
    </row>
    <row r="138" spans="1:9" x14ac:dyDescent="0.3">
      <c r="A138" s="1">
        <f t="shared" si="11"/>
        <v>137</v>
      </c>
      <c r="B138" s="24" t="s">
        <v>404</v>
      </c>
      <c r="C138" s="6">
        <v>7194852.1399999987</v>
      </c>
      <c r="D138" s="19">
        <v>2.6790000000000001E-2</v>
      </c>
      <c r="E138" s="19">
        <v>2.6790000000000001E-2</v>
      </c>
      <c r="F138" s="6">
        <f t="shared" si="9"/>
        <v>192750</v>
      </c>
      <c r="G138" s="6">
        <f t="shared" si="10"/>
        <v>192750</v>
      </c>
      <c r="H138" s="6">
        <v>194663.63999999996</v>
      </c>
      <c r="I138" s="19"/>
    </row>
    <row r="139" spans="1:9" x14ac:dyDescent="0.3">
      <c r="A139" s="1">
        <f t="shared" si="11"/>
        <v>138</v>
      </c>
      <c r="B139" s="24" t="s">
        <v>405</v>
      </c>
      <c r="C139" s="6">
        <v>7233533.5300000021</v>
      </c>
      <c r="D139" s="19">
        <v>2.6880000000000001E-2</v>
      </c>
      <c r="E139" s="19">
        <v>2.6880000000000001E-2</v>
      </c>
      <c r="F139" s="6">
        <f t="shared" si="9"/>
        <v>194437</v>
      </c>
      <c r="G139" s="6">
        <f t="shared" si="10"/>
        <v>194437</v>
      </c>
      <c r="H139" s="6">
        <v>196365.02000000005</v>
      </c>
      <c r="I139" s="19"/>
    </row>
    <row r="140" spans="1:9" x14ac:dyDescent="0.3">
      <c r="A140" s="1">
        <f t="shared" si="11"/>
        <v>139</v>
      </c>
      <c r="B140" s="24" t="s">
        <v>406</v>
      </c>
      <c r="C140" s="6">
        <v>2029535.63</v>
      </c>
      <c r="D140" s="19">
        <v>2.9899999999999999E-2</v>
      </c>
      <c r="E140" s="19">
        <v>2.9899999999999999E-2</v>
      </c>
      <c r="F140" s="6">
        <f t="shared" si="9"/>
        <v>60683</v>
      </c>
      <c r="G140" s="6">
        <f t="shared" si="10"/>
        <v>60683</v>
      </c>
      <c r="H140" s="6">
        <v>61257.670000000006</v>
      </c>
      <c r="I140" s="19"/>
    </row>
    <row r="141" spans="1:9" x14ac:dyDescent="0.3">
      <c r="A141" s="1">
        <f t="shared" si="11"/>
        <v>140</v>
      </c>
      <c r="B141" s="24" t="s">
        <v>407</v>
      </c>
      <c r="C141" s="6">
        <v>1899427.72</v>
      </c>
      <c r="D141" s="19">
        <v>3.1309999999999998E-2</v>
      </c>
      <c r="E141" s="19">
        <v>3.1309999999999998E-2</v>
      </c>
      <c r="F141" s="6">
        <f t="shared" si="9"/>
        <v>59471</v>
      </c>
      <c r="G141" s="6">
        <f t="shared" si="10"/>
        <v>59471</v>
      </c>
      <c r="H141" s="6">
        <v>60022.1</v>
      </c>
      <c r="I141" s="19"/>
    </row>
    <row r="142" spans="1:9" x14ac:dyDescent="0.3">
      <c r="A142" s="1">
        <f t="shared" si="11"/>
        <v>141</v>
      </c>
      <c r="B142" s="24" t="s">
        <v>408</v>
      </c>
      <c r="C142" s="6">
        <v>1626421.2000000007</v>
      </c>
      <c r="D142" s="19">
        <v>2.8039999999999999E-2</v>
      </c>
      <c r="E142" s="19">
        <v>2.8039999999999999E-2</v>
      </c>
      <c r="F142" s="6">
        <f t="shared" si="9"/>
        <v>45605</v>
      </c>
      <c r="G142" s="6">
        <f t="shared" si="10"/>
        <v>45605</v>
      </c>
      <c r="H142" s="6">
        <v>46049.090000000004</v>
      </c>
      <c r="I142" s="19"/>
    </row>
    <row r="143" spans="1:9" x14ac:dyDescent="0.3">
      <c r="A143" s="1">
        <f t="shared" si="11"/>
        <v>142</v>
      </c>
      <c r="B143" s="24" t="s">
        <v>409</v>
      </c>
      <c r="C143" s="6">
        <v>5325569.7299999995</v>
      </c>
      <c r="D143" s="19">
        <v>1.9140000000000001E-2</v>
      </c>
      <c r="E143" s="19">
        <v>1.9140000000000001E-2</v>
      </c>
      <c r="F143" s="6">
        <f t="shared" si="9"/>
        <v>101931</v>
      </c>
      <c r="G143" s="6">
        <f t="shared" si="10"/>
        <v>101931</v>
      </c>
      <c r="H143" s="6">
        <v>103065.45</v>
      </c>
      <c r="I143" s="19"/>
    </row>
    <row r="144" spans="1:9" x14ac:dyDescent="0.3">
      <c r="A144" s="1">
        <f t="shared" si="11"/>
        <v>143</v>
      </c>
      <c r="B144" s="24" t="s">
        <v>410</v>
      </c>
      <c r="C144" s="6">
        <v>3380840.38</v>
      </c>
      <c r="D144" s="19">
        <v>2.222E-2</v>
      </c>
      <c r="E144" s="19">
        <v>2.222E-2</v>
      </c>
      <c r="F144" s="6">
        <f t="shared" si="9"/>
        <v>75122</v>
      </c>
      <c r="G144" s="6">
        <f t="shared" si="10"/>
        <v>75122</v>
      </c>
      <c r="H144" s="6">
        <v>75920.960000000006</v>
      </c>
      <c r="I144" s="19"/>
    </row>
    <row r="145" spans="1:9" x14ac:dyDescent="0.3">
      <c r="A145" s="1">
        <f t="shared" ref="A145:A179" si="12">A144+1</f>
        <v>144</v>
      </c>
      <c r="B145" s="24" t="s">
        <v>411</v>
      </c>
      <c r="C145" s="6">
        <v>2016121.32</v>
      </c>
      <c r="D145" s="19">
        <v>1.272E-2</v>
      </c>
      <c r="E145" s="19">
        <v>1.272E-2</v>
      </c>
      <c r="F145" s="6">
        <f t="shared" si="9"/>
        <v>25645</v>
      </c>
      <c r="G145" s="6">
        <f t="shared" si="10"/>
        <v>25645</v>
      </c>
      <c r="H145" s="6">
        <v>25958.15</v>
      </c>
      <c r="I145" s="19"/>
    </row>
    <row r="146" spans="1:9" x14ac:dyDescent="0.3">
      <c r="A146" s="1">
        <f t="shared" si="12"/>
        <v>145</v>
      </c>
      <c r="B146" s="24" t="s">
        <v>412</v>
      </c>
      <c r="C146" s="6">
        <v>1770737.78</v>
      </c>
      <c r="D146" s="19">
        <v>1.1350000000000001E-2</v>
      </c>
      <c r="E146" s="19">
        <v>1.1350000000000001E-2</v>
      </c>
      <c r="F146" s="6">
        <f t="shared" si="9"/>
        <v>20098</v>
      </c>
      <c r="G146" s="6">
        <f t="shared" si="10"/>
        <v>20098</v>
      </c>
      <c r="H146" s="6">
        <v>20348.079999999998</v>
      </c>
      <c r="I146" s="19"/>
    </row>
    <row r="147" spans="1:9" x14ac:dyDescent="0.3">
      <c r="A147" s="1">
        <f t="shared" si="12"/>
        <v>146</v>
      </c>
      <c r="B147" s="24" t="s">
        <v>413</v>
      </c>
      <c r="C147" s="6">
        <v>8194846.4799999995</v>
      </c>
      <c r="D147" s="19">
        <v>1.2409999999999999E-2</v>
      </c>
      <c r="E147" s="19">
        <v>1.2409999999999999E-2</v>
      </c>
      <c r="F147" s="6">
        <f t="shared" si="9"/>
        <v>101698</v>
      </c>
      <c r="G147" s="6">
        <f t="shared" si="10"/>
        <v>101698</v>
      </c>
      <c r="H147" s="6">
        <v>102945.15000000001</v>
      </c>
      <c r="I147" s="19"/>
    </row>
    <row r="148" spans="1:9" x14ac:dyDescent="0.3">
      <c r="A148" s="1">
        <f t="shared" si="12"/>
        <v>147</v>
      </c>
      <c r="B148" s="24" t="s">
        <v>414</v>
      </c>
      <c r="C148" s="6">
        <v>20779109.929999996</v>
      </c>
      <c r="D148" s="19">
        <v>2.9420000000000002E-2</v>
      </c>
      <c r="E148" s="19">
        <v>2.9420000000000002E-2</v>
      </c>
      <c r="F148" s="6">
        <f t="shared" si="9"/>
        <v>611321</v>
      </c>
      <c r="G148" s="6">
        <f t="shared" si="10"/>
        <v>611321</v>
      </c>
      <c r="H148" s="6">
        <v>617152.37999999989</v>
      </c>
      <c r="I148" s="19"/>
    </row>
    <row r="149" spans="1:9" x14ac:dyDescent="0.3">
      <c r="A149" s="1">
        <f t="shared" si="12"/>
        <v>148</v>
      </c>
      <c r="B149" s="24" t="s">
        <v>415</v>
      </c>
      <c r="C149" s="6">
        <v>3800645.3500000006</v>
      </c>
      <c r="D149" s="19">
        <v>2.6340000000000002E-2</v>
      </c>
      <c r="E149" s="19">
        <v>2.6340000000000002E-2</v>
      </c>
      <c r="F149" s="6">
        <f t="shared" si="9"/>
        <v>100109</v>
      </c>
      <c r="G149" s="6">
        <f t="shared" si="10"/>
        <v>100109</v>
      </c>
      <c r="H149" s="6">
        <v>101109.63000000002</v>
      </c>
      <c r="I149" s="19"/>
    </row>
    <row r="150" spans="1:9" x14ac:dyDescent="0.3">
      <c r="A150" s="1">
        <f t="shared" si="12"/>
        <v>149</v>
      </c>
      <c r="B150" s="24" t="s">
        <v>416</v>
      </c>
      <c r="C150" s="6">
        <v>26166183.680000007</v>
      </c>
      <c r="D150" s="19">
        <v>2.6790000000000001E-2</v>
      </c>
      <c r="E150" s="19">
        <v>2.6790000000000001E-2</v>
      </c>
      <c r="F150" s="6">
        <f t="shared" si="9"/>
        <v>700992</v>
      </c>
      <c r="G150" s="6">
        <f t="shared" si="10"/>
        <v>700992</v>
      </c>
      <c r="H150" s="6">
        <v>707951.13</v>
      </c>
      <c r="I150" s="19"/>
    </row>
    <row r="151" spans="1:9" x14ac:dyDescent="0.3">
      <c r="A151" s="1">
        <f t="shared" si="12"/>
        <v>150</v>
      </c>
      <c r="B151" s="24" t="s">
        <v>417</v>
      </c>
      <c r="C151" s="6">
        <v>5909737.879999998</v>
      </c>
      <c r="D151" s="19">
        <v>2.6880000000000001E-2</v>
      </c>
      <c r="E151" s="19">
        <v>2.6880000000000001E-2</v>
      </c>
      <c r="F151" s="6">
        <f t="shared" si="9"/>
        <v>158854</v>
      </c>
      <c r="G151" s="6">
        <f t="shared" si="10"/>
        <v>158854</v>
      </c>
      <c r="H151" s="6">
        <v>160428.61000000002</v>
      </c>
      <c r="I151" s="19"/>
    </row>
    <row r="152" spans="1:9" x14ac:dyDescent="0.3">
      <c r="A152" s="1">
        <f t="shared" si="12"/>
        <v>151</v>
      </c>
      <c r="B152" s="24" t="s">
        <v>418</v>
      </c>
      <c r="C152" s="6">
        <v>9559472.0899999999</v>
      </c>
      <c r="D152" s="19">
        <v>2.9899999999999999E-2</v>
      </c>
      <c r="E152" s="19">
        <v>2.9899999999999999E-2</v>
      </c>
      <c r="F152" s="6">
        <f t="shared" si="9"/>
        <v>285828</v>
      </c>
      <c r="G152" s="6">
        <f t="shared" si="10"/>
        <v>285828</v>
      </c>
      <c r="H152" s="6">
        <v>288534.58</v>
      </c>
      <c r="I152" s="19"/>
    </row>
    <row r="153" spans="1:9" x14ac:dyDescent="0.3">
      <c r="A153" s="1">
        <f t="shared" si="12"/>
        <v>152</v>
      </c>
      <c r="B153" s="24" t="s">
        <v>419</v>
      </c>
      <c r="C153" s="6">
        <v>2259508.8899999997</v>
      </c>
      <c r="D153" s="19">
        <v>3.1309999999999998E-2</v>
      </c>
      <c r="E153" s="19">
        <v>3.1309999999999998E-2</v>
      </c>
      <c r="F153" s="6">
        <f t="shared" si="9"/>
        <v>70745</v>
      </c>
      <c r="G153" s="6">
        <f t="shared" si="10"/>
        <v>70745</v>
      </c>
      <c r="H153" s="6">
        <v>71400.72</v>
      </c>
      <c r="I153" s="19"/>
    </row>
    <row r="154" spans="1:9" x14ac:dyDescent="0.3">
      <c r="A154" s="1">
        <f t="shared" si="12"/>
        <v>153</v>
      </c>
      <c r="B154" s="24" t="s">
        <v>420</v>
      </c>
      <c r="C154" s="6">
        <v>25082038.680000003</v>
      </c>
      <c r="D154" s="19">
        <v>3.2809999999999999E-2</v>
      </c>
      <c r="E154" s="19">
        <v>3.2809999999999999E-2</v>
      </c>
      <c r="F154" s="6">
        <f t="shared" si="9"/>
        <v>822942</v>
      </c>
      <c r="G154" s="6">
        <f t="shared" si="10"/>
        <v>822942</v>
      </c>
      <c r="H154" s="6">
        <v>830392.05999999982</v>
      </c>
      <c r="I154" s="19"/>
    </row>
    <row r="155" spans="1:9" x14ac:dyDescent="0.3">
      <c r="A155" s="1">
        <f t="shared" si="12"/>
        <v>154</v>
      </c>
      <c r="B155" s="24" t="s">
        <v>421</v>
      </c>
      <c r="C155" s="6">
        <v>2443250.1199999996</v>
      </c>
      <c r="D155" s="19">
        <v>2.8040000000000002E-2</v>
      </c>
      <c r="E155" s="19">
        <v>2.8040000000000002E-2</v>
      </c>
      <c r="F155" s="6">
        <f t="shared" si="9"/>
        <v>68509</v>
      </c>
      <c r="G155" s="6">
        <f t="shared" si="10"/>
        <v>68509</v>
      </c>
      <c r="H155" s="6">
        <v>69176.08</v>
      </c>
      <c r="I155" s="19"/>
    </row>
    <row r="156" spans="1:9" x14ac:dyDescent="0.3">
      <c r="A156" s="1">
        <f t="shared" si="12"/>
        <v>155</v>
      </c>
      <c r="B156" s="24" t="s">
        <v>422</v>
      </c>
      <c r="C156" s="6">
        <v>16597233.299999997</v>
      </c>
      <c r="D156" s="19">
        <v>1.9140000000000001E-2</v>
      </c>
      <c r="E156" s="19">
        <v>1.9140000000000001E-2</v>
      </c>
      <c r="F156" s="6">
        <f t="shared" si="9"/>
        <v>317671</v>
      </c>
      <c r="G156" s="6">
        <f t="shared" si="10"/>
        <v>317671</v>
      </c>
      <c r="H156" s="6">
        <v>321205.3</v>
      </c>
      <c r="I156" s="19"/>
    </row>
    <row r="157" spans="1:9" x14ac:dyDescent="0.3">
      <c r="A157" s="1">
        <f t="shared" si="12"/>
        <v>156</v>
      </c>
      <c r="B157" s="24" t="s">
        <v>423</v>
      </c>
      <c r="C157" s="6">
        <v>3820004.8299999996</v>
      </c>
      <c r="D157" s="19">
        <v>2.222E-2</v>
      </c>
      <c r="E157" s="19">
        <v>2.222E-2</v>
      </c>
      <c r="F157" s="6">
        <f t="shared" ref="F157:F193" si="13">ROUND(C157*D157,0)</f>
        <v>84881</v>
      </c>
      <c r="G157" s="6">
        <f t="shared" ref="G157:G193" si="14">ROUND(C157*E157,0)</f>
        <v>84881</v>
      </c>
      <c r="H157" s="6">
        <v>85782.87999999999</v>
      </c>
      <c r="I157" s="19"/>
    </row>
    <row r="158" spans="1:9" x14ac:dyDescent="0.3">
      <c r="A158" s="1">
        <f t="shared" si="12"/>
        <v>157</v>
      </c>
      <c r="B158" s="24" t="s">
        <v>424</v>
      </c>
      <c r="C158" s="6">
        <v>917489.14999999991</v>
      </c>
      <c r="D158" s="19">
        <v>1.2719999999999999E-2</v>
      </c>
      <c r="E158" s="19">
        <v>1.2719999999999999E-2</v>
      </c>
      <c r="F158" s="6">
        <f t="shared" si="13"/>
        <v>11670</v>
      </c>
      <c r="G158" s="6">
        <f t="shared" si="14"/>
        <v>11670</v>
      </c>
      <c r="H158" s="6">
        <v>11812.930000000004</v>
      </c>
      <c r="I158" s="19"/>
    </row>
    <row r="159" spans="1:9" x14ac:dyDescent="0.3">
      <c r="A159" s="1">
        <f t="shared" si="12"/>
        <v>158</v>
      </c>
      <c r="B159" s="24" t="s">
        <v>425</v>
      </c>
      <c r="C159" s="6">
        <v>5411642.2799999993</v>
      </c>
      <c r="D159" s="19">
        <v>1.1349999999999999E-2</v>
      </c>
      <c r="E159" s="19">
        <v>1.1349999999999999E-2</v>
      </c>
      <c r="F159" s="6">
        <f t="shared" si="13"/>
        <v>61422</v>
      </c>
      <c r="G159" s="6">
        <f t="shared" si="14"/>
        <v>61422</v>
      </c>
      <c r="H159" s="6">
        <v>62186.779999999984</v>
      </c>
      <c r="I159" s="19"/>
    </row>
    <row r="160" spans="1:9" x14ac:dyDescent="0.3">
      <c r="A160" s="1">
        <f t="shared" si="12"/>
        <v>159</v>
      </c>
      <c r="B160" s="24" t="s">
        <v>426</v>
      </c>
      <c r="C160" s="6">
        <v>30151824.41</v>
      </c>
      <c r="D160" s="19">
        <v>1.2509999999999999E-2</v>
      </c>
      <c r="E160" s="19">
        <v>1.2509999999999999E-2</v>
      </c>
      <c r="F160" s="6">
        <f t="shared" si="13"/>
        <v>377199</v>
      </c>
      <c r="G160" s="6">
        <f t="shared" si="14"/>
        <v>377199</v>
      </c>
      <c r="H160" s="6">
        <v>381818.20999999996</v>
      </c>
      <c r="I160" s="19"/>
    </row>
    <row r="161" spans="1:9" x14ac:dyDescent="0.3">
      <c r="A161" s="1">
        <f t="shared" si="12"/>
        <v>160</v>
      </c>
      <c r="B161" s="24" t="s">
        <v>427</v>
      </c>
      <c r="C161" s="6">
        <v>5293321.839999998</v>
      </c>
      <c r="D161" s="19">
        <v>1.2409999999999999E-2</v>
      </c>
      <c r="E161" s="19">
        <v>1.2409999999999999E-2</v>
      </c>
      <c r="F161" s="6">
        <f t="shared" si="13"/>
        <v>65690</v>
      </c>
      <c r="G161" s="6">
        <f t="shared" si="14"/>
        <v>65690</v>
      </c>
      <c r="H161" s="6">
        <v>66495.66</v>
      </c>
      <c r="I161" s="19"/>
    </row>
    <row r="162" spans="1:9" x14ac:dyDescent="0.3">
      <c r="A162" s="1">
        <f t="shared" si="12"/>
        <v>161</v>
      </c>
      <c r="B162" s="24" t="s">
        <v>428</v>
      </c>
      <c r="C162" s="6">
        <v>5080636.1899999995</v>
      </c>
      <c r="D162" s="19">
        <v>1.6719999999999999E-2</v>
      </c>
      <c r="E162" s="19">
        <v>1.6719999999999999E-2</v>
      </c>
      <c r="F162" s="6">
        <f t="shared" si="13"/>
        <v>84948</v>
      </c>
      <c r="G162" s="6">
        <f t="shared" si="14"/>
        <v>84948</v>
      </c>
      <c r="H162" s="6">
        <v>85927.269999999975</v>
      </c>
      <c r="I162" s="19"/>
    </row>
    <row r="163" spans="1:9" x14ac:dyDescent="0.3">
      <c r="A163" s="1">
        <f t="shared" si="12"/>
        <v>162</v>
      </c>
      <c r="B163" s="24" t="s">
        <v>429</v>
      </c>
      <c r="C163" s="6">
        <v>4534507.42</v>
      </c>
      <c r="D163" s="19">
        <v>2.0080000000000001E-2</v>
      </c>
      <c r="E163" s="19">
        <v>2.0080000000000001E-2</v>
      </c>
      <c r="F163" s="6">
        <f t="shared" si="13"/>
        <v>91053</v>
      </c>
      <c r="G163" s="6">
        <f t="shared" si="14"/>
        <v>91053</v>
      </c>
      <c r="H163" s="6">
        <v>92051.999999999956</v>
      </c>
      <c r="I163" s="19"/>
    </row>
    <row r="164" spans="1:9" x14ac:dyDescent="0.3">
      <c r="A164" s="1">
        <f t="shared" si="12"/>
        <v>163</v>
      </c>
      <c r="B164" s="24" t="s">
        <v>430</v>
      </c>
      <c r="C164" s="6">
        <v>6180000.8200000003</v>
      </c>
      <c r="D164" s="19">
        <v>2.0970000000000003E-2</v>
      </c>
      <c r="E164" s="19">
        <v>2.0970000000000003E-2</v>
      </c>
      <c r="F164" s="6">
        <f t="shared" si="13"/>
        <v>129595</v>
      </c>
      <c r="G164" s="6">
        <f t="shared" si="14"/>
        <v>129595</v>
      </c>
      <c r="H164" s="6">
        <v>130998.10999999997</v>
      </c>
      <c r="I164" s="19"/>
    </row>
    <row r="165" spans="1:9" x14ac:dyDescent="0.3">
      <c r="A165" s="1">
        <f t="shared" si="12"/>
        <v>164</v>
      </c>
      <c r="B165" s="24" t="s">
        <v>431</v>
      </c>
      <c r="C165" s="6">
        <v>13976847.239999998</v>
      </c>
      <c r="D165" s="19">
        <v>1.8870000000000001E-2</v>
      </c>
      <c r="E165" s="19">
        <v>1.8870000000000001E-2</v>
      </c>
      <c r="F165" s="6">
        <f t="shared" si="13"/>
        <v>263743</v>
      </c>
      <c r="G165" s="6">
        <f t="shared" si="14"/>
        <v>263743</v>
      </c>
      <c r="H165" s="6">
        <v>266689.01999999996</v>
      </c>
      <c r="I165" s="19"/>
    </row>
    <row r="166" spans="1:9" x14ac:dyDescent="0.3">
      <c r="A166" s="1">
        <f t="shared" si="12"/>
        <v>165</v>
      </c>
      <c r="B166" s="24" t="s">
        <v>432</v>
      </c>
      <c r="C166" s="6">
        <v>8758704.0200000014</v>
      </c>
      <c r="D166" s="19">
        <v>3.107E-2</v>
      </c>
      <c r="E166" s="19">
        <v>3.107E-2</v>
      </c>
      <c r="F166" s="6">
        <f t="shared" si="13"/>
        <v>272133</v>
      </c>
      <c r="G166" s="6">
        <f t="shared" si="14"/>
        <v>272133</v>
      </c>
      <c r="H166" s="6">
        <v>274663.72999999992</v>
      </c>
      <c r="I166" s="19"/>
    </row>
    <row r="167" spans="1:9" x14ac:dyDescent="0.3">
      <c r="A167" s="1">
        <f t="shared" si="12"/>
        <v>166</v>
      </c>
      <c r="B167" s="24" t="s">
        <v>433</v>
      </c>
      <c r="C167" s="6">
        <v>5668381.9400000004</v>
      </c>
      <c r="D167" s="19">
        <v>3.4390000000000004E-2</v>
      </c>
      <c r="E167" s="19">
        <v>3.4390000000000004E-2</v>
      </c>
      <c r="F167" s="6">
        <f t="shared" si="13"/>
        <v>194936</v>
      </c>
      <c r="G167" s="6">
        <f t="shared" si="14"/>
        <v>194936</v>
      </c>
      <c r="H167" s="6">
        <v>196657.67</v>
      </c>
      <c r="I167" s="19"/>
    </row>
    <row r="168" spans="1:9" x14ac:dyDescent="0.3">
      <c r="A168" s="1">
        <f t="shared" si="12"/>
        <v>167</v>
      </c>
      <c r="B168" s="24" t="s">
        <v>434</v>
      </c>
      <c r="C168" s="6">
        <v>98206385.960000008</v>
      </c>
      <c r="D168" s="19">
        <v>2.683E-2</v>
      </c>
      <c r="E168" s="19">
        <v>2.683E-2</v>
      </c>
      <c r="F168" s="6">
        <f t="shared" si="13"/>
        <v>2634877</v>
      </c>
      <c r="G168" s="6">
        <f t="shared" si="14"/>
        <v>2634877</v>
      </c>
      <c r="H168" s="6">
        <v>2703096.2800000003</v>
      </c>
      <c r="I168" s="19"/>
    </row>
    <row r="169" spans="1:9" x14ac:dyDescent="0.3">
      <c r="A169" s="1">
        <f t="shared" si="12"/>
        <v>168</v>
      </c>
      <c r="B169" s="24" t="s">
        <v>435</v>
      </c>
      <c r="C169" s="6">
        <v>2340824.98</v>
      </c>
      <c r="D169" s="19">
        <v>3.1179999999999999E-2</v>
      </c>
      <c r="E169" s="19">
        <v>3.1179999999999999E-2</v>
      </c>
      <c r="F169" s="6">
        <f t="shared" si="13"/>
        <v>72987</v>
      </c>
      <c r="G169" s="6">
        <f t="shared" si="14"/>
        <v>72987</v>
      </c>
      <c r="H169" s="6">
        <v>74821.259999999995</v>
      </c>
      <c r="I169" s="19"/>
    </row>
    <row r="170" spans="1:9" x14ac:dyDescent="0.3">
      <c r="A170" s="1">
        <f t="shared" si="12"/>
        <v>169</v>
      </c>
      <c r="B170" s="24" t="s">
        <v>436</v>
      </c>
      <c r="C170" s="6">
        <v>20885889.469999999</v>
      </c>
      <c r="D170" s="19">
        <v>1.2930000000000001E-2</v>
      </c>
      <c r="E170" s="19">
        <v>1.2930000000000001E-2</v>
      </c>
      <c r="F170" s="6">
        <f t="shared" si="13"/>
        <v>270055</v>
      </c>
      <c r="G170" s="6">
        <f t="shared" si="14"/>
        <v>270055</v>
      </c>
      <c r="H170" s="6">
        <v>273201.35000000003</v>
      </c>
      <c r="I170" s="19"/>
    </row>
    <row r="171" spans="1:9" x14ac:dyDescent="0.3">
      <c r="A171" s="1">
        <f t="shared" si="12"/>
        <v>170</v>
      </c>
      <c r="B171" s="24" t="s">
        <v>437</v>
      </c>
      <c r="C171" s="6">
        <v>11250243.91</v>
      </c>
      <c r="D171" s="19">
        <v>1.157E-2</v>
      </c>
      <c r="E171" s="19">
        <v>1.157E-2</v>
      </c>
      <c r="F171" s="6">
        <f t="shared" si="13"/>
        <v>130165</v>
      </c>
      <c r="G171" s="6">
        <f t="shared" si="14"/>
        <v>130165</v>
      </c>
      <c r="H171" s="6">
        <v>131712.9</v>
      </c>
      <c r="I171" s="19"/>
    </row>
    <row r="172" spans="1:9" x14ac:dyDescent="0.3">
      <c r="A172" s="1">
        <f t="shared" si="12"/>
        <v>171</v>
      </c>
      <c r="B172" s="24" t="s">
        <v>438</v>
      </c>
      <c r="C172" s="6">
        <v>6916174.8599999994</v>
      </c>
      <c r="D172" s="19">
        <v>1.694E-2</v>
      </c>
      <c r="E172" s="19">
        <v>1.694E-2</v>
      </c>
      <c r="F172" s="6">
        <f t="shared" si="13"/>
        <v>117160</v>
      </c>
      <c r="G172" s="6">
        <f t="shared" si="14"/>
        <v>117160</v>
      </c>
      <c r="H172" s="6">
        <v>118445.55999999998</v>
      </c>
      <c r="I172" s="19"/>
    </row>
    <row r="173" spans="1:9" x14ac:dyDescent="0.3">
      <c r="A173" s="1">
        <f t="shared" si="12"/>
        <v>172</v>
      </c>
      <c r="B173" s="24" t="s">
        <v>439</v>
      </c>
      <c r="C173" s="6">
        <v>6404585.1900000004</v>
      </c>
      <c r="D173" s="19">
        <v>2.2630000000000001E-2</v>
      </c>
      <c r="E173" s="19">
        <v>2.2630000000000001E-2</v>
      </c>
      <c r="F173" s="6">
        <f t="shared" si="13"/>
        <v>144936</v>
      </c>
      <c r="G173" s="6">
        <f t="shared" si="14"/>
        <v>144936</v>
      </c>
      <c r="H173" s="6">
        <v>146393.54000000007</v>
      </c>
      <c r="I173" s="19"/>
    </row>
    <row r="174" spans="1:9" x14ac:dyDescent="0.3">
      <c r="A174" s="1">
        <f t="shared" si="12"/>
        <v>173</v>
      </c>
      <c r="B174" s="24" t="s">
        <v>440</v>
      </c>
      <c r="C174" s="6">
        <v>2391349.7200000002</v>
      </c>
      <c r="D174" s="19">
        <v>2.0230000000000001E-2</v>
      </c>
      <c r="E174" s="19">
        <v>2.0230000000000001E-2</v>
      </c>
      <c r="F174" s="6">
        <f t="shared" si="13"/>
        <v>48377</v>
      </c>
      <c r="G174" s="6">
        <f t="shared" si="14"/>
        <v>48377</v>
      </c>
      <c r="H174" s="6">
        <v>48881.94000000001</v>
      </c>
      <c r="I174" s="19"/>
    </row>
    <row r="175" spans="1:9" x14ac:dyDescent="0.3">
      <c r="A175" s="1">
        <f t="shared" si="12"/>
        <v>174</v>
      </c>
      <c r="B175" s="24" t="s">
        <v>441</v>
      </c>
      <c r="C175" s="6">
        <v>6478009.6600000001</v>
      </c>
      <c r="D175" s="19">
        <v>1.8249999999999999E-2</v>
      </c>
      <c r="E175" s="19">
        <v>1.8249999999999999E-2</v>
      </c>
      <c r="F175" s="6">
        <f t="shared" si="13"/>
        <v>118224</v>
      </c>
      <c r="G175" s="6">
        <f t="shared" si="14"/>
        <v>118224</v>
      </c>
      <c r="H175" s="6">
        <v>119495.43999999997</v>
      </c>
      <c r="I175" s="19"/>
    </row>
    <row r="176" spans="1:9" x14ac:dyDescent="0.3">
      <c r="A176" s="1">
        <f t="shared" si="12"/>
        <v>175</v>
      </c>
      <c r="B176" s="24" t="s">
        <v>442</v>
      </c>
      <c r="C176" s="6">
        <v>1761904.5</v>
      </c>
      <c r="D176" s="19">
        <v>2.1080000000000002E-2</v>
      </c>
      <c r="E176" s="19">
        <v>2.1080000000000002E-2</v>
      </c>
      <c r="F176" s="6">
        <f t="shared" si="13"/>
        <v>37141</v>
      </c>
      <c r="G176" s="6">
        <f t="shared" si="14"/>
        <v>37141</v>
      </c>
      <c r="H176" s="6">
        <v>37523.559999999983</v>
      </c>
      <c r="I176" s="19"/>
    </row>
    <row r="177" spans="1:9" x14ac:dyDescent="0.3">
      <c r="A177" s="1">
        <f t="shared" si="12"/>
        <v>176</v>
      </c>
      <c r="B177" s="24" t="s">
        <v>443</v>
      </c>
      <c r="C177" s="6">
        <v>6504225.7499999991</v>
      </c>
      <c r="D177" s="19">
        <v>3.1029999999999999E-2</v>
      </c>
      <c r="E177" s="19">
        <v>3.1029999999999999E-2</v>
      </c>
      <c r="F177" s="6">
        <f t="shared" si="13"/>
        <v>201826</v>
      </c>
      <c r="G177" s="6">
        <f t="shared" si="14"/>
        <v>201826</v>
      </c>
      <c r="H177" s="6">
        <v>203604.39999999997</v>
      </c>
      <c r="I177" s="19"/>
    </row>
    <row r="178" spans="1:9" x14ac:dyDescent="0.3">
      <c r="A178" s="1">
        <f t="shared" si="12"/>
        <v>177</v>
      </c>
      <c r="B178" s="24" t="s">
        <v>444</v>
      </c>
      <c r="C178" s="6">
        <v>8309614.4100000001</v>
      </c>
      <c r="D178" s="19">
        <v>3.7580000000000002E-2</v>
      </c>
      <c r="E178" s="19">
        <v>3.7580000000000002E-2</v>
      </c>
      <c r="F178" s="6">
        <f t="shared" si="13"/>
        <v>312275</v>
      </c>
      <c r="G178" s="6">
        <f t="shared" si="14"/>
        <v>312275</v>
      </c>
      <c r="H178" s="6">
        <v>314746.78000000003</v>
      </c>
      <c r="I178" s="19"/>
    </row>
    <row r="179" spans="1:9" x14ac:dyDescent="0.3">
      <c r="A179" s="1">
        <f t="shared" si="12"/>
        <v>178</v>
      </c>
      <c r="B179" s="24" t="s">
        <v>445</v>
      </c>
      <c r="C179" s="6">
        <v>11768809.029999999</v>
      </c>
      <c r="D179" s="19">
        <v>4.1910000000000003E-2</v>
      </c>
      <c r="E179" s="19">
        <v>4.1910000000000003E-2</v>
      </c>
      <c r="F179" s="6">
        <f t="shared" si="13"/>
        <v>493231</v>
      </c>
      <c r="G179" s="6">
        <f t="shared" si="14"/>
        <v>493231</v>
      </c>
      <c r="H179" s="6">
        <v>496848.32999999996</v>
      </c>
      <c r="I179" s="19"/>
    </row>
    <row r="180" spans="1:9" x14ac:dyDescent="0.3">
      <c r="A180" s="1">
        <f t="shared" ref="A180:A201" si="15">A179+1</f>
        <v>179</v>
      </c>
      <c r="B180" s="24" t="s">
        <v>446</v>
      </c>
      <c r="C180" s="6">
        <v>12886310.640000001</v>
      </c>
      <c r="D180" s="19">
        <v>4.0530000000000004E-2</v>
      </c>
      <c r="E180" s="19">
        <v>4.0530000000000004E-2</v>
      </c>
      <c r="F180" s="6">
        <f t="shared" si="13"/>
        <v>522282</v>
      </c>
      <c r="G180" s="6">
        <f t="shared" si="14"/>
        <v>522282</v>
      </c>
      <c r="H180" s="6">
        <v>299426.10000000009</v>
      </c>
      <c r="I180" s="19"/>
    </row>
    <row r="181" spans="1:9" x14ac:dyDescent="0.3">
      <c r="A181" s="1">
        <f t="shared" si="15"/>
        <v>180</v>
      </c>
      <c r="B181" s="24" t="s">
        <v>447</v>
      </c>
      <c r="C181" s="6">
        <v>52544000</v>
      </c>
      <c r="D181" s="19">
        <v>4.1200000000000001E-2</v>
      </c>
      <c r="E181" s="19">
        <v>4.1200000000000001E-2</v>
      </c>
      <c r="F181" s="6">
        <f t="shared" si="13"/>
        <v>2164813</v>
      </c>
      <c r="G181" s="6">
        <f t="shared" si="14"/>
        <v>2164813</v>
      </c>
      <c r="H181" s="6">
        <v>17792.990000000002</v>
      </c>
      <c r="I181" s="19"/>
    </row>
    <row r="182" spans="1:9" x14ac:dyDescent="0.3">
      <c r="A182" s="1">
        <f t="shared" si="15"/>
        <v>181</v>
      </c>
      <c r="B182" s="24" t="s">
        <v>448</v>
      </c>
      <c r="C182" s="6">
        <v>2695282.1</v>
      </c>
      <c r="D182" s="19">
        <v>1.157E-2</v>
      </c>
      <c r="E182" s="19">
        <v>1.157E-2</v>
      </c>
      <c r="F182" s="6">
        <f t="shared" si="13"/>
        <v>31184</v>
      </c>
      <c r="G182" s="6">
        <f t="shared" si="14"/>
        <v>31184</v>
      </c>
      <c r="H182" s="6">
        <v>31555.179999999997</v>
      </c>
      <c r="I182" s="19"/>
    </row>
    <row r="183" spans="1:9" x14ac:dyDescent="0.3">
      <c r="A183" s="1">
        <f t="shared" si="15"/>
        <v>182</v>
      </c>
      <c r="B183" s="24" t="s">
        <v>449</v>
      </c>
      <c r="C183" s="6">
        <v>779666.09000000008</v>
      </c>
      <c r="D183" s="19">
        <v>1.264E-2</v>
      </c>
      <c r="E183" s="19">
        <v>1.264E-2</v>
      </c>
      <c r="F183" s="6">
        <f t="shared" si="13"/>
        <v>9855</v>
      </c>
      <c r="G183" s="6">
        <f t="shared" si="14"/>
        <v>9855</v>
      </c>
      <c r="H183" s="6">
        <v>9970.32</v>
      </c>
      <c r="I183" s="19"/>
    </row>
    <row r="184" spans="1:9" x14ac:dyDescent="0.3">
      <c r="A184" s="1">
        <f t="shared" si="15"/>
        <v>183</v>
      </c>
      <c r="B184" s="24" t="s">
        <v>450</v>
      </c>
      <c r="C184" s="6">
        <v>1332229.5900000001</v>
      </c>
      <c r="D184" s="19">
        <v>1.694E-2</v>
      </c>
      <c r="E184" s="19">
        <v>1.694E-2</v>
      </c>
      <c r="F184" s="6">
        <f t="shared" si="13"/>
        <v>22568</v>
      </c>
      <c r="G184" s="6">
        <f t="shared" si="14"/>
        <v>22568</v>
      </c>
      <c r="H184" s="6">
        <v>22815.62</v>
      </c>
      <c r="I184" s="19"/>
    </row>
    <row r="185" spans="1:9" x14ac:dyDescent="0.3">
      <c r="A185" s="1">
        <f t="shared" si="15"/>
        <v>184</v>
      </c>
      <c r="B185" s="24" t="s">
        <v>451</v>
      </c>
      <c r="C185" s="6">
        <v>4689497.830000001</v>
      </c>
      <c r="D185" s="19">
        <v>2.2630000000000001E-2</v>
      </c>
      <c r="E185" s="19">
        <v>2.2630000000000001E-2</v>
      </c>
      <c r="F185" s="6">
        <f t="shared" si="13"/>
        <v>106123</v>
      </c>
      <c r="G185" s="6">
        <f t="shared" si="14"/>
        <v>106123</v>
      </c>
      <c r="H185" s="6">
        <v>107190.97000000002</v>
      </c>
      <c r="I185" s="19"/>
    </row>
    <row r="186" spans="1:9" x14ac:dyDescent="0.3">
      <c r="A186" s="1">
        <f t="shared" si="15"/>
        <v>185</v>
      </c>
      <c r="B186" s="24" t="s">
        <v>452</v>
      </c>
      <c r="C186" s="6">
        <v>11648995.050000001</v>
      </c>
      <c r="D186" s="19">
        <v>2.1080000000000002E-2</v>
      </c>
      <c r="E186" s="19">
        <v>2.1080000000000002E-2</v>
      </c>
      <c r="F186" s="6">
        <f t="shared" si="13"/>
        <v>245561</v>
      </c>
      <c r="G186" s="6">
        <f t="shared" si="14"/>
        <v>245561</v>
      </c>
      <c r="H186" s="6">
        <v>248090.50999999995</v>
      </c>
      <c r="I186" s="19"/>
    </row>
    <row r="187" spans="1:9" x14ac:dyDescent="0.3">
      <c r="A187" s="1">
        <f t="shared" si="15"/>
        <v>186</v>
      </c>
      <c r="B187" s="24" t="s">
        <v>453</v>
      </c>
      <c r="C187" s="6">
        <v>51963636.729999989</v>
      </c>
      <c r="D187" s="19">
        <v>1.8939999999999999E-2</v>
      </c>
      <c r="E187" s="19">
        <v>1.8939999999999999E-2</v>
      </c>
      <c r="F187" s="6">
        <f t="shared" si="13"/>
        <v>984191</v>
      </c>
      <c r="G187" s="6">
        <f t="shared" si="14"/>
        <v>984191</v>
      </c>
      <c r="H187" s="6">
        <v>994667.85000000009</v>
      </c>
      <c r="I187" s="19"/>
    </row>
    <row r="188" spans="1:9" x14ac:dyDescent="0.3">
      <c r="A188" s="1">
        <f t="shared" si="15"/>
        <v>187</v>
      </c>
      <c r="B188" s="24" t="s">
        <v>454</v>
      </c>
      <c r="C188" s="6">
        <v>13324284.949999999</v>
      </c>
      <c r="D188" s="19">
        <v>3.1029999999999999E-2</v>
      </c>
      <c r="E188" s="19">
        <v>3.1029999999999999E-2</v>
      </c>
      <c r="F188" s="6">
        <f t="shared" si="13"/>
        <v>413453</v>
      </c>
      <c r="G188" s="6">
        <f t="shared" si="14"/>
        <v>413453</v>
      </c>
      <c r="H188" s="6">
        <v>417095.5</v>
      </c>
      <c r="I188" s="19"/>
    </row>
    <row r="189" spans="1:9" x14ac:dyDescent="0.3">
      <c r="A189" s="1">
        <f t="shared" si="15"/>
        <v>188</v>
      </c>
      <c r="B189" s="24" t="s">
        <v>455</v>
      </c>
      <c r="C189" s="6">
        <v>5143558.6900000004</v>
      </c>
      <c r="D189" s="19">
        <v>4.1910000000000003E-2</v>
      </c>
      <c r="E189" s="19">
        <v>4.1910000000000003E-2</v>
      </c>
      <c r="F189" s="6">
        <f t="shared" si="13"/>
        <v>215567</v>
      </c>
      <c r="G189" s="6">
        <f t="shared" si="14"/>
        <v>215567</v>
      </c>
      <c r="H189" s="6">
        <v>217142.22000000009</v>
      </c>
      <c r="I189" s="19"/>
    </row>
    <row r="190" spans="1:9" x14ac:dyDescent="0.3">
      <c r="A190" s="1">
        <f t="shared" si="15"/>
        <v>189</v>
      </c>
      <c r="B190" s="24" t="s">
        <v>456</v>
      </c>
      <c r="C190" s="6">
        <v>3369759.25</v>
      </c>
      <c r="D190" s="19">
        <v>4.0530000000000004E-2</v>
      </c>
      <c r="E190" s="19">
        <v>4.0530000000000004E-2</v>
      </c>
      <c r="F190" s="6">
        <f t="shared" si="13"/>
        <v>136576</v>
      </c>
      <c r="G190" s="6">
        <f t="shared" si="14"/>
        <v>136576</v>
      </c>
      <c r="H190" s="6">
        <v>78298.120000000024</v>
      </c>
      <c r="I190" s="19"/>
    </row>
    <row r="191" spans="1:9" x14ac:dyDescent="0.3">
      <c r="A191" s="1">
        <f t="shared" si="15"/>
        <v>190</v>
      </c>
      <c r="B191" s="24" t="s">
        <v>457</v>
      </c>
      <c r="C191" s="6">
        <v>213827000</v>
      </c>
      <c r="D191" s="19">
        <v>5.1799999999999999E-2</v>
      </c>
      <c r="E191" s="19">
        <v>5.1799999999999999E-2</v>
      </c>
      <c r="F191" s="6">
        <f t="shared" si="13"/>
        <v>11076239</v>
      </c>
      <c r="G191" s="6">
        <f t="shared" si="14"/>
        <v>11076239</v>
      </c>
      <c r="H191" s="6">
        <v>1972480.8499999999</v>
      </c>
      <c r="I191" s="19"/>
    </row>
    <row r="192" spans="1:9" x14ac:dyDescent="0.3">
      <c r="A192" s="1">
        <f t="shared" si="15"/>
        <v>191</v>
      </c>
      <c r="B192" s="24" t="s">
        <v>458</v>
      </c>
      <c r="C192" s="6">
        <v>2300439.37</v>
      </c>
      <c r="D192" s="19">
        <v>3.056E-2</v>
      </c>
      <c r="E192" s="19">
        <v>3.056E-2</v>
      </c>
      <c r="F192" s="6">
        <f t="shared" si="13"/>
        <v>70301</v>
      </c>
      <c r="G192" s="6">
        <f t="shared" si="14"/>
        <v>70301</v>
      </c>
      <c r="H192" s="6">
        <v>70925.540000000023</v>
      </c>
      <c r="I192" s="19"/>
    </row>
    <row r="193" spans="1:9" x14ac:dyDescent="0.3">
      <c r="A193" s="1">
        <f t="shared" si="15"/>
        <v>192</v>
      </c>
      <c r="B193" s="24" t="s">
        <v>459</v>
      </c>
      <c r="C193" s="6">
        <v>59881349.390000001</v>
      </c>
      <c r="D193" s="19">
        <v>3.056E-2</v>
      </c>
      <c r="E193" s="19">
        <v>3.056E-2</v>
      </c>
      <c r="F193" s="6">
        <f t="shared" si="13"/>
        <v>1829974</v>
      </c>
      <c r="G193" s="6">
        <f t="shared" si="14"/>
        <v>1829974</v>
      </c>
      <c r="H193" s="6">
        <v>1846219.8999999994</v>
      </c>
      <c r="I193" s="19"/>
    </row>
    <row r="194" spans="1:9" x14ac:dyDescent="0.3">
      <c r="A194" s="1">
        <f t="shared" si="15"/>
        <v>193</v>
      </c>
      <c r="C194" s="6"/>
      <c r="D194" s="19"/>
      <c r="E194" s="19"/>
      <c r="F194" s="6"/>
      <c r="G194" s="6"/>
      <c r="H194" s="6"/>
    </row>
    <row r="195" spans="1:9" x14ac:dyDescent="0.3">
      <c r="A195" s="1">
        <f t="shared" si="15"/>
        <v>194</v>
      </c>
      <c r="B195" t="s">
        <v>460</v>
      </c>
      <c r="C195" s="8">
        <f>SUM(C29:C193)</f>
        <v>2141556250.2100005</v>
      </c>
      <c r="D195" s="19"/>
      <c r="E195" s="19"/>
      <c r="F195" s="8">
        <f>SUM(F29:F193)</f>
        <v>77583367</v>
      </c>
      <c r="G195" s="8">
        <f>SUM(G29:G193)</f>
        <v>77583367</v>
      </c>
      <c r="H195" s="8">
        <f>SUM(H29:H193)</f>
        <v>67135254.410000026</v>
      </c>
    </row>
    <row r="196" spans="1:9" x14ac:dyDescent="0.3">
      <c r="A196" s="1">
        <f t="shared" si="15"/>
        <v>195</v>
      </c>
      <c r="C196" s="6"/>
      <c r="D196" s="19"/>
      <c r="E196" s="19"/>
      <c r="F196" s="6"/>
      <c r="G196" s="6"/>
      <c r="H196" s="6"/>
    </row>
    <row r="197" spans="1:9" x14ac:dyDescent="0.3">
      <c r="A197" s="1">
        <f t="shared" si="15"/>
        <v>196</v>
      </c>
      <c r="B197" t="s">
        <v>461</v>
      </c>
      <c r="C197" s="6">
        <f>C16+C25+C195</f>
        <v>2533566427.9400005</v>
      </c>
      <c r="D197" s="19"/>
      <c r="E197" s="19"/>
      <c r="F197" s="6">
        <f>F16+F25+F195</f>
        <v>94687904</v>
      </c>
      <c r="G197" s="6">
        <f>G16+G25+G195</f>
        <v>94687904</v>
      </c>
      <c r="H197" s="6">
        <f>H16+H25+H195</f>
        <v>84422848.020000026</v>
      </c>
    </row>
    <row r="198" spans="1:9" x14ac:dyDescent="0.3">
      <c r="A198" s="1">
        <f t="shared" si="15"/>
        <v>197</v>
      </c>
      <c r="C198" s="6"/>
      <c r="D198" s="19"/>
      <c r="E198" s="19"/>
      <c r="F198" s="6"/>
      <c r="G198" s="6"/>
      <c r="H198" s="6"/>
    </row>
    <row r="199" spans="1:9" x14ac:dyDescent="0.3">
      <c r="A199" s="1">
        <f t="shared" si="15"/>
        <v>198</v>
      </c>
      <c r="B199" t="s">
        <v>462</v>
      </c>
      <c r="C199" s="8">
        <v>325000000</v>
      </c>
      <c r="D199" s="19">
        <v>6.3530000000000003E-2</v>
      </c>
      <c r="E199" s="19">
        <v>6.3229999999999995E-2</v>
      </c>
      <c r="F199" s="8">
        <f t="shared" ref="F199" si="16">ROUND(C199*D199,0)</f>
        <v>20647250</v>
      </c>
      <c r="G199" s="8">
        <f t="shared" ref="G199" si="17">ROUND(C199*E199,0)</f>
        <v>20549750</v>
      </c>
      <c r="H199" s="8">
        <v>22579102.849999998</v>
      </c>
      <c r="I199" s="19"/>
    </row>
    <row r="200" spans="1:9" x14ac:dyDescent="0.3">
      <c r="A200" s="1">
        <f t="shared" si="15"/>
        <v>199</v>
      </c>
      <c r="C200" s="6"/>
      <c r="D200" s="19"/>
      <c r="E200" s="19"/>
      <c r="F200" s="6"/>
      <c r="G200" s="6"/>
      <c r="H200" s="6"/>
    </row>
    <row r="201" spans="1:9" ht="14.5" thickBot="1" x14ac:dyDescent="0.35">
      <c r="A201" s="1">
        <f t="shared" si="15"/>
        <v>200</v>
      </c>
      <c r="B201" t="s">
        <v>176</v>
      </c>
      <c r="C201" s="10">
        <f>C197+C199</f>
        <v>2858566427.9400005</v>
      </c>
      <c r="F201" s="10">
        <f t="shared" ref="F201:H201" si="18">F197+F199</f>
        <v>115335154</v>
      </c>
      <c r="G201" s="10">
        <f t="shared" si="18"/>
        <v>115237654</v>
      </c>
      <c r="H201" s="10">
        <f t="shared" si="18"/>
        <v>107001950.87000002</v>
      </c>
    </row>
    <row r="202" spans="1:9" ht="14.5" thickTop="1" x14ac:dyDescent="0.3">
      <c r="A202" s="1">
        <f t="shared" ref="A202:A214" si="19">A201+1</f>
        <v>201</v>
      </c>
    </row>
    <row r="203" spans="1:9" ht="14.5" thickBot="1" x14ac:dyDescent="0.35">
      <c r="A203" s="1">
        <f t="shared" si="19"/>
        <v>202</v>
      </c>
      <c r="B203" t="s">
        <v>463</v>
      </c>
      <c r="C203" s="6"/>
      <c r="F203" s="10">
        <v>28261437</v>
      </c>
      <c r="G203" s="10">
        <v>28261437</v>
      </c>
      <c r="H203" s="10">
        <f>'1.02 - ES'!F53</f>
        <v>20196960</v>
      </c>
    </row>
    <row r="204" spans="1:9" ht="14.5" thickTop="1" x14ac:dyDescent="0.3">
      <c r="A204" s="1">
        <f t="shared" si="19"/>
        <v>203</v>
      </c>
    </row>
    <row r="205" spans="1:9" x14ac:dyDescent="0.3">
      <c r="A205" s="1">
        <f t="shared" si="19"/>
        <v>204</v>
      </c>
      <c r="B205" t="s">
        <v>464</v>
      </c>
    </row>
    <row r="206" spans="1:9" x14ac:dyDescent="0.3">
      <c r="A206" s="1">
        <f t="shared" si="19"/>
        <v>205</v>
      </c>
      <c r="B206" t="s">
        <v>465</v>
      </c>
      <c r="F206" s="6"/>
      <c r="G206" s="6"/>
      <c r="H206" s="6"/>
    </row>
    <row r="207" spans="1:9" x14ac:dyDescent="0.3">
      <c r="A207" s="1">
        <f t="shared" si="19"/>
        <v>206</v>
      </c>
      <c r="B207" t="s">
        <v>466</v>
      </c>
      <c r="F207" s="6"/>
      <c r="G207" s="6">
        <f>G201</f>
        <v>115237654</v>
      </c>
      <c r="H207" s="6"/>
    </row>
    <row r="208" spans="1:9" x14ac:dyDescent="0.3">
      <c r="A208" s="1">
        <f t="shared" si="19"/>
        <v>207</v>
      </c>
      <c r="B208" t="s">
        <v>467</v>
      </c>
      <c r="F208" s="6"/>
      <c r="G208" s="8">
        <f>G203</f>
        <v>28261437</v>
      </c>
      <c r="H208" s="6"/>
    </row>
    <row r="209" spans="1:8" x14ac:dyDescent="0.3">
      <c r="A209" s="1">
        <f t="shared" si="19"/>
        <v>208</v>
      </c>
      <c r="B209" t="s">
        <v>468</v>
      </c>
      <c r="F209" s="6"/>
      <c r="G209" s="6"/>
      <c r="H209" s="8">
        <f>G207-G208</f>
        <v>86976217</v>
      </c>
    </row>
    <row r="210" spans="1:8" x14ac:dyDescent="0.3">
      <c r="A210" s="1">
        <f t="shared" si="19"/>
        <v>209</v>
      </c>
      <c r="B210" t="s">
        <v>469</v>
      </c>
      <c r="F210" s="6"/>
      <c r="G210" s="6">
        <f>H201</f>
        <v>107001950.87000002</v>
      </c>
      <c r="H210" s="6"/>
    </row>
    <row r="211" spans="1:8" x14ac:dyDescent="0.3">
      <c r="A211" s="1">
        <f t="shared" si="19"/>
        <v>210</v>
      </c>
      <c r="B211" t="s">
        <v>470</v>
      </c>
      <c r="F211" s="6"/>
      <c r="G211" s="8">
        <f>H203</f>
        <v>20196960</v>
      </c>
      <c r="H211" s="6"/>
    </row>
    <row r="212" spans="1:8" x14ac:dyDescent="0.3">
      <c r="A212" s="1">
        <f t="shared" si="19"/>
        <v>211</v>
      </c>
      <c r="B212" t="s">
        <v>471</v>
      </c>
      <c r="F212" s="6"/>
      <c r="G212" s="6"/>
      <c r="H212" s="6">
        <f>G210-G211</f>
        <v>86804990.87000002</v>
      </c>
    </row>
    <row r="213" spans="1:8" ht="14.5" thickBot="1" x14ac:dyDescent="0.35">
      <c r="A213" s="1">
        <f t="shared" si="19"/>
        <v>212</v>
      </c>
      <c r="B213" t="s">
        <v>472</v>
      </c>
      <c r="F213" s="6"/>
      <c r="G213" s="6"/>
      <c r="H213" s="26">
        <f>ROUND(H209-H212,0)</f>
        <v>171226</v>
      </c>
    </row>
    <row r="214" spans="1:8" ht="14.5" thickTop="1" x14ac:dyDescent="0.3">
      <c r="A214" s="1">
        <f t="shared" si="19"/>
        <v>213</v>
      </c>
      <c r="C214" s="6"/>
      <c r="D214" s="19"/>
      <c r="E214" s="19"/>
      <c r="F214" s="6"/>
      <c r="G214" s="6"/>
      <c r="H214" s="6"/>
    </row>
  </sheetData>
  <mergeCells count="4">
    <mergeCell ref="D7:E7"/>
    <mergeCell ref="F7:G7"/>
    <mergeCell ref="B3:H3"/>
    <mergeCell ref="B4:H4"/>
  </mergeCells>
  <pageMargins left="0.7" right="0.7" top="0.75" bottom="0.75" header="0.3" footer="0.3"/>
  <pageSetup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I70"/>
  <sheetViews>
    <sheetView zoomScale="80" zoomScaleNormal="80" workbookViewId="0">
      <selection activeCell="J27" sqref="J27"/>
    </sheetView>
  </sheetViews>
  <sheetFormatPr defaultColWidth="15.58203125" defaultRowHeight="14" x14ac:dyDescent="0.3"/>
  <cols>
    <col min="1" max="1" width="4.58203125" customWidth="1"/>
    <col min="3" max="3" width="16.75" customWidth="1"/>
  </cols>
  <sheetData>
    <row r="1" spans="1:9" x14ac:dyDescent="0.3">
      <c r="A1" s="1">
        <v>0</v>
      </c>
    </row>
    <row r="2" spans="1:9" x14ac:dyDescent="0.3">
      <c r="A2" s="1">
        <f>A1+1</f>
        <v>1</v>
      </c>
      <c r="I2" s="4" t="s">
        <v>473</v>
      </c>
    </row>
    <row r="3" spans="1:9" x14ac:dyDescent="0.3">
      <c r="A3" s="1">
        <f t="shared" ref="A3:A56" si="0">A2+1</f>
        <v>2</v>
      </c>
      <c r="B3" s="72" t="s">
        <v>1</v>
      </c>
      <c r="C3" s="72"/>
      <c r="D3" s="72"/>
      <c r="E3" s="72"/>
      <c r="F3" s="72"/>
      <c r="G3" s="72"/>
      <c r="H3" s="72"/>
      <c r="I3" s="72"/>
    </row>
    <row r="4" spans="1:9" x14ac:dyDescent="0.3">
      <c r="A4" s="1">
        <f t="shared" si="0"/>
        <v>3</v>
      </c>
      <c r="B4" s="72" t="s">
        <v>474</v>
      </c>
      <c r="C4" s="72"/>
      <c r="D4" s="72"/>
      <c r="E4" s="72"/>
      <c r="F4" s="72"/>
      <c r="G4" s="72"/>
      <c r="H4" s="72"/>
      <c r="I4" s="72"/>
    </row>
    <row r="5" spans="1:9" x14ac:dyDescent="0.3">
      <c r="A5" s="1">
        <f t="shared" si="0"/>
        <v>4</v>
      </c>
    </row>
    <row r="6" spans="1:9" x14ac:dyDescent="0.3">
      <c r="A6" s="1">
        <f t="shared" si="0"/>
        <v>5</v>
      </c>
    </row>
    <row r="7" spans="1:9" x14ac:dyDescent="0.3">
      <c r="A7" s="1">
        <f t="shared" si="0"/>
        <v>6</v>
      </c>
      <c r="D7" s="2" t="s">
        <v>475</v>
      </c>
      <c r="E7" s="74" t="s">
        <v>272</v>
      </c>
      <c r="F7" s="75"/>
      <c r="G7" s="74" t="s">
        <v>476</v>
      </c>
      <c r="H7" s="75"/>
      <c r="I7" s="2" t="s">
        <v>278</v>
      </c>
    </row>
    <row r="8" spans="1:9" ht="14.5" thickBot="1" x14ac:dyDescent="0.35">
      <c r="A8" s="1">
        <f t="shared" si="0"/>
        <v>7</v>
      </c>
      <c r="B8" s="76" t="s">
        <v>477</v>
      </c>
      <c r="C8" s="76"/>
      <c r="D8" s="3" t="s">
        <v>478</v>
      </c>
      <c r="E8" s="3" t="s">
        <v>280</v>
      </c>
      <c r="F8" s="3" t="s">
        <v>479</v>
      </c>
      <c r="G8" s="3" t="s">
        <v>280</v>
      </c>
      <c r="H8" s="3" t="s">
        <v>479</v>
      </c>
      <c r="I8" s="3" t="s">
        <v>480</v>
      </c>
    </row>
    <row r="9" spans="1:9" x14ac:dyDescent="0.3">
      <c r="A9" s="1">
        <f t="shared" si="0"/>
        <v>8</v>
      </c>
    </row>
    <row r="10" spans="1:9" x14ac:dyDescent="0.3">
      <c r="A10" s="1">
        <f t="shared" si="0"/>
        <v>9</v>
      </c>
      <c r="D10" s="6"/>
      <c r="E10" s="6"/>
      <c r="F10" s="21"/>
      <c r="H10" s="6"/>
      <c r="I10" s="6"/>
    </row>
    <row r="11" spans="1:9" x14ac:dyDescent="0.3">
      <c r="A11" s="1">
        <f t="shared" si="0"/>
        <v>10</v>
      </c>
      <c r="B11" t="s">
        <v>481</v>
      </c>
      <c r="D11" s="6">
        <v>16595883</v>
      </c>
      <c r="E11" s="23" t="s">
        <v>482</v>
      </c>
      <c r="F11" s="21">
        <f>G60</f>
        <v>5.0299999999999997E-2</v>
      </c>
      <c r="G11" s="6">
        <f>ROUND(210103*0.0519,0)+ROUND(16346694*0.0532,0)</f>
        <v>880548</v>
      </c>
      <c r="H11" s="6">
        <f>ROUND(D11*F11,0)</f>
        <v>834773</v>
      </c>
      <c r="I11" s="6">
        <v>698412</v>
      </c>
    </row>
    <row r="12" spans="1:9" x14ac:dyDescent="0.3">
      <c r="A12" s="1">
        <f t="shared" si="0"/>
        <v>11</v>
      </c>
      <c r="D12" s="6"/>
      <c r="E12" s="21"/>
      <c r="F12" s="21"/>
      <c r="G12" s="6"/>
      <c r="H12" s="6"/>
      <c r="I12" s="6"/>
    </row>
    <row r="13" spans="1:9" x14ac:dyDescent="0.3">
      <c r="A13" s="1">
        <f t="shared" si="0"/>
        <v>12</v>
      </c>
      <c r="B13" t="s">
        <v>483</v>
      </c>
      <c r="D13" s="6">
        <v>50000000</v>
      </c>
      <c r="E13" s="23">
        <v>4.9399999999999999E-2</v>
      </c>
      <c r="F13" s="21">
        <f>G62</f>
        <v>0</v>
      </c>
      <c r="G13" s="6">
        <f>ROUND(15000000*0.0494,0)+ROUND(35000000*0.0494,0)</f>
        <v>2470000</v>
      </c>
      <c r="H13" s="6">
        <f>ROUND(D13*F13,0)</f>
        <v>0</v>
      </c>
      <c r="I13" s="6">
        <v>212009</v>
      </c>
    </row>
    <row r="14" spans="1:9" x14ac:dyDescent="0.3">
      <c r="A14" s="1">
        <f t="shared" si="0"/>
        <v>13</v>
      </c>
      <c r="D14" s="6"/>
      <c r="E14" s="23"/>
      <c r="F14" s="21"/>
      <c r="G14" s="6"/>
      <c r="H14" s="6"/>
      <c r="I14" s="6"/>
    </row>
    <row r="15" spans="1:9" x14ac:dyDescent="0.3">
      <c r="A15" s="1">
        <f t="shared" si="0"/>
        <v>14</v>
      </c>
      <c r="B15" t="s">
        <v>484</v>
      </c>
      <c r="D15" s="6"/>
      <c r="E15" s="21"/>
      <c r="F15" s="21"/>
      <c r="G15" s="6"/>
      <c r="H15" s="6"/>
      <c r="I15" s="6"/>
    </row>
    <row r="16" spans="1:9" x14ac:dyDescent="0.3">
      <c r="A16" s="1">
        <f t="shared" si="0"/>
        <v>15</v>
      </c>
      <c r="B16" t="s">
        <v>485</v>
      </c>
      <c r="D16" s="6">
        <v>75000000</v>
      </c>
      <c r="E16" s="21">
        <v>5.2400000000000002E-2</v>
      </c>
      <c r="F16" s="21">
        <f>G64</f>
        <v>6.0499999999999998E-2</v>
      </c>
      <c r="G16" s="6">
        <f>ROUND(D16*E16,0)</f>
        <v>3930000</v>
      </c>
      <c r="H16" s="6">
        <f>ROUND(D16*F16,0)</f>
        <v>4537500</v>
      </c>
      <c r="I16" s="6">
        <v>2899596</v>
      </c>
    </row>
    <row r="17" spans="1:9" x14ac:dyDescent="0.3">
      <c r="A17" s="1">
        <f t="shared" si="0"/>
        <v>16</v>
      </c>
      <c r="B17" t="s">
        <v>486</v>
      </c>
      <c r="D17" s="6">
        <v>75000000</v>
      </c>
      <c r="E17" s="21">
        <v>5.2600000000000001E-2</v>
      </c>
      <c r="F17" s="21">
        <f>G64</f>
        <v>6.0499999999999998E-2</v>
      </c>
      <c r="G17" s="6">
        <f>ROUND(D17*E17,0)</f>
        <v>3945000</v>
      </c>
      <c r="H17" s="6">
        <f>ROUND(D17*F17,0)</f>
        <v>4537500</v>
      </c>
      <c r="I17" s="6">
        <v>3517186</v>
      </c>
    </row>
    <row r="18" spans="1:9" x14ac:dyDescent="0.3">
      <c r="A18" s="1">
        <f t="shared" si="0"/>
        <v>17</v>
      </c>
      <c r="B18" t="s">
        <v>487</v>
      </c>
      <c r="D18" s="6">
        <v>15000000</v>
      </c>
      <c r="E18" s="21">
        <v>5.2499999999999998E-2</v>
      </c>
      <c r="F18" s="21">
        <f>G64</f>
        <v>6.0499999999999998E-2</v>
      </c>
      <c r="G18" s="6">
        <f>ROUND(D18*E18,0)</f>
        <v>787500</v>
      </c>
      <c r="H18" s="6">
        <f>ROUND(D18*F18,0)</f>
        <v>907500</v>
      </c>
      <c r="I18" s="6">
        <v>88160</v>
      </c>
    </row>
    <row r="19" spans="1:9" x14ac:dyDescent="0.3">
      <c r="A19" s="1">
        <f t="shared" si="0"/>
        <v>18</v>
      </c>
      <c r="D19" s="6"/>
      <c r="E19" s="21"/>
      <c r="F19" s="21"/>
      <c r="G19" s="6"/>
      <c r="H19" s="6"/>
      <c r="I19" s="6"/>
    </row>
    <row r="20" spans="1:9" x14ac:dyDescent="0.3">
      <c r="A20" s="1">
        <f t="shared" si="0"/>
        <v>19</v>
      </c>
      <c r="B20" t="s">
        <v>488</v>
      </c>
      <c r="D20" s="6"/>
      <c r="E20" s="21"/>
      <c r="F20" s="21"/>
      <c r="G20" s="6"/>
      <c r="H20" s="6"/>
      <c r="I20" s="6"/>
    </row>
    <row r="21" spans="1:9" x14ac:dyDescent="0.3">
      <c r="A21" s="1">
        <f t="shared" si="0"/>
        <v>20</v>
      </c>
      <c r="B21" t="s">
        <v>489</v>
      </c>
      <c r="D21" s="6">
        <v>5044906</v>
      </c>
      <c r="E21" s="21">
        <v>4.4999999999999998E-2</v>
      </c>
      <c r="F21" s="21">
        <f>G67</f>
        <v>4.4900000000000002E-2</v>
      </c>
      <c r="G21" s="6">
        <f t="shared" ref="G21:G23" si="1">ROUND(D21*E21,0)</f>
        <v>227021</v>
      </c>
      <c r="H21" s="6">
        <f>ROUND(D21*F21,0)</f>
        <v>226516</v>
      </c>
      <c r="I21" s="6">
        <v>289798</v>
      </c>
    </row>
    <row r="22" spans="1:9" x14ac:dyDescent="0.3">
      <c r="A22" s="1">
        <f t="shared" si="0"/>
        <v>21</v>
      </c>
      <c r="B22" t="s">
        <v>490</v>
      </c>
      <c r="D22" s="6">
        <v>5526228</v>
      </c>
      <c r="E22" s="21">
        <v>5.6000000000000001E-2</v>
      </c>
      <c r="F22" s="21">
        <f>G68</f>
        <v>5.5100000000000003E-2</v>
      </c>
      <c r="G22" s="6">
        <f t="shared" si="1"/>
        <v>309469</v>
      </c>
      <c r="H22" s="6">
        <f>ROUND(D22*F22,0)</f>
        <v>304495</v>
      </c>
      <c r="I22" s="6">
        <v>704634</v>
      </c>
    </row>
    <row r="23" spans="1:9" x14ac:dyDescent="0.3">
      <c r="A23" s="1">
        <f t="shared" si="0"/>
        <v>22</v>
      </c>
      <c r="B23" t="s">
        <v>491</v>
      </c>
      <c r="D23" s="6">
        <v>3955426</v>
      </c>
      <c r="E23" s="21">
        <v>5.1499999999999997E-2</v>
      </c>
      <c r="F23" s="21">
        <f>G69</f>
        <v>5.04E-2</v>
      </c>
      <c r="G23" s="6">
        <f t="shared" si="1"/>
        <v>203704</v>
      </c>
      <c r="H23" s="6">
        <f>ROUND(D23*F23,0)</f>
        <v>199353</v>
      </c>
      <c r="I23" s="6">
        <v>184462</v>
      </c>
    </row>
    <row r="24" spans="1:9" x14ac:dyDescent="0.3">
      <c r="A24" s="1">
        <f t="shared" si="0"/>
        <v>23</v>
      </c>
      <c r="D24" s="6"/>
      <c r="E24" s="21"/>
      <c r="F24" s="21"/>
      <c r="G24" s="6"/>
      <c r="H24" s="6"/>
      <c r="I24" s="6"/>
    </row>
    <row r="25" spans="1:9" x14ac:dyDescent="0.3">
      <c r="A25" s="1">
        <f t="shared" si="0"/>
        <v>24</v>
      </c>
      <c r="B25" t="s">
        <v>492</v>
      </c>
      <c r="D25" s="6"/>
      <c r="E25" s="21"/>
      <c r="F25" s="21"/>
      <c r="G25" s="6"/>
      <c r="H25" s="6"/>
      <c r="I25" s="6"/>
    </row>
    <row r="26" spans="1:9" x14ac:dyDescent="0.3">
      <c r="A26" s="1">
        <f t="shared" si="0"/>
        <v>25</v>
      </c>
      <c r="B26" t="s">
        <v>493</v>
      </c>
      <c r="D26" s="6">
        <v>6998144</v>
      </c>
      <c r="E26" s="21">
        <v>0.05</v>
      </c>
      <c r="F26" s="21">
        <v>0.05</v>
      </c>
      <c r="G26" s="6">
        <f t="shared" ref="G26:G29" si="2">ROUND(D26*E26,0)</f>
        <v>349907</v>
      </c>
      <c r="H26" s="6">
        <f>ROUND(D26*F26,0)</f>
        <v>349907</v>
      </c>
      <c r="I26" s="6">
        <v>349907</v>
      </c>
    </row>
    <row r="27" spans="1:9" x14ac:dyDescent="0.3">
      <c r="A27" s="1">
        <f t="shared" si="0"/>
        <v>26</v>
      </c>
      <c r="B27" t="s">
        <v>494</v>
      </c>
      <c r="D27" s="6">
        <v>56420</v>
      </c>
      <c r="E27" s="21">
        <v>0</v>
      </c>
      <c r="F27" s="21">
        <v>0</v>
      </c>
      <c r="G27" s="6">
        <f t="shared" si="2"/>
        <v>0</v>
      </c>
      <c r="H27" s="6">
        <f>ROUND(D27*F27,0)</f>
        <v>0</v>
      </c>
      <c r="I27" s="6">
        <v>0</v>
      </c>
    </row>
    <row r="28" spans="1:9" x14ac:dyDescent="0.3">
      <c r="A28" s="1">
        <f t="shared" si="0"/>
        <v>27</v>
      </c>
      <c r="B28" t="s">
        <v>495</v>
      </c>
      <c r="D28" s="6">
        <v>0</v>
      </c>
      <c r="E28" s="21">
        <v>0</v>
      </c>
      <c r="F28" s="21">
        <v>0</v>
      </c>
      <c r="G28" s="6">
        <f t="shared" si="2"/>
        <v>0</v>
      </c>
      <c r="H28" s="6">
        <f>ROUND(D28*F28,0)</f>
        <v>0</v>
      </c>
      <c r="I28" s="6">
        <v>1428</v>
      </c>
    </row>
    <row r="29" spans="1:9" x14ac:dyDescent="0.3">
      <c r="A29" s="1">
        <f t="shared" si="0"/>
        <v>28</v>
      </c>
      <c r="B29" t="s">
        <v>496</v>
      </c>
      <c r="D29" s="6">
        <v>0</v>
      </c>
      <c r="E29" s="21">
        <v>0</v>
      </c>
      <c r="F29" s="21">
        <v>0</v>
      </c>
      <c r="G29" s="6">
        <f t="shared" si="2"/>
        <v>0</v>
      </c>
      <c r="H29" s="6">
        <f>ROUND(D29*F29,0)</f>
        <v>0</v>
      </c>
      <c r="I29" s="6">
        <v>29428</v>
      </c>
    </row>
    <row r="30" spans="1:9" x14ac:dyDescent="0.3">
      <c r="A30" s="1">
        <f t="shared" si="0"/>
        <v>29</v>
      </c>
      <c r="D30" s="6"/>
      <c r="E30" s="21"/>
      <c r="F30" s="21"/>
      <c r="G30" s="6"/>
      <c r="H30" s="6"/>
      <c r="I30" s="6"/>
    </row>
    <row r="31" spans="1:9" x14ac:dyDescent="0.3">
      <c r="A31" s="1">
        <f t="shared" si="0"/>
        <v>30</v>
      </c>
      <c r="B31" t="s">
        <v>497</v>
      </c>
      <c r="D31" s="6"/>
      <c r="E31" s="21"/>
      <c r="F31" s="21"/>
      <c r="G31" s="6"/>
      <c r="H31" s="6"/>
      <c r="I31" s="6"/>
    </row>
    <row r="32" spans="1:9" x14ac:dyDescent="0.3">
      <c r="A32" s="1">
        <f t="shared" si="0"/>
        <v>31</v>
      </c>
      <c r="B32" t="s">
        <v>498</v>
      </c>
      <c r="D32" s="6"/>
      <c r="E32" s="23"/>
      <c r="F32" s="21"/>
      <c r="G32" s="6"/>
      <c r="H32" s="6"/>
      <c r="I32" s="6"/>
    </row>
    <row r="33" spans="1:9" x14ac:dyDescent="0.3">
      <c r="A33" s="1">
        <f t="shared" si="0"/>
        <v>32</v>
      </c>
      <c r="B33" t="s">
        <v>499</v>
      </c>
      <c r="D33" s="6">
        <v>0</v>
      </c>
      <c r="E33" s="23">
        <v>1.7999999999999999E-2</v>
      </c>
      <c r="F33" s="21">
        <v>1.7999999999999999E-2</v>
      </c>
      <c r="G33" s="6">
        <f t="shared" ref="G33:G37" si="3">ROUND(D33*E33,0)</f>
        <v>0</v>
      </c>
      <c r="H33" s="6">
        <f>ROUND(D33*F33,0)</f>
        <v>0</v>
      </c>
      <c r="I33" s="6">
        <v>8</v>
      </c>
    </row>
    <row r="34" spans="1:9" x14ac:dyDescent="0.3">
      <c r="A34" s="1">
        <f t="shared" si="0"/>
        <v>33</v>
      </c>
      <c r="B34" t="s">
        <v>500</v>
      </c>
      <c r="D34" s="6">
        <v>33841</v>
      </c>
      <c r="E34" s="23">
        <v>1.6E-2</v>
      </c>
      <c r="F34" s="21">
        <v>1.6E-2</v>
      </c>
      <c r="G34" s="6">
        <f t="shared" si="3"/>
        <v>541</v>
      </c>
      <c r="H34" s="6">
        <f>ROUND(D34*F34,0)</f>
        <v>541</v>
      </c>
      <c r="I34" s="6">
        <v>685</v>
      </c>
    </row>
    <row r="35" spans="1:9" x14ac:dyDescent="0.3">
      <c r="A35" s="1">
        <f t="shared" si="0"/>
        <v>34</v>
      </c>
      <c r="B35" t="s">
        <v>501</v>
      </c>
      <c r="D35" s="6">
        <v>20660</v>
      </c>
      <c r="E35" s="23">
        <v>3.8999999999999998E-3</v>
      </c>
      <c r="F35" s="23">
        <v>3.8999999999999998E-3</v>
      </c>
      <c r="G35" s="6">
        <f t="shared" si="3"/>
        <v>81</v>
      </c>
      <c r="H35" s="6">
        <f>ROUND(D35*F35,0)</f>
        <v>81</v>
      </c>
      <c r="I35" s="6">
        <v>95</v>
      </c>
    </row>
    <row r="36" spans="1:9" x14ac:dyDescent="0.3">
      <c r="A36" s="1">
        <f t="shared" si="0"/>
        <v>35</v>
      </c>
      <c r="B36" t="s">
        <v>502</v>
      </c>
      <c r="D36" s="6">
        <v>31781</v>
      </c>
      <c r="E36" s="23">
        <v>1.1599999999999999E-2</v>
      </c>
      <c r="F36" s="21">
        <v>1.1599999999999999E-2</v>
      </c>
      <c r="G36" s="6">
        <f t="shared" si="3"/>
        <v>369</v>
      </c>
      <c r="H36" s="6">
        <f>ROUND(D36*F36,0)</f>
        <v>369</v>
      </c>
      <c r="I36" s="6">
        <v>416</v>
      </c>
    </row>
    <row r="37" spans="1:9" x14ac:dyDescent="0.3">
      <c r="A37" s="1">
        <f t="shared" si="0"/>
        <v>36</v>
      </c>
      <c r="B37" t="s">
        <v>503</v>
      </c>
      <c r="D37" s="6">
        <v>21611</v>
      </c>
      <c r="E37" s="23">
        <v>3.7999999999999999E-2</v>
      </c>
      <c r="F37" s="21">
        <v>3.7999999999999999E-2</v>
      </c>
      <c r="G37" s="6">
        <f t="shared" si="3"/>
        <v>821</v>
      </c>
      <c r="H37" s="6">
        <f>ROUND(D37*F37,0)</f>
        <v>821</v>
      </c>
      <c r="I37" s="6">
        <v>819</v>
      </c>
    </row>
    <row r="38" spans="1:9" x14ac:dyDescent="0.3">
      <c r="A38" s="1">
        <f t="shared" si="0"/>
        <v>37</v>
      </c>
      <c r="D38" s="6"/>
      <c r="E38" s="21"/>
      <c r="F38" s="21"/>
      <c r="G38" s="6"/>
      <c r="H38" s="6"/>
      <c r="I38" s="6"/>
    </row>
    <row r="39" spans="1:9" x14ac:dyDescent="0.3">
      <c r="A39" s="1">
        <f t="shared" si="0"/>
        <v>38</v>
      </c>
      <c r="B39" t="s">
        <v>504</v>
      </c>
      <c r="D39" s="6"/>
      <c r="E39" s="21"/>
      <c r="F39" s="21"/>
      <c r="G39" s="6"/>
      <c r="H39" s="6"/>
      <c r="I39" s="6"/>
    </row>
    <row r="40" spans="1:9" x14ac:dyDescent="0.3">
      <c r="A40" s="1">
        <f t="shared" si="0"/>
        <v>39</v>
      </c>
      <c r="B40" t="s">
        <v>505</v>
      </c>
      <c r="D40" s="6">
        <v>0</v>
      </c>
      <c r="E40" s="21"/>
      <c r="F40" s="21"/>
      <c r="G40" s="6">
        <f t="shared" ref="G40:G42" si="4">ROUND(D40*E40,0)</f>
        <v>0</v>
      </c>
      <c r="H40" s="6">
        <f>ROUND(D40*F40,0)</f>
        <v>0</v>
      </c>
      <c r="I40" s="6">
        <v>11964</v>
      </c>
    </row>
    <row r="41" spans="1:9" x14ac:dyDescent="0.3">
      <c r="A41" s="1">
        <f t="shared" si="0"/>
        <v>40</v>
      </c>
      <c r="B41" t="s">
        <v>506</v>
      </c>
      <c r="D41" s="6">
        <v>0</v>
      </c>
      <c r="E41" s="21"/>
      <c r="F41" s="21"/>
      <c r="G41" s="6">
        <f t="shared" si="4"/>
        <v>0</v>
      </c>
      <c r="H41" s="6">
        <f>ROUND(D41*F41,0)</f>
        <v>0</v>
      </c>
      <c r="I41" s="6">
        <v>52</v>
      </c>
    </row>
    <row r="42" spans="1:9" x14ac:dyDescent="0.3">
      <c r="A42" s="1">
        <f t="shared" si="0"/>
        <v>41</v>
      </c>
      <c r="B42" t="s">
        <v>507</v>
      </c>
      <c r="D42" s="6">
        <v>0</v>
      </c>
      <c r="E42" s="21">
        <v>0</v>
      </c>
      <c r="F42" s="21">
        <v>0</v>
      </c>
      <c r="G42" s="6">
        <f t="shared" si="4"/>
        <v>0</v>
      </c>
      <c r="H42" s="6">
        <f>ROUND(D42*F42,0)</f>
        <v>0</v>
      </c>
      <c r="I42" s="6">
        <v>45565</v>
      </c>
    </row>
    <row r="43" spans="1:9" x14ac:dyDescent="0.3">
      <c r="A43" s="1">
        <f t="shared" si="0"/>
        <v>42</v>
      </c>
      <c r="B43" t="s">
        <v>508</v>
      </c>
      <c r="D43" s="8"/>
      <c r="E43" s="22"/>
      <c r="F43" s="22"/>
      <c r="G43" s="8"/>
      <c r="H43" s="8"/>
      <c r="I43" s="8">
        <v>-1</v>
      </c>
    </row>
    <row r="44" spans="1:9" x14ac:dyDescent="0.3">
      <c r="A44" s="1">
        <f t="shared" si="0"/>
        <v>43</v>
      </c>
      <c r="D44" s="6"/>
      <c r="E44" s="6"/>
      <c r="F44" s="21"/>
      <c r="G44" s="6"/>
      <c r="H44" s="6"/>
      <c r="I44" s="6"/>
    </row>
    <row r="45" spans="1:9" ht="14.5" thickBot="1" x14ac:dyDescent="0.35">
      <c r="A45" s="1">
        <f t="shared" si="0"/>
        <v>44</v>
      </c>
      <c r="B45" t="s">
        <v>176</v>
      </c>
      <c r="D45" s="10">
        <f>SUM(D10:D43)</f>
        <v>253284900</v>
      </c>
      <c r="E45" s="6"/>
      <c r="F45" s="6"/>
      <c r="G45" s="10">
        <f>SUM(G10:G43)</f>
        <v>13104961</v>
      </c>
      <c r="H45" s="10">
        <f>SUM(H10:H43)</f>
        <v>11899356</v>
      </c>
      <c r="I45" s="10">
        <f>SUM(I10:I43)</f>
        <v>9034623</v>
      </c>
    </row>
    <row r="46" spans="1:9" ht="14.5" thickTop="1" x14ac:dyDescent="0.3">
      <c r="A46" s="1">
        <f t="shared" si="0"/>
        <v>45</v>
      </c>
      <c r="D46" s="6"/>
      <c r="E46" s="6"/>
      <c r="F46" s="6"/>
      <c r="G46" s="21"/>
      <c r="H46" s="6"/>
    </row>
    <row r="47" spans="1:9" ht="14.5" thickBot="1" x14ac:dyDescent="0.35">
      <c r="A47" s="1">
        <f t="shared" si="0"/>
        <v>46</v>
      </c>
      <c r="B47" t="s">
        <v>509</v>
      </c>
      <c r="D47" s="6"/>
      <c r="E47" s="6"/>
      <c r="F47" s="6"/>
      <c r="G47" s="21"/>
      <c r="H47" s="10">
        <f>H45-I45</f>
        <v>2864733</v>
      </c>
    </row>
    <row r="48" spans="1:9" ht="14.5" thickTop="1" x14ac:dyDescent="0.3">
      <c r="A48" s="1">
        <f t="shared" si="0"/>
        <v>47</v>
      </c>
      <c r="B48" t="s">
        <v>510</v>
      </c>
      <c r="D48" s="6"/>
      <c r="E48" s="6"/>
      <c r="F48" s="6"/>
      <c r="G48" s="21"/>
      <c r="H48" s="6"/>
    </row>
    <row r="49" spans="1:8" x14ac:dyDescent="0.3">
      <c r="A49" s="1">
        <f t="shared" si="0"/>
        <v>48</v>
      </c>
      <c r="D49" s="6"/>
      <c r="E49" s="6"/>
      <c r="F49" s="6"/>
      <c r="G49" s="21"/>
      <c r="H49" s="6"/>
    </row>
    <row r="50" spans="1:8" x14ac:dyDescent="0.3">
      <c r="A50" s="1">
        <f t="shared" si="0"/>
        <v>49</v>
      </c>
      <c r="B50" s="24" t="s">
        <v>287</v>
      </c>
      <c r="D50" s="6"/>
      <c r="E50" s="6"/>
      <c r="F50" s="6"/>
      <c r="H50" s="6"/>
    </row>
    <row r="51" spans="1:8" x14ac:dyDescent="0.3">
      <c r="A51" s="1">
        <f t="shared" si="0"/>
        <v>50</v>
      </c>
      <c r="B51" t="s">
        <v>511</v>
      </c>
    </row>
    <row r="52" spans="1:8" x14ac:dyDescent="0.3">
      <c r="A52" s="1">
        <f t="shared" si="0"/>
        <v>51</v>
      </c>
      <c r="B52" t="s">
        <v>512</v>
      </c>
    </row>
    <row r="53" spans="1:8" x14ac:dyDescent="0.3">
      <c r="A53" s="1">
        <f t="shared" si="0"/>
        <v>52</v>
      </c>
      <c r="B53" t="s">
        <v>513</v>
      </c>
    </row>
    <row r="54" spans="1:8" x14ac:dyDescent="0.3">
      <c r="A54" s="1">
        <f t="shared" si="0"/>
        <v>53</v>
      </c>
      <c r="B54" t="s">
        <v>514</v>
      </c>
    </row>
    <row r="55" spans="1:8" x14ac:dyDescent="0.3">
      <c r="A55" s="1">
        <f t="shared" si="0"/>
        <v>54</v>
      </c>
      <c r="B55" t="s">
        <v>515</v>
      </c>
    </row>
    <row r="56" spans="1:8" x14ac:dyDescent="0.3">
      <c r="A56" s="1">
        <f t="shared" si="0"/>
        <v>55</v>
      </c>
    </row>
    <row r="57" spans="1:8" x14ac:dyDescent="0.3">
      <c r="A57" s="1">
        <f t="shared" ref="A57:A70" si="5">A56+1</f>
        <v>56</v>
      </c>
      <c r="D57" s="2" t="s">
        <v>475</v>
      </c>
      <c r="E57" s="2" t="s">
        <v>480</v>
      </c>
      <c r="F57" s="2" t="s">
        <v>516</v>
      </c>
      <c r="G57" s="2" t="s">
        <v>517</v>
      </c>
    </row>
    <row r="58" spans="1:8" ht="14.5" thickBot="1" x14ac:dyDescent="0.35">
      <c r="A58" s="1">
        <f t="shared" si="5"/>
        <v>57</v>
      </c>
      <c r="B58" s="76" t="s">
        <v>477</v>
      </c>
      <c r="C58" s="76"/>
      <c r="D58" s="3" t="s">
        <v>518</v>
      </c>
      <c r="E58" s="3" t="s">
        <v>519</v>
      </c>
      <c r="F58" s="3" t="s">
        <v>272</v>
      </c>
      <c r="G58" s="3" t="s">
        <v>272</v>
      </c>
    </row>
    <row r="59" spans="1:8" x14ac:dyDescent="0.3">
      <c r="A59" s="1">
        <f t="shared" si="5"/>
        <v>58</v>
      </c>
    </row>
    <row r="60" spans="1:8" x14ac:dyDescent="0.3">
      <c r="A60" s="1">
        <f t="shared" si="5"/>
        <v>59</v>
      </c>
      <c r="B60" t="s">
        <v>520</v>
      </c>
      <c r="D60" s="6">
        <v>17003778</v>
      </c>
      <c r="E60" s="6">
        <v>71253</v>
      </c>
      <c r="F60" s="19">
        <f>ROUND(E60/D60,5)</f>
        <v>4.1900000000000001E-3</v>
      </c>
      <c r="G60" s="21">
        <f>ROUND(F60*12,4)</f>
        <v>5.0299999999999997E-2</v>
      </c>
    </row>
    <row r="61" spans="1:8" x14ac:dyDescent="0.3">
      <c r="A61" s="1">
        <f t="shared" si="5"/>
        <v>60</v>
      </c>
      <c r="D61" s="6"/>
      <c r="E61" s="6"/>
      <c r="F61" s="19"/>
      <c r="G61" s="21"/>
    </row>
    <row r="62" spans="1:8" x14ac:dyDescent="0.3">
      <c r="A62" s="1">
        <f t="shared" si="5"/>
        <v>61</v>
      </c>
      <c r="B62" t="s">
        <v>521</v>
      </c>
      <c r="D62" s="6">
        <v>0</v>
      </c>
      <c r="E62" s="6">
        <v>4340</v>
      </c>
      <c r="F62" s="19">
        <v>0</v>
      </c>
      <c r="G62" s="21">
        <f>ROUND(F62*12,4)</f>
        <v>0</v>
      </c>
    </row>
    <row r="63" spans="1:8" x14ac:dyDescent="0.3">
      <c r="A63" s="1">
        <f t="shared" si="5"/>
        <v>62</v>
      </c>
      <c r="D63" s="6"/>
      <c r="E63" s="6"/>
      <c r="F63" s="19"/>
      <c r="G63" s="21"/>
    </row>
    <row r="64" spans="1:8" x14ac:dyDescent="0.3">
      <c r="A64" s="1">
        <f t="shared" si="5"/>
        <v>63</v>
      </c>
      <c r="B64" t="s">
        <v>522</v>
      </c>
      <c r="D64" s="6">
        <v>65000000</v>
      </c>
      <c r="E64" s="6">
        <v>327473</v>
      </c>
      <c r="F64" s="19">
        <f>ROUND(E64/D64,5)</f>
        <v>5.0400000000000002E-3</v>
      </c>
      <c r="G64" s="21">
        <f>ROUND(F64*12,4)</f>
        <v>6.0499999999999998E-2</v>
      </c>
    </row>
    <row r="65" spans="1:7" x14ac:dyDescent="0.3">
      <c r="A65" s="1">
        <f t="shared" si="5"/>
        <v>64</v>
      </c>
      <c r="D65" s="6"/>
      <c r="E65" s="6"/>
      <c r="F65" s="19"/>
      <c r="G65" s="21"/>
    </row>
    <row r="66" spans="1:7" x14ac:dyDescent="0.3">
      <c r="A66" s="1">
        <f t="shared" si="5"/>
        <v>65</v>
      </c>
      <c r="B66" t="s">
        <v>523</v>
      </c>
      <c r="D66" s="6"/>
      <c r="E66" s="6"/>
      <c r="F66" s="19"/>
      <c r="G66" s="21"/>
    </row>
    <row r="67" spans="1:7" x14ac:dyDescent="0.3">
      <c r="A67" s="1">
        <f t="shared" si="5"/>
        <v>66</v>
      </c>
      <c r="B67" t="s">
        <v>489</v>
      </c>
      <c r="D67" s="6">
        <v>5018750</v>
      </c>
      <c r="E67" s="6">
        <v>18750</v>
      </c>
      <c r="F67" s="19">
        <f t="shared" ref="F67:F69" si="6">ROUND(E67/D67,5)</f>
        <v>3.7399999999999998E-3</v>
      </c>
      <c r="G67" s="21">
        <f t="shared" ref="G67:G69" si="7">ROUND(F67*12,4)</f>
        <v>4.4900000000000002E-2</v>
      </c>
    </row>
    <row r="68" spans="1:7" x14ac:dyDescent="0.3">
      <c r="A68" s="1">
        <f t="shared" si="5"/>
        <v>67</v>
      </c>
      <c r="B68" t="s">
        <v>490</v>
      </c>
      <c r="D68" s="6">
        <v>5525381</v>
      </c>
      <c r="E68" s="6">
        <v>25381</v>
      </c>
      <c r="F68" s="19">
        <f t="shared" si="6"/>
        <v>4.5900000000000003E-3</v>
      </c>
      <c r="G68" s="21">
        <f t="shared" si="7"/>
        <v>5.5100000000000003E-2</v>
      </c>
    </row>
    <row r="69" spans="1:7" x14ac:dyDescent="0.3">
      <c r="A69" s="1">
        <f t="shared" si="5"/>
        <v>68</v>
      </c>
      <c r="B69" t="s">
        <v>491</v>
      </c>
      <c r="D69" s="6">
        <v>4057809</v>
      </c>
      <c r="E69" s="6">
        <v>17057</v>
      </c>
      <c r="F69" s="19">
        <f t="shared" si="6"/>
        <v>4.1999999999999997E-3</v>
      </c>
      <c r="G69" s="21">
        <f t="shared" si="7"/>
        <v>5.04E-2</v>
      </c>
    </row>
    <row r="70" spans="1:7" x14ac:dyDescent="0.3">
      <c r="A70" s="1">
        <f t="shared" si="5"/>
        <v>69</v>
      </c>
      <c r="D70" s="6"/>
      <c r="E70" s="6"/>
      <c r="F70" s="19"/>
      <c r="G70" s="21"/>
    </row>
  </sheetData>
  <mergeCells count="6">
    <mergeCell ref="B8:C8"/>
    <mergeCell ref="B58:C58"/>
    <mergeCell ref="E7:F7"/>
    <mergeCell ref="G7:H7"/>
    <mergeCell ref="B3:I3"/>
    <mergeCell ref="B4:I4"/>
  </mergeCells>
  <pageMargins left="0.7" right="0.7" top="0.75" bottom="0.75" header="0.3" footer="0.3"/>
  <pageSetup scale="63" orientation="portrait" horizontalDpi="300" verticalDpi="300" r:id="rId1"/>
  <rowBreaks count="1" manualBreakCount="1">
    <brk id="4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G57"/>
  <sheetViews>
    <sheetView zoomScale="80" zoomScaleNormal="80" workbookViewId="0">
      <selection activeCell="K53" sqref="K53:K55"/>
    </sheetView>
  </sheetViews>
  <sheetFormatPr defaultColWidth="15.58203125" defaultRowHeight="14" x14ac:dyDescent="0.3"/>
  <cols>
    <col min="1" max="1" width="4.58203125" customWidth="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524</v>
      </c>
    </row>
    <row r="3" spans="1:7" x14ac:dyDescent="0.3">
      <c r="A3" s="1">
        <f t="shared" ref="A3:A57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525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</row>
    <row r="6" spans="1:7" x14ac:dyDescent="0.3">
      <c r="A6" s="1">
        <f t="shared" si="0"/>
        <v>5</v>
      </c>
    </row>
    <row r="7" spans="1:7" x14ac:dyDescent="0.3">
      <c r="A7" s="1">
        <f t="shared" si="0"/>
        <v>6</v>
      </c>
      <c r="B7" t="s">
        <v>526</v>
      </c>
    </row>
    <row r="8" spans="1:7" x14ac:dyDescent="0.3">
      <c r="A8" s="1">
        <f t="shared" si="0"/>
        <v>7</v>
      </c>
      <c r="B8" t="s">
        <v>527</v>
      </c>
    </row>
    <row r="9" spans="1:7" x14ac:dyDescent="0.3">
      <c r="A9" s="1">
        <f t="shared" si="0"/>
        <v>8</v>
      </c>
      <c r="B9" t="s">
        <v>528</v>
      </c>
    </row>
    <row r="10" spans="1:7" x14ac:dyDescent="0.3">
      <c r="A10" s="1">
        <f t="shared" si="0"/>
        <v>9</v>
      </c>
    </row>
    <row r="11" spans="1:7" x14ac:dyDescent="0.3">
      <c r="A11" s="1">
        <f t="shared" si="0"/>
        <v>10</v>
      </c>
    </row>
    <row r="12" spans="1:7" x14ac:dyDescent="0.3">
      <c r="A12" s="1">
        <f t="shared" si="0"/>
        <v>11</v>
      </c>
      <c r="E12" s="2" t="s">
        <v>529</v>
      </c>
    </row>
    <row r="13" spans="1:7" x14ac:dyDescent="0.3">
      <c r="A13" s="1">
        <f t="shared" si="0"/>
        <v>12</v>
      </c>
      <c r="D13" s="2" t="s">
        <v>4</v>
      </c>
      <c r="E13" s="34" t="s">
        <v>11</v>
      </c>
      <c r="F13" s="2" t="s">
        <v>530</v>
      </c>
    </row>
    <row r="14" spans="1:7" ht="14.5" thickBot="1" x14ac:dyDescent="0.35">
      <c r="A14" s="1">
        <f t="shared" si="0"/>
        <v>13</v>
      </c>
      <c r="D14" s="3" t="s">
        <v>274</v>
      </c>
      <c r="E14" s="3" t="s">
        <v>517</v>
      </c>
      <c r="F14" s="3" t="s">
        <v>531</v>
      </c>
    </row>
    <row r="15" spans="1:7" x14ac:dyDescent="0.3">
      <c r="A15" s="1">
        <f t="shared" si="0"/>
        <v>14</v>
      </c>
    </row>
    <row r="16" spans="1:7" ht="14.5" thickBot="1" x14ac:dyDescent="0.35">
      <c r="A16" s="1">
        <f t="shared" si="0"/>
        <v>15</v>
      </c>
      <c r="B16" t="s">
        <v>532</v>
      </c>
      <c r="D16" s="10">
        <v>79829258.650000006</v>
      </c>
      <c r="E16" s="10">
        <v>83642295.140000001</v>
      </c>
      <c r="F16" s="10">
        <f>E16-D16</f>
        <v>3813036.4899999946</v>
      </c>
    </row>
    <row r="17" spans="1:6" ht="14.5" thickTop="1" x14ac:dyDescent="0.3">
      <c r="A17" s="1">
        <f t="shared" si="0"/>
        <v>16</v>
      </c>
      <c r="D17" s="6"/>
      <c r="E17" s="6"/>
      <c r="F17" s="6"/>
    </row>
    <row r="18" spans="1:6" x14ac:dyDescent="0.3">
      <c r="A18" s="1">
        <f t="shared" si="0"/>
        <v>17</v>
      </c>
      <c r="B18" t="s">
        <v>533</v>
      </c>
      <c r="D18" s="6"/>
      <c r="E18" s="6"/>
      <c r="F18" s="6"/>
    </row>
    <row r="19" spans="1:6" x14ac:dyDescent="0.3">
      <c r="A19" s="1">
        <f t="shared" si="0"/>
        <v>18</v>
      </c>
      <c r="B19" t="s">
        <v>534</v>
      </c>
      <c r="D19" s="6">
        <v>3626930.4</v>
      </c>
      <c r="E19" s="6">
        <v>4935914.88</v>
      </c>
      <c r="F19" s="6">
        <f>ROUND(E19-D19,0)</f>
        <v>1308984</v>
      </c>
    </row>
    <row r="20" spans="1:6" x14ac:dyDescent="0.3">
      <c r="A20" s="1">
        <f t="shared" si="0"/>
        <v>19</v>
      </c>
      <c r="B20" t="s">
        <v>535</v>
      </c>
      <c r="D20" s="6">
        <v>1380496.31</v>
      </c>
      <c r="E20" s="6">
        <v>12478.96</v>
      </c>
      <c r="F20" s="6">
        <f t="shared" ref="F20:F38" si="1">ROUND(E20-D20,0)</f>
        <v>-1368017</v>
      </c>
    </row>
    <row r="21" spans="1:6" x14ac:dyDescent="0.3">
      <c r="A21" s="1">
        <f t="shared" si="0"/>
        <v>20</v>
      </c>
      <c r="B21" t="s">
        <v>536</v>
      </c>
      <c r="D21" s="6">
        <v>28103.08</v>
      </c>
      <c r="E21" s="6">
        <v>122357.56</v>
      </c>
      <c r="F21" s="6">
        <f t="shared" si="1"/>
        <v>94254</v>
      </c>
    </row>
    <row r="22" spans="1:6" x14ac:dyDescent="0.3">
      <c r="A22" s="1">
        <f t="shared" si="0"/>
        <v>21</v>
      </c>
      <c r="B22" t="s">
        <v>537</v>
      </c>
      <c r="D22" s="6">
        <v>893121.24</v>
      </c>
      <c r="E22" s="6">
        <v>2660649.16</v>
      </c>
      <c r="F22" s="6">
        <f t="shared" si="1"/>
        <v>1767528</v>
      </c>
    </row>
    <row r="23" spans="1:6" x14ac:dyDescent="0.3">
      <c r="A23" s="1">
        <f t="shared" si="0"/>
        <v>22</v>
      </c>
      <c r="B23" t="s">
        <v>538</v>
      </c>
      <c r="D23" s="6">
        <v>54469.22</v>
      </c>
      <c r="E23" s="6">
        <v>567250.06000000006</v>
      </c>
      <c r="F23" s="6">
        <f t="shared" si="1"/>
        <v>512781</v>
      </c>
    </row>
    <row r="24" spans="1:6" x14ac:dyDescent="0.3">
      <c r="A24" s="1">
        <f t="shared" si="0"/>
        <v>23</v>
      </c>
      <c r="B24" t="s">
        <v>539</v>
      </c>
      <c r="D24" s="6">
        <v>0</v>
      </c>
      <c r="E24" s="6">
        <v>0</v>
      </c>
      <c r="F24" s="6">
        <f t="shared" si="1"/>
        <v>0</v>
      </c>
    </row>
    <row r="25" spans="1:6" x14ac:dyDescent="0.3">
      <c r="A25" s="1">
        <f t="shared" si="0"/>
        <v>24</v>
      </c>
      <c r="B25" t="s">
        <v>540</v>
      </c>
      <c r="D25" s="6">
        <v>0</v>
      </c>
      <c r="E25" s="6">
        <v>0</v>
      </c>
      <c r="F25" s="6">
        <f t="shared" si="1"/>
        <v>0</v>
      </c>
    </row>
    <row r="26" spans="1:6" x14ac:dyDescent="0.3">
      <c r="A26" s="1">
        <f t="shared" si="0"/>
        <v>25</v>
      </c>
      <c r="B26" t="s">
        <v>541</v>
      </c>
      <c r="D26" s="6">
        <v>137956.29</v>
      </c>
      <c r="E26" s="6">
        <v>154315.72</v>
      </c>
      <c r="F26" s="6">
        <f t="shared" si="1"/>
        <v>16359</v>
      </c>
    </row>
    <row r="27" spans="1:6" x14ac:dyDescent="0.3">
      <c r="A27" s="1">
        <f t="shared" si="0"/>
        <v>26</v>
      </c>
      <c r="B27" t="s">
        <v>542</v>
      </c>
      <c r="D27" s="6">
        <v>60707.7</v>
      </c>
      <c r="E27" s="6">
        <v>0</v>
      </c>
      <c r="F27" s="6">
        <f t="shared" si="1"/>
        <v>-60708</v>
      </c>
    </row>
    <row r="28" spans="1:6" x14ac:dyDescent="0.3">
      <c r="A28" s="1">
        <f t="shared" si="0"/>
        <v>27</v>
      </c>
      <c r="B28" t="s">
        <v>543</v>
      </c>
      <c r="D28" s="6">
        <v>36461.879999999997</v>
      </c>
      <c r="E28" s="6">
        <v>41122.9</v>
      </c>
      <c r="F28" s="6">
        <f t="shared" si="1"/>
        <v>4661</v>
      </c>
    </row>
    <row r="29" spans="1:6" x14ac:dyDescent="0.3">
      <c r="A29" s="1">
        <f t="shared" si="0"/>
        <v>28</v>
      </c>
      <c r="B29" t="s">
        <v>544</v>
      </c>
      <c r="D29" s="6">
        <v>0</v>
      </c>
      <c r="E29" s="6">
        <v>0</v>
      </c>
      <c r="F29" s="6">
        <f t="shared" si="1"/>
        <v>0</v>
      </c>
    </row>
    <row r="30" spans="1:6" x14ac:dyDescent="0.3">
      <c r="A30" s="1">
        <f t="shared" si="0"/>
        <v>29</v>
      </c>
      <c r="B30" t="s">
        <v>545</v>
      </c>
      <c r="D30" s="6">
        <v>56890.49</v>
      </c>
      <c r="E30" s="6">
        <v>59371</v>
      </c>
      <c r="F30" s="6">
        <f t="shared" si="1"/>
        <v>2481</v>
      </c>
    </row>
    <row r="31" spans="1:6" x14ac:dyDescent="0.3">
      <c r="A31" s="1">
        <f t="shared" si="0"/>
        <v>30</v>
      </c>
      <c r="B31" t="s">
        <v>546</v>
      </c>
      <c r="D31" s="6">
        <v>3378.67</v>
      </c>
      <c r="E31" s="6">
        <v>0</v>
      </c>
      <c r="F31" s="6">
        <f t="shared" si="1"/>
        <v>-3379</v>
      </c>
    </row>
    <row r="32" spans="1:6" x14ac:dyDescent="0.3">
      <c r="A32" s="1">
        <f t="shared" si="0"/>
        <v>31</v>
      </c>
      <c r="B32" t="s">
        <v>547</v>
      </c>
      <c r="D32" s="6">
        <f>42259949+3891779-2862.49-2572256.53-2501407.46</f>
        <v>41075201.519999996</v>
      </c>
      <c r="E32" s="6">
        <v>39779195.600000001</v>
      </c>
      <c r="F32" s="6">
        <f t="shared" si="1"/>
        <v>-1296006</v>
      </c>
    </row>
    <row r="33" spans="1:7" x14ac:dyDescent="0.3">
      <c r="A33" s="1">
        <f t="shared" si="0"/>
        <v>32</v>
      </c>
      <c r="B33" t="s">
        <v>548</v>
      </c>
      <c r="D33" s="6">
        <v>13849132.029999999</v>
      </c>
      <c r="E33" s="6">
        <v>14329508.439999999</v>
      </c>
      <c r="F33" s="6">
        <f t="shared" si="1"/>
        <v>480376</v>
      </c>
    </row>
    <row r="34" spans="1:7" x14ac:dyDescent="0.3">
      <c r="A34" s="1">
        <f t="shared" si="0"/>
        <v>33</v>
      </c>
      <c r="B34" t="s">
        <v>549</v>
      </c>
      <c r="D34" s="6">
        <v>1230899</v>
      </c>
      <c r="E34" s="6">
        <v>1878727.24</v>
      </c>
      <c r="F34" s="6">
        <f t="shared" si="1"/>
        <v>647828</v>
      </c>
    </row>
    <row r="35" spans="1:7" x14ac:dyDescent="0.3">
      <c r="A35" s="1">
        <f t="shared" si="0"/>
        <v>34</v>
      </c>
      <c r="B35" t="s">
        <v>550</v>
      </c>
      <c r="D35" s="6">
        <v>1892380.5</v>
      </c>
      <c r="E35" s="6">
        <v>2083752.58</v>
      </c>
      <c r="F35" s="6">
        <f t="shared" si="1"/>
        <v>191372</v>
      </c>
    </row>
    <row r="36" spans="1:7" x14ac:dyDescent="0.3">
      <c r="A36" s="1">
        <f t="shared" si="0"/>
        <v>35</v>
      </c>
      <c r="B36" t="s">
        <v>551</v>
      </c>
      <c r="D36" s="6">
        <v>23610.92</v>
      </c>
      <c r="E36" s="6">
        <v>25061.4</v>
      </c>
      <c r="F36" s="6">
        <f t="shared" si="1"/>
        <v>1450</v>
      </c>
    </row>
    <row r="37" spans="1:7" x14ac:dyDescent="0.3">
      <c r="A37" s="1">
        <f t="shared" si="0"/>
        <v>36</v>
      </c>
      <c r="B37" t="s">
        <v>552</v>
      </c>
      <c r="D37" s="6">
        <v>15479519</v>
      </c>
      <c r="E37" s="6">
        <v>16992589.640000001</v>
      </c>
      <c r="F37" s="6">
        <f t="shared" si="1"/>
        <v>1513071</v>
      </c>
    </row>
    <row r="38" spans="1:7" x14ac:dyDescent="0.3">
      <c r="A38" s="1">
        <f t="shared" si="0"/>
        <v>37</v>
      </c>
      <c r="B38" t="s">
        <v>553</v>
      </c>
      <c r="D38" s="8">
        <v>0</v>
      </c>
      <c r="E38" s="8">
        <v>0</v>
      </c>
      <c r="F38" s="8">
        <f t="shared" si="1"/>
        <v>0</v>
      </c>
    </row>
    <row r="39" spans="1:7" x14ac:dyDescent="0.3">
      <c r="A39" s="1">
        <f t="shared" si="0"/>
        <v>38</v>
      </c>
      <c r="D39" s="6"/>
      <c r="E39" s="6"/>
      <c r="F39" s="6"/>
    </row>
    <row r="40" spans="1:7" ht="14.5" thickBot="1" x14ac:dyDescent="0.35">
      <c r="A40" s="1">
        <f t="shared" si="0"/>
        <v>39</v>
      </c>
      <c r="B40" t="s">
        <v>554</v>
      </c>
      <c r="D40" s="10">
        <f>SUM(D19:D38)</f>
        <v>79829258.25</v>
      </c>
      <c r="E40" s="10">
        <f>SUM(E19:E38)</f>
        <v>83642295.140000001</v>
      </c>
      <c r="F40" s="10">
        <f>SUM(F19:F38)</f>
        <v>3813035</v>
      </c>
    </row>
    <row r="41" spans="1:7" ht="14.5" thickTop="1" x14ac:dyDescent="0.3">
      <c r="A41" s="1">
        <f t="shared" si="0"/>
        <v>40</v>
      </c>
      <c r="D41" s="6"/>
      <c r="E41" s="6"/>
      <c r="F41" s="6"/>
    </row>
    <row r="42" spans="1:7" x14ac:dyDescent="0.3">
      <c r="A42" s="1">
        <f t="shared" si="0"/>
        <v>41</v>
      </c>
      <c r="D42" s="6" t="s">
        <v>555</v>
      </c>
      <c r="E42" s="6"/>
      <c r="F42" s="21">
        <f>ROUND(F40/D40,4)</f>
        <v>4.7800000000000002E-2</v>
      </c>
    </row>
    <row r="43" spans="1:7" x14ac:dyDescent="0.3">
      <c r="A43" s="1">
        <f t="shared" si="0"/>
        <v>42</v>
      </c>
      <c r="D43" s="6"/>
      <c r="E43" s="6"/>
      <c r="F43" s="6"/>
    </row>
    <row r="44" spans="1:7" x14ac:dyDescent="0.3">
      <c r="A44" s="1">
        <f t="shared" si="0"/>
        <v>43</v>
      </c>
      <c r="B44" t="s">
        <v>556</v>
      </c>
      <c r="D44" s="6"/>
      <c r="E44" s="6"/>
      <c r="F44" s="6"/>
    </row>
    <row r="45" spans="1:7" x14ac:dyDescent="0.3">
      <c r="A45" s="1">
        <f t="shared" si="0"/>
        <v>44</v>
      </c>
      <c r="D45" s="6"/>
      <c r="E45" s="6"/>
      <c r="F45" s="6"/>
      <c r="G45" s="6"/>
    </row>
    <row r="46" spans="1:7" x14ac:dyDescent="0.3">
      <c r="A46" s="1">
        <f t="shared" si="0"/>
        <v>45</v>
      </c>
      <c r="C46" t="s">
        <v>547</v>
      </c>
      <c r="E46" s="6">
        <f>F32</f>
        <v>-1296006</v>
      </c>
    </row>
    <row r="47" spans="1:7" x14ac:dyDescent="0.3">
      <c r="A47" s="1">
        <f t="shared" si="0"/>
        <v>46</v>
      </c>
      <c r="C47" t="s">
        <v>548</v>
      </c>
      <c r="E47" s="6">
        <f t="shared" ref="E47:E51" si="2">F33</f>
        <v>480376</v>
      </c>
    </row>
    <row r="48" spans="1:7" x14ac:dyDescent="0.3">
      <c r="A48" s="1">
        <f t="shared" si="0"/>
        <v>47</v>
      </c>
      <c r="C48" t="s">
        <v>549</v>
      </c>
      <c r="E48" s="6">
        <f t="shared" si="2"/>
        <v>647828</v>
      </c>
    </row>
    <row r="49" spans="1:6" x14ac:dyDescent="0.3">
      <c r="A49" s="1">
        <f t="shared" si="0"/>
        <v>48</v>
      </c>
      <c r="C49" t="s">
        <v>550</v>
      </c>
      <c r="E49" s="6">
        <f t="shared" si="2"/>
        <v>191372</v>
      </c>
    </row>
    <row r="50" spans="1:6" x14ac:dyDescent="0.3">
      <c r="A50" s="1">
        <f t="shared" si="0"/>
        <v>49</v>
      </c>
      <c r="C50" t="s">
        <v>551</v>
      </c>
      <c r="E50" s="6">
        <f t="shared" si="2"/>
        <v>1450</v>
      </c>
    </row>
    <row r="51" spans="1:6" x14ac:dyDescent="0.3">
      <c r="A51" s="1">
        <f t="shared" si="0"/>
        <v>50</v>
      </c>
      <c r="C51" t="s">
        <v>552</v>
      </c>
      <c r="E51" s="8">
        <f t="shared" si="2"/>
        <v>1513071</v>
      </c>
    </row>
    <row r="52" spans="1:6" x14ac:dyDescent="0.3">
      <c r="A52" s="1">
        <f t="shared" si="0"/>
        <v>51</v>
      </c>
    </row>
    <row r="53" spans="1:6" ht="14.5" thickBot="1" x14ac:dyDescent="0.35">
      <c r="A53" s="1">
        <f t="shared" si="0"/>
        <v>52</v>
      </c>
      <c r="E53" s="10">
        <f>SUM(E46:E51)</f>
        <v>1538091</v>
      </c>
      <c r="F53" s="41">
        <f>E53/SUM(D32:D37)</f>
        <v>2.0911970945383367E-2</v>
      </c>
    </row>
    <row r="54" spans="1:6" ht="14.5" thickTop="1" x14ac:dyDescent="0.3">
      <c r="A54" s="1">
        <f t="shared" si="0"/>
        <v>53</v>
      </c>
    </row>
    <row r="55" spans="1:6" x14ac:dyDescent="0.3">
      <c r="A55" s="1">
        <f t="shared" si="0"/>
        <v>54</v>
      </c>
      <c r="B55" t="s">
        <v>557</v>
      </c>
    </row>
    <row r="56" spans="1:6" x14ac:dyDescent="0.3">
      <c r="A56" s="1">
        <f t="shared" si="0"/>
        <v>55</v>
      </c>
      <c r="B56" t="s">
        <v>558</v>
      </c>
    </row>
    <row r="57" spans="1:6" x14ac:dyDescent="0.3">
      <c r="A57" s="1">
        <f t="shared" si="0"/>
        <v>56</v>
      </c>
    </row>
  </sheetData>
  <mergeCells count="2">
    <mergeCell ref="B3:G3"/>
    <mergeCell ref="B4:G4"/>
  </mergeCells>
  <pageMargins left="0.7" right="0.7" top="0.75" bottom="0.75" header="0.3" footer="0.3"/>
  <pageSetup scale="84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G55"/>
  <sheetViews>
    <sheetView zoomScale="80" zoomScaleNormal="80" workbookViewId="0">
      <selection activeCell="R62" sqref="R62"/>
    </sheetView>
  </sheetViews>
  <sheetFormatPr defaultColWidth="15.58203125" defaultRowHeight="14" x14ac:dyDescent="0.3"/>
  <cols>
    <col min="1" max="1" width="4.58203125" customWidth="1"/>
  </cols>
  <sheetData>
    <row r="1" spans="1:7" x14ac:dyDescent="0.3">
      <c r="A1" s="1">
        <v>0</v>
      </c>
    </row>
    <row r="2" spans="1:7" x14ac:dyDescent="0.3">
      <c r="A2" s="1">
        <f>A1+1</f>
        <v>1</v>
      </c>
      <c r="G2" s="4" t="s">
        <v>559</v>
      </c>
    </row>
    <row r="3" spans="1:7" x14ac:dyDescent="0.3">
      <c r="A3" s="1">
        <f t="shared" ref="A3:A55" si="0">A2+1</f>
        <v>2</v>
      </c>
      <c r="B3" s="72" t="s">
        <v>1</v>
      </c>
      <c r="C3" s="72"/>
      <c r="D3" s="72"/>
      <c r="E3" s="72"/>
      <c r="F3" s="72"/>
      <c r="G3" s="72"/>
    </row>
    <row r="4" spans="1:7" x14ac:dyDescent="0.3">
      <c r="A4" s="1">
        <f t="shared" si="0"/>
        <v>3</v>
      </c>
      <c r="B4" s="72" t="s">
        <v>560</v>
      </c>
      <c r="C4" s="72"/>
      <c r="D4" s="72"/>
      <c r="E4" s="72"/>
      <c r="F4" s="72"/>
      <c r="G4" s="72"/>
    </row>
    <row r="5" spans="1:7" x14ac:dyDescent="0.3">
      <c r="A5" s="1">
        <f t="shared" si="0"/>
        <v>4</v>
      </c>
    </row>
    <row r="6" spans="1:7" x14ac:dyDescent="0.3">
      <c r="A6" s="1">
        <f t="shared" si="0"/>
        <v>5</v>
      </c>
    </row>
    <row r="7" spans="1:7" x14ac:dyDescent="0.3">
      <c r="A7" s="1">
        <f t="shared" si="0"/>
        <v>6</v>
      </c>
      <c r="B7" t="s">
        <v>561</v>
      </c>
    </row>
    <row r="8" spans="1:7" x14ac:dyDescent="0.3">
      <c r="A8" s="1">
        <f t="shared" si="0"/>
        <v>7</v>
      </c>
      <c r="B8" t="s">
        <v>562</v>
      </c>
    </row>
    <row r="9" spans="1:7" x14ac:dyDescent="0.3">
      <c r="A9" s="1">
        <f t="shared" si="0"/>
        <v>8</v>
      </c>
      <c r="B9" t="s">
        <v>563</v>
      </c>
    </row>
    <row r="10" spans="1:7" x14ac:dyDescent="0.3">
      <c r="A10" s="1">
        <f t="shared" si="0"/>
        <v>9</v>
      </c>
    </row>
    <row r="11" spans="1:7" x14ac:dyDescent="0.3">
      <c r="A11" s="1">
        <f t="shared" si="0"/>
        <v>10</v>
      </c>
    </row>
    <row r="12" spans="1:7" x14ac:dyDescent="0.3">
      <c r="A12" s="1">
        <f t="shared" si="0"/>
        <v>11</v>
      </c>
      <c r="E12" s="2" t="s">
        <v>529</v>
      </c>
    </row>
    <row r="13" spans="1:7" x14ac:dyDescent="0.3">
      <c r="A13" s="1">
        <f t="shared" si="0"/>
        <v>12</v>
      </c>
      <c r="D13" s="2" t="s">
        <v>4</v>
      </c>
      <c r="E13" s="34" t="s">
        <v>564</v>
      </c>
      <c r="F13" s="2" t="s">
        <v>530</v>
      </c>
    </row>
    <row r="14" spans="1:7" ht="14.5" thickBot="1" x14ac:dyDescent="0.35">
      <c r="A14" s="1">
        <f t="shared" si="0"/>
        <v>13</v>
      </c>
      <c r="D14" s="3" t="s">
        <v>274</v>
      </c>
      <c r="E14" s="3" t="s">
        <v>517</v>
      </c>
      <c r="F14" s="3" t="s">
        <v>531</v>
      </c>
    </row>
    <row r="15" spans="1:7" x14ac:dyDescent="0.3">
      <c r="A15" s="1">
        <f t="shared" si="0"/>
        <v>14</v>
      </c>
    </row>
    <row r="16" spans="1:7" ht="14.5" thickBot="1" x14ac:dyDescent="0.35">
      <c r="A16" s="1">
        <f t="shared" si="0"/>
        <v>15</v>
      </c>
      <c r="B16" t="s">
        <v>565</v>
      </c>
      <c r="D16" s="10">
        <v>6177231.4759999998</v>
      </c>
      <c r="E16" s="10">
        <v>6252293.7499999991</v>
      </c>
      <c r="F16" s="10">
        <f>E16-D16</f>
        <v>75062.273999999277</v>
      </c>
    </row>
    <row r="17" spans="1:6" ht="14.5" thickTop="1" x14ac:dyDescent="0.3">
      <c r="A17" s="1">
        <f t="shared" si="0"/>
        <v>16</v>
      </c>
      <c r="D17" s="6"/>
      <c r="E17" s="6"/>
      <c r="F17" s="6"/>
    </row>
    <row r="18" spans="1:6" x14ac:dyDescent="0.3">
      <c r="A18" s="1">
        <f t="shared" si="0"/>
        <v>17</v>
      </c>
      <c r="B18" t="s">
        <v>533</v>
      </c>
      <c r="D18" s="6"/>
      <c r="E18" s="6"/>
      <c r="F18" s="6"/>
    </row>
    <row r="19" spans="1:6" x14ac:dyDescent="0.3">
      <c r="A19" s="1">
        <f t="shared" si="0"/>
        <v>18</v>
      </c>
      <c r="B19" t="s">
        <v>534</v>
      </c>
      <c r="D19" s="6">
        <v>261543.08</v>
      </c>
      <c r="E19" s="6">
        <f>19603.9*13</f>
        <v>254850.7</v>
      </c>
      <c r="F19" s="6">
        <f>ROUND(E19-D19,0)</f>
        <v>-6692</v>
      </c>
    </row>
    <row r="20" spans="1:6" x14ac:dyDescent="0.3">
      <c r="A20" s="1">
        <f t="shared" si="0"/>
        <v>19</v>
      </c>
      <c r="B20" t="s">
        <v>535</v>
      </c>
      <c r="D20" s="6">
        <v>99363.29</v>
      </c>
      <c r="E20" s="6">
        <f>8526.79*13</f>
        <v>110848.27000000002</v>
      </c>
      <c r="F20" s="6">
        <f t="shared" ref="F20:F36" si="1">ROUND(E20-D20,0)</f>
        <v>11485</v>
      </c>
    </row>
    <row r="21" spans="1:6" x14ac:dyDescent="0.3">
      <c r="A21" s="1">
        <f t="shared" si="0"/>
        <v>20</v>
      </c>
      <c r="B21" t="s">
        <v>536</v>
      </c>
      <c r="D21" s="6">
        <v>1373.65</v>
      </c>
      <c r="E21" s="6">
        <f>8.08*13</f>
        <v>105.04</v>
      </c>
      <c r="F21" s="6">
        <f t="shared" si="1"/>
        <v>-1269</v>
      </c>
    </row>
    <row r="22" spans="1:6" x14ac:dyDescent="0.3">
      <c r="A22" s="1">
        <f t="shared" si="0"/>
        <v>21</v>
      </c>
      <c r="B22" t="s">
        <v>537</v>
      </c>
      <c r="D22" s="6">
        <f>61495.46-0.005-0.006</f>
        <v>61495.449000000001</v>
      </c>
      <c r="E22" s="6">
        <f>15391.4*13</f>
        <v>200088.19999999998</v>
      </c>
      <c r="F22" s="6">
        <f t="shared" si="1"/>
        <v>138593</v>
      </c>
    </row>
    <row r="23" spans="1:6" x14ac:dyDescent="0.3">
      <c r="A23" s="1">
        <f t="shared" si="0"/>
        <v>22</v>
      </c>
      <c r="B23" t="s">
        <v>538</v>
      </c>
      <c r="D23" s="6">
        <v>4079.09</v>
      </c>
      <c r="E23" s="6">
        <f>(492.01-0.01-0.02-0.01)*13</f>
        <v>6395.6100000000006</v>
      </c>
      <c r="F23" s="6">
        <f t="shared" si="1"/>
        <v>2317</v>
      </c>
    </row>
    <row r="24" spans="1:6" x14ac:dyDescent="0.3">
      <c r="A24" s="1">
        <f t="shared" si="0"/>
        <v>23</v>
      </c>
      <c r="B24" t="s">
        <v>539</v>
      </c>
      <c r="D24" s="6">
        <v>0</v>
      </c>
      <c r="E24" s="6">
        <v>0</v>
      </c>
      <c r="F24" s="6">
        <f t="shared" si="1"/>
        <v>0</v>
      </c>
    </row>
    <row r="25" spans="1:6" x14ac:dyDescent="0.3">
      <c r="A25" s="1">
        <f t="shared" si="0"/>
        <v>24</v>
      </c>
      <c r="B25" t="s">
        <v>541</v>
      </c>
      <c r="D25" s="6">
        <v>10057.98</v>
      </c>
      <c r="E25" s="6">
        <f>485.24*13</f>
        <v>6308.12</v>
      </c>
      <c r="F25" s="6">
        <f t="shared" si="1"/>
        <v>-3750</v>
      </c>
    </row>
    <row r="26" spans="1:6" x14ac:dyDescent="0.3">
      <c r="A26" s="1">
        <f t="shared" si="0"/>
        <v>25</v>
      </c>
      <c r="B26" t="s">
        <v>542</v>
      </c>
      <c r="D26" s="6">
        <v>4425.3100000000004</v>
      </c>
      <c r="E26" s="6">
        <v>0</v>
      </c>
      <c r="F26" s="6">
        <f t="shared" si="1"/>
        <v>-4425</v>
      </c>
    </row>
    <row r="27" spans="1:6" x14ac:dyDescent="0.3">
      <c r="A27" s="1">
        <f t="shared" si="0"/>
        <v>26</v>
      </c>
      <c r="B27" t="s">
        <v>543</v>
      </c>
      <c r="D27" s="6">
        <v>2647.43</v>
      </c>
      <c r="E27" s="6">
        <f>215.68*13</f>
        <v>2803.84</v>
      </c>
      <c r="F27" s="6">
        <f t="shared" si="1"/>
        <v>156</v>
      </c>
    </row>
    <row r="28" spans="1:6" x14ac:dyDescent="0.3">
      <c r="A28" s="1">
        <f t="shared" si="0"/>
        <v>27</v>
      </c>
      <c r="B28" t="s">
        <v>544</v>
      </c>
      <c r="D28" s="6">
        <v>0</v>
      </c>
      <c r="E28" s="6">
        <v>0</v>
      </c>
      <c r="F28" s="6">
        <f t="shared" si="1"/>
        <v>0</v>
      </c>
    </row>
    <row r="29" spans="1:6" x14ac:dyDescent="0.3">
      <c r="A29" s="1">
        <f t="shared" si="0"/>
        <v>28</v>
      </c>
      <c r="B29" t="s">
        <v>545</v>
      </c>
      <c r="D29" s="6">
        <v>4141.13</v>
      </c>
      <c r="E29" s="6">
        <f>307.38*13</f>
        <v>3995.94</v>
      </c>
      <c r="F29" s="6">
        <f t="shared" si="1"/>
        <v>-145</v>
      </c>
    </row>
    <row r="30" spans="1:6" x14ac:dyDescent="0.3">
      <c r="A30" s="1">
        <f t="shared" si="0"/>
        <v>29</v>
      </c>
      <c r="B30" t="s">
        <v>547</v>
      </c>
      <c r="D30" s="6">
        <v>2993607.52</v>
      </c>
      <c r="E30" s="6">
        <v>2871584.11</v>
      </c>
      <c r="F30" s="6">
        <f t="shared" si="1"/>
        <v>-122023</v>
      </c>
    </row>
    <row r="31" spans="1:6" x14ac:dyDescent="0.3">
      <c r="A31" s="1">
        <f t="shared" si="0"/>
        <v>30</v>
      </c>
      <c r="B31" t="s">
        <v>548</v>
      </c>
      <c r="D31" s="6">
        <v>1004533.3400000001</v>
      </c>
      <c r="E31" s="6">
        <v>1039849.7</v>
      </c>
      <c r="F31" s="6">
        <f t="shared" si="1"/>
        <v>35316</v>
      </c>
    </row>
    <row r="32" spans="1:6" x14ac:dyDescent="0.3">
      <c r="A32" s="1">
        <f t="shared" si="0"/>
        <v>31</v>
      </c>
      <c r="B32" t="s">
        <v>549</v>
      </c>
      <c r="D32" s="6">
        <v>89328.5</v>
      </c>
      <c r="E32" s="6">
        <v>149705.76</v>
      </c>
      <c r="F32" s="6">
        <f t="shared" si="1"/>
        <v>60377</v>
      </c>
    </row>
    <row r="33" spans="1:6" x14ac:dyDescent="0.3">
      <c r="A33" s="1">
        <f t="shared" si="0"/>
        <v>32</v>
      </c>
      <c r="B33" t="s">
        <v>550</v>
      </c>
      <c r="D33" s="6">
        <f>133243.83+2274.147</f>
        <v>135517.97699999998</v>
      </c>
      <c r="E33" s="6">
        <v>150217.07999999999</v>
      </c>
      <c r="F33" s="6">
        <f t="shared" si="1"/>
        <v>14699</v>
      </c>
    </row>
    <row r="34" spans="1:6" x14ac:dyDescent="0.3">
      <c r="A34" s="1">
        <f t="shared" si="0"/>
        <v>33</v>
      </c>
      <c r="B34" t="s">
        <v>551</v>
      </c>
      <c r="D34" s="6">
        <f>1715.02</f>
        <v>1715.02</v>
      </c>
      <c r="E34" s="6">
        <v>1803.36</v>
      </c>
      <c r="F34" s="6">
        <f t="shared" si="1"/>
        <v>88</v>
      </c>
    </row>
    <row r="35" spans="1:6" x14ac:dyDescent="0.3">
      <c r="A35" s="1">
        <f t="shared" si="0"/>
        <v>34</v>
      </c>
      <c r="B35" t="s">
        <v>552</v>
      </c>
      <c r="D35" s="6">
        <v>1134683.8400000001</v>
      </c>
      <c r="E35" s="6">
        <v>1241555.1200000001</v>
      </c>
      <c r="F35" s="6">
        <f t="shared" si="1"/>
        <v>106871</v>
      </c>
    </row>
    <row r="36" spans="1:6" x14ac:dyDescent="0.3">
      <c r="A36" s="1">
        <f t="shared" si="0"/>
        <v>35</v>
      </c>
      <c r="B36" t="s">
        <v>553</v>
      </c>
      <c r="D36" s="8">
        <v>0</v>
      </c>
      <c r="E36" s="8">
        <v>0</v>
      </c>
      <c r="F36" s="8">
        <f t="shared" si="1"/>
        <v>0</v>
      </c>
    </row>
    <row r="37" spans="1:6" x14ac:dyDescent="0.3">
      <c r="A37" s="1">
        <f t="shared" si="0"/>
        <v>36</v>
      </c>
      <c r="D37" s="6"/>
      <c r="E37" s="6"/>
      <c r="F37" s="6"/>
    </row>
    <row r="38" spans="1:6" ht="14.5" thickBot="1" x14ac:dyDescent="0.35">
      <c r="A38" s="1">
        <f t="shared" si="0"/>
        <v>37</v>
      </c>
      <c r="B38" t="s">
        <v>554</v>
      </c>
      <c r="D38" s="10">
        <f>SUM(D19:D36)</f>
        <v>5808512.6059999997</v>
      </c>
      <c r="E38" s="10">
        <f>SUM(E19:E36)</f>
        <v>6040110.8499999996</v>
      </c>
      <c r="F38" s="10">
        <f>SUM(F19:F36)</f>
        <v>231598</v>
      </c>
    </row>
    <row r="39" spans="1:6" ht="14.5" thickTop="1" x14ac:dyDescent="0.3">
      <c r="A39" s="1">
        <f t="shared" si="0"/>
        <v>38</v>
      </c>
      <c r="D39" s="6"/>
      <c r="E39" s="6"/>
      <c r="F39" s="6"/>
    </row>
    <row r="40" spans="1:6" x14ac:dyDescent="0.3">
      <c r="A40" s="1">
        <f t="shared" si="0"/>
        <v>39</v>
      </c>
      <c r="D40" s="6" t="s">
        <v>555</v>
      </c>
      <c r="E40" s="6"/>
      <c r="F40" s="21">
        <f>ROUND(F38/D38,4)</f>
        <v>3.9899999999999998E-2</v>
      </c>
    </row>
    <row r="41" spans="1:6" x14ac:dyDescent="0.3">
      <c r="A41" s="1">
        <f t="shared" si="0"/>
        <v>40</v>
      </c>
      <c r="D41" s="6"/>
      <c r="E41" s="6"/>
      <c r="F41" s="6"/>
    </row>
    <row r="42" spans="1:6" x14ac:dyDescent="0.3">
      <c r="A42" s="1">
        <f t="shared" si="0"/>
        <v>41</v>
      </c>
      <c r="B42" t="s">
        <v>556</v>
      </c>
      <c r="D42" s="6"/>
      <c r="E42" s="6"/>
      <c r="F42" s="6"/>
    </row>
    <row r="43" spans="1:6" x14ac:dyDescent="0.3">
      <c r="A43" s="1">
        <f t="shared" si="0"/>
        <v>42</v>
      </c>
      <c r="D43" s="6"/>
      <c r="E43" s="6"/>
      <c r="F43" s="6"/>
    </row>
    <row r="44" spans="1:6" x14ac:dyDescent="0.3">
      <c r="A44" s="1">
        <f t="shared" si="0"/>
        <v>43</v>
      </c>
      <c r="C44" t="s">
        <v>547</v>
      </c>
      <c r="E44" s="6">
        <f>F30</f>
        <v>-122023</v>
      </c>
    </row>
    <row r="45" spans="1:6" x14ac:dyDescent="0.3">
      <c r="A45" s="1">
        <f t="shared" si="0"/>
        <v>44</v>
      </c>
      <c r="C45" t="s">
        <v>548</v>
      </c>
      <c r="E45" s="6">
        <f t="shared" ref="E45:E49" si="2">F31</f>
        <v>35316</v>
      </c>
    </row>
    <row r="46" spans="1:6" x14ac:dyDescent="0.3">
      <c r="A46" s="1">
        <f t="shared" si="0"/>
        <v>45</v>
      </c>
      <c r="C46" t="s">
        <v>549</v>
      </c>
      <c r="E46" s="6">
        <f t="shared" si="2"/>
        <v>60377</v>
      </c>
    </row>
    <row r="47" spans="1:6" x14ac:dyDescent="0.3">
      <c r="A47" s="1">
        <f t="shared" si="0"/>
        <v>46</v>
      </c>
      <c r="C47" t="s">
        <v>550</v>
      </c>
      <c r="E47" s="6">
        <f t="shared" si="2"/>
        <v>14699</v>
      </c>
    </row>
    <row r="48" spans="1:6" x14ac:dyDescent="0.3">
      <c r="A48" s="1">
        <f t="shared" si="0"/>
        <v>47</v>
      </c>
      <c r="C48" t="s">
        <v>551</v>
      </c>
      <c r="E48" s="6">
        <f t="shared" si="2"/>
        <v>88</v>
      </c>
    </row>
    <row r="49" spans="1:6" x14ac:dyDescent="0.3">
      <c r="A49" s="1">
        <f t="shared" si="0"/>
        <v>48</v>
      </c>
      <c r="C49" t="s">
        <v>552</v>
      </c>
      <c r="E49" s="8">
        <f t="shared" si="2"/>
        <v>106871</v>
      </c>
    </row>
    <row r="50" spans="1:6" x14ac:dyDescent="0.3">
      <c r="A50" s="1">
        <f t="shared" si="0"/>
        <v>49</v>
      </c>
    </row>
    <row r="51" spans="1:6" ht="14.5" thickBot="1" x14ac:dyDescent="0.35">
      <c r="A51" s="1">
        <f t="shared" si="0"/>
        <v>50</v>
      </c>
      <c r="E51" s="10">
        <f>SUM(E44:E49)</f>
        <v>95328</v>
      </c>
      <c r="F51" s="41">
        <f>E51/SUM(D30:D35)</f>
        <v>1.7787111526570216E-2</v>
      </c>
    </row>
    <row r="52" spans="1:6" ht="14.5" thickTop="1" x14ac:dyDescent="0.3">
      <c r="A52" s="1">
        <f t="shared" si="0"/>
        <v>51</v>
      </c>
    </row>
    <row r="53" spans="1:6" x14ac:dyDescent="0.3">
      <c r="A53" s="1">
        <f t="shared" si="0"/>
        <v>52</v>
      </c>
      <c r="B53" t="s">
        <v>566</v>
      </c>
    </row>
    <row r="54" spans="1:6" x14ac:dyDescent="0.3">
      <c r="A54" s="1">
        <f t="shared" si="0"/>
        <v>53</v>
      </c>
      <c r="B54" t="s">
        <v>567</v>
      </c>
    </row>
    <row r="55" spans="1:6" x14ac:dyDescent="0.3">
      <c r="A55" s="1">
        <f t="shared" si="0"/>
        <v>54</v>
      </c>
    </row>
  </sheetData>
  <mergeCells count="2">
    <mergeCell ref="B3:G3"/>
    <mergeCell ref="B4:G4"/>
  </mergeCells>
  <pageMargins left="0.7" right="0.7" top="0.75" bottom="0.75" header="0.3" footer="0.3"/>
  <pageSetup scale="84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7" ma:contentTypeDescription="Create a new document." ma:contentTypeScope="" ma:versionID="980b554da23a07fc20832a1dd7bf2e0e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8e4adc7ef244004100da516e020dff9c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Comment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Comment" ma:index="3" nillable="true" ma:displayName="Comment" ma:internalName="Comment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6" nillable="true" ma:displayName="Taxonomy Catch All Column" ma:hidden="true" ma:list="{fc3f6179-9671-476d-b47b-6bb1899845eb}" ma:internalName="TaxCatchAll" ma:readOnly="false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06fcea-541a-49e3-952a-5eaf56d381f3">
      <Terms xmlns="http://schemas.microsoft.com/office/infopath/2007/PartnerControls"/>
    </lcf76f155ced4ddcb4097134ff3c332f>
    <TaxCatchAll xmlns="daea435f-7073-4c60-9060-e78a3a9f8d50" xsi:nil="true"/>
    <Comment xmlns="ae06fcea-541a-49e3-952a-5eaf56d381f3" xsi:nil="true"/>
  </documentManagement>
</p:properties>
</file>

<file path=customXml/itemProps1.xml><?xml version="1.0" encoding="utf-8"?>
<ds:datastoreItem xmlns:ds="http://schemas.openxmlformats.org/officeDocument/2006/customXml" ds:itemID="{4DE808D6-D5BD-48EE-8DE4-B7C567FF90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6fcea-541a-49e3-952a-5eaf56d381f3"/>
    <ds:schemaRef ds:uri="daea435f-7073-4c60-9060-e78a3a9f8d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3CAD5D-9659-4398-B891-7E44D2D7F1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D92646-4A9B-415F-B5C4-2AB21C8DF25A}">
  <ds:schemaRefs>
    <ds:schemaRef ds:uri="http://schemas.microsoft.com/office/2006/metadata/properties"/>
    <ds:schemaRef ds:uri="http://schemas.microsoft.com/office/infopath/2007/PartnerControls"/>
    <ds:schemaRef ds:uri="ae06fcea-541a-49e3-952a-5eaf56d381f3"/>
    <ds:schemaRef ds:uri="daea435f-7073-4c60-9060-e78a3a9f8d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3</vt:i4>
      </vt:variant>
    </vt:vector>
  </HeadingPairs>
  <TitlesOfParts>
    <vt:vector size="35" baseType="lpstr">
      <vt:lpstr>Ex 1 Adjust-Rev Inc</vt:lpstr>
      <vt:lpstr>Sch 1.00 - Summary</vt:lpstr>
      <vt:lpstr>1.01 - FAC</vt:lpstr>
      <vt:lpstr>1.02 - ES</vt:lpstr>
      <vt:lpstr>1.03 - ES Off-System</vt:lpstr>
      <vt:lpstr>1.04 - LTD Interest Expense</vt:lpstr>
      <vt:lpstr>1.05 - Interest Income</vt:lpstr>
      <vt:lpstr>1.06 - Wages Salaries</vt:lpstr>
      <vt:lpstr>1.07 - Payroll Taxes</vt:lpstr>
      <vt:lpstr>1.08 - Med Ins</vt:lpstr>
      <vt:lpstr>1.09 - Benefits</vt:lpstr>
      <vt:lpstr>1.10 - Misc. Employee Benefits</vt:lpstr>
      <vt:lpstr>1.11 - Retiree Med Ins</vt:lpstr>
      <vt:lpstr>1.12 - Advertising</vt:lpstr>
      <vt:lpstr>1.13 - Directors Expenses</vt:lpstr>
      <vt:lpstr>1.14 - 426 Donations</vt:lpstr>
      <vt:lpstr>1.15 - Lobbying</vt:lpstr>
      <vt:lpstr>1.16 - Touchstone</vt:lpstr>
      <vt:lpstr>1.17 - Non-Recur &amp; Other</vt:lpstr>
      <vt:lpstr>1.18 - Depreciation</vt:lpstr>
      <vt:lpstr>1.19 Outage Insurance</vt:lpstr>
      <vt:lpstr>1.20 - Forced Outage &amp; High PP</vt:lpstr>
      <vt:lpstr>1.21 - Insurance Expense</vt:lpstr>
      <vt:lpstr>1.22 - RTEP</vt:lpstr>
      <vt:lpstr>1.23 - Rate Case Expense</vt:lpstr>
      <vt:lpstr>1.24 - Remove WSE Effects</vt:lpstr>
      <vt:lpstr>1.25 - Remove Gen Expense</vt:lpstr>
      <vt:lpstr>1.26 - Generator Maint Amort</vt:lpstr>
      <vt:lpstr>1.27 - Gen Maint Threshold</vt:lpstr>
      <vt:lpstr>1.28 - Remove AROs</vt:lpstr>
      <vt:lpstr>1.29 - PSC Assessment</vt:lpstr>
      <vt:lpstr>1.30 - Revenue Increase</vt:lpstr>
      <vt:lpstr>'1.25 - Remove Gen Expense'!Print_Area</vt:lpstr>
      <vt:lpstr>'1.26 - Generator Maint Amort'!Print_Area</vt:lpstr>
      <vt:lpstr>'1.27 - Gen Maint Threshold'!Print_Area</vt:lpstr>
    </vt:vector>
  </TitlesOfParts>
  <Manager/>
  <Company>East Kentucky Power Cooperative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Isaac Scott</dc:creator>
  <cp:keywords/>
  <dc:description/>
  <cp:lastModifiedBy>Jacob Watson</cp:lastModifiedBy>
  <cp:revision/>
  <dcterms:created xsi:type="dcterms:W3CDTF">2017-04-05T11:43:35Z</dcterms:created>
  <dcterms:modified xsi:type="dcterms:W3CDTF">2025-08-01T16:20:11Z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  <property fmtid="{D5CDD505-2E9C-101B-9397-08002B2CF9AE}" pid="3" name="MediaServiceImageTags">
    <vt:lpwstr/>
  </property>
</Properties>
</file>