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uckley\Desktop\Navitas PGA 063025\"/>
    </mc:Choice>
  </mc:AlternateContent>
  <xr:revisionPtr revIDLastSave="0" documentId="8_{5E927D43-54EA-4B23-B74A-CEAF1B659EE8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Cover Sheet" sheetId="11" r:id="rId1"/>
    <sheet name="Sch I Summary" sheetId="1" r:id="rId2"/>
    <sheet name="Sch II ECG" sheetId="2" r:id="rId3"/>
    <sheet name="Sch IV AA" sheetId="3" r:id="rId4"/>
    <sheet name="Sch V BA" sheetId="8" r:id="rId5"/>
    <sheet name="AA BA Ladder" sheetId="12" r:id="rId6"/>
    <sheet name="Sales" sheetId="13" r:id="rId7"/>
    <sheet name="Purchases" sheetId="14" r:id="rId8"/>
    <sheet name="Sch III Sup. Ref." sheetId="7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W.O.R.K.B.O.O.K..C.O.N.T.E.N.T.S____">'[1]Workbook Contents'!$A$1</definedName>
    <definedName name="_Fill" hidden="1">#REF!</definedName>
    <definedName name="ACT_BEGIN_DATE">'[1]1. MAIN INPUTS'!$F$24</definedName>
    <definedName name="ACT_END_DATE">'[1]1. MAIN INPUTS'!$F$23</definedName>
    <definedName name="AREA">#REF!</definedName>
    <definedName name="BORROW_TEX">#REF!</definedName>
    <definedName name="CarriageTran">'[1]gca T4'!$B$8:$E$98</definedName>
    <definedName name="CASE_CUR">'[1]1. MAIN INPUTS'!$Q$5</definedName>
    <definedName name="CASE_CURRENT">'[1]1. MAIN INPUTS'!$F$5</definedName>
    <definedName name="CASE_PRE">'[1]1. MAIN INPUTS'!$Q$19</definedName>
    <definedName name="CASE_PREVIOUS">'[1]1. MAIN INPUTS'!$J$5</definedName>
    <definedName name="CasePre">'[1]1. MAIN INPUTS'!$F$7</definedName>
    <definedName name="CASH_MON_LABEL">'[1]1. MAIN INPUTS'!$N$20</definedName>
    <definedName name="CASH_OUT_RP">'[1]C.13'!$A$1:$K$37</definedName>
    <definedName name="CASH_YEAR_LABEL">'[1]1. MAIN INPUTS'!$N$22</definedName>
    <definedName name="Cashout">'[2]Pipeline Cashout'!$A$9:$C$140</definedName>
    <definedName name="Cashouts">'[3]tbl Texas'!$A$8:$E$52</definedName>
    <definedName name="CF_Month_1">#REF!</definedName>
    <definedName name="CF_Month_2">#REF!</definedName>
    <definedName name="CF_Month_3">#REF!</definedName>
    <definedName name="CF_SALES">[1]CF!$A$8:$C$97</definedName>
    <definedName name="CONT_2385">'[1]Cont. 2385'!$A$9:$T$10</definedName>
    <definedName name="CONT_2546">'[1]Cont. 2546'!$A$10:$T$13</definedName>
    <definedName name="CONT_2546.1">'[1]Cont. 2546.1'!$A$10:$T$13</definedName>
    <definedName name="CONT_2548">'[1]Cont. 2548'!$A$9:$T$12</definedName>
    <definedName name="CONT_2548.1">'[1]Cont. 2548.1'!$A$9:$T$12</definedName>
    <definedName name="CONT_2550">'[1]Cont. 2550'!$A$9:$T$12</definedName>
    <definedName name="CONT_2550.1">'[1]Cont. 2550.1'!$A$9:$T$12</definedName>
    <definedName name="CONT_2551">'[1]Cont. 2551'!$A$9:$T$12</definedName>
    <definedName name="CONT_2551.1">'[1]Cont. 2551.1'!$A$9:$T$12</definedName>
    <definedName name="CONT_3355">'[1]Cont.3355'!$A$9:$AF$12</definedName>
    <definedName name="CONT_3355.1">'[1]Cont. 3355.1'!$A$9:$AF$11</definedName>
    <definedName name="CONT_3770">'[1]Cont. 3770'!$A$9:$AF$10</definedName>
    <definedName name="CONT_3817">'[1]Cont. 3817'!$A$9:$AF$10</definedName>
    <definedName name="CONT_3819">'[1]Cont. 3819'!$A$9:$AF$10</definedName>
    <definedName name="CONT_NO210">'[1]Cont. NO210'!$A$9:$AF$10</definedName>
    <definedName name="CONT_NO340">'[1]Cont. NO340'!$A$9:$AF$10</definedName>
    <definedName name="CONT_NO410">'[1]Cont. NO435'!$A$9:$AF$10</definedName>
    <definedName name="Cont014573">'[1]Cont. 014573'!$A$10:$T$18</definedName>
    <definedName name="Cont9213">'[1]Cont.9213'!$A$9:$AF$10</definedName>
    <definedName name="content_rp">#REF!</definedName>
    <definedName name="CRIT_SALES_DB">#REF!</definedName>
    <definedName name="CRIT_STORAGE_DB">#REF!</definedName>
    <definedName name="CRIT_TRANS_DB">#REF!</definedName>
    <definedName name="Database_PBR_Savings">#REF!</definedName>
    <definedName name="DatabaseStats">#REF!</definedName>
    <definedName name="DatabaseUsd">#REF!</definedName>
    <definedName name="DATE_ACTUALS">'[1]1. MAIN INPUTS'!$F$23</definedName>
    <definedName name="DATE_CASHOUT">'[1]1. MAIN INPUTS'!$F$18</definedName>
    <definedName name="DATE_CASHOUT_ST">'[1]1. MAIN INPUTS'!$F$21</definedName>
    <definedName name="DATE_CASHOUTS">'[1]1. MAIN INPUTS'!$F$18</definedName>
    <definedName name="DATE_GCA">'[1]1. MAIN INPUTS'!$F$9</definedName>
    <definedName name="DATE_GCA_DAY">'[1]1. MAIN INPUTS'!$R$21</definedName>
    <definedName name="DATE_GCA_LABEL">'[1]1. MAIN INPUTS'!$F$11</definedName>
    <definedName name="DATE_GCA_MONTH">'[1]1. MAIN INPUTS'!$Q$21</definedName>
    <definedName name="DATE_GCA_YEAR">'[1]1. MAIN INPUTS'!$S$21</definedName>
    <definedName name="Date_Issued">'[1]1. MAIN INPUTS'!$F$1</definedName>
    <definedName name="DATE_MON_LABEL">'[1]1. MAIN INPUTS'!$Q$21</definedName>
    <definedName name="DATE_PREVIOUS">'[1]1. MAIN INPUTS'!$J$9</definedName>
    <definedName name="DATE_PROJECTION">'[1]1. MAIN INPUTS'!$F$27</definedName>
    <definedName name="DateEffective">[4]Macros!$D$9</definedName>
    <definedName name="DB_C\T3">'[1]gca T3'!$A$7:$E$11</definedName>
    <definedName name="DB_C\T4">'[1]gca T4'!$A$7:$E$11</definedName>
    <definedName name="DB_G1">'[1]gca G1'!$A$7:$K$11</definedName>
    <definedName name="DB_G2">'[1]gca G2'!$A$7:$K$11</definedName>
    <definedName name="DB_HLF\G1">'[1]gca G1 HLF'!$A$7:$L$11</definedName>
    <definedName name="DB_SALES">#REF!</definedName>
    <definedName name="DB_STORAGE">#REF!</definedName>
    <definedName name="DB_STORAGE_RP">#REF!</definedName>
    <definedName name="DB_T2\G1">'[1]gca T2 G1'!$A$7:$G$11</definedName>
    <definedName name="DB_T2\G2">'[1]gca T2 G2'!$A$7:$G$11</definedName>
    <definedName name="DB_T2\HLF">'[1]gca T2 G1 HLF'!$A$7:$H$11</definedName>
    <definedName name="DB_TRANSPORT">#REF!</definedName>
    <definedName name="DB_TRANSPORT_RP">#REF!</definedName>
    <definedName name="DEMAND_FIRM">[1]B.8!$H$19</definedName>
    <definedName name="DEMAND_HLF">[1]B.8!$J$19</definedName>
    <definedName name="DEMAND_INTER">[1]B.8!$I$19</definedName>
    <definedName name="DolFirm">'[1]gca G1'!$B$8:$K$94</definedName>
    <definedName name="DolInt">'[1]gca G2'!$B$8:$K$98</definedName>
    <definedName name="DolIntTran">'[1]gca T2 G2'!$B$8:$G$98</definedName>
    <definedName name="EffectiveDate">#REF!</definedName>
    <definedName name="EWACOG">'[5]Backup Page'!$J$17</definedName>
    <definedName name="EXHIBIT_A1_RP">[1]A.1!$A$1:$M$63</definedName>
    <definedName name="EXHIBIT_A2_RP">[1]A.2!$A$1:$M$33</definedName>
    <definedName name="EXHIBIT_A3_RP">[1]A.3!$A$1:$L$49</definedName>
    <definedName name="EXHIBIT_A4_RP">[1]A.4!$A$1:$L$26</definedName>
    <definedName name="EXHIBIT_A5_RP">[1]A.5!$A$1:$L$41</definedName>
    <definedName name="EXHIBIT_B1_RP">[1]B.1!$A$1:$K$77</definedName>
    <definedName name="EXHIBIT_B2_RP">[1]B.3!$A$1:$K$38</definedName>
    <definedName name="EXHIBIT_B3_RP">[1]B.4!$A$1:$K$56</definedName>
    <definedName name="EXHIBIT_B4_RP">[1]B.5!$A$1:$I$36</definedName>
    <definedName name="EXHIBIT_B5_RP">[1]B.6!$A$1:$J$48</definedName>
    <definedName name="EXHIBIT_B6_RP">[1]B.8!$A$1:$J$57</definedName>
    <definedName name="EXHIBIT_B7_RP">[1]B.9!$A$1:$J$51</definedName>
    <definedName name="EXHIBIT_B8_RP">[1]B.10!$A$1:$H$48</definedName>
    <definedName name="FirmDemRefFactor">#REF!</definedName>
    <definedName name="FirmRefFactor">#REF!</definedName>
    <definedName name="FirstCell">#REF!</definedName>
    <definedName name="GCA\G2">'[1]gca G2'!$A$8:$K$16</definedName>
    <definedName name="GCA\LVS1">'[1]gca LVS1'!$B$8:$E$13</definedName>
    <definedName name="GCA\LVS2">'[1]gca LVS2'!$B$8:$F$13</definedName>
    <definedName name="GCA_CF_SALES">[1]CF!$B$8:$C$97</definedName>
    <definedName name="GCA_COMMODITY">[1]B.10!$G$50</definedName>
    <definedName name="GCA_DATE">'[1]1. MAIN INPUTS'!$F$9</definedName>
    <definedName name="GCA_DEM_FIRM">[1]B.8!$H$19</definedName>
    <definedName name="GCA_DEM_HLF_MDQ">[1]B.8!$F$57</definedName>
    <definedName name="GCA_DEM_INTER">[1]B.8!$I$19</definedName>
    <definedName name="GCA_DEMAND_FIRM">[1]B.8!$H$19</definedName>
    <definedName name="gca_effect_adate">'[1]1. MAIN INPUTS'!$F$12</definedName>
    <definedName name="GCA_EFFECTIVE">'[1]1. MAIN INPUTS'!$F$9</definedName>
    <definedName name="GCA_G1">'[1]gca G1'!$A$8:$Q$98</definedName>
    <definedName name="GCA_G1_HLF">'[1]gca G1 HLF'!$A$8:$S$98</definedName>
    <definedName name="GCA_G2">'[1]gca G2'!$A$8:$Q$98</definedName>
    <definedName name="gca_lvs1">'[1]gca LVS1'!$A$8:$E$88</definedName>
    <definedName name="GCA_LVS1_HLF">'[1]gca LVS1 HLF'!$A$8:$F$88</definedName>
    <definedName name="gca_lvs2">'[1]gca LVS2'!$A$8:$E$88</definedName>
    <definedName name="GCA_PBRRF">[1]PBRRF!$B$8:$C$52</definedName>
    <definedName name="GCA_REF_SALES">[1]R_Sales!$A$8:$K$108</definedName>
    <definedName name="GCA_REF_TRANSPORT">[1]R_Transport!$A$8:$K$108</definedName>
    <definedName name="GCA_T2_G1">'[1]gca T2 G1'!$A$8:$G$98</definedName>
    <definedName name="GCA_T2_G1_HLF">'[1]gca T2 G1 HLF'!$A$8:$H$98</definedName>
    <definedName name="GCA_T2_G2">'[1]gca T2 G2'!$A$8:$G$98</definedName>
    <definedName name="GCA_T3">'[1]gca T3'!$A$8:$E$98</definedName>
    <definedName name="gca_t4">'[1]gca T4'!$A$8:$E$98</definedName>
    <definedName name="GCA_TOP">[1]B.9!$G$17</definedName>
    <definedName name="GCA_TRANSITION">[1]B.9!$G$18</definedName>
    <definedName name="GCA_YEAR_LABEL">'[1]1. MAIN INPUTS'!$T$21</definedName>
    <definedName name="History">[5]History!$A$12:$N$145</definedName>
    <definedName name="HLF">'[1]gca G1 HLF'!$B$8:$L$98</definedName>
    <definedName name="int_rate">#REF!</definedName>
    <definedName name="InterDemRefFactor">#REF!</definedName>
    <definedName name="InterRefFactor">#REF!</definedName>
    <definedName name="LABEL_12MONTHS">'[1]1. MAIN INPUTS'!$S$23</definedName>
    <definedName name="LABEL_MONTH">'[1]1. MAIN INPUTS'!$S$23</definedName>
    <definedName name="LABEL_YEAR">'[1]1. MAIN INPUTS'!$T$23</definedName>
    <definedName name="LVS_COG">#REF!</definedName>
    <definedName name="LVS_COG_FINAL">#REF!</definedName>
    <definedName name="LVS_COG_PRELIM">#REF!</definedName>
    <definedName name="LVS_EFFECTIVE">'[1]1. MAIN INPUTS'!$J$18</definedName>
    <definedName name="LVS_HLF_NON_COMMODITY">'[1]gca T2 G1 HLF'!$B$8:$H$98</definedName>
    <definedName name="LVS_Non_Commodity">'[1]gca T2 G1'!$B$8:$G$98</definedName>
    <definedName name="LVS2_NON_COMMODITY">'[1]gca T2 G2'!$B$8:$G$98</definedName>
    <definedName name="MarketAdjusted">'[6]C.2'!#REF!</definedName>
    <definedName name="MarketPrice">'[6]C.2'!#REF!</definedName>
    <definedName name="MONTH_1">'[1]1. MAIN INPUTS'!$H$185</definedName>
    <definedName name="MONTH_10">'[1]1. MAIN INPUTS'!$H$194</definedName>
    <definedName name="MONTH_11">'[1]1. MAIN INPUTS'!$H$195</definedName>
    <definedName name="MONTH_12">'[1]1. MAIN INPUTS'!$H$196</definedName>
    <definedName name="MONTH_2">'[1]1. MAIN INPUTS'!$H$186</definedName>
    <definedName name="MONTH_3">'[1]1. MAIN INPUTS'!$H$187</definedName>
    <definedName name="MONTH_4">'[1]1. MAIN INPUTS'!$H$188</definedName>
    <definedName name="MONTH_5">'[1]1. MAIN INPUTS'!$H$189</definedName>
    <definedName name="MONTH_6">'[1]1. MAIN INPUTS'!$H$190</definedName>
    <definedName name="MONTH_7">'[1]1. MAIN INPUTS'!$H$191</definedName>
    <definedName name="MONTH_8">'[1]1. MAIN INPUTS'!$H$192</definedName>
    <definedName name="MONTH_9">'[1]1. MAIN INPUTS'!$H$193</definedName>
    <definedName name="MONTH_NO">'[1]1. MAIN INPUTS'!$Q$23</definedName>
    <definedName name="Month1">#REF!</definedName>
    <definedName name="Month2">#REF!</definedName>
    <definedName name="Month3">#REF!</definedName>
    <definedName name="NA">'[7]Main Inputs'!$C$5</definedName>
    <definedName name="NumberTrueUp">'[5]Additional Backup'!$J$1</definedName>
    <definedName name="OVERVIEW_RP">#REF!</definedName>
    <definedName name="PBRRF">[1]PBRRF!$A$8:$C$52</definedName>
    <definedName name="PriceCommodity">'[6]C.2'!#REF!</definedName>
    <definedName name="PriceCommodityAdjusted">'[6]C.2'!#REF!</definedName>
    <definedName name="_xlnm.Print_Area" localSheetId="7">Purchases!$A$2:$AC$69</definedName>
    <definedName name="_xlnm.Print_Area" localSheetId="1">'Sch I Summary'!$B$1:$J$48</definedName>
    <definedName name="_xlnm.Print_Area" localSheetId="2">'Sch II ECG'!$A$4:$J$51</definedName>
    <definedName name="_xlnm.Print_Area" localSheetId="8">'Sch III Sup. Ref.'!$B$1:$E$20</definedName>
    <definedName name="_xlnm.Print_Area" localSheetId="3">'Sch IV AA'!$A$1:$M$32</definedName>
    <definedName name="Print_Total">#REF!</definedName>
    <definedName name="SALES_DB">#REF!</definedName>
    <definedName name="SEASON">'[1]1. MAIN INPUTS'!$F$13</definedName>
    <definedName name="SecondEffectiveDate">'[5]Additional Backup'!$B$1</definedName>
    <definedName name="SecondTrueUp">'[5]Additional Backup'!$F$35</definedName>
    <definedName name="StatusDraft">'[1]1. MAIN INPUTS'!$F$2</definedName>
    <definedName name="TABLE_SEASON">'[1]1. MAIN INPUTS'!$J$185:$K$196</definedName>
    <definedName name="TB_G1">'[1]G 1'!$A$8:$L$11</definedName>
    <definedName name="TB_G1\HLF">[1]G1_HLF!$A$8:$L$11</definedName>
    <definedName name="TB_G2">'[1]G 2'!$A$8:$L$10</definedName>
    <definedName name="TB_NNS_DEM_2">'[1]NNS demand'!$A$8:$I$48</definedName>
    <definedName name="TB_T2\G1">[1]T2_G1!$A$8:$L$33</definedName>
    <definedName name="TB_T2\G1\HLF">[1]T2_G1_HLF!$A$8:$L$31</definedName>
    <definedName name="TB_T2\G2">[1]T2_G2!$A$8:$L$31</definedName>
    <definedName name="TB_T3">[1]T3!$A$8:$L$32</definedName>
    <definedName name="TB_T4">[1]T4!$A$8:$L$32</definedName>
    <definedName name="tbl_Month">#REF!</definedName>
    <definedName name="tbl_Nymex">#REF!</definedName>
    <definedName name="tbl_TariffRevisions">#REF!</definedName>
    <definedName name="TEN_CASH">'[1]Ten Cash'!$A$9:$B$48</definedName>
    <definedName name="TEN_EST_PUR">'[1]Purchases Ten'!$A$10:$AC$101</definedName>
    <definedName name="TEN_FT_G">'[1]FT G'!$A$9:$P$19</definedName>
    <definedName name="TEN_FT_GS">'[1]FT GS'!$A$8:$V$19</definedName>
    <definedName name="ten_fta">'[1]FT A'!$A$9:$E$22</definedName>
    <definedName name="TEN_FTG">'[1]FT G'!$A$10:$P$27</definedName>
    <definedName name="TEN_FTG_COMMOD">'[1]FT G C'!$A$9:$L$25</definedName>
    <definedName name="TEN_FTG_DEMAND">'[1]FT G'!$A$10:$P$27</definedName>
    <definedName name="TEN_FTGS">'[1]FT GS'!$A$9:$V$29</definedName>
    <definedName name="ten_fuel">[1]Fuel_tenn!$A$10:$F$18</definedName>
    <definedName name="TEN_RES_FEE">#REF!</definedName>
    <definedName name="TEN_SS">'[1]S S'!$A$10:$L$22</definedName>
    <definedName name="TEN_STORAGE">#REF!</definedName>
    <definedName name="TEN_TRANSITION">#REF!</definedName>
    <definedName name="Tenn">[2]Tenn!$A$8:$F$22</definedName>
    <definedName name="test">'[1]gca G1'!$H$1:$I$2</definedName>
    <definedName name="tex_borrow">#REF!</definedName>
    <definedName name="TEX_CASH">'[1]Tex Cash'!$A$10:$B$136</definedName>
    <definedName name="TEX_EST_PUR">'[1]Purchases Tex'!$A$9:$T$100</definedName>
    <definedName name="TEX_FT_COMMOD">'[1]FT commodity'!$A$10:$AF$31</definedName>
    <definedName name="TEX_FT_DEMAND">'[1]FT demand'!$A$10:$AJ$36</definedName>
    <definedName name="TEX_FUEL">[1]Fuel!$A$10:$O$23</definedName>
    <definedName name="TEX_NNS_COMMOD">'[1]NNS commodity'!$A$9:$U$37</definedName>
    <definedName name="TEX_NNS_DEM">'[1]NNS demand'!$A$8:$AA$9</definedName>
    <definedName name="TEX_NNS_DEMAND">'[1]NNS demand'!$A$9:$AA$38</definedName>
    <definedName name="TEX_RES_FEE">'[1]Tex Res'!$A$8:$B$11</definedName>
    <definedName name="TEX_TRANSITION">'[1]Cont. T13687'!#REF!</definedName>
    <definedName name="Texas">[2]Texas!$A$7:$E$37</definedName>
    <definedName name="TexasGasNNS">'[6]C.2'!#REF!</definedName>
    <definedName name="TexasGasNoticePayback">#REF!</definedName>
    <definedName name="TGX_2">[1]B.1!$B$11:$K$21</definedName>
    <definedName name="ThirdEffectiveDate">'[5]Additional Backup'!$B$39</definedName>
    <definedName name="ThirdTrueUp">'[5]Additional Backup'!$F$73</definedName>
    <definedName name="TrueUp">'[5]Backup Page'!$F$31</definedName>
    <definedName name="Trunkline">'[1]Trunk Res Fee'!$A$8:$Q$11</definedName>
    <definedName name="TrunklineCommodity">'[1]Trunk Rates'!$A$9:$F$23</definedName>
    <definedName name="TrunklineGas">'[1]7. Trunkline Gas'!$A$1</definedName>
    <definedName name="TrunklinePurchase">'[1]Purchases Trk'!$A$10:$D$90</definedName>
    <definedName name="TrunkRates">'[1]Trunk Rates'!$A$1</definedName>
    <definedName name="WKG_G1">'[1]G 1'!$B$9:$N$12</definedName>
    <definedName name="WKG_G1\HLF">[1]G1_HLF!$B$9:$N$12</definedName>
    <definedName name="WKG_G2">'[1]G 2'!$B$9:$N$11</definedName>
    <definedName name="WKG_LVS1">'[1]LVS 1'!$B$9:$L$12</definedName>
    <definedName name="WKG_LVS2">'[1]LVS 2'!$B$9:$L$11</definedName>
    <definedName name="WKG_REF_SALES">[1]R_Sales!$A$8:$I$26</definedName>
    <definedName name="WKG_STORAGE">#REF!</definedName>
    <definedName name="WKG_T2\G1">[1]T2_G1!$B$9:$L$12</definedName>
    <definedName name="WKG_T2\G1\HLF">[1]T2_G1_HLF!$B$9:$L$12</definedName>
    <definedName name="WKG_T2\G2">[1]T2_G2!$B$9:$N$11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J45" i="1"/>
  <c r="J38" i="1"/>
  <c r="J37" i="1"/>
  <c r="CU11" i="12"/>
  <c r="J47" i="8"/>
  <c r="G40" i="8"/>
  <c r="BQ5" i="12"/>
  <c r="BS5" i="12"/>
  <c r="BU5" i="12"/>
  <c r="BW5" i="12"/>
  <c r="BY5" i="12"/>
  <c r="CA5" i="12"/>
  <c r="CC5" i="12"/>
  <c r="CE5" i="12"/>
  <c r="CG5" i="12"/>
  <c r="J35" i="8"/>
  <c r="CU16" i="12"/>
  <c r="CU15" i="12"/>
  <c r="CU10" i="12"/>
  <c r="CU9" i="12"/>
  <c r="CS17" i="12"/>
  <c r="CS16" i="12"/>
  <c r="CS11" i="12"/>
  <c r="CS10" i="12"/>
  <c r="CQ17" i="12"/>
  <c r="CQ16" i="12"/>
  <c r="CQ11" i="12"/>
  <c r="CQ10" i="12"/>
  <c r="CO17" i="12"/>
  <c r="CO11" i="12"/>
  <c r="CO10" i="12"/>
  <c r="CM11" i="12"/>
  <c r="CK11" i="12"/>
  <c r="CI11" i="12"/>
  <c r="CO16" i="12"/>
  <c r="CM17" i="12"/>
  <c r="CK17" i="12"/>
  <c r="CI17" i="12"/>
  <c r="CI54" i="12"/>
  <c r="CI1" i="12" s="1"/>
  <c r="CO58" i="12"/>
  <c r="CQ58" i="12" s="1"/>
  <c r="CS58" i="12" s="1"/>
  <c r="CU58" i="12" s="1"/>
  <c r="CW57" i="12"/>
  <c r="CY57" i="12" s="1"/>
  <c r="DA57" i="12" s="1"/>
  <c r="DC57" i="12" s="1"/>
  <c r="DE57" i="12" s="1"/>
  <c r="DG57" i="12" s="1"/>
  <c r="DI57" i="12" s="1"/>
  <c r="DK57" i="12" s="1"/>
  <c r="DM57" i="12" s="1"/>
  <c r="DO57" i="12" s="1"/>
  <c r="DQ57" i="12" s="1"/>
  <c r="CU62" i="12"/>
  <c r="CW62" i="12" s="1"/>
  <c r="CY62" i="12" s="1"/>
  <c r="DA66" i="12"/>
  <c r="DC66" i="12" s="1"/>
  <c r="DE66" i="12" s="1"/>
  <c r="DG66" i="12" s="1"/>
  <c r="DG65" i="12"/>
  <c r="DI65" i="12" s="1"/>
  <c r="DK65" i="12" s="1"/>
  <c r="DM65" i="12" s="1"/>
  <c r="DO65" i="12" s="1"/>
  <c r="DQ65" i="12" s="1"/>
  <c r="DS65" i="12" s="1"/>
  <c r="DU65" i="12" s="1"/>
  <c r="DW65" i="12" s="1"/>
  <c r="DY65" i="12" s="1"/>
  <c r="EA65" i="12" s="1"/>
  <c r="EC65" i="12" s="1"/>
  <c r="DG70" i="12"/>
  <c r="DI70" i="12" s="1"/>
  <c r="DK70" i="12" s="1"/>
  <c r="DM70" i="12" s="1"/>
  <c r="DO70" i="12" s="1"/>
  <c r="DQ70" i="12" s="1"/>
  <c r="DS70" i="12" s="1"/>
  <c r="DU70" i="12" s="1"/>
  <c r="DW70" i="12" s="1"/>
  <c r="DY70" i="12" s="1"/>
  <c r="EA70" i="12" s="1"/>
  <c r="EC70" i="12" s="1"/>
  <c r="EE70" i="12" s="1"/>
  <c r="EG70" i="12" s="1"/>
  <c r="EI70" i="12" s="1"/>
  <c r="DM69" i="12"/>
  <c r="DO69" i="12" s="1"/>
  <c r="DQ69" i="12" s="1"/>
  <c r="DS69" i="12" s="1"/>
  <c r="DU69" i="12" s="1"/>
  <c r="DW69" i="12" s="1"/>
  <c r="DY69" i="12" s="1"/>
  <c r="EA69" i="12" s="1"/>
  <c r="EC69" i="12" s="1"/>
  <c r="EE69" i="12" s="1"/>
  <c r="EG69" i="12" s="1"/>
  <c r="EI69" i="12" s="1"/>
  <c r="CQ53" i="12"/>
  <c r="CS53" i="12" s="1"/>
  <c r="CU53" i="12" s="1"/>
  <c r="CW53" i="12" s="1"/>
  <c r="CY53" i="12" s="1"/>
  <c r="DA53" i="12" s="1"/>
  <c r="DC53" i="12" s="1"/>
  <c r="DE53" i="12" s="1"/>
  <c r="DG53" i="12" s="1"/>
  <c r="DI53" i="12" s="1"/>
  <c r="DK53" i="12" s="1"/>
  <c r="DA49" i="12"/>
  <c r="DC49" i="12" s="1"/>
  <c r="DE49" i="12" s="1"/>
  <c r="CU50" i="12"/>
  <c r="CW50" i="12" s="1"/>
  <c r="CY50" i="12" s="1"/>
  <c r="CY49" i="12"/>
  <c r="CW49" i="12"/>
  <c r="CU49" i="12"/>
  <c r="CS49" i="12"/>
  <c r="CS50" i="12" s="1"/>
  <c r="CQ49" i="12"/>
  <c r="CQ50" i="12" s="1"/>
  <c r="CO49" i="12"/>
  <c r="CO50" i="12" s="1"/>
  <c r="CM49" i="12"/>
  <c r="CM50" i="12" s="1"/>
  <c r="CK49" i="12"/>
  <c r="CK50" i="12" s="1"/>
  <c r="CO74" i="12"/>
  <c r="CQ74" i="12" s="1"/>
  <c r="CQ73" i="12"/>
  <c r="CS73" i="12" s="1"/>
  <c r="CU73" i="12" s="1"/>
  <c r="CW73" i="12" s="1"/>
  <c r="CY73" i="12" s="1"/>
  <c r="DA73" i="12" s="1"/>
  <c r="DC73" i="12" s="1"/>
  <c r="DE73" i="12" s="1"/>
  <c r="DG73" i="12" s="1"/>
  <c r="DI73" i="12" s="1"/>
  <c r="DK73" i="12" s="1"/>
  <c r="DA69" i="12"/>
  <c r="DC69" i="12" s="1"/>
  <c r="DE69" i="12" s="1"/>
  <c r="CU69" i="12"/>
  <c r="CW69" i="12" s="1"/>
  <c r="CY69" i="12" s="1"/>
  <c r="CS69" i="12"/>
  <c r="CS70" i="12" s="1"/>
  <c r="CQ69" i="12"/>
  <c r="CQ70" i="12" s="1"/>
  <c r="CO69" i="12"/>
  <c r="CO70" i="12" s="1"/>
  <c r="CM70" i="12"/>
  <c r="CM69" i="12"/>
  <c r="CK70" i="12"/>
  <c r="CK69" i="12"/>
  <c r="CI70" i="12"/>
  <c r="CI50" i="12"/>
  <c r="CG50" i="12"/>
  <c r="DE5" i="12"/>
  <c r="DG5" i="12"/>
  <c r="DI5" i="12"/>
  <c r="DK5" i="12"/>
  <c r="DC5" i="12"/>
  <c r="DA5" i="12"/>
  <c r="CY5" i="12"/>
  <c r="CW5" i="12"/>
  <c r="CU5" i="12"/>
  <c r="CS5" i="12"/>
  <c r="CQ5" i="12"/>
  <c r="CO5" i="12"/>
  <c r="CM5" i="12"/>
  <c r="CK5" i="12"/>
  <c r="CI5" i="12"/>
  <c r="CW58" i="12" l="1"/>
  <c r="CY58" i="12" s="1"/>
  <c r="DA58" i="12" s="1"/>
  <c r="DC58" i="12" s="1"/>
  <c r="DE58" i="12" s="1"/>
  <c r="DG58" i="12" s="1"/>
  <c r="DI58" i="12" s="1"/>
  <c r="DK58" i="12" s="1"/>
  <c r="DM58" i="12" s="1"/>
  <c r="DO58" i="12" s="1"/>
  <c r="DQ58" i="12" s="1"/>
  <c r="CK54" i="12"/>
  <c r="DA61" i="12"/>
  <c r="DC61" i="12" s="1"/>
  <c r="DE61" i="12" s="1"/>
  <c r="DG61" i="12" s="1"/>
  <c r="DI61" i="12" s="1"/>
  <c r="DK61" i="12" s="1"/>
  <c r="DM61" i="12" s="1"/>
  <c r="DO61" i="12" s="1"/>
  <c r="DQ61" i="12" s="1"/>
  <c r="DS61" i="12" s="1"/>
  <c r="DU61" i="12" s="1"/>
  <c r="DW61" i="12" s="1"/>
  <c r="DI66" i="12"/>
  <c r="DK66" i="12" s="1"/>
  <c r="DM66" i="12" s="1"/>
  <c r="DO66" i="12" s="1"/>
  <c r="DQ66" i="12" s="1"/>
  <c r="DS66" i="12" s="1"/>
  <c r="DU66" i="12" s="1"/>
  <c r="DW66" i="12" s="1"/>
  <c r="DY66" i="12" s="1"/>
  <c r="EA66" i="12" s="1"/>
  <c r="EC66" i="12" s="1"/>
  <c r="DA50" i="12"/>
  <c r="DC50" i="12" s="1"/>
  <c r="DE50" i="12" s="1"/>
  <c r="CS74" i="12"/>
  <c r="CU74" i="12" s="1"/>
  <c r="CW74" i="12" s="1"/>
  <c r="CY74" i="12" s="1"/>
  <c r="DA74" i="12" s="1"/>
  <c r="DC74" i="12" s="1"/>
  <c r="DE74" i="12" s="1"/>
  <c r="DG74" i="12" s="1"/>
  <c r="DI74" i="12" s="1"/>
  <c r="DK74" i="12" s="1"/>
  <c r="DA70" i="12"/>
  <c r="DC70" i="12" s="1"/>
  <c r="DE70" i="12" s="1"/>
  <c r="CU70" i="12"/>
  <c r="CW70" i="12" s="1"/>
  <c r="CY70" i="12" s="1"/>
  <c r="K37" i="2"/>
  <c r="I14" i="3" s="1"/>
  <c r="M37" i="2"/>
  <c r="H14" i="3" s="1"/>
  <c r="O37" i="2"/>
  <c r="G14" i="3" s="1"/>
  <c r="I24" i="3"/>
  <c r="G19" i="3"/>
  <c r="H19" i="3"/>
  <c r="I19" i="3"/>
  <c r="G13" i="3"/>
  <c r="H13" i="3"/>
  <c r="I13" i="3"/>
  <c r="E34" i="2"/>
  <c r="L131" i="14"/>
  <c r="W29" i="2"/>
  <c r="AG29" i="2"/>
  <c r="G32" i="2"/>
  <c r="G33" i="2"/>
  <c r="G24" i="2"/>
  <c r="G23" i="2"/>
  <c r="G19" i="2"/>
  <c r="G18" i="2"/>
  <c r="G17" i="2"/>
  <c r="G16" i="2"/>
  <c r="S22" i="2"/>
  <c r="U22" i="2"/>
  <c r="G22" i="2" s="1"/>
  <c r="G25" i="2" s="1"/>
  <c r="G29" i="2" l="1"/>
  <c r="L19" i="3"/>
  <c r="CM54" i="12"/>
  <c r="CK1" i="12"/>
  <c r="DA62" i="12"/>
  <c r="DC62" i="12" s="1"/>
  <c r="DE62" i="12" s="1"/>
  <c r="DG62" i="12" s="1"/>
  <c r="DI62" i="12" s="1"/>
  <c r="DK62" i="12" s="1"/>
  <c r="DM62" i="12" s="1"/>
  <c r="DO62" i="12" s="1"/>
  <c r="DQ62" i="12" s="1"/>
  <c r="DS62" i="12" s="1"/>
  <c r="DU62" i="12" s="1"/>
  <c r="DW62" i="12" s="1"/>
  <c r="G34" i="2"/>
  <c r="F34" i="2" s="1"/>
  <c r="G20" i="2"/>
  <c r="G26" i="2" s="1"/>
  <c r="CO54" i="12" l="1"/>
  <c r="CQ54" i="12" s="1"/>
  <c r="CS54" i="12" s="1"/>
  <c r="CU54" i="12" s="1"/>
  <c r="CW54" i="12" s="1"/>
  <c r="CY54" i="12" s="1"/>
  <c r="DA54" i="12" s="1"/>
  <c r="DC54" i="12" s="1"/>
  <c r="DE54" i="12" s="1"/>
  <c r="DG54" i="12" s="1"/>
  <c r="DI54" i="12" s="1"/>
  <c r="DK54" i="12" s="1"/>
  <c r="DM74" i="12" s="1"/>
  <c r="CM1" i="12"/>
  <c r="G37" i="2"/>
  <c r="DS73" i="12" l="1"/>
  <c r="DU73" i="12" s="1"/>
  <c r="DW73" i="12" s="1"/>
  <c r="DY73" i="12" s="1"/>
  <c r="EA73" i="12" s="1"/>
  <c r="EC73" i="12" s="1"/>
  <c r="EE73" i="12" s="1"/>
  <c r="EG73" i="12" s="1"/>
  <c r="EI73" i="12" s="1"/>
  <c r="EK73" i="12" s="1"/>
  <c r="EM73" i="12" s="1"/>
  <c r="EO73" i="12" s="1"/>
  <c r="DO74" i="12"/>
  <c r="DQ74" i="12" s="1"/>
  <c r="DS74" i="12" l="1"/>
  <c r="DU74" i="12" s="1"/>
  <c r="DW74" i="12" s="1"/>
  <c r="DY74" i="12" s="1"/>
  <c r="EA74" i="12" s="1"/>
  <c r="EC74" i="12" s="1"/>
  <c r="EE74" i="12" s="1"/>
  <c r="EG74" i="12" s="1"/>
  <c r="EI74" i="12" s="1"/>
  <c r="EK74" i="12" s="1"/>
  <c r="EM74" i="12" s="1"/>
  <c r="EO74" i="12" s="1"/>
  <c r="F45" i="13" l="1"/>
  <c r="AB125" i="14"/>
  <c r="Z125" i="14"/>
  <c r="X125" i="14"/>
  <c r="V125" i="14"/>
  <c r="T125" i="14"/>
  <c r="R125" i="14"/>
  <c r="P125" i="14"/>
  <c r="N125" i="14"/>
  <c r="L125" i="14"/>
  <c r="J125" i="14"/>
  <c r="H125" i="14"/>
  <c r="F125" i="14"/>
  <c r="AB124" i="14"/>
  <c r="Z124" i="14"/>
  <c r="X124" i="14"/>
  <c r="V124" i="14"/>
  <c r="T124" i="14"/>
  <c r="R124" i="14"/>
  <c r="P124" i="14"/>
  <c r="N124" i="14"/>
  <c r="AD111" i="14"/>
  <c r="AD110" i="14"/>
  <c r="AD109" i="14"/>
  <c r="AD103" i="14"/>
  <c r="AD102" i="14"/>
  <c r="AD101" i="14"/>
  <c r="AD100" i="14"/>
  <c r="AD99" i="14"/>
  <c r="AD96" i="14"/>
  <c r="AD95" i="14"/>
  <c r="AD94" i="14"/>
  <c r="AD93" i="14"/>
  <c r="AD92" i="14"/>
  <c r="L86" i="14"/>
  <c r="J86" i="14"/>
  <c r="H86" i="14"/>
  <c r="AB85" i="14"/>
  <c r="Z85" i="14"/>
  <c r="X85" i="14"/>
  <c r="V85" i="14"/>
  <c r="T85" i="14"/>
  <c r="R85" i="14"/>
  <c r="P85" i="14"/>
  <c r="N85" i="14"/>
  <c r="L85" i="14"/>
  <c r="J85" i="14"/>
  <c r="H85" i="14"/>
  <c r="F84" i="13" s="1"/>
  <c r="F90" i="13" s="1"/>
  <c r="AB84" i="14"/>
  <c r="Z84" i="14"/>
  <c r="X84" i="14"/>
  <c r="V84" i="14"/>
  <c r="T84" i="14"/>
  <c r="R84" i="14"/>
  <c r="P84" i="14"/>
  <c r="N84" i="14"/>
  <c r="L84" i="14"/>
  <c r="J84" i="14"/>
  <c r="H84" i="14"/>
  <c r="F84" i="14"/>
  <c r="AB83" i="14"/>
  <c r="Z83" i="14"/>
  <c r="X83" i="14"/>
  <c r="V83" i="14"/>
  <c r="T83" i="14"/>
  <c r="R83" i="14"/>
  <c r="P83" i="14"/>
  <c r="N83" i="14"/>
  <c r="L83" i="14"/>
  <c r="J83" i="14"/>
  <c r="H83" i="14"/>
  <c r="F83" i="14"/>
  <c r="X82" i="14"/>
  <c r="V82" i="14"/>
  <c r="T82" i="14"/>
  <c r="R82" i="14"/>
  <c r="P82" i="14"/>
  <c r="N82" i="14"/>
  <c r="Z81" i="14"/>
  <c r="X81" i="14"/>
  <c r="V81" i="14"/>
  <c r="T81" i="14"/>
  <c r="R81" i="14"/>
  <c r="P81" i="14"/>
  <c r="N81" i="14"/>
  <c r="F77" i="14"/>
  <c r="F86" i="14" s="1"/>
  <c r="F76" i="14"/>
  <c r="F85" i="14" s="1"/>
  <c r="AD75" i="14"/>
  <c r="AD74" i="14"/>
  <c r="AB73" i="14"/>
  <c r="AB82" i="14" s="1"/>
  <c r="Z73" i="14"/>
  <c r="Z82" i="14" s="1"/>
  <c r="L73" i="14"/>
  <c r="L82" i="14" s="1"/>
  <c r="J73" i="14"/>
  <c r="J82" i="14" s="1"/>
  <c r="H73" i="14"/>
  <c r="F73" i="14"/>
  <c r="F82" i="14" s="1"/>
  <c r="AB72" i="14"/>
  <c r="AB81" i="14" s="1"/>
  <c r="AD69" i="14"/>
  <c r="AD68" i="14"/>
  <c r="AD67" i="14"/>
  <c r="AD66" i="14"/>
  <c r="AD65" i="14"/>
  <c r="N47" i="14"/>
  <c r="L47" i="14"/>
  <c r="J47" i="14"/>
  <c r="H47" i="14"/>
  <c r="F47" i="14"/>
  <c r="AB46" i="14"/>
  <c r="Z46" i="14"/>
  <c r="X46" i="14"/>
  <c r="V46" i="14"/>
  <c r="T46" i="14"/>
  <c r="R46" i="14"/>
  <c r="P46" i="14"/>
  <c r="N46" i="14"/>
  <c r="L46" i="14"/>
  <c r="J46" i="14"/>
  <c r="H46" i="14"/>
  <c r="F46" i="14"/>
  <c r="AB45" i="14"/>
  <c r="Z45" i="14"/>
  <c r="X45" i="14"/>
  <c r="V45" i="14"/>
  <c r="T45" i="14"/>
  <c r="R45" i="14"/>
  <c r="P45" i="14"/>
  <c r="N45" i="14"/>
  <c r="H20" i="14"/>
  <c r="H120" i="14" s="1"/>
  <c r="H129" i="14" s="1"/>
  <c r="L50" i="14"/>
  <c r="J50" i="14"/>
  <c r="H50" i="14"/>
  <c r="F50" i="14"/>
  <c r="AB49" i="14"/>
  <c r="Z49" i="14"/>
  <c r="X49" i="14"/>
  <c r="V49" i="14"/>
  <c r="T49" i="14"/>
  <c r="R49" i="14"/>
  <c r="P49" i="14"/>
  <c r="N49" i="14"/>
  <c r="L49" i="14"/>
  <c r="J49" i="14"/>
  <c r="H49" i="14"/>
  <c r="F49" i="14"/>
  <c r="AB48" i="14"/>
  <c r="Z48" i="14"/>
  <c r="X48" i="14"/>
  <c r="V48" i="14"/>
  <c r="T48" i="14"/>
  <c r="R48" i="14"/>
  <c r="P48" i="14"/>
  <c r="N48" i="14"/>
  <c r="L48" i="14"/>
  <c r="J48" i="14"/>
  <c r="H48" i="14"/>
  <c r="F48" i="14"/>
  <c r="AB47" i="14"/>
  <c r="Z47" i="14"/>
  <c r="X47" i="14"/>
  <c r="V47" i="14"/>
  <c r="T47" i="14"/>
  <c r="R47" i="14"/>
  <c r="P47" i="14"/>
  <c r="N90" i="13"/>
  <c r="L59" i="13"/>
  <c r="J59" i="13"/>
  <c r="H59" i="13"/>
  <c r="F59" i="13"/>
  <c r="AB58" i="13"/>
  <c r="Z58" i="13"/>
  <c r="X58" i="13"/>
  <c r="V58" i="13"/>
  <c r="R58" i="13"/>
  <c r="P58" i="13"/>
  <c r="N58" i="13"/>
  <c r="L58" i="13"/>
  <c r="J58" i="13"/>
  <c r="H58" i="13"/>
  <c r="F58" i="13"/>
  <c r="AB57" i="13"/>
  <c r="V57" i="13"/>
  <c r="T57" i="13"/>
  <c r="R57" i="13"/>
  <c r="P57" i="13"/>
  <c r="N57" i="13"/>
  <c r="L57" i="13"/>
  <c r="J57" i="13"/>
  <c r="H57" i="13"/>
  <c r="F57" i="13"/>
  <c r="AB56" i="13"/>
  <c r="Z56" i="13"/>
  <c r="X56" i="13"/>
  <c r="L56" i="13"/>
  <c r="J56" i="13"/>
  <c r="H56" i="13"/>
  <c r="F56" i="13"/>
  <c r="AB55" i="13"/>
  <c r="AB46" i="13"/>
  <c r="L46" i="13"/>
  <c r="J46" i="13"/>
  <c r="H46" i="13"/>
  <c r="F46" i="13"/>
  <c r="AB45" i="13"/>
  <c r="Z45" i="13"/>
  <c r="L45" i="13"/>
  <c r="J45" i="13"/>
  <c r="H45" i="13"/>
  <c r="AD42" i="13"/>
  <c r="Z41" i="13"/>
  <c r="X41" i="13"/>
  <c r="V40" i="13"/>
  <c r="T40" i="13"/>
  <c r="R40" i="13"/>
  <c r="P40" i="13"/>
  <c r="N40" i="13"/>
  <c r="Z39" i="13"/>
  <c r="X39" i="13"/>
  <c r="V39" i="13"/>
  <c r="T39" i="13"/>
  <c r="N39" i="13"/>
  <c r="AD38" i="13"/>
  <c r="AD37" i="13"/>
  <c r="AD36" i="13"/>
  <c r="AD35" i="13"/>
  <c r="AD34" i="13"/>
  <c r="AB31" i="13"/>
  <c r="L31" i="13"/>
  <c r="J31" i="13"/>
  <c r="H31" i="13"/>
  <c r="F31" i="13"/>
  <c r="AB30" i="13"/>
  <c r="Z30" i="13"/>
  <c r="L30" i="13"/>
  <c r="J30" i="13"/>
  <c r="H30" i="13"/>
  <c r="F30" i="13"/>
  <c r="AD27" i="13"/>
  <c r="Z26" i="13"/>
  <c r="X26" i="13"/>
  <c r="V25" i="13"/>
  <c r="T25" i="13"/>
  <c r="R25" i="13"/>
  <c r="P25" i="13"/>
  <c r="Z24" i="13"/>
  <c r="X24" i="13"/>
  <c r="V24" i="13"/>
  <c r="T24" i="13"/>
  <c r="N24" i="13"/>
  <c r="AD23" i="13"/>
  <c r="AD22" i="13"/>
  <c r="AD21" i="13"/>
  <c r="AD20" i="13"/>
  <c r="AD19" i="13"/>
  <c r="T12" i="13"/>
  <c r="Z11" i="13"/>
  <c r="X11" i="13"/>
  <c r="V10" i="13"/>
  <c r="T10" i="13"/>
  <c r="R10" i="13"/>
  <c r="P10" i="13"/>
  <c r="Z9" i="13"/>
  <c r="X9" i="13"/>
  <c r="V9" i="13"/>
  <c r="T9" i="13"/>
  <c r="R9" i="13"/>
  <c r="P9" i="13"/>
  <c r="P55" i="13" s="1"/>
  <c r="N9" i="13"/>
  <c r="L9" i="13"/>
  <c r="J9" i="13"/>
  <c r="H9" i="13"/>
  <c r="F9" i="13"/>
  <c r="AB8" i="13"/>
  <c r="Z8" i="13"/>
  <c r="Z54" i="13" s="1"/>
  <c r="X8" i="13"/>
  <c r="V8" i="13"/>
  <c r="V54" i="13" s="1"/>
  <c r="T8" i="13"/>
  <c r="R8" i="13"/>
  <c r="R54" i="13" s="1"/>
  <c r="P8" i="13"/>
  <c r="P54" i="13" s="1"/>
  <c r="N8" i="13"/>
  <c r="N16" i="13" s="1"/>
  <c r="L8" i="13"/>
  <c r="J8" i="13"/>
  <c r="H8" i="13"/>
  <c r="H16" i="13" s="1"/>
  <c r="F8" i="13"/>
  <c r="AB7" i="13"/>
  <c r="Z7" i="13"/>
  <c r="AD7" i="13" s="1"/>
  <c r="AD6" i="13"/>
  <c r="AD5" i="13"/>
  <c r="AD4" i="13"/>
  <c r="L13" i="3"/>
  <c r="L88" i="14" l="1"/>
  <c r="E29" i="2" s="1"/>
  <c r="F29" i="2" s="1"/>
  <c r="AD76" i="14"/>
  <c r="AD73" i="14"/>
  <c r="R21" i="14"/>
  <c r="R29" i="14" s="1"/>
  <c r="R54" i="14" s="1"/>
  <c r="R135" i="14" s="1"/>
  <c r="F22" i="14"/>
  <c r="F30" i="14" s="1"/>
  <c r="F55" i="14" s="1"/>
  <c r="F136" i="14" s="1"/>
  <c r="P22" i="14"/>
  <c r="P30" i="14" s="1"/>
  <c r="P55" i="14" s="1"/>
  <c r="P136" i="14" s="1"/>
  <c r="Z22" i="14"/>
  <c r="Z30" i="14" s="1"/>
  <c r="Z55" i="14" s="1"/>
  <c r="N23" i="14"/>
  <c r="N31" i="14" s="1"/>
  <c r="N56" i="14" s="1"/>
  <c r="X23" i="14"/>
  <c r="X31" i="14" s="1"/>
  <c r="X56" i="14" s="1"/>
  <c r="J24" i="14"/>
  <c r="Z24" i="14"/>
  <c r="Z32" i="14" s="1"/>
  <c r="Z57" i="14" s="1"/>
  <c r="R25" i="14"/>
  <c r="R33" i="14" s="1"/>
  <c r="R58" i="14" s="1"/>
  <c r="J26" i="14"/>
  <c r="J34" i="14" s="1"/>
  <c r="J59" i="14" s="1"/>
  <c r="V21" i="14"/>
  <c r="V29" i="14" s="1"/>
  <c r="H22" i="14"/>
  <c r="H30" i="14" s="1"/>
  <c r="H55" i="14" s="1"/>
  <c r="R22" i="14"/>
  <c r="R30" i="14" s="1"/>
  <c r="R55" i="14" s="1"/>
  <c r="R136" i="14" s="1"/>
  <c r="F23" i="14"/>
  <c r="F31" i="14" s="1"/>
  <c r="P23" i="14"/>
  <c r="P31" i="14" s="1"/>
  <c r="Z23" i="14"/>
  <c r="Z31" i="14" s="1"/>
  <c r="Z56" i="14" s="1"/>
  <c r="P24" i="14"/>
  <c r="P32" i="14" s="1"/>
  <c r="P57" i="14" s="1"/>
  <c r="P138" i="14" s="1"/>
  <c r="H25" i="14"/>
  <c r="H33" i="14" s="1"/>
  <c r="H58" i="14" s="1"/>
  <c r="X25" i="14"/>
  <c r="V82" i="13"/>
  <c r="V88" i="13" s="1"/>
  <c r="H84" i="13"/>
  <c r="H90" i="13" s="1"/>
  <c r="AB117" i="14"/>
  <c r="AB126" i="14" s="1"/>
  <c r="T119" i="14"/>
  <c r="T128" i="14" s="1"/>
  <c r="N117" i="14"/>
  <c r="N126" i="14" s="1"/>
  <c r="F119" i="14"/>
  <c r="F128" i="14" s="1"/>
  <c r="J120" i="14"/>
  <c r="J129" i="14" s="1"/>
  <c r="P56" i="14"/>
  <c r="N21" i="14"/>
  <c r="N29" i="14" s="1"/>
  <c r="N54" i="14" s="1"/>
  <c r="N135" i="14" s="1"/>
  <c r="X21" i="14"/>
  <c r="X29" i="14" s="1"/>
  <c r="X54" i="14" s="1"/>
  <c r="X135" i="14" s="1"/>
  <c r="J22" i="14"/>
  <c r="J30" i="14" s="1"/>
  <c r="V22" i="14"/>
  <c r="V30" i="14" s="1"/>
  <c r="H23" i="14"/>
  <c r="H31" i="14" s="1"/>
  <c r="H56" i="14" s="1"/>
  <c r="R23" i="14"/>
  <c r="R31" i="14" s="1"/>
  <c r="R56" i="14" s="1"/>
  <c r="F24" i="14"/>
  <c r="R24" i="14"/>
  <c r="R32" i="14" s="1"/>
  <c r="R57" i="14" s="1"/>
  <c r="J25" i="14"/>
  <c r="J33" i="14" s="1"/>
  <c r="J58" i="14" s="1"/>
  <c r="Z25" i="14"/>
  <c r="Z33" i="14" s="1"/>
  <c r="Z58" i="14" s="1"/>
  <c r="J84" i="13"/>
  <c r="J90" i="13" s="1"/>
  <c r="P118" i="14"/>
  <c r="P127" i="14" s="1"/>
  <c r="V119" i="14"/>
  <c r="V128" i="14" s="1"/>
  <c r="P21" i="14"/>
  <c r="P29" i="14" s="1"/>
  <c r="P54" i="14" s="1"/>
  <c r="P135" i="14" s="1"/>
  <c r="Z21" i="14"/>
  <c r="Z29" i="14" s="1"/>
  <c r="N22" i="14"/>
  <c r="N30" i="14" s="1"/>
  <c r="N55" i="14" s="1"/>
  <c r="N136" i="14" s="1"/>
  <c r="X22" i="14"/>
  <c r="X30" i="14" s="1"/>
  <c r="X55" i="14" s="1"/>
  <c r="X136" i="14" s="1"/>
  <c r="J23" i="14"/>
  <c r="J31" i="14" s="1"/>
  <c r="J56" i="14" s="1"/>
  <c r="V23" i="14"/>
  <c r="V31" i="14" s="1"/>
  <c r="H24" i="14"/>
  <c r="H32" i="14" s="1"/>
  <c r="H57" i="14" s="1"/>
  <c r="X24" i="14"/>
  <c r="X32" i="14" s="1"/>
  <c r="X57" i="14" s="1"/>
  <c r="P25" i="14"/>
  <c r="P33" i="14" s="1"/>
  <c r="P58" i="14" s="1"/>
  <c r="H26" i="14"/>
  <c r="H34" i="14" s="1"/>
  <c r="H59" i="14" s="1"/>
  <c r="H140" i="14" s="1"/>
  <c r="AB83" i="13"/>
  <c r="AB89" i="13" s="1"/>
  <c r="Z83" i="13"/>
  <c r="Z89" i="13" s="1"/>
  <c r="L84" i="13"/>
  <c r="L90" i="13" s="1"/>
  <c r="L117" i="14"/>
  <c r="L126" i="14" s="1"/>
  <c r="R118" i="14"/>
  <c r="R127" i="14" s="1"/>
  <c r="T46" i="13"/>
  <c r="X16" i="13"/>
  <c r="P46" i="13"/>
  <c r="N45" i="13"/>
  <c r="P30" i="13"/>
  <c r="T81" i="13"/>
  <c r="T87" i="13" s="1"/>
  <c r="X55" i="13"/>
  <c r="R15" i="13"/>
  <c r="X54" i="13"/>
  <c r="R56" i="13"/>
  <c r="V16" i="13"/>
  <c r="P82" i="13"/>
  <c r="P88" i="13" s="1"/>
  <c r="X83" i="13"/>
  <c r="X89" i="13" s="1"/>
  <c r="V55" i="13"/>
  <c r="J81" i="13"/>
  <c r="J87" i="13" s="1"/>
  <c r="H81" i="13"/>
  <c r="H87" i="13" s="1"/>
  <c r="L81" i="13"/>
  <c r="L87" i="13" s="1"/>
  <c r="X81" i="13"/>
  <c r="X87" i="13" s="1"/>
  <c r="T82" i="13"/>
  <c r="T88" i="13" s="1"/>
  <c r="V31" i="13"/>
  <c r="Z46" i="13"/>
  <c r="N46" i="13"/>
  <c r="N31" i="13"/>
  <c r="N15" i="13"/>
  <c r="Z15" i="13"/>
  <c r="V81" i="13"/>
  <c r="V87" i="13" s="1"/>
  <c r="R82" i="13"/>
  <c r="R88" i="13" s="1"/>
  <c r="R31" i="13"/>
  <c r="H55" i="13"/>
  <c r="P56" i="13"/>
  <c r="N30" i="13"/>
  <c r="L55" i="13"/>
  <c r="L16" i="13"/>
  <c r="L48" i="13" s="1"/>
  <c r="L51" i="13" s="1"/>
  <c r="T31" i="13"/>
  <c r="R81" i="13"/>
  <c r="R87" i="13" s="1"/>
  <c r="P81" i="13"/>
  <c r="P87" i="13" s="1"/>
  <c r="N81" i="13"/>
  <c r="N87" i="13" s="1"/>
  <c r="J82" i="13"/>
  <c r="J88" i="13" s="1"/>
  <c r="Z81" i="13"/>
  <c r="Z87" i="13" s="1"/>
  <c r="F82" i="13"/>
  <c r="L82" i="13"/>
  <c r="L88" i="13" s="1"/>
  <c r="H82" i="13"/>
  <c r="H88" i="13" s="1"/>
  <c r="N82" i="13"/>
  <c r="N88" i="13" s="1"/>
  <c r="AB81" i="13"/>
  <c r="AB87" i="13" s="1"/>
  <c r="T83" i="13"/>
  <c r="T89" i="13" s="1"/>
  <c r="R83" i="13"/>
  <c r="R89" i="13" s="1"/>
  <c r="J83" i="13"/>
  <c r="J89" i="13" s="1"/>
  <c r="Z82" i="13"/>
  <c r="Z88" i="13" s="1"/>
  <c r="AB82" i="13"/>
  <c r="AB88" i="13" s="1"/>
  <c r="P83" i="13"/>
  <c r="P89" i="13" s="1"/>
  <c r="H83" i="13"/>
  <c r="H89" i="13" s="1"/>
  <c r="X82" i="13"/>
  <c r="X88" i="13" s="1"/>
  <c r="L83" i="13"/>
  <c r="L89" i="13" s="1"/>
  <c r="V83" i="13"/>
  <c r="V89" i="13" s="1"/>
  <c r="N83" i="13"/>
  <c r="N89" i="13" s="1"/>
  <c r="F83" i="13"/>
  <c r="F89" i="13" s="1"/>
  <c r="X31" i="13"/>
  <c r="Z54" i="14"/>
  <c r="Z135" i="14" s="1"/>
  <c r="J55" i="14"/>
  <c r="J136" i="14" s="1"/>
  <c r="V56" i="14"/>
  <c r="AD49" i="14"/>
  <c r="X33" i="14"/>
  <c r="X58" i="14" s="1"/>
  <c r="F32" i="14"/>
  <c r="F57" i="14" s="1"/>
  <c r="V54" i="14"/>
  <c r="V135" i="14" s="1"/>
  <c r="AD45" i="14"/>
  <c r="H82" i="14"/>
  <c r="F81" i="13" s="1"/>
  <c r="F87" i="13" s="1"/>
  <c r="AD48" i="14"/>
  <c r="J32" i="14"/>
  <c r="J57" i="14" s="1"/>
  <c r="F120" i="14"/>
  <c r="F129" i="14" s="1"/>
  <c r="Z119" i="14"/>
  <c r="Z128" i="14" s="1"/>
  <c r="R119" i="14"/>
  <c r="R128" i="14" s="1"/>
  <c r="J119" i="14"/>
  <c r="J128" i="14" s="1"/>
  <c r="V118" i="14"/>
  <c r="V127" i="14" s="1"/>
  <c r="N118" i="14"/>
  <c r="N127" i="14" s="1"/>
  <c r="F118" i="14"/>
  <c r="Z117" i="14"/>
  <c r="Z126" i="14" s="1"/>
  <c r="R117" i="14"/>
  <c r="R126" i="14" s="1"/>
  <c r="J117" i="14"/>
  <c r="J126" i="14" s="1"/>
  <c r="L120" i="14"/>
  <c r="L129" i="14" s="1"/>
  <c r="X119" i="14"/>
  <c r="X128" i="14" s="1"/>
  <c r="P119" i="14"/>
  <c r="P128" i="14" s="1"/>
  <c r="H119" i="14"/>
  <c r="H128" i="14" s="1"/>
  <c r="AB118" i="14"/>
  <c r="AB127" i="14" s="1"/>
  <c r="T118" i="14"/>
  <c r="T127" i="14" s="1"/>
  <c r="L118" i="14"/>
  <c r="L127" i="14" s="1"/>
  <c r="X117" i="14"/>
  <c r="X126" i="14" s="1"/>
  <c r="P117" i="14"/>
  <c r="P126" i="14" s="1"/>
  <c r="H117" i="14"/>
  <c r="H126" i="14" s="1"/>
  <c r="T21" i="14"/>
  <c r="T29" i="14" s="1"/>
  <c r="T54" i="14" s="1"/>
  <c r="T135" i="14" s="1"/>
  <c r="AB21" i="14"/>
  <c r="AB29" i="14" s="1"/>
  <c r="AB54" i="14" s="1"/>
  <c r="AB135" i="14" s="1"/>
  <c r="L22" i="14"/>
  <c r="L30" i="14" s="1"/>
  <c r="T22" i="14"/>
  <c r="T30" i="14" s="1"/>
  <c r="T55" i="14" s="1"/>
  <c r="T136" i="14" s="1"/>
  <c r="AB22" i="14"/>
  <c r="AB30" i="14" s="1"/>
  <c r="AB55" i="14" s="1"/>
  <c r="AB136" i="14" s="1"/>
  <c r="L23" i="14"/>
  <c r="L31" i="14" s="1"/>
  <c r="L56" i="14" s="1"/>
  <c r="L137" i="14" s="1"/>
  <c r="T23" i="14"/>
  <c r="T31" i="14" s="1"/>
  <c r="T56" i="14" s="1"/>
  <c r="AB23" i="14"/>
  <c r="AB31" i="14" s="1"/>
  <c r="AB56" i="14" s="1"/>
  <c r="L24" i="14"/>
  <c r="L32" i="14" s="1"/>
  <c r="L57" i="14" s="1"/>
  <c r="T24" i="14"/>
  <c r="T32" i="14" s="1"/>
  <c r="T57" i="14" s="1"/>
  <c r="AB24" i="14"/>
  <c r="AB32" i="14" s="1"/>
  <c r="AB57" i="14" s="1"/>
  <c r="L25" i="14"/>
  <c r="L33" i="14" s="1"/>
  <c r="L58" i="14" s="1"/>
  <c r="T25" i="14"/>
  <c r="T33" i="14" s="1"/>
  <c r="T58" i="14" s="1"/>
  <c r="T139" i="14" s="1"/>
  <c r="AB25" i="14"/>
  <c r="AB33" i="14" s="1"/>
  <c r="AB58" i="14" s="1"/>
  <c r="L26" i="14"/>
  <c r="L34" i="14" s="1"/>
  <c r="L59" i="14" s="1"/>
  <c r="V55" i="14"/>
  <c r="V136" i="14" s="1"/>
  <c r="F56" i="14"/>
  <c r="AD47" i="14"/>
  <c r="AD72" i="14"/>
  <c r="T117" i="14"/>
  <c r="T126" i="14" s="1"/>
  <c r="H118" i="14"/>
  <c r="H127" i="14" s="1"/>
  <c r="X118" i="14"/>
  <c r="X127" i="14" s="1"/>
  <c r="L119" i="14"/>
  <c r="L128" i="14" s="1"/>
  <c r="AB119" i="14"/>
  <c r="AB128" i="14" s="1"/>
  <c r="N24" i="14"/>
  <c r="N32" i="14" s="1"/>
  <c r="N57" i="14" s="1"/>
  <c r="V24" i="14"/>
  <c r="V32" i="14" s="1"/>
  <c r="V57" i="14" s="1"/>
  <c r="F25" i="14"/>
  <c r="F33" i="14" s="1"/>
  <c r="F58" i="14" s="1"/>
  <c r="N25" i="14"/>
  <c r="N33" i="14" s="1"/>
  <c r="N58" i="14" s="1"/>
  <c r="V25" i="14"/>
  <c r="V33" i="14" s="1"/>
  <c r="V58" i="14" s="1"/>
  <c r="F26" i="14"/>
  <c r="F34" i="14" s="1"/>
  <c r="F59" i="14" s="1"/>
  <c r="F117" i="14"/>
  <c r="V117" i="14"/>
  <c r="V126" i="14" s="1"/>
  <c r="J118" i="14"/>
  <c r="J127" i="14" s="1"/>
  <c r="Z118" i="14"/>
  <c r="Z127" i="14" s="1"/>
  <c r="N119" i="14"/>
  <c r="N128" i="14" s="1"/>
  <c r="AD46" i="14"/>
  <c r="J55" i="13"/>
  <c r="R55" i="13"/>
  <c r="J16" i="13"/>
  <c r="AD24" i="13"/>
  <c r="T54" i="13"/>
  <c r="T16" i="13"/>
  <c r="V15" i="13"/>
  <c r="T45" i="13"/>
  <c r="P45" i="13"/>
  <c r="T58" i="13"/>
  <c r="AB15" i="13"/>
  <c r="L15" i="13"/>
  <c r="AD12" i="13"/>
  <c r="H15" i="13"/>
  <c r="W30" i="13"/>
  <c r="N56" i="13"/>
  <c r="AD40" i="13"/>
  <c r="AB54" i="13"/>
  <c r="AB16" i="13"/>
  <c r="AD10" i="13"/>
  <c r="F15" i="13"/>
  <c r="Z16" i="13"/>
  <c r="F88" i="13"/>
  <c r="P31" i="13"/>
  <c r="AD25" i="13"/>
  <c r="V46" i="13"/>
  <c r="AD8" i="13"/>
  <c r="F55" i="13"/>
  <c r="AD9" i="13"/>
  <c r="Z55" i="13"/>
  <c r="J15" i="13"/>
  <c r="R45" i="13"/>
  <c r="H48" i="13"/>
  <c r="H49" i="13" s="1"/>
  <c r="P16" i="13"/>
  <c r="T56" i="13"/>
  <c r="X15" i="13"/>
  <c r="F16" i="13"/>
  <c r="R16" i="13"/>
  <c r="X30" i="13"/>
  <c r="R30" i="13"/>
  <c r="AD26" i="13"/>
  <c r="T30" i="13"/>
  <c r="Z31" i="13"/>
  <c r="N55" i="13"/>
  <c r="AD39" i="13"/>
  <c r="AD41" i="13"/>
  <c r="V45" i="13"/>
  <c r="R46" i="13"/>
  <c r="Z57" i="13"/>
  <c r="V56" i="13"/>
  <c r="AD11" i="13"/>
  <c r="P15" i="13"/>
  <c r="V30" i="13"/>
  <c r="T55" i="13"/>
  <c r="X45" i="13"/>
  <c r="X57" i="13"/>
  <c r="T15" i="13"/>
  <c r="X46" i="13"/>
  <c r="L27" i="3"/>
  <c r="X138" i="14" l="1"/>
  <c r="F139" i="14"/>
  <c r="P137" i="14"/>
  <c r="Z96" i="13"/>
  <c r="Z102" i="13" s="1"/>
  <c r="J140" i="14"/>
  <c r="F75" i="13"/>
  <c r="R139" i="14"/>
  <c r="L96" i="13"/>
  <c r="L102" i="13" s="1"/>
  <c r="X96" i="13"/>
  <c r="X102" i="13" s="1"/>
  <c r="J96" i="13"/>
  <c r="J102" i="13" s="1"/>
  <c r="R137" i="14"/>
  <c r="T96" i="13"/>
  <c r="T102" i="13" s="1"/>
  <c r="R138" i="14"/>
  <c r="X75" i="13"/>
  <c r="R75" i="13"/>
  <c r="AB75" i="13"/>
  <c r="H96" i="13"/>
  <c r="H102" i="13" s="1"/>
  <c r="L61" i="14"/>
  <c r="E26" i="2" s="1"/>
  <c r="AB137" i="14"/>
  <c r="N96" i="13"/>
  <c r="N102" i="13" s="1"/>
  <c r="V76" i="13"/>
  <c r="X76" i="13"/>
  <c r="Z136" i="14"/>
  <c r="X74" i="13"/>
  <c r="V74" i="13"/>
  <c r="L77" i="13"/>
  <c r="F76" i="13"/>
  <c r="N75" i="13"/>
  <c r="H77" i="13"/>
  <c r="J77" i="13"/>
  <c r="AB74" i="13"/>
  <c r="Z76" i="13"/>
  <c r="T76" i="13"/>
  <c r="R76" i="13"/>
  <c r="F77" i="13"/>
  <c r="T75" i="13"/>
  <c r="L76" i="13"/>
  <c r="J76" i="13"/>
  <c r="J75" i="13"/>
  <c r="P75" i="13"/>
  <c r="F96" i="13"/>
  <c r="F102" i="13" s="1"/>
  <c r="P96" i="13"/>
  <c r="P102" i="13" s="1"/>
  <c r="V139" i="14"/>
  <c r="J97" i="13"/>
  <c r="J103" i="13" s="1"/>
  <c r="X137" i="14"/>
  <c r="F97" i="13"/>
  <c r="F103" i="13" s="1"/>
  <c r="J137" i="14"/>
  <c r="N76" i="13"/>
  <c r="P76" i="13"/>
  <c r="R74" i="13"/>
  <c r="AB76" i="13"/>
  <c r="T74" i="13"/>
  <c r="V96" i="13"/>
  <c r="V102" i="13" s="1"/>
  <c r="R96" i="13"/>
  <c r="R102" i="13" s="1"/>
  <c r="L74" i="13"/>
  <c r="V75" i="13"/>
  <c r="H76" i="13"/>
  <c r="H75" i="13"/>
  <c r="AD119" i="14"/>
  <c r="L75" i="13"/>
  <c r="L97" i="13"/>
  <c r="L103" i="13" s="1"/>
  <c r="N137" i="14"/>
  <c r="Z137" i="14"/>
  <c r="H97" i="13"/>
  <c r="H103" i="13" s="1"/>
  <c r="Z75" i="13"/>
  <c r="Z74" i="13"/>
  <c r="N74" i="13"/>
  <c r="P74" i="13"/>
  <c r="AB96" i="13"/>
  <c r="AB102" i="13" s="1"/>
  <c r="L50" i="13"/>
  <c r="L49" i="13"/>
  <c r="AD57" i="13"/>
  <c r="V48" i="13"/>
  <c r="V49" i="13" s="1"/>
  <c r="AD46" i="13"/>
  <c r="X48" i="13"/>
  <c r="X49" i="13" s="1"/>
  <c r="AD31" i="13"/>
  <c r="J61" i="13"/>
  <c r="AD56" i="13"/>
  <c r="AD55" i="13"/>
  <c r="V137" i="14"/>
  <c r="T138" i="14"/>
  <c r="J139" i="14"/>
  <c r="AD30" i="14"/>
  <c r="H136" i="14"/>
  <c r="AB139" i="14"/>
  <c r="H137" i="14"/>
  <c r="X139" i="14"/>
  <c r="N139" i="14"/>
  <c r="L139" i="14"/>
  <c r="L140" i="14"/>
  <c r="F127" i="14"/>
  <c r="T95" i="13" s="1"/>
  <c r="T101" i="13" s="1"/>
  <c r="AD118" i="14"/>
  <c r="Z138" i="14"/>
  <c r="H139" i="14"/>
  <c r="N138" i="14"/>
  <c r="Z139" i="14"/>
  <c r="AD32" i="14"/>
  <c r="AD31" i="14"/>
  <c r="L55" i="14"/>
  <c r="F74" i="13" s="1"/>
  <c r="AD29" i="14"/>
  <c r="T137" i="14"/>
  <c r="F126" i="14"/>
  <c r="AD117" i="14"/>
  <c r="AB138" i="14"/>
  <c r="J138" i="14"/>
  <c r="AD33" i="14"/>
  <c r="AD135" i="14"/>
  <c r="AE72" i="14" s="1"/>
  <c r="H138" i="14"/>
  <c r="L138" i="14"/>
  <c r="P139" i="14"/>
  <c r="V138" i="14"/>
  <c r="F140" i="14"/>
  <c r="N61" i="13"/>
  <c r="L61" i="13"/>
  <c r="C40" i="2" s="1"/>
  <c r="AD58" i="13"/>
  <c r="T48" i="13"/>
  <c r="T49" i="13" s="1"/>
  <c r="Z61" i="13"/>
  <c r="X61" i="13"/>
  <c r="P48" i="13"/>
  <c r="P51" i="13" s="1"/>
  <c r="AB48" i="13"/>
  <c r="R61" i="13"/>
  <c r="J48" i="13"/>
  <c r="H61" i="13"/>
  <c r="V61" i="13"/>
  <c r="T61" i="13"/>
  <c r="R48" i="13"/>
  <c r="R50" i="13" s="1"/>
  <c r="Z48" i="13"/>
  <c r="Z51" i="13" s="1"/>
  <c r="F61" i="13"/>
  <c r="P61" i="13"/>
  <c r="F48" i="13"/>
  <c r="F49" i="13" s="1"/>
  <c r="AD16" i="13"/>
  <c r="H51" i="13"/>
  <c r="H50" i="13"/>
  <c r="AB61" i="13"/>
  <c r="N48" i="13"/>
  <c r="N49" i="13" s="1"/>
  <c r="E14" i="7"/>
  <c r="J41" i="8"/>
  <c r="J43" i="8" s="1"/>
  <c r="J30" i="8"/>
  <c r="J32" i="8" s="1"/>
  <c r="J19" i="8"/>
  <c r="J21" i="8" s="1"/>
  <c r="E12" i="7"/>
  <c r="G15" i="3"/>
  <c r="H15" i="3"/>
  <c r="H16" i="3" s="1"/>
  <c r="H18" i="3" s="1"/>
  <c r="H20" i="3" s="1"/>
  <c r="I15" i="3"/>
  <c r="I16" i="3" s="1"/>
  <c r="I18" i="3" s="1"/>
  <c r="I20" i="3" s="1"/>
  <c r="J23" i="1"/>
  <c r="T68" i="13" l="1"/>
  <c r="L68" i="13"/>
  <c r="H69" i="13"/>
  <c r="J68" i="13"/>
  <c r="H68" i="13"/>
  <c r="V68" i="13"/>
  <c r="J69" i="13"/>
  <c r="R142" i="14"/>
  <c r="R62" i="13" s="1"/>
  <c r="R95" i="13"/>
  <c r="R101" i="13" s="1"/>
  <c r="F69" i="13"/>
  <c r="N95" i="13"/>
  <c r="N101" i="13" s="1"/>
  <c r="F68" i="13"/>
  <c r="Z68" i="13"/>
  <c r="L69" i="13"/>
  <c r="F26" i="2"/>
  <c r="E37" i="2"/>
  <c r="F37" i="2" s="1"/>
  <c r="X68" i="13"/>
  <c r="R68" i="13"/>
  <c r="F138" i="14"/>
  <c r="AD138" i="14" s="1"/>
  <c r="AE57" i="13" s="1"/>
  <c r="AF57" i="13" s="1"/>
  <c r="Z95" i="13"/>
  <c r="Z101" i="13" s="1"/>
  <c r="AB95" i="13"/>
  <c r="AB101" i="13" s="1"/>
  <c r="AB68" i="13"/>
  <c r="X95" i="13"/>
  <c r="X101" i="13" s="1"/>
  <c r="V95" i="13"/>
  <c r="V101" i="13" s="1"/>
  <c r="J95" i="13"/>
  <c r="J101" i="13" s="1"/>
  <c r="N68" i="13"/>
  <c r="L136" i="14"/>
  <c r="J74" i="13"/>
  <c r="F137" i="14"/>
  <c r="L94" i="13"/>
  <c r="L100" i="13" s="1"/>
  <c r="V94" i="13"/>
  <c r="V100" i="13" s="1"/>
  <c r="J94" i="13"/>
  <c r="J100" i="13" s="1"/>
  <c r="P94" i="13"/>
  <c r="P100" i="13" s="1"/>
  <c r="Z94" i="13"/>
  <c r="Z100" i="13" s="1"/>
  <c r="H94" i="13"/>
  <c r="H100" i="13" s="1"/>
  <c r="AB94" i="13"/>
  <c r="AB100" i="13" s="1"/>
  <c r="R94" i="13"/>
  <c r="R100" i="13" s="1"/>
  <c r="F94" i="13"/>
  <c r="F100" i="13" s="1"/>
  <c r="T94" i="13"/>
  <c r="T100" i="13" s="1"/>
  <c r="N94" i="13"/>
  <c r="N100" i="13" s="1"/>
  <c r="X94" i="13"/>
  <c r="X100" i="13" s="1"/>
  <c r="F142" i="14"/>
  <c r="F62" i="13" s="1"/>
  <c r="P68" i="13"/>
  <c r="H95" i="13"/>
  <c r="H101" i="13" s="1"/>
  <c r="L95" i="13"/>
  <c r="L101" i="13" s="1"/>
  <c r="P95" i="13"/>
  <c r="P101" i="13" s="1"/>
  <c r="F95" i="13"/>
  <c r="F101" i="13" s="1"/>
  <c r="H74" i="13"/>
  <c r="V50" i="13"/>
  <c r="R49" i="13"/>
  <c r="X51" i="13"/>
  <c r="X50" i="13"/>
  <c r="V51" i="13"/>
  <c r="R51" i="13"/>
  <c r="P49" i="13"/>
  <c r="N50" i="13"/>
  <c r="Z142" i="14"/>
  <c r="Z62" i="13" s="1"/>
  <c r="AE29" i="14"/>
  <c r="P142" i="14"/>
  <c r="P62" i="13" s="1"/>
  <c r="L142" i="14"/>
  <c r="H142" i="14"/>
  <c r="H62" i="13" s="1"/>
  <c r="V142" i="14"/>
  <c r="V62" i="13" s="1"/>
  <c r="AD139" i="14"/>
  <c r="AE58" i="13" s="1"/>
  <c r="AF58" i="13" s="1"/>
  <c r="N142" i="14"/>
  <c r="N62" i="13" s="1"/>
  <c r="T142" i="14"/>
  <c r="T62" i="13" s="1"/>
  <c r="AE115" i="14"/>
  <c r="AE65" i="14"/>
  <c r="AE92" i="14"/>
  <c r="AE99" i="14"/>
  <c r="AE45" i="14"/>
  <c r="X142" i="14"/>
  <c r="X62" i="13" s="1"/>
  <c r="J142" i="14"/>
  <c r="J62" i="13" s="1"/>
  <c r="AB142" i="14"/>
  <c r="AB62" i="13" s="1"/>
  <c r="Z50" i="13"/>
  <c r="J51" i="13"/>
  <c r="J50" i="13"/>
  <c r="AB50" i="13"/>
  <c r="AB51" i="13"/>
  <c r="AD48" i="13"/>
  <c r="AD49" i="13" s="1"/>
  <c r="F51" i="13"/>
  <c r="F50" i="13"/>
  <c r="AB49" i="13"/>
  <c r="Z49" i="13"/>
  <c r="J49" i="13"/>
  <c r="N51" i="13"/>
  <c r="T50" i="13"/>
  <c r="T51" i="13"/>
  <c r="G16" i="3"/>
  <c r="G18" i="3" s="1"/>
  <c r="G20" i="3" s="1"/>
  <c r="I23" i="3" s="1"/>
  <c r="G27" i="3"/>
  <c r="J28" i="1"/>
  <c r="J32" i="1" s="1"/>
  <c r="J11" i="1" s="1"/>
  <c r="G43" i="2"/>
  <c r="J45" i="8"/>
  <c r="J49" i="8" s="1"/>
  <c r="J44" i="1" s="1"/>
  <c r="J48" i="1" s="1"/>
  <c r="J13" i="1" s="1"/>
  <c r="I25" i="3" l="1"/>
  <c r="CM78" i="12"/>
  <c r="CO78" i="12" s="1"/>
  <c r="CQ78" i="12" s="1"/>
  <c r="CS78" i="12" s="1"/>
  <c r="P67" i="13"/>
  <c r="R67" i="13"/>
  <c r="L66" i="13"/>
  <c r="P66" i="13"/>
  <c r="V66" i="13"/>
  <c r="T66" i="13"/>
  <c r="X66" i="13"/>
  <c r="Z66" i="13"/>
  <c r="N66" i="13"/>
  <c r="AB66" i="13"/>
  <c r="R66" i="13"/>
  <c r="AB67" i="13"/>
  <c r="Z67" i="13"/>
  <c r="X67" i="13"/>
  <c r="T67" i="13"/>
  <c r="J67" i="13"/>
  <c r="L67" i="13"/>
  <c r="F39" i="2"/>
  <c r="L62" i="13"/>
  <c r="AD136" i="14"/>
  <c r="H66" i="13"/>
  <c r="F66" i="13"/>
  <c r="J66" i="13"/>
  <c r="AD137" i="14"/>
  <c r="AE67" i="14" s="1"/>
  <c r="V67" i="13"/>
  <c r="H67" i="13"/>
  <c r="N67" i="13"/>
  <c r="F67" i="13"/>
  <c r="AE69" i="14"/>
  <c r="AE68" i="14"/>
  <c r="AE102" i="14"/>
  <c r="AE95" i="14"/>
  <c r="AE75" i="14"/>
  <c r="AE48" i="14"/>
  <c r="AE118" i="14"/>
  <c r="AE32" i="14"/>
  <c r="AE76" i="14"/>
  <c r="AE96" i="14"/>
  <c r="AE103" i="14"/>
  <c r="AE119" i="14"/>
  <c r="AE49" i="14"/>
  <c r="AE33" i="14"/>
  <c r="AD51" i="13"/>
  <c r="AD50" i="13"/>
  <c r="J36" i="1" l="1"/>
  <c r="J40" i="1" s="1"/>
  <c r="J12" i="1" s="1"/>
  <c r="CU77" i="12"/>
  <c r="AE94" i="14"/>
  <c r="AE47" i="14"/>
  <c r="AE117" i="14"/>
  <c r="AE56" i="13"/>
  <c r="AF56" i="13" s="1"/>
  <c r="AE31" i="14"/>
  <c r="G46" i="2"/>
  <c r="G44" i="2"/>
  <c r="G45" i="2" s="1"/>
  <c r="G47" i="2" s="1"/>
  <c r="J22" i="1" s="1"/>
  <c r="J24" i="1" s="1"/>
  <c r="J10" i="1" s="1"/>
  <c r="E40" i="2"/>
  <c r="AE101" i="14"/>
  <c r="AE55" i="13"/>
  <c r="AF55" i="13" s="1"/>
  <c r="AE116" i="14"/>
  <c r="AE93" i="14"/>
  <c r="AE100" i="14"/>
  <c r="AE30" i="14"/>
  <c r="AE66" i="14"/>
  <c r="AE46" i="14"/>
  <c r="AE73" i="14"/>
  <c r="AE74" i="14"/>
  <c r="CU78" i="12" l="1"/>
  <c r="CU17" i="12"/>
  <c r="CW77" i="12"/>
  <c r="CY77" i="12" s="1"/>
  <c r="DA77" i="12" s="1"/>
  <c r="DC77" i="12" s="1"/>
  <c r="DE77" i="12" s="1"/>
  <c r="DG77" i="12" s="1"/>
  <c r="DI77" i="12" s="1"/>
  <c r="DK77" i="12" s="1"/>
  <c r="DM77" i="12" s="1"/>
  <c r="DO77" i="12" s="1"/>
  <c r="DQ77" i="12" s="1"/>
  <c r="J14" i="1"/>
  <c r="CW78" i="12" l="1"/>
  <c r="CY78" i="12" s="1"/>
  <c r="DA78" i="12" s="1"/>
  <c r="DC78" i="12" s="1"/>
  <c r="DE78" i="12" s="1"/>
  <c r="DG78" i="12" s="1"/>
  <c r="DI78" i="12" s="1"/>
  <c r="DK78" i="12" s="1"/>
  <c r="DM78" i="12" s="1"/>
  <c r="DO78" i="12" s="1"/>
  <c r="DQ78" i="12" s="1"/>
  <c r="DS78" i="12" s="1"/>
  <c r="DU78" i="12" s="1"/>
  <c r="DW78" i="12" s="1"/>
  <c r="DY77" i="12" l="1"/>
  <c r="EA77" i="12" s="1"/>
  <c r="EC77" i="12" s="1"/>
  <c r="EE77" i="12" s="1"/>
  <c r="EG77" i="12" s="1"/>
  <c r="EI77" i="12" s="1"/>
  <c r="EK77" i="12" s="1"/>
  <c r="EM77" i="12" s="1"/>
  <c r="EO77" i="12" s="1"/>
  <c r="EQ77" i="12" s="1"/>
  <c r="ES77" i="12" s="1"/>
  <c r="EU77" i="12" s="1"/>
  <c r="DY78" i="12"/>
  <c r="EA78" i="12" s="1"/>
  <c r="EC78" i="12" s="1"/>
  <c r="EE78" i="12" s="1"/>
  <c r="EG78" i="12" s="1"/>
  <c r="EI78" i="12" s="1"/>
  <c r="EK78" i="12" s="1"/>
  <c r="EM78" i="12" s="1"/>
  <c r="EO78" i="12" s="1"/>
  <c r="EQ78" i="12" s="1"/>
  <c r="ES78" i="12" s="1"/>
  <c r="EU78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Hartline</author>
  </authors>
  <commentList>
    <comment ref="AG57" authorId="0" shapeId="0" xr:uid="{5B6410E3-6DDC-4003-838B-018E14F5172C}">
      <text>
        <r>
          <rPr>
            <sz val="9"/>
            <color indexed="81"/>
            <rFont val="Tahoma"/>
            <family val="2"/>
          </rPr>
          <t>Matches Sparta data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Loving</author>
  </authors>
  <commentList>
    <comment ref="C20" authorId="0" shapeId="0" xr:uid="{EC24402A-545A-4497-A5BA-525D42AE30BC}">
      <text>
        <r>
          <rPr>
            <b/>
            <sz val="9"/>
            <color indexed="81"/>
            <rFont val="Tahoma"/>
            <family val="2"/>
          </rPr>
          <t>Julie Loving:</t>
        </r>
        <r>
          <rPr>
            <sz val="9"/>
            <color indexed="81"/>
            <rFont val="Tahoma"/>
            <family val="2"/>
          </rPr>
          <t xml:space="preserve">
Copy the previous cell formula</t>
        </r>
      </text>
    </comment>
    <comment ref="C28" authorId="0" shapeId="0" xr:uid="{8CC5D9AD-C0A8-45F0-9E4A-BE066E5711BD}">
      <text>
        <r>
          <rPr>
            <b/>
            <sz val="9"/>
            <color indexed="81"/>
            <rFont val="Tahoma"/>
            <family val="2"/>
          </rPr>
          <t>Julie Loving:</t>
        </r>
        <r>
          <rPr>
            <sz val="9"/>
            <color indexed="81"/>
            <rFont val="Tahoma"/>
            <family val="2"/>
          </rPr>
          <t xml:space="preserve">
Copy the previous cell formula</t>
        </r>
      </text>
    </comment>
    <comment ref="C114" authorId="0" shapeId="0" xr:uid="{2E1FFC1A-05CB-427E-8B31-DEBAEBAA54AC}">
      <text>
        <r>
          <rPr>
            <b/>
            <sz val="9"/>
            <color indexed="81"/>
            <rFont val="Tahoma"/>
            <family val="2"/>
          </rPr>
          <t>Julie Loving:</t>
        </r>
        <r>
          <rPr>
            <sz val="9"/>
            <color indexed="81"/>
            <rFont val="Tahoma"/>
            <family val="2"/>
          </rPr>
          <t xml:space="preserve">
Copy the previous cell formula</t>
        </r>
      </text>
    </comment>
  </commentList>
</comments>
</file>

<file path=xl/sharedStrings.xml><?xml version="1.0" encoding="utf-8"?>
<sst xmlns="http://schemas.openxmlformats.org/spreadsheetml/2006/main" count="344" uniqueCount="232">
  <si>
    <t>SCHEDULE I</t>
  </si>
  <si>
    <t>GAS COST RECOVERY RATE SUMMARY</t>
  </si>
  <si>
    <t>Component</t>
  </si>
  <si>
    <t>Unit</t>
  </si>
  <si>
    <t>Amount</t>
  </si>
  <si>
    <t>$/Mcf</t>
  </si>
  <si>
    <t>Refund Adjustment (RA)</t>
  </si>
  <si>
    <t>Actual Adjustment (AA)</t>
  </si>
  <si>
    <t>Balance Adjustment (BA)</t>
  </si>
  <si>
    <t>Gas Cost Recovery Rate (GCR)</t>
  </si>
  <si>
    <t>A. EXPECTED GAS COST CALCULATION</t>
  </si>
  <si>
    <t>Total Expected Gas Cost (Sch II)</t>
  </si>
  <si>
    <t>Expected Gas Cost</t>
  </si>
  <si>
    <t>B. REFUND ADJUSTMENT CALCULATION</t>
  </si>
  <si>
    <t>Supplier Refund Adjustment for Reporting Period (Sch III)</t>
  </si>
  <si>
    <t>+Previous Quarter Supplier Refund Adjustment</t>
  </si>
  <si>
    <t>+Second Previous Quarter Supplier Refund Adjustment</t>
  </si>
  <si>
    <t>+Third Previous Quarter Supplier Refund Adjustment</t>
  </si>
  <si>
    <t>=Refund Adjustment (RA)</t>
  </si>
  <si>
    <t>$ Mcf</t>
  </si>
  <si>
    <t>C. ACTUAL ADJUSTMENT CALCULATION</t>
  </si>
  <si>
    <t>Actual Adjustment for the Reporting Period (Sch IV)</t>
  </si>
  <si>
    <t>+Previous Quarter Reported Actual Adjustment</t>
  </si>
  <si>
    <t>+Second Previous Quarter Reported Actual Adjustment</t>
  </si>
  <si>
    <t>+Third Previous Quarter Reported Actual Adjustment</t>
  </si>
  <si>
    <t>=Actual Adjustment (AA)</t>
  </si>
  <si>
    <t>D. BALANCE ADJUSTMENT CALCULATION</t>
  </si>
  <si>
    <t>Balance Adjustment for the Reporting Period (Sch V)</t>
  </si>
  <si>
    <t>+Previous Quarter Reported Balance Adjustment</t>
  </si>
  <si>
    <t>+Second Previous Quarter Reported Balance Adjustment</t>
  </si>
  <si>
    <t>+Third Previous Quarter Reported Balance Adjustment</t>
  </si>
  <si>
    <t>=Balance Adjustment (BA)</t>
  </si>
  <si>
    <t>SCHEDULE II</t>
  </si>
  <si>
    <t>EXPECTED GAS COST</t>
  </si>
  <si>
    <t xml:space="preserve">Actual Mcf Purchases for 12 months ended </t>
  </si>
  <si>
    <t>(1)</t>
  </si>
  <si>
    <t>(2)</t>
  </si>
  <si>
    <t>(3)</t>
  </si>
  <si>
    <t>(4)</t>
  </si>
  <si>
    <t>(5)</t>
  </si>
  <si>
    <t>(6)</t>
  </si>
  <si>
    <t>Btu</t>
  </si>
  <si>
    <t>(4) x (5)</t>
  </si>
  <si>
    <t>Supplier</t>
  </si>
  <si>
    <t>Dth</t>
  </si>
  <si>
    <t>Conversion Factor</t>
  </si>
  <si>
    <t>Mcf</t>
  </si>
  <si>
    <t>Rate</t>
  </si>
  <si>
    <t>Cost</t>
  </si>
  <si>
    <t>Totals</t>
  </si>
  <si>
    <t xml:space="preserve">Line loss for 12 months ended </t>
  </si>
  <si>
    <t>is based on purchases of</t>
  </si>
  <si>
    <t>and sales of</t>
  </si>
  <si>
    <t>Mcf.</t>
  </si>
  <si>
    <t>Total Expected Cost of Purchases (6)</t>
  </si>
  <si>
    <t>/ Mcf Purchases (4)</t>
  </si>
  <si>
    <t>= Average Expected Cost Per Mcf Purchased</t>
  </si>
  <si>
    <t>x Allowable Mcf Purchases (must not exceed Mcf sales / .95)</t>
  </si>
  <si>
    <t>= Total Expected Gas Cost (to Schedule IA)</t>
  </si>
  <si>
    <t>SCHEDULE IV</t>
  </si>
  <si>
    <t>ACTUAL ADJUSTMENT</t>
  </si>
  <si>
    <t>Particulars</t>
  </si>
  <si>
    <t>Total Supply Volumes Purchased</t>
  </si>
  <si>
    <t>Total Cost of Volumes Purchased</t>
  </si>
  <si>
    <t>$</t>
  </si>
  <si>
    <t>/ Total Sales *</t>
  </si>
  <si>
    <t>= Unit Cost of Gas</t>
  </si>
  <si>
    <t>- EGC in Effect for Month</t>
  </si>
  <si>
    <t>= Difference</t>
  </si>
  <si>
    <t>x Actual Sales during Month</t>
  </si>
  <si>
    <t>= Monthly Cost Difference</t>
  </si>
  <si>
    <t>Total Cost Difference</t>
  </si>
  <si>
    <t>= Actual Adjustment for the Reporting Period (to Sch IC)</t>
  </si>
  <si>
    <t>* May not be less than 95% of supply volume</t>
  </si>
  <si>
    <t>SUPPLIER REFUND ADJUSTMENT</t>
  </si>
  <si>
    <t>Description</t>
  </si>
  <si>
    <t>Supplier Refunds Received during 2 Month Period</t>
  </si>
  <si>
    <t>Interest Factor (90 Day Commercial Paper Rate)</t>
  </si>
  <si>
    <t>Refunds Including Interest</t>
  </si>
  <si>
    <t>Divided by 12 Month Projected Sales Ended</t>
  </si>
  <si>
    <t>Current Supplier Refund Adjustment</t>
  </si>
  <si>
    <t>SCHEDULE III</t>
  </si>
  <si>
    <t>For the 12 month period ended</t>
  </si>
  <si>
    <t xml:space="preserve">/ Sales for 12 months ended </t>
  </si>
  <si>
    <t>/Sales for the 12 months ended</t>
  </si>
  <si>
    <t>Expected Gas Cost (EGC)</t>
  </si>
  <si>
    <t>Schedule V</t>
  </si>
  <si>
    <t>BALANCE ADJUSTMENT</t>
  </si>
  <si>
    <t>For the 3 month period ended:</t>
  </si>
  <si>
    <t>Total cost difference used to compute AA of the GCR effective</t>
  </si>
  <si>
    <t>4 quarters prior to the effective date of the currently effective GCR</t>
  </si>
  <si>
    <t>Less:  Dollar amount resulting from the AA of</t>
  </si>
  <si>
    <t>per Mcf as used to compute the GCR in effect</t>
  </si>
  <si>
    <t>4 quarters prior to the effective date of the</t>
  </si>
  <si>
    <t>currently effective GCR times the sales of</t>
  </si>
  <si>
    <t>Mcf during the 12 month period the AA was in effect</t>
  </si>
  <si>
    <t>Equals:  Balance Adjustment of the AA</t>
  </si>
  <si>
    <t>Total supplier refund adjustment including interest used to compute</t>
  </si>
  <si>
    <t>RA of the GCR effective 4 quarters prior to the effective date of the</t>
  </si>
  <si>
    <t>currently effective GCR</t>
  </si>
  <si>
    <t>Less:  Dollar amount resulting from the RA of</t>
  </si>
  <si>
    <t>per Mcf as used to compute the GCR in effect 4 quarters prior to the</t>
  </si>
  <si>
    <t>effective date of the currently effective GCR times the sales of</t>
  </si>
  <si>
    <t>Mcf during the 12 month period the RA was in effect</t>
  </si>
  <si>
    <t>Equals:  Balance Adjustment of the RA</t>
  </si>
  <si>
    <t>Total balance adjustment used to compute BA of the GCR effective</t>
  </si>
  <si>
    <t>Less: Dollar amount resulting from the BA of</t>
  </si>
  <si>
    <t>Mcf during the 12 month period the BA was in effect</t>
  </si>
  <si>
    <t>Equals:  Balance Adjustment of the BA</t>
  </si>
  <si>
    <t>Total Balance Adjustment Amount (1) + (2) + (3)</t>
  </si>
  <si>
    <t>Equals:  Balance Adjustment for the reporting period</t>
  </si>
  <si>
    <t>(to Schedule I, part D)</t>
  </si>
  <si>
    <t>Divide:  Mcf Sales for 12 months ended</t>
  </si>
  <si>
    <t>Rates to be effective for service rendered from</t>
  </si>
  <si>
    <t>Month 1</t>
  </si>
  <si>
    <t>Month 2</t>
  </si>
  <si>
    <t>Month 3</t>
  </si>
  <si>
    <t>QUARTERLY REPORT OF GAS COST</t>
  </si>
  <si>
    <t>RECOVERY RATE CALCULATION</t>
  </si>
  <si>
    <t>Date Filed:</t>
  </si>
  <si>
    <t>Date Rates to be Effective:</t>
  </si>
  <si>
    <t xml:space="preserve">  </t>
  </si>
  <si>
    <t>Reporting Period is Calendar Quarter Ended:</t>
  </si>
  <si>
    <t>Total</t>
  </si>
  <si>
    <t>Diversified</t>
  </si>
  <si>
    <t>Petrol</t>
  </si>
  <si>
    <t>Floyd County</t>
  </si>
  <si>
    <t>Johnson County</t>
  </si>
  <si>
    <t>Navitas KYNG, LLC</t>
  </si>
  <si>
    <t>Special Note</t>
  </si>
  <si>
    <t xml:space="preserve">The past GCR Rider(s) from 2023-00109 </t>
  </si>
  <si>
    <t xml:space="preserve"> have all three been turned off.</t>
  </si>
  <si>
    <t>+</t>
  </si>
  <si>
    <t xml:space="preserve">under charged </t>
  </si>
  <si>
    <t>-</t>
  </si>
  <si>
    <t xml:space="preserve">over charged </t>
  </si>
  <si>
    <t>Actual</t>
  </si>
  <si>
    <t>Average (5Y)</t>
  </si>
  <si>
    <t>Sales in MCF</t>
  </si>
  <si>
    <t>Summary</t>
  </si>
  <si>
    <t>3rd Previous Qrtr BA</t>
  </si>
  <si>
    <t>2rd Previous Qrtr BA</t>
  </si>
  <si>
    <t>Previous Qrtr BA</t>
  </si>
  <si>
    <t>Current Qrt BA</t>
  </si>
  <si>
    <t>3rd Previous Qrtr AA</t>
  </si>
  <si>
    <t>2rd Previous Qrtr AA</t>
  </si>
  <si>
    <t>Previous Qrtr AA</t>
  </si>
  <si>
    <t>Current Qrt AA</t>
  </si>
  <si>
    <t>2022-00004</t>
  </si>
  <si>
    <t>2023-00091</t>
  </si>
  <si>
    <t>This residual captured by 24-00401</t>
  </si>
  <si>
    <t>2022-00109</t>
  </si>
  <si>
    <t>2023-00215</t>
  </si>
  <si>
    <t>2022-00189</t>
  </si>
  <si>
    <t>2023-00325</t>
  </si>
  <si>
    <t>2022-00331</t>
  </si>
  <si>
    <t>2023-00002</t>
  </si>
  <si>
    <t>Suspended 23-428</t>
  </si>
  <si>
    <t>Suspended 24-079</t>
  </si>
  <si>
    <t>Suspended 24-184</t>
  </si>
  <si>
    <t>Suspended 24-308</t>
  </si>
  <si>
    <t>2024-00401</t>
  </si>
  <si>
    <t>2025-00084 Subject To Refund</t>
  </si>
  <si>
    <t>Previous quarter AA</t>
  </si>
  <si>
    <t>2nd previous quarter AA</t>
  </si>
  <si>
    <t>3rd previous quarter AA</t>
  </si>
  <si>
    <t>This residual STR for 2025-00084</t>
  </si>
  <si>
    <t>Hold period</t>
  </si>
  <si>
    <t xml:space="preserve">Actual Adjustment </t>
  </si>
  <si>
    <t xml:space="preserve">Balance Adjustment </t>
  </si>
  <si>
    <t>Previous quarter BA</t>
  </si>
  <si>
    <t>Clinton County</t>
  </si>
  <si>
    <t>LTM</t>
  </si>
  <si>
    <t>Last 5-yr Ave</t>
  </si>
  <si>
    <t>Total L5YA</t>
  </si>
  <si>
    <t>Clinton</t>
  </si>
  <si>
    <t>Floyd</t>
  </si>
  <si>
    <t>Johnson</t>
  </si>
  <si>
    <t>Combined Monthly Sales</t>
  </si>
  <si>
    <t>Sales</t>
  </si>
  <si>
    <t>Purchases</t>
  </si>
  <si>
    <t>LTM Sales</t>
  </si>
  <si>
    <t>LTM Purchases</t>
  </si>
  <si>
    <t>LTM Line Loss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</si>
  <si>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</si>
  <si>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</si>
  <si>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</si>
  <si>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</si>
  <si>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</si>
  <si>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</si>
  <si>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</si>
  <si>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</si>
  <si>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</si>
  <si>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</si>
  <si>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</si>
  <si>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</si>
  <si>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Purchases in MCF</t>
  </si>
  <si>
    <t>TOTAL</t>
  </si>
  <si>
    <t>%KY</t>
  </si>
  <si>
    <t>Petrol ETGP</t>
  </si>
  <si>
    <t>MMBtu</t>
  </si>
  <si>
    <t>Petrol (TN&amp;KY)</t>
  </si>
  <si>
    <t>MCF</t>
  </si>
  <si>
    <t>Petrol (KY only)</t>
  </si>
  <si>
    <t>Sparta (TN&amp;KY)</t>
  </si>
  <si>
    <t>Sparta (KY only)</t>
  </si>
  <si>
    <t>Clinton County Combined</t>
  </si>
  <si>
    <t>B&amp;S Oil</t>
  </si>
  <si>
    <t>DEM 42</t>
  </si>
  <si>
    <t>Floyd County Combined</t>
  </si>
  <si>
    <t>H-S-H</t>
  </si>
  <si>
    <t>DEM  58</t>
  </si>
  <si>
    <t>PETROL J C</t>
  </si>
  <si>
    <t>Johnson County Combined</t>
  </si>
  <si>
    <t>Kentucky</t>
  </si>
  <si>
    <t>Commodity Supply:</t>
  </si>
  <si>
    <t>Sparta</t>
  </si>
  <si>
    <t>Enbridge (balance)</t>
  </si>
  <si>
    <t>Conner Ridge</t>
  </si>
  <si>
    <t>Sub total</t>
  </si>
  <si>
    <t>Commodity Transport:</t>
  </si>
  <si>
    <t>Current Quarter</t>
  </si>
  <si>
    <t>Previous Quarter</t>
  </si>
  <si>
    <t>2nd Previous Quarter</t>
  </si>
  <si>
    <t>3rd Previous Quarter</t>
  </si>
  <si>
    <t>Enbridge</t>
  </si>
  <si>
    <t>B&amp;W</t>
  </si>
  <si>
    <t>Hull Gathering</t>
  </si>
  <si>
    <t>4/31/2025</t>
  </si>
  <si>
    <t>This residual proposed for 2025-00204</t>
  </si>
  <si>
    <t>2025-00204 Proposed</t>
  </si>
  <si>
    <t>Note - this AA was suspended in 2024-00079 and has not beem reviewed.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</si>
</sst>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[Red]\(&quot;$&quot;#,##0.0000\)"/>
    <numFmt numFmtId="165" formatCode="mmmm\ d\,\ yyyy"/>
    <numFmt numFmtId="166" formatCode="_(* #,##0_);_(* \(#,##0\);_(* &quot;-&quot;??_);_(@_)"/>
    <numFmt numFmtId="167" formatCode="_(* #,##0.0_);_(* \(#,##0.0\);_(* &quot;-&quot;??_);_(@_)"/>
    <numFmt numFmtId="168" formatCode="&quot;$&quot;#,##0"/>
    <numFmt numFmtId="169" formatCode="&quot;$&quot;#,##0.0000_);\(&quot;$&quot;#,##0.0000\)"/>
    <numFmt numFmtId="170" formatCode="[$-409]mmmm\ d\,\ yyyy;@"/>
    <numFmt numFmtId="171" formatCode="0.0%"/>
    <numFmt numFmtId="172" formatCode="[$-409]dd\-mmm\-yy;@"/>
    <numFmt numFmtId="173" formatCode="mm/dd/yy;@"/>
    <numFmt numFmtId="174" formatCode="[$-409]mmm\-yy;@"/>
    <numFmt numFmtId="175" formatCode="_(* #,##0.0000_);_(* \(#,##0.0000\);_(* &quot;-&quot;??_);_(@_)"/>
    <numFmt numFmtId="176" formatCode="[$-409]mmmmm;@"/>
    <numFmt numFmtId="177" formatCode="0.000"/>
    <numFmt numFmtId="178" formatCode="_(* #,##0.00_);_(* \(#,##0.00\);_(* &quot;-&quot;_);_(@_)"/>
    <numFmt numFmtId="179" formatCode="&quot;$&quot;#,##0.00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1.5"/>
      <name val="Arial Narrow"/>
      <family val="2"/>
    </font>
    <font>
      <sz val="11.5"/>
      <name val="ZapfCalligr BT"/>
      <family val="1"/>
    </font>
    <font>
      <b/>
      <sz val="11.5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name val="ZapfCalligr BT"/>
    </font>
    <font>
      <b/>
      <sz val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strike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u/>
      <sz val="12"/>
      <name val="Arial"/>
      <family val="2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0" borderId="0"/>
    <xf numFmtId="0" fontId="3" fillId="0" borderId="0"/>
  </cellStyleXfs>
  <cellXfs count="23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164" fontId="5" fillId="0" borderId="0" xfId="0" applyNumberFormat="1" applyFont="1"/>
    <xf numFmtId="0" fontId="5" fillId="0" borderId="1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applyFont="1" applyBorder="1"/>
    <xf numFmtId="8" fontId="5" fillId="0" borderId="0" xfId="0" applyNumberFormat="1" applyFont="1"/>
    <xf numFmtId="0" fontId="5" fillId="0" borderId="1" xfId="0" quotePrefix="1" applyFont="1" applyBorder="1"/>
    <xf numFmtId="43" fontId="5" fillId="0" borderId="1" xfId="1" applyFont="1" applyBorder="1"/>
    <xf numFmtId="0" fontId="5" fillId="0" borderId="0" xfId="0" quotePrefix="1" applyFont="1"/>
    <xf numFmtId="166" fontId="5" fillId="0" borderId="0" xfId="1" applyNumberFormat="1" applyFont="1"/>
    <xf numFmtId="166" fontId="5" fillId="0" borderId="1" xfId="1" applyNumberFormat="1" applyFont="1" applyBorder="1"/>
    <xf numFmtId="166" fontId="5" fillId="0" borderId="1" xfId="0" applyNumberFormat="1" applyFont="1" applyBorder="1"/>
    <xf numFmtId="17" fontId="6" fillId="0" borderId="0" xfId="0" applyNumberFormat="1" applyFont="1" applyAlignment="1">
      <alignment horizontal="center"/>
    </xf>
    <xf numFmtId="167" fontId="5" fillId="0" borderId="1" xfId="1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8" fontId="0" fillId="0" borderId="0" xfId="0" applyNumberFormat="1"/>
    <xf numFmtId="40" fontId="0" fillId="0" borderId="0" xfId="0" applyNumberFormat="1"/>
    <xf numFmtId="0" fontId="0" fillId="0" borderId="3" xfId="0" applyBorder="1"/>
    <xf numFmtId="0" fontId="0" fillId="0" borderId="3" xfId="0" applyBorder="1" applyAlignment="1">
      <alignment horizontal="center"/>
    </xf>
    <xf numFmtId="0" fontId="5" fillId="2" borderId="0" xfId="0" applyFont="1" applyFill="1"/>
    <xf numFmtId="166" fontId="5" fillId="2" borderId="0" xfId="1" applyNumberFormat="1" applyFont="1" applyFill="1"/>
    <xf numFmtId="8" fontId="5" fillId="2" borderId="0" xfId="0" applyNumberFormat="1" applyFont="1" applyFill="1"/>
    <xf numFmtId="164" fontId="5" fillId="2" borderId="0" xfId="0" applyNumberFormat="1" applyFont="1" applyFill="1"/>
    <xf numFmtId="43" fontId="5" fillId="2" borderId="0" xfId="0" applyNumberFormat="1" applyFont="1" applyFill="1"/>
    <xf numFmtId="43" fontId="5" fillId="2" borderId="0" xfId="1" applyFont="1" applyFill="1"/>
    <xf numFmtId="8" fontId="0" fillId="2" borderId="0" xfId="0" applyNumberFormat="1" applyFill="1"/>
    <xf numFmtId="167" fontId="5" fillId="2" borderId="1" xfId="1" applyNumberFormat="1" applyFont="1" applyFill="1" applyBorder="1"/>
    <xf numFmtId="164" fontId="5" fillId="2" borderId="1" xfId="0" applyNumberFormat="1" applyFont="1" applyFill="1" applyBorder="1"/>
    <xf numFmtId="0" fontId="0" fillId="0" borderId="1" xfId="0" applyBorder="1"/>
    <xf numFmtId="49" fontId="0" fillId="0" borderId="0" xfId="0" applyNumberFormat="1"/>
    <xf numFmtId="168" fontId="0" fillId="0" borderId="0" xfId="0" applyNumberFormat="1"/>
    <xf numFmtId="168" fontId="0" fillId="0" borderId="1" xfId="0" applyNumberFormat="1" applyBorder="1"/>
    <xf numFmtId="168" fontId="0" fillId="2" borderId="1" xfId="0" applyNumberFormat="1" applyFill="1" applyBorder="1"/>
    <xf numFmtId="169" fontId="0" fillId="2" borderId="1" xfId="0" applyNumberFormat="1" applyFill="1" applyBorder="1"/>
    <xf numFmtId="0" fontId="0" fillId="2" borderId="1" xfId="0" applyFill="1" applyBorder="1"/>
    <xf numFmtId="170" fontId="5" fillId="2" borderId="0" xfId="0" applyNumberFormat="1" applyFont="1" applyFill="1"/>
    <xf numFmtId="17" fontId="5" fillId="0" borderId="0" xfId="0" applyNumberFormat="1" applyFont="1"/>
    <xf numFmtId="167" fontId="5" fillId="0" borderId="0" xfId="1" applyNumberFormat="1" applyFont="1" applyFill="1" applyBorder="1"/>
    <xf numFmtId="167" fontId="5" fillId="0" borderId="0" xfId="1" applyNumberFormat="1" applyFont="1" applyBorder="1"/>
    <xf numFmtId="17" fontId="5" fillId="3" borderId="1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 applyAlignment="1">
      <alignment horizontal="centerContinuous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0" fontId="12" fillId="0" borderId="0" xfId="0" applyFont="1"/>
    <xf numFmtId="14" fontId="8" fillId="0" borderId="0" xfId="0" applyNumberFormat="1" applyFont="1"/>
    <xf numFmtId="165" fontId="11" fillId="0" borderId="0" xfId="0" applyNumberFormat="1" applyFont="1"/>
    <xf numFmtId="165" fontId="9" fillId="0" borderId="0" xfId="0" applyNumberFormat="1" applyFont="1"/>
    <xf numFmtId="165" fontId="7" fillId="0" borderId="0" xfId="0" applyNumberFormat="1" applyFont="1"/>
    <xf numFmtId="166" fontId="5" fillId="3" borderId="0" xfId="1" applyNumberFormat="1" applyFont="1" applyFill="1"/>
    <xf numFmtId="15" fontId="0" fillId="0" borderId="0" xfId="0" applyNumberFormat="1"/>
    <xf numFmtId="43" fontId="5" fillId="0" borderId="0" xfId="0" applyNumberFormat="1" applyFont="1"/>
    <xf numFmtId="171" fontId="5" fillId="0" borderId="0" xfId="2" applyNumberFormat="1" applyFont="1"/>
    <xf numFmtId="17" fontId="5" fillId="0" borderId="1" xfId="0" applyNumberFormat="1" applyFont="1" applyBorder="1" applyAlignment="1">
      <alignment horizontal="center"/>
    </xf>
    <xf numFmtId="41" fontId="0" fillId="2" borderId="1" xfId="0" applyNumberFormat="1" applyFill="1" applyBorder="1"/>
    <xf numFmtId="0" fontId="13" fillId="0" borderId="0" xfId="0" applyFont="1"/>
    <xf numFmtId="169" fontId="5" fillId="3" borderId="0" xfId="0" applyNumberFormat="1" applyFont="1" applyFill="1"/>
    <xf numFmtId="0" fontId="14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43" fontId="0" fillId="0" borderId="0" xfId="0" applyNumberFormat="1"/>
    <xf numFmtId="166" fontId="0" fillId="0" borderId="0" xfId="0" applyNumberFormat="1"/>
    <xf numFmtId="0" fontId="3" fillId="0" borderId="0" xfId="0" quotePrefix="1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quotePrefix="1" applyFont="1" applyAlignment="1">
      <alignment horizontal="right"/>
    </xf>
    <xf numFmtId="173" fontId="3" fillId="0" borderId="0" xfId="0" applyNumberFormat="1" applyFont="1"/>
    <xf numFmtId="173" fontId="0" fillId="0" borderId="0" xfId="0" applyNumberFormat="1"/>
    <xf numFmtId="174" fontId="0" fillId="0" borderId="0" xfId="0" applyNumberFormat="1"/>
    <xf numFmtId="41" fontId="13" fillId="0" borderId="0" xfId="0" applyNumberFormat="1" applyFont="1"/>
    <xf numFmtId="41" fontId="13" fillId="6" borderId="0" xfId="0" applyNumberFormat="1" applyFont="1" applyFill="1"/>
    <xf numFmtId="0" fontId="0" fillId="0" borderId="5" xfId="0" applyBorder="1"/>
    <xf numFmtId="0" fontId="0" fillId="0" borderId="6" xfId="0" applyBorder="1"/>
    <xf numFmtId="175" fontId="0" fillId="0" borderId="0" xfId="0" applyNumberFormat="1"/>
    <xf numFmtId="175" fontId="0" fillId="0" borderId="5" xfId="0" applyNumberFormat="1" applyBorder="1"/>
    <xf numFmtId="175" fontId="0" fillId="0" borderId="7" xfId="0" applyNumberFormat="1" applyBorder="1"/>
    <xf numFmtId="175" fontId="0" fillId="0" borderId="8" xfId="0" applyNumberFormat="1" applyBorder="1"/>
    <xf numFmtId="0" fontId="3" fillId="0" borderId="0" xfId="0" applyFont="1" applyAlignment="1">
      <alignment horizontal="right"/>
    </xf>
    <xf numFmtId="175" fontId="0" fillId="6" borderId="0" xfId="0" applyNumberFormat="1" applyFill="1"/>
    <xf numFmtId="0" fontId="0" fillId="7" borderId="0" xfId="0" applyFill="1"/>
    <xf numFmtId="175" fontId="0" fillId="8" borderId="0" xfId="0" applyNumberFormat="1" applyFill="1"/>
    <xf numFmtId="175" fontId="0" fillId="8" borderId="5" xfId="0" applyNumberFormat="1" applyFill="1" applyBorder="1"/>
    <xf numFmtId="175" fontId="0" fillId="0" borderId="6" xfId="0" applyNumberFormat="1" applyBorder="1"/>
    <xf numFmtId="175" fontId="0" fillId="8" borderId="9" xfId="0" applyNumberFormat="1" applyFill="1" applyBorder="1"/>
    <xf numFmtId="43" fontId="0" fillId="6" borderId="0" xfId="0" applyNumberFormat="1" applyFill="1"/>
    <xf numFmtId="43" fontId="0" fillId="8" borderId="0" xfId="0" applyNumberFormat="1" applyFill="1"/>
    <xf numFmtId="43" fontId="0" fillId="8" borderId="5" xfId="0" applyNumberFormat="1" applyFill="1" applyBorder="1"/>
    <xf numFmtId="43" fontId="0" fillId="0" borderId="6" xfId="0" applyNumberFormat="1" applyBorder="1"/>
    <xf numFmtId="43" fontId="0" fillId="9" borderId="5" xfId="0" applyNumberFormat="1" applyFill="1" applyBorder="1"/>
    <xf numFmtId="43" fontId="0" fillId="10" borderId="5" xfId="0" applyNumberFormat="1" applyFill="1" applyBorder="1"/>
    <xf numFmtId="43" fontId="3" fillId="0" borderId="0" xfId="0" applyNumberFormat="1" applyFont="1"/>
    <xf numFmtId="43" fontId="0" fillId="0" borderId="5" xfId="0" applyNumberFormat="1" applyBorder="1"/>
    <xf numFmtId="175" fontId="3" fillId="0" borderId="5" xfId="0" applyNumberFormat="1" applyFont="1" applyBorder="1"/>
    <xf numFmtId="175" fontId="3" fillId="3" borderId="10" xfId="0" applyNumberFormat="1" applyFont="1" applyFill="1" applyBorder="1"/>
    <xf numFmtId="0" fontId="13" fillId="0" borderId="0" xfId="0" applyFont="1" applyAlignment="1">
      <alignment horizontal="right"/>
    </xf>
    <xf numFmtId="0" fontId="3" fillId="0" borderId="0" xfId="8"/>
    <xf numFmtId="173" fontId="3" fillId="0" borderId="0" xfId="8" applyNumberFormat="1"/>
    <xf numFmtId="176" fontId="3" fillId="0" borderId="0" xfId="8" applyNumberFormat="1"/>
    <xf numFmtId="173" fontId="3" fillId="0" borderId="0" xfId="8" applyNumberFormat="1" applyAlignment="1">
      <alignment horizontal="center"/>
    </xf>
    <xf numFmtId="41" fontId="3" fillId="0" borderId="0" xfId="8" applyNumberFormat="1"/>
    <xf numFmtId="41" fontId="13" fillId="0" borderId="0" xfId="8" applyNumberFormat="1" applyFont="1"/>
    <xf numFmtId="41" fontId="3" fillId="0" borderId="0" xfId="9" applyNumberFormat="1"/>
    <xf numFmtId="171" fontId="0" fillId="0" borderId="0" xfId="2" applyNumberFormat="1" applyFont="1" applyBorder="1"/>
    <xf numFmtId="171" fontId="0" fillId="0" borderId="0" xfId="2" applyNumberFormat="1" applyFont="1" applyFill="1" applyBorder="1"/>
    <xf numFmtId="0" fontId="3" fillId="0" borderId="0" xfId="8" applyAlignment="1">
      <alignment horizontal="center"/>
    </xf>
    <xf numFmtId="171" fontId="0" fillId="0" borderId="0" xfId="2" applyNumberFormat="1" applyFont="1"/>
    <xf numFmtId="177" fontId="3" fillId="0" borderId="0" xfId="8" applyNumberFormat="1"/>
    <xf numFmtId="171" fontId="13" fillId="0" borderId="0" xfId="2" applyNumberFormat="1" applyFont="1"/>
    <xf numFmtId="0" fontId="3" fillId="0" borderId="11" xfId="8" applyBorder="1"/>
    <xf numFmtId="0" fontId="3" fillId="0" borderId="7" xfId="8" applyBorder="1"/>
    <xf numFmtId="0" fontId="3" fillId="0" borderId="8" xfId="8" applyBorder="1"/>
    <xf numFmtId="0" fontId="3" fillId="0" borderId="6" xfId="8" applyBorder="1"/>
    <xf numFmtId="0" fontId="3" fillId="0" borderId="1" xfId="8" applyBorder="1"/>
    <xf numFmtId="0" fontId="3" fillId="0" borderId="1" xfId="8" applyBorder="1" applyAlignment="1">
      <alignment horizontal="right"/>
    </xf>
    <xf numFmtId="0" fontId="13" fillId="0" borderId="1" xfId="8" applyFont="1" applyBorder="1" applyAlignment="1">
      <alignment horizontal="center"/>
    </xf>
    <xf numFmtId="0" fontId="3" fillId="0" borderId="5" xfId="8" applyBorder="1"/>
    <xf numFmtId="0" fontId="13" fillId="0" borderId="0" xfId="8" applyFont="1"/>
    <xf numFmtId="10" fontId="0" fillId="0" borderId="0" xfId="2" applyNumberFormat="1" applyFont="1" applyBorder="1"/>
    <xf numFmtId="0" fontId="3" fillId="0" borderId="12" xfId="8" applyBorder="1"/>
    <xf numFmtId="0" fontId="3" fillId="0" borderId="13" xfId="8" applyBorder="1"/>
    <xf numFmtId="0" fontId="3" fillId="0" borderId="0" xfId="8" applyAlignment="1">
      <alignment horizontal="right"/>
    </xf>
    <xf numFmtId="171" fontId="3" fillId="0" borderId="0" xfId="8" applyNumberFormat="1"/>
    <xf numFmtId="0" fontId="3" fillId="0" borderId="0" xfId="9"/>
    <xf numFmtId="173" fontId="3" fillId="0" borderId="0" xfId="9" applyNumberFormat="1"/>
    <xf numFmtId="176" fontId="3" fillId="0" borderId="0" xfId="9" applyNumberFormat="1"/>
    <xf numFmtId="176" fontId="3" fillId="0" borderId="0" xfId="9" applyNumberFormat="1" applyAlignment="1">
      <alignment horizontal="right"/>
    </xf>
    <xf numFmtId="0" fontId="3" fillId="0" borderId="1" xfId="9" applyBorder="1"/>
    <xf numFmtId="171" fontId="3" fillId="0" borderId="0" xfId="2" applyNumberFormat="1" applyFont="1" applyFill="1" applyBorder="1"/>
    <xf numFmtId="171" fontId="3" fillId="0" borderId="0" xfId="2" applyNumberFormat="1"/>
    <xf numFmtId="0" fontId="4" fillId="0" borderId="0" xfId="9" applyFont="1"/>
    <xf numFmtId="0" fontId="17" fillId="0" borderId="1" xfId="9" applyFont="1" applyBorder="1"/>
    <xf numFmtId="0" fontId="4" fillId="0" borderId="1" xfId="9" applyFont="1" applyBorder="1"/>
    <xf numFmtId="41" fontId="4" fillId="0" borderId="0" xfId="9" applyNumberFormat="1" applyFont="1"/>
    <xf numFmtId="171" fontId="4" fillId="11" borderId="0" xfId="2" applyNumberFormat="1" applyFont="1" applyFill="1"/>
    <xf numFmtId="171" fontId="4" fillId="0" borderId="0" xfId="2" applyNumberFormat="1" applyFont="1" applyFill="1" applyBorder="1"/>
    <xf numFmtId="171" fontId="4" fillId="11" borderId="0" xfId="2" applyNumberFormat="1" applyFont="1" applyFill="1" applyBorder="1"/>
    <xf numFmtId="171" fontId="4" fillId="0" borderId="0" xfId="2" applyNumberFormat="1" applyFont="1" applyFill="1"/>
    <xf numFmtId="171" fontId="4" fillId="0" borderId="0" xfId="2" applyNumberFormat="1" applyFont="1"/>
    <xf numFmtId="171" fontId="4" fillId="11" borderId="0" xfId="9" applyNumberFormat="1" applyFont="1" applyFill="1"/>
    <xf numFmtId="171" fontId="4" fillId="0" borderId="0" xfId="9" applyNumberFormat="1" applyFont="1"/>
    <xf numFmtId="41" fontId="4" fillId="12" borderId="0" xfId="9" applyNumberFormat="1" applyFont="1" applyFill="1"/>
    <xf numFmtId="178" fontId="4" fillId="0" borderId="0" xfId="9" applyNumberFormat="1" applyFont="1"/>
    <xf numFmtId="41" fontId="4" fillId="13" borderId="0" xfId="9" applyNumberFormat="1" applyFont="1" applyFill="1"/>
    <xf numFmtId="41" fontId="17" fillId="13" borderId="0" xfId="9" applyNumberFormat="1" applyFont="1" applyFill="1"/>
    <xf numFmtId="41" fontId="17" fillId="0" borderId="0" xfId="9" applyNumberFormat="1" applyFont="1"/>
    <xf numFmtId="41" fontId="4" fillId="0" borderId="0" xfId="2" applyNumberFormat="1" applyFont="1" applyFill="1" applyBorder="1"/>
    <xf numFmtId="41" fontId="4" fillId="13" borderId="0" xfId="2" applyNumberFormat="1" applyFont="1" applyFill="1" applyBorder="1"/>
    <xf numFmtId="41" fontId="4" fillId="0" borderId="0" xfId="2" applyNumberFormat="1" applyFont="1"/>
    <xf numFmtId="0" fontId="18" fillId="0" borderId="0" xfId="6" applyFont="1" applyFill="1"/>
    <xf numFmtId="0" fontId="19" fillId="0" borderId="0" xfId="6" applyFont="1" applyFill="1"/>
    <xf numFmtId="41" fontId="19" fillId="0" borderId="0" xfId="6" applyNumberFormat="1" applyFont="1" applyFill="1"/>
    <xf numFmtId="0" fontId="4" fillId="12" borderId="0" xfId="9" applyFont="1" applyFill="1"/>
    <xf numFmtId="41" fontId="17" fillId="12" borderId="0" xfId="9" applyNumberFormat="1" applyFont="1" applyFill="1"/>
    <xf numFmtId="0" fontId="17" fillId="0" borderId="0" xfId="9" applyFont="1"/>
    <xf numFmtId="0" fontId="4" fillId="0" borderId="0" xfId="8" applyFont="1"/>
    <xf numFmtId="41" fontId="4" fillId="0" borderId="0" xfId="8" applyNumberFormat="1" applyFont="1"/>
    <xf numFmtId="9" fontId="4" fillId="0" borderId="0" xfId="2" applyFont="1"/>
    <xf numFmtId="41" fontId="17" fillId="0" borderId="0" xfId="8" applyNumberFormat="1" applyFont="1"/>
    <xf numFmtId="41" fontId="4" fillId="12" borderId="0" xfId="8" applyNumberFormat="1" applyFont="1" applyFill="1"/>
    <xf numFmtId="41" fontId="17" fillId="12" borderId="0" xfId="8" applyNumberFormat="1" applyFont="1" applyFill="1"/>
    <xf numFmtId="41" fontId="20" fillId="12" borderId="0" xfId="8" applyNumberFormat="1" applyFont="1" applyFill="1"/>
    <xf numFmtId="10" fontId="0" fillId="13" borderId="0" xfId="2" applyNumberFormat="1" applyFont="1" applyFill="1"/>
    <xf numFmtId="10" fontId="13" fillId="13" borderId="0" xfId="2" applyNumberFormat="1" applyFont="1" applyFill="1"/>
    <xf numFmtId="41" fontId="3" fillId="8" borderId="0" xfId="9" applyNumberFormat="1" applyFill="1"/>
    <xf numFmtId="41" fontId="3" fillId="8" borderId="0" xfId="8" applyNumberFormat="1" applyFill="1"/>
    <xf numFmtId="41" fontId="13" fillId="8" borderId="0" xfId="8" applyNumberFormat="1" applyFont="1" applyFill="1"/>
    <xf numFmtId="41" fontId="13" fillId="8" borderId="0" xfId="9" applyNumberFormat="1" applyFont="1" applyFill="1"/>
    <xf numFmtId="171" fontId="0" fillId="13" borderId="0" xfId="2" applyNumberFormat="1" applyFont="1" applyFill="1"/>
    <xf numFmtId="171" fontId="13" fillId="13" borderId="0" xfId="2" applyNumberFormat="1" applyFont="1" applyFill="1"/>
    <xf numFmtId="10" fontId="0" fillId="8" borderId="0" xfId="2" applyNumberFormat="1" applyFont="1" applyFill="1" applyBorder="1"/>
    <xf numFmtId="10" fontId="13" fillId="8" borderId="0" xfId="2" applyNumberFormat="1" applyFont="1" applyFill="1" applyBorder="1"/>
    <xf numFmtId="10" fontId="3" fillId="13" borderId="0" xfId="2" applyNumberFormat="1" applyFont="1" applyFill="1"/>
    <xf numFmtId="0" fontId="21" fillId="2" borderId="0" xfId="0" applyFont="1" applyFill="1"/>
    <xf numFmtId="0" fontId="21" fillId="3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right"/>
    </xf>
    <xf numFmtId="0" fontId="21" fillId="0" borderId="0" xfId="0" applyFont="1"/>
    <xf numFmtId="166" fontId="5" fillId="0" borderId="0" xfId="1" applyNumberFormat="1" applyFont="1" applyFill="1"/>
    <xf numFmtId="0" fontId="5" fillId="0" borderId="0" xfId="0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5" fillId="13" borderId="0" xfId="2" applyNumberFormat="1" applyFont="1" applyFill="1"/>
    <xf numFmtId="166" fontId="5" fillId="11" borderId="4" xfId="1" applyNumberFormat="1" applyFont="1" applyFill="1" applyBorder="1"/>
    <xf numFmtId="43" fontId="5" fillId="11" borderId="1" xfId="1" applyFont="1" applyFill="1" applyBorder="1"/>
    <xf numFmtId="165" fontId="5" fillId="12" borderId="1" xfId="0" quotePrefix="1" applyNumberFormat="1" applyFont="1" applyFill="1" applyBorder="1"/>
    <xf numFmtId="14" fontId="5" fillId="12" borderId="1" xfId="0" applyNumberFormat="1" applyFont="1" applyFill="1" applyBorder="1"/>
    <xf numFmtId="43" fontId="3" fillId="12" borderId="0" xfId="0" applyNumberFormat="1" applyFont="1" applyFill="1"/>
    <xf numFmtId="43" fontId="5" fillId="13" borderId="0" xfId="0" applyNumberFormat="1" applyFont="1" applyFill="1"/>
    <xf numFmtId="43" fontId="5" fillId="13" borderId="4" xfId="0" applyNumberFormat="1" applyFont="1" applyFill="1" applyBorder="1"/>
    <xf numFmtId="43" fontId="3" fillId="0" borderId="0" xfId="9" applyNumberFormat="1"/>
    <xf numFmtId="44" fontId="3" fillId="0" borderId="0" xfId="9" applyNumberFormat="1"/>
    <xf numFmtId="43" fontId="5" fillId="13" borderId="7" xfId="0" applyNumberFormat="1" applyFont="1" applyFill="1" applyBorder="1"/>
    <xf numFmtId="179" fontId="1" fillId="0" borderId="0" xfId="7" applyNumberFormat="1" applyFill="1"/>
    <xf numFmtId="43" fontId="3" fillId="12" borderId="0" xfId="9" applyNumberFormat="1" applyFill="1"/>
    <xf numFmtId="43" fontId="3" fillId="12" borderId="0" xfId="8" applyNumberFormat="1" applyFill="1"/>
    <xf numFmtId="43" fontId="22" fillId="12" borderId="0" xfId="7" applyNumberFormat="1" applyFont="1" applyFill="1"/>
    <xf numFmtId="179" fontId="22" fillId="0" borderId="0" xfId="7" applyNumberFormat="1" applyFont="1" applyFill="1"/>
    <xf numFmtId="166" fontId="5" fillId="2" borderId="0" xfId="1" applyNumberFormat="1" applyFont="1" applyFill="1" applyAlignment="1"/>
    <xf numFmtId="166" fontId="5" fillId="11" borderId="1" xfId="1" applyNumberFormat="1" applyFont="1" applyFill="1" applyBorder="1"/>
    <xf numFmtId="2" fontId="5" fillId="0" borderId="0" xfId="0" applyNumberFormat="1" applyFont="1"/>
    <xf numFmtId="8" fontId="5" fillId="11" borderId="0" xfId="0" applyNumberFormat="1" applyFont="1" applyFill="1"/>
    <xf numFmtId="164" fontId="5" fillId="8" borderId="0" xfId="0" applyNumberFormat="1" applyFont="1" applyFill="1"/>
    <xf numFmtId="164" fontId="5" fillId="11" borderId="0" xfId="0" applyNumberFormat="1" applyFont="1" applyFill="1"/>
    <xf numFmtId="164" fontId="5" fillId="11" borderId="1" xfId="0" applyNumberFormat="1" applyFont="1" applyFill="1" applyBorder="1"/>
    <xf numFmtId="41" fontId="5" fillId="11" borderId="0" xfId="0" applyNumberFormat="1" applyFont="1" applyFill="1"/>
    <xf numFmtId="43" fontId="3" fillId="0" borderId="4" xfId="0" applyNumberFormat="1" applyFont="1" applyBorder="1"/>
    <xf numFmtId="43" fontId="5" fillId="11" borderId="0" xfId="0" applyNumberFormat="1" applyFont="1" applyFill="1"/>
    <xf numFmtId="167" fontId="5" fillId="13" borderId="1" xfId="1" applyNumberFormat="1" applyFont="1" applyFill="1" applyBorder="1"/>
    <xf numFmtId="164" fontId="5" fillId="13" borderId="0" xfId="0" applyNumberFormat="1" applyFont="1" applyFill="1"/>
    <xf numFmtId="1" fontId="5" fillId="0" borderId="0" xfId="0" applyNumberFormat="1" applyFont="1"/>
    <xf numFmtId="1" fontId="5" fillId="0" borderId="0" xfId="1" applyNumberFormat="1" applyFont="1" applyFill="1" applyBorder="1"/>
    <xf numFmtId="8" fontId="0" fillId="6" borderId="0" xfId="0" applyNumberFormat="1" applyFill="1"/>
    <xf numFmtId="43" fontId="0" fillId="9" borderId="0" xfId="0" applyNumberFormat="1" applyFill="1"/>
    <xf numFmtId="172" fontId="3" fillId="2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0">
    <cellStyle name="20% - Accent3" xfId="6" builtinId="38"/>
    <cellStyle name="40% - Accent6" xfId="7" builtinId="51"/>
    <cellStyle name="Comma" xfId="1" builtinId="3"/>
    <cellStyle name="Comma 2" xfId="3" xr:uid="{FB0E5B1F-25F2-4EB2-BE77-053C2345B9CD}"/>
    <cellStyle name="Currency 2" xfId="4" xr:uid="{9474C7EE-6C96-45A7-A894-FA09F5F09B09}"/>
    <cellStyle name="Normal" xfId="0" builtinId="0"/>
    <cellStyle name="Normal 2" xfId="5" xr:uid="{F5FBAF4B-F704-42B0-83F7-F482F38DAC39}"/>
    <cellStyle name="Normal 2 2" xfId="9" xr:uid="{B59E5DB8-FCFB-43F5-BBEC-41EC624A82FC}"/>
    <cellStyle name="Normal 3" xfId="8" xr:uid="{8F957649-1342-4ED5-8B2B-A74E45798FE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Qtrly%20Filings\2007-05%20GCA%20Filing\KIS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Cashout%20Develop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5-Jurisdictional%20Files\Kentucky\Cashouts\2008%20Cashouts\2008-11%20Cashou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mosenergy-my.sharepoint.com/personal/christina_vo_atmosenergy_com/Documents/Desktop/KY%20GCA%20-%20Feb%202022%20Filing/Prior%20Filing/Revised/Exhibit%20C%20(Rates%20used%20in%20the%20Expected%20Gas%20Cost%20EGC%20Calcul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LVS%20Tariffs\LVS%20Development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.1%20FA%20Files%20and%20Forms\0.0-FA%20Case%20files\0.1%20PGAs%20(Purchased%20Gas%20Adjustments)\Atmos\2024-00299\Atmos_Kentucky_GCA_Filing_2024.11_for_PSC.xlsx" TargetMode="External"/><Relationship Id="rId1" Type="http://schemas.openxmlformats.org/officeDocument/2006/relationships/externalLinkPath" Target="https://kymsoffice-my.sharepoint.com/personal/mitchell_pollard_ky_gov/Documents/Desktop/Atmos/2024-00299/Atmos_Kentucky_GCA_Filing_2024.11_for_PS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mosenergy-my.sharepoint.com/personal/christina_vo_atmosenergy_com/Documents/Desktop/KY%20GCA%20-%20Feb%202022%20Filing/Prior%20Filing/Revised/Exhibit%20D%20(Correction%20Factor%20CF%20Calculation)%20incl%20Oct-10%20Revised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omas%20Hartline\Navitas%20Utility%20Dropbox\Thomas%20Hartline\Accounting\PGA\Kentucky\KY%20PGA\2025\KY%20GCA%20250331%20-%2025-00204%20-%20not%20to%20be%20filed.xlsx" TargetMode="External"/><Relationship Id="rId1" Type="http://schemas.openxmlformats.org/officeDocument/2006/relationships/externalLinkPath" Target="/Users/Thomas%20Hartline/Navitas%20Utility%20Dropbox/Thomas%20Hartline/Accounting/PGA/Kentucky/KY%20PGA/2025/KY%20GCA%20250331%20-%2025-00204%20-%20not%20to%20be%20fi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Macros"/>
      <sheetName val="Documentation"/>
      <sheetName val="Filing Package"/>
      <sheetName val="1. MAIN INPUTS"/>
      <sheetName val="tbl Tariff Revisions"/>
      <sheetName val="2. VOLUMES"/>
      <sheetName val="Purchases Tex"/>
      <sheetName val="Purchases Ten"/>
      <sheetName val="Purchases Trk"/>
      <sheetName val="Cont. NO210"/>
      <sheetName val="Cont. NO340"/>
      <sheetName val="Cont. NO435"/>
      <sheetName val="Cont. 3770"/>
      <sheetName val="Cont. 3817"/>
      <sheetName val="Cont.3355"/>
      <sheetName val="Cont. 3355.1"/>
      <sheetName val="Cont. 3819"/>
      <sheetName val="Cont.9213"/>
      <sheetName val="Tex Res"/>
      <sheetName val="Cont. T13687"/>
      <sheetName val="Cont. 2546"/>
      <sheetName val="Cont. 2546.1"/>
      <sheetName val="Cont. 2548"/>
      <sheetName val="Cont. 2548.1"/>
      <sheetName val="Cont. 2550"/>
      <sheetName val="Cont. 2550.1"/>
      <sheetName val="Cont. 2551"/>
      <sheetName val="Cont. 2551.1"/>
      <sheetName val="Cont. 2385"/>
      <sheetName val="7. Trunkline Gas"/>
      <sheetName val="Cont. 014573"/>
      <sheetName val="Trunk Res Fee"/>
      <sheetName val="Trunk Supp Res Fee"/>
      <sheetName val="Trunk Rates"/>
      <sheetName val="3. GCA HISTORY"/>
      <sheetName val="gca G1"/>
      <sheetName val="gca G1 HLF"/>
      <sheetName val="gca LVS1"/>
      <sheetName val="gca LVS1 HLF"/>
      <sheetName val="gca G2"/>
      <sheetName val="gca LVS2"/>
      <sheetName val="gca T2 G1"/>
      <sheetName val="gca T2 G1 HLF"/>
      <sheetName val="gca T4"/>
      <sheetName val="gca T2 G2"/>
      <sheetName val="gca T3"/>
      <sheetName val="4. REFUNDS"/>
      <sheetName val="R_Sales"/>
      <sheetName val="R_Transport"/>
      <sheetName val="CF"/>
      <sheetName val="PBRRF"/>
      <sheetName val="5.RATES_WKG"/>
      <sheetName val="G 1"/>
      <sheetName val="G1_HLF"/>
      <sheetName val="LVS 1"/>
      <sheetName val="LVS 1_HLF"/>
      <sheetName val="G 2"/>
      <sheetName val="LVS 2"/>
      <sheetName val="T2_G1"/>
      <sheetName val="T2_G1_HLF"/>
      <sheetName val="T4"/>
      <sheetName val="T2_G2"/>
      <sheetName val="T3"/>
      <sheetName val="6. RATES_TEXAS"/>
      <sheetName val="NNS demand"/>
      <sheetName val="NNS commodity"/>
      <sheetName val="FT demand"/>
      <sheetName val="FT commodity"/>
      <sheetName val="Fuel"/>
      <sheetName val="Tex Cash"/>
      <sheetName val="7. RATES_TENN"/>
      <sheetName val="FT GS"/>
      <sheetName val="FT A"/>
      <sheetName val="FT G"/>
      <sheetName val="FT G C"/>
      <sheetName val="S S"/>
      <sheetName val="Fuel_tenn"/>
      <sheetName val="Ten Cash"/>
      <sheetName val="8. EXHIBITS"/>
      <sheetName val="Sheet 4"/>
      <sheetName val="Sheet 5"/>
      <sheetName val="Sheet 6"/>
      <sheetName val="A.1"/>
      <sheetName val="A.2"/>
      <sheetName val="A.3"/>
      <sheetName val="A.4"/>
      <sheetName val="A.5"/>
      <sheetName val="B.1"/>
      <sheetName val="B.2"/>
      <sheetName val="B.3"/>
      <sheetName val="B.4"/>
      <sheetName val="B.5"/>
      <sheetName val="B.6"/>
      <sheetName val="B.7"/>
      <sheetName val="B.8"/>
      <sheetName val="B.9"/>
      <sheetName val="B.10"/>
      <sheetName val="B.11"/>
      <sheetName val="C.12"/>
      <sheetName val="C.13"/>
      <sheetName val="E.1(PBR or Refund)"/>
      <sheetName val="E.1 Certificate"/>
      <sheetName val="F.1"/>
      <sheetName val="F.2"/>
      <sheetName val="Module1"/>
      <sheetName val="Module2"/>
      <sheetName val="Module3"/>
      <sheetName val="Module4"/>
    </sheetNames>
    <sheetDataSet>
      <sheetData sheetId="0">
        <row r="1">
          <cell r="A1" t="str">
            <v>Contents</v>
          </cell>
        </row>
      </sheetData>
      <sheetData sheetId="1"/>
      <sheetData sheetId="2"/>
      <sheetData sheetId="3"/>
      <sheetData sheetId="4">
        <row r="1">
          <cell r="F1">
            <v>39091</v>
          </cell>
        </row>
        <row r="2">
          <cell r="F2" t="str">
            <v>Draft</v>
          </cell>
        </row>
        <row r="5">
          <cell r="F5" t="str">
            <v>2006-00000</v>
          </cell>
          <cell r="J5" t="str">
            <v>2006-00428</v>
          </cell>
          <cell r="Q5" t="str">
            <v>2006-0</v>
          </cell>
        </row>
        <row r="7">
          <cell r="F7" t="str">
            <v>2006-00428</v>
          </cell>
        </row>
        <row r="9">
          <cell r="F9">
            <v>39114</v>
          </cell>
          <cell r="J9">
            <v>39022</v>
          </cell>
        </row>
        <row r="11">
          <cell r="F11" t="str">
            <v>For Month of February, 2007</v>
          </cell>
        </row>
        <row r="12">
          <cell r="F12" t="str">
            <v>February 1, 2007</v>
          </cell>
        </row>
        <row r="13">
          <cell r="F13" t="str">
            <v>Winter</v>
          </cell>
        </row>
        <row r="18">
          <cell r="F18">
            <v>39022</v>
          </cell>
          <cell r="J18">
            <v>39022</v>
          </cell>
        </row>
        <row r="19">
          <cell r="Q19" t="str">
            <v>2006-0</v>
          </cell>
        </row>
        <row r="21">
          <cell r="F21" t="str">
            <v>February 2004</v>
          </cell>
          <cell r="Q21" t="str">
            <v>February</v>
          </cell>
          <cell r="R21">
            <v>1</v>
          </cell>
          <cell r="S21">
            <v>107</v>
          </cell>
          <cell r="T21" t="str">
            <v>107</v>
          </cell>
        </row>
        <row r="22">
          <cell r="N22" t="str">
            <v>6</v>
          </cell>
        </row>
        <row r="23">
          <cell r="F23">
            <v>35004</v>
          </cell>
          <cell r="Q23">
            <v>10</v>
          </cell>
          <cell r="S23" t="str">
            <v>October</v>
          </cell>
          <cell r="T23" t="str">
            <v>95</v>
          </cell>
        </row>
        <row r="24">
          <cell r="F24">
            <v>34639</v>
          </cell>
        </row>
        <row r="27">
          <cell r="F27">
            <v>39479</v>
          </cell>
        </row>
        <row r="185">
          <cell r="H185" t="str">
            <v>January</v>
          </cell>
          <cell r="J185">
            <v>1</v>
          </cell>
          <cell r="K185" t="str">
            <v>Winter</v>
          </cell>
        </row>
        <row r="186">
          <cell r="H186" t="str">
            <v>February</v>
          </cell>
          <cell r="J186">
            <v>2</v>
          </cell>
          <cell r="K186" t="str">
            <v>Winter</v>
          </cell>
        </row>
        <row r="187">
          <cell r="H187" t="str">
            <v>March</v>
          </cell>
          <cell r="J187">
            <v>3</v>
          </cell>
          <cell r="K187" t="str">
            <v>Winter</v>
          </cell>
        </row>
        <row r="188">
          <cell r="H188" t="str">
            <v>April</v>
          </cell>
          <cell r="J188">
            <v>4</v>
          </cell>
          <cell r="K188" t="str">
            <v>Summer</v>
          </cell>
        </row>
        <row r="189">
          <cell r="H189" t="str">
            <v>May</v>
          </cell>
          <cell r="J189">
            <v>5</v>
          </cell>
          <cell r="K189" t="str">
            <v>Summer</v>
          </cell>
        </row>
        <row r="190">
          <cell r="H190" t="str">
            <v>June</v>
          </cell>
          <cell r="J190">
            <v>6</v>
          </cell>
          <cell r="K190" t="str">
            <v>Summer</v>
          </cell>
        </row>
        <row r="191">
          <cell r="H191" t="str">
            <v>July</v>
          </cell>
          <cell r="J191">
            <v>7</v>
          </cell>
          <cell r="K191" t="str">
            <v>Summer</v>
          </cell>
        </row>
        <row r="192">
          <cell r="H192" t="str">
            <v>August</v>
          </cell>
          <cell r="J192">
            <v>8</v>
          </cell>
          <cell r="K192" t="str">
            <v>Summer</v>
          </cell>
        </row>
        <row r="193">
          <cell r="H193" t="str">
            <v>September</v>
          </cell>
          <cell r="J193">
            <v>9</v>
          </cell>
          <cell r="K193" t="str">
            <v>Summer</v>
          </cell>
        </row>
        <row r="194">
          <cell r="H194" t="str">
            <v>October</v>
          </cell>
          <cell r="J194">
            <v>10</v>
          </cell>
          <cell r="K194" t="str">
            <v>Summer</v>
          </cell>
        </row>
        <row r="195">
          <cell r="H195" t="str">
            <v>November</v>
          </cell>
          <cell r="J195">
            <v>11</v>
          </cell>
          <cell r="K195" t="str">
            <v>Winter</v>
          </cell>
        </row>
        <row r="196">
          <cell r="H196" t="str">
            <v>December</v>
          </cell>
          <cell r="J196">
            <v>12</v>
          </cell>
          <cell r="K196" t="str">
            <v>Winter</v>
          </cell>
        </row>
      </sheetData>
      <sheetData sheetId="5">
        <row r="3">
          <cell r="A3" t="str">
            <v>Month</v>
          </cell>
        </row>
      </sheetData>
      <sheetData sheetId="6"/>
      <sheetData sheetId="7">
        <row r="9">
          <cell r="A9">
            <v>35065</v>
          </cell>
          <cell r="B9">
            <v>2742500</v>
          </cell>
          <cell r="C9">
            <v>741000</v>
          </cell>
          <cell r="D9">
            <v>40000</v>
          </cell>
          <cell r="E9">
            <v>3523500</v>
          </cell>
          <cell r="G9">
            <v>950000</v>
          </cell>
          <cell r="H9">
            <v>-20000</v>
          </cell>
          <cell r="I9">
            <v>930000</v>
          </cell>
          <cell r="K9">
            <v>-20000</v>
          </cell>
          <cell r="L9">
            <v>1100000</v>
          </cell>
          <cell r="M9">
            <v>1080000</v>
          </cell>
          <cell r="O9">
            <v>46400</v>
          </cell>
          <cell r="Q9">
            <v>5579900</v>
          </cell>
          <cell r="S9">
            <v>2</v>
          </cell>
          <cell r="T9">
            <v>1.0249999999999999</v>
          </cell>
        </row>
        <row r="10">
          <cell r="A10">
            <v>35096</v>
          </cell>
          <cell r="B10">
            <v>2728450</v>
          </cell>
          <cell r="C10">
            <v>693900</v>
          </cell>
          <cell r="D10">
            <v>10000</v>
          </cell>
          <cell r="E10">
            <v>3432350</v>
          </cell>
          <cell r="G10">
            <v>850000</v>
          </cell>
          <cell r="H10">
            <v>-10000</v>
          </cell>
          <cell r="I10">
            <v>840000</v>
          </cell>
          <cell r="K10">
            <v>0</v>
          </cell>
          <cell r="L10">
            <v>1000000</v>
          </cell>
          <cell r="M10">
            <v>1000000</v>
          </cell>
          <cell r="O10">
            <v>46400</v>
          </cell>
          <cell r="Q10">
            <v>5318750</v>
          </cell>
          <cell r="S10">
            <v>2.5</v>
          </cell>
          <cell r="T10">
            <v>1.0249999999999999</v>
          </cell>
        </row>
        <row r="11">
          <cell r="A11">
            <v>35125</v>
          </cell>
          <cell r="B11">
            <v>1844500</v>
          </cell>
          <cell r="C11">
            <v>682000</v>
          </cell>
          <cell r="D11">
            <v>0</v>
          </cell>
          <cell r="E11">
            <v>2526500</v>
          </cell>
          <cell r="G11">
            <v>334860</v>
          </cell>
          <cell r="H11">
            <v>0</v>
          </cell>
          <cell r="I11">
            <v>334860</v>
          </cell>
          <cell r="K11">
            <v>0</v>
          </cell>
          <cell r="L11">
            <v>500000</v>
          </cell>
          <cell r="M11">
            <v>500000</v>
          </cell>
          <cell r="O11">
            <v>25500</v>
          </cell>
          <cell r="Q11">
            <v>3386860</v>
          </cell>
          <cell r="S11">
            <v>2</v>
          </cell>
          <cell r="T11">
            <v>1.0249999999999999</v>
          </cell>
        </row>
        <row r="12">
          <cell r="A12">
            <v>35156</v>
          </cell>
          <cell r="B12">
            <v>852500</v>
          </cell>
          <cell r="C12">
            <v>465000</v>
          </cell>
          <cell r="D12">
            <v>750000</v>
          </cell>
          <cell r="E12">
            <v>2067500</v>
          </cell>
          <cell r="G12">
            <v>0</v>
          </cell>
          <cell r="H12">
            <v>-300000</v>
          </cell>
          <cell r="I12">
            <v>-300000</v>
          </cell>
          <cell r="K12">
            <v>-450000</v>
          </cell>
          <cell r="L12">
            <v>0</v>
          </cell>
          <cell r="M12">
            <v>-450000</v>
          </cell>
          <cell r="O12">
            <v>50000</v>
          </cell>
          <cell r="Q12">
            <v>1367500</v>
          </cell>
          <cell r="S12">
            <v>2.4</v>
          </cell>
          <cell r="T12">
            <v>1.0249999999999999</v>
          </cell>
        </row>
        <row r="13">
          <cell r="A13">
            <v>35186</v>
          </cell>
          <cell r="B13">
            <v>759500</v>
          </cell>
          <cell r="C13">
            <v>356500</v>
          </cell>
          <cell r="D13">
            <v>1200000</v>
          </cell>
          <cell r="E13">
            <v>2316000</v>
          </cell>
          <cell r="G13">
            <v>0</v>
          </cell>
          <cell r="H13">
            <v>-700000</v>
          </cell>
          <cell r="I13">
            <v>-700000</v>
          </cell>
          <cell r="K13">
            <v>-500000</v>
          </cell>
          <cell r="L13">
            <v>0</v>
          </cell>
          <cell r="M13">
            <v>-500000</v>
          </cell>
          <cell r="O13">
            <v>50000</v>
          </cell>
          <cell r="Q13">
            <v>1166000</v>
          </cell>
          <cell r="S13">
            <v>2.5</v>
          </cell>
          <cell r="T13">
            <v>1.0249999999999999</v>
          </cell>
        </row>
        <row r="14">
          <cell r="A14">
            <v>35217</v>
          </cell>
          <cell r="B14">
            <v>935000</v>
          </cell>
          <cell r="C14">
            <v>950000</v>
          </cell>
          <cell r="D14">
            <v>1350000</v>
          </cell>
          <cell r="E14">
            <v>3235000</v>
          </cell>
          <cell r="G14">
            <v>0</v>
          </cell>
          <cell r="H14">
            <v>-550000</v>
          </cell>
          <cell r="I14">
            <v>-550000</v>
          </cell>
          <cell r="K14">
            <v>-800000</v>
          </cell>
          <cell r="L14">
            <v>0</v>
          </cell>
          <cell r="M14">
            <v>-800000</v>
          </cell>
          <cell r="O14">
            <v>40000</v>
          </cell>
          <cell r="Q14">
            <v>1925000</v>
          </cell>
          <cell r="S14">
            <v>2.4500000000000002</v>
          </cell>
          <cell r="T14">
            <v>1.0249999999999999</v>
          </cell>
        </row>
        <row r="15">
          <cell r="A15">
            <v>35247</v>
          </cell>
          <cell r="B15">
            <v>595000</v>
          </cell>
          <cell r="C15">
            <v>155000</v>
          </cell>
          <cell r="D15">
            <v>180000</v>
          </cell>
          <cell r="E15">
            <v>930000</v>
          </cell>
          <cell r="G15">
            <v>0</v>
          </cell>
          <cell r="H15">
            <v>-180000</v>
          </cell>
          <cell r="I15">
            <v>-180000</v>
          </cell>
          <cell r="K15">
            <v>0</v>
          </cell>
          <cell r="L15">
            <v>0</v>
          </cell>
          <cell r="M15">
            <v>0</v>
          </cell>
          <cell r="O15">
            <v>40000</v>
          </cell>
          <cell r="Q15">
            <v>790000</v>
          </cell>
          <cell r="S15">
            <v>2.2999999999999998</v>
          </cell>
          <cell r="T15">
            <v>1.0249999999999999</v>
          </cell>
        </row>
        <row r="16">
          <cell r="A16">
            <v>35278</v>
          </cell>
          <cell r="B16">
            <v>329760</v>
          </cell>
          <cell r="C16">
            <v>155000</v>
          </cell>
          <cell r="D16">
            <v>1232000</v>
          </cell>
          <cell r="E16">
            <v>1716760</v>
          </cell>
          <cell r="G16">
            <v>0</v>
          </cell>
          <cell r="H16">
            <v>-669000</v>
          </cell>
          <cell r="I16">
            <v>-669000</v>
          </cell>
          <cell r="K16">
            <v>-563000</v>
          </cell>
          <cell r="L16">
            <v>0</v>
          </cell>
          <cell r="M16">
            <v>-563000</v>
          </cell>
          <cell r="O16">
            <v>40000</v>
          </cell>
          <cell r="Q16">
            <v>524760</v>
          </cell>
          <cell r="S16">
            <v>2.75</v>
          </cell>
          <cell r="T16">
            <v>1.0249999999999999</v>
          </cell>
        </row>
        <row r="17">
          <cell r="A17">
            <v>35309</v>
          </cell>
          <cell r="B17">
            <v>600000</v>
          </cell>
          <cell r="C17">
            <v>150000</v>
          </cell>
          <cell r="D17">
            <v>950000</v>
          </cell>
          <cell r="E17">
            <v>1700000</v>
          </cell>
          <cell r="G17">
            <v>0</v>
          </cell>
          <cell r="H17">
            <v>-354000</v>
          </cell>
          <cell r="I17">
            <v>-354000</v>
          </cell>
          <cell r="K17">
            <v>-596000</v>
          </cell>
          <cell r="L17">
            <v>0</v>
          </cell>
          <cell r="M17">
            <v>-596000</v>
          </cell>
          <cell r="O17">
            <v>40000</v>
          </cell>
          <cell r="Q17">
            <v>790000</v>
          </cell>
          <cell r="S17">
            <v>2.35</v>
          </cell>
          <cell r="T17">
            <v>1.0249999999999999</v>
          </cell>
        </row>
        <row r="18">
          <cell r="A18">
            <v>35339</v>
          </cell>
          <cell r="B18">
            <v>840000</v>
          </cell>
          <cell r="C18">
            <v>155000</v>
          </cell>
          <cell r="D18">
            <v>500000</v>
          </cell>
          <cell r="E18">
            <v>1495000</v>
          </cell>
          <cell r="G18">
            <v>0</v>
          </cell>
          <cell r="H18">
            <v>-200000</v>
          </cell>
          <cell r="I18">
            <v>-200000</v>
          </cell>
          <cell r="K18">
            <v>-300000</v>
          </cell>
          <cell r="L18">
            <v>0</v>
          </cell>
          <cell r="M18">
            <v>-300000</v>
          </cell>
          <cell r="O18">
            <v>40000</v>
          </cell>
          <cell r="Q18">
            <v>1035000</v>
          </cell>
          <cell r="S18">
            <v>2.15</v>
          </cell>
          <cell r="T18">
            <v>1.0249999999999999</v>
          </cell>
        </row>
        <row r="19">
          <cell r="A19">
            <v>35370</v>
          </cell>
          <cell r="B19">
            <v>796500</v>
          </cell>
          <cell r="C19">
            <v>150000</v>
          </cell>
          <cell r="D19">
            <v>125000</v>
          </cell>
          <cell r="E19">
            <v>1071500</v>
          </cell>
          <cell r="G19">
            <v>600000</v>
          </cell>
          <cell r="H19">
            <v>0</v>
          </cell>
          <cell r="I19">
            <v>600000</v>
          </cell>
          <cell r="K19">
            <v>-125000</v>
          </cell>
          <cell r="L19">
            <v>400000</v>
          </cell>
          <cell r="M19">
            <v>275000</v>
          </cell>
          <cell r="O19">
            <v>70000</v>
          </cell>
          <cell r="Q19">
            <v>2016500</v>
          </cell>
          <cell r="S19">
            <v>2.2999999999999998</v>
          </cell>
          <cell r="T19">
            <v>1.0249999999999999</v>
          </cell>
        </row>
        <row r="20">
          <cell r="A20">
            <v>35400</v>
          </cell>
          <cell r="B20">
            <v>1213000</v>
          </cell>
          <cell r="C20">
            <v>372000</v>
          </cell>
          <cell r="D20">
            <v>0</v>
          </cell>
          <cell r="E20">
            <v>1585000</v>
          </cell>
          <cell r="G20">
            <v>350000</v>
          </cell>
          <cell r="H20">
            <v>0</v>
          </cell>
          <cell r="I20">
            <v>350000</v>
          </cell>
          <cell r="K20">
            <v>0</v>
          </cell>
          <cell r="L20">
            <v>850000</v>
          </cell>
          <cell r="M20">
            <v>850000</v>
          </cell>
          <cell r="O20">
            <v>75000</v>
          </cell>
          <cell r="Q20">
            <v>2860000</v>
          </cell>
          <cell r="S20">
            <v>2.85</v>
          </cell>
          <cell r="T20">
            <v>1.0249999999999999</v>
          </cell>
        </row>
        <row r="21">
          <cell r="A21">
            <v>35431</v>
          </cell>
          <cell r="B21">
            <v>2068500</v>
          </cell>
          <cell r="C21">
            <v>573500</v>
          </cell>
          <cell r="D21">
            <v>0</v>
          </cell>
          <cell r="E21">
            <v>2642000</v>
          </cell>
          <cell r="G21">
            <v>1225000</v>
          </cell>
          <cell r="H21">
            <v>0</v>
          </cell>
          <cell r="I21">
            <v>1225000</v>
          </cell>
          <cell r="K21">
            <v>0</v>
          </cell>
          <cell r="L21">
            <v>850000</v>
          </cell>
          <cell r="M21">
            <v>850000</v>
          </cell>
          <cell r="O21">
            <v>0</v>
          </cell>
          <cell r="Q21">
            <v>4717000</v>
          </cell>
          <cell r="S21">
            <v>3.15</v>
          </cell>
          <cell r="T21">
            <v>1.0249999999999999</v>
          </cell>
        </row>
        <row r="22">
          <cell r="A22">
            <v>35462</v>
          </cell>
          <cell r="B22">
            <v>1410000</v>
          </cell>
          <cell r="C22">
            <v>686000</v>
          </cell>
          <cell r="D22">
            <v>0</v>
          </cell>
          <cell r="E22">
            <v>2096000</v>
          </cell>
          <cell r="G22">
            <v>798000</v>
          </cell>
          <cell r="H22">
            <v>0</v>
          </cell>
          <cell r="I22">
            <v>798000</v>
          </cell>
          <cell r="K22">
            <v>0</v>
          </cell>
          <cell r="L22">
            <v>980000</v>
          </cell>
          <cell r="M22">
            <v>980000</v>
          </cell>
          <cell r="O22">
            <v>55000</v>
          </cell>
          <cell r="Q22">
            <v>3929000</v>
          </cell>
          <cell r="S22">
            <v>3.3</v>
          </cell>
          <cell r="T22">
            <v>1.0249999999999999</v>
          </cell>
        </row>
        <row r="23">
          <cell r="A23">
            <v>35490</v>
          </cell>
          <cell r="B23">
            <v>1340000</v>
          </cell>
          <cell r="C23">
            <v>555000</v>
          </cell>
          <cell r="D23">
            <v>5000</v>
          </cell>
          <cell r="E23">
            <v>1900000</v>
          </cell>
          <cell r="G23">
            <v>410000</v>
          </cell>
          <cell r="H23">
            <v>0</v>
          </cell>
          <cell r="I23">
            <v>410000</v>
          </cell>
          <cell r="K23">
            <v>-5000</v>
          </cell>
          <cell r="L23">
            <v>495000</v>
          </cell>
          <cell r="M23">
            <v>490000</v>
          </cell>
          <cell r="O23">
            <v>0</v>
          </cell>
          <cell r="Q23">
            <v>2800000</v>
          </cell>
          <cell r="S23">
            <v>2.6</v>
          </cell>
          <cell r="T23">
            <v>1.0249999999999999</v>
          </cell>
        </row>
        <row r="24">
          <cell r="A24">
            <v>35521</v>
          </cell>
          <cell r="B24">
            <v>1150000</v>
          </cell>
          <cell r="C24">
            <v>550000</v>
          </cell>
          <cell r="D24">
            <v>150000</v>
          </cell>
          <cell r="E24">
            <v>1850000</v>
          </cell>
          <cell r="G24">
            <v>100000</v>
          </cell>
          <cell r="H24">
            <v>-100000</v>
          </cell>
          <cell r="I24">
            <v>0</v>
          </cell>
          <cell r="K24">
            <v>-150000</v>
          </cell>
          <cell r="L24">
            <v>100000</v>
          </cell>
          <cell r="M24">
            <v>-50000</v>
          </cell>
          <cell r="O24">
            <v>50000</v>
          </cell>
          <cell r="Q24">
            <v>1850000</v>
          </cell>
          <cell r="S24">
            <v>1.9</v>
          </cell>
          <cell r="T24">
            <v>1.0249999999999999</v>
          </cell>
        </row>
        <row r="25">
          <cell r="A25">
            <v>35551</v>
          </cell>
          <cell r="B25">
            <v>1200000</v>
          </cell>
          <cell r="C25">
            <v>425000</v>
          </cell>
          <cell r="D25">
            <v>1000000</v>
          </cell>
          <cell r="E25">
            <v>2625000</v>
          </cell>
          <cell r="G25">
            <v>0</v>
          </cell>
          <cell r="H25">
            <v>-650000</v>
          </cell>
          <cell r="I25">
            <v>-650000</v>
          </cell>
          <cell r="K25">
            <v>-350000</v>
          </cell>
          <cell r="L25">
            <v>0</v>
          </cell>
          <cell r="M25">
            <v>-350000</v>
          </cell>
          <cell r="O25">
            <v>10000</v>
          </cell>
          <cell r="Q25">
            <v>1635000</v>
          </cell>
          <cell r="S25">
            <v>1.75</v>
          </cell>
          <cell r="T25">
            <v>1.0249999999999999</v>
          </cell>
        </row>
        <row r="26">
          <cell r="A26">
            <v>35582</v>
          </cell>
          <cell r="B26">
            <v>1200000</v>
          </cell>
          <cell r="C26">
            <v>425000</v>
          </cell>
          <cell r="D26">
            <v>1090000</v>
          </cell>
          <cell r="E26">
            <v>2715000</v>
          </cell>
          <cell r="G26">
            <v>0</v>
          </cell>
          <cell r="H26">
            <v>-700000</v>
          </cell>
          <cell r="I26">
            <v>-700000</v>
          </cell>
          <cell r="K26">
            <v>-390000</v>
          </cell>
          <cell r="L26">
            <v>0</v>
          </cell>
          <cell r="M26">
            <v>-390000</v>
          </cell>
          <cell r="O26">
            <v>35000</v>
          </cell>
          <cell r="Q26">
            <v>1660000</v>
          </cell>
          <cell r="S26">
            <v>2</v>
          </cell>
          <cell r="T26">
            <v>1.0249999999999999</v>
          </cell>
        </row>
        <row r="27">
          <cell r="A27">
            <v>35612</v>
          </cell>
          <cell r="B27">
            <v>1375000</v>
          </cell>
          <cell r="C27">
            <v>350000</v>
          </cell>
          <cell r="D27">
            <v>1154000</v>
          </cell>
          <cell r="E27">
            <v>2879000</v>
          </cell>
          <cell r="G27">
            <v>0</v>
          </cell>
          <cell r="H27">
            <v>-630000</v>
          </cell>
          <cell r="I27">
            <v>-630000</v>
          </cell>
          <cell r="K27">
            <v>-524000</v>
          </cell>
          <cell r="L27">
            <v>0</v>
          </cell>
          <cell r="M27">
            <v>-524000</v>
          </cell>
          <cell r="O27">
            <v>0</v>
          </cell>
          <cell r="Q27">
            <v>1725000</v>
          </cell>
          <cell r="S27">
            <v>2.15</v>
          </cell>
          <cell r="T27">
            <v>1.0249999999999999</v>
          </cell>
        </row>
        <row r="28">
          <cell r="A28">
            <v>35643</v>
          </cell>
          <cell r="B28">
            <v>1465000</v>
          </cell>
          <cell r="C28">
            <v>365000</v>
          </cell>
          <cell r="D28">
            <v>1035000</v>
          </cell>
          <cell r="E28">
            <v>2865000</v>
          </cell>
          <cell r="G28">
            <v>0</v>
          </cell>
          <cell r="H28">
            <v>-535000</v>
          </cell>
          <cell r="I28">
            <v>-535000</v>
          </cell>
          <cell r="K28">
            <v>-500000</v>
          </cell>
          <cell r="L28">
            <v>0</v>
          </cell>
          <cell r="M28">
            <v>-500000</v>
          </cell>
          <cell r="O28">
            <v>0</v>
          </cell>
          <cell r="Q28">
            <v>1830000</v>
          </cell>
          <cell r="S28">
            <v>2.35</v>
          </cell>
          <cell r="T28">
            <v>1.0249999999999999</v>
          </cell>
        </row>
        <row r="29">
          <cell r="A29">
            <v>35674</v>
          </cell>
          <cell r="B29">
            <v>1555000</v>
          </cell>
          <cell r="C29">
            <v>365000</v>
          </cell>
          <cell r="D29">
            <v>800000</v>
          </cell>
          <cell r="E29">
            <v>2720000</v>
          </cell>
          <cell r="G29">
            <v>0</v>
          </cell>
          <cell r="H29">
            <v>-270000</v>
          </cell>
          <cell r="I29">
            <v>-270000</v>
          </cell>
          <cell r="K29">
            <v>-530000</v>
          </cell>
          <cell r="L29">
            <v>0</v>
          </cell>
          <cell r="M29">
            <v>-530000</v>
          </cell>
          <cell r="O29">
            <v>45000</v>
          </cell>
          <cell r="Q29">
            <v>1965000</v>
          </cell>
          <cell r="S29">
            <v>2.35</v>
          </cell>
          <cell r="T29">
            <v>1.0249999999999999</v>
          </cell>
        </row>
        <row r="30">
          <cell r="A30">
            <v>35704</v>
          </cell>
          <cell r="B30">
            <v>1670000</v>
          </cell>
          <cell r="C30">
            <v>365000</v>
          </cell>
          <cell r="D30">
            <v>773000</v>
          </cell>
          <cell r="E30">
            <v>2808000</v>
          </cell>
          <cell r="G30">
            <v>0</v>
          </cell>
          <cell r="H30">
            <v>-273000</v>
          </cell>
          <cell r="I30">
            <v>-273000</v>
          </cell>
          <cell r="K30">
            <v>-500000</v>
          </cell>
          <cell r="L30">
            <v>0</v>
          </cell>
          <cell r="M30">
            <v>-500000</v>
          </cell>
          <cell r="O30">
            <v>40000</v>
          </cell>
          <cell r="Q30">
            <v>2075000</v>
          </cell>
          <cell r="S30">
            <v>2.5499999999999998</v>
          </cell>
          <cell r="T30">
            <v>1.0249999999999999</v>
          </cell>
        </row>
        <row r="31">
          <cell r="A31">
            <v>35735</v>
          </cell>
          <cell r="B31">
            <v>1770000</v>
          </cell>
          <cell r="C31">
            <v>400000</v>
          </cell>
          <cell r="D31">
            <v>150000</v>
          </cell>
          <cell r="E31">
            <v>2320000</v>
          </cell>
          <cell r="G31">
            <v>90000</v>
          </cell>
          <cell r="H31">
            <v>0</v>
          </cell>
          <cell r="I31">
            <v>90000</v>
          </cell>
          <cell r="K31">
            <v>-150000</v>
          </cell>
          <cell r="L31">
            <v>100000</v>
          </cell>
          <cell r="M31">
            <v>-50000</v>
          </cell>
          <cell r="O31">
            <v>40000</v>
          </cell>
          <cell r="Q31">
            <v>2400000</v>
          </cell>
          <cell r="S31">
            <v>3.65</v>
          </cell>
          <cell r="T31">
            <v>1.0249999999999999</v>
          </cell>
        </row>
        <row r="32">
          <cell r="A32">
            <v>35765</v>
          </cell>
          <cell r="B32">
            <v>1015000</v>
          </cell>
          <cell r="C32">
            <v>400000</v>
          </cell>
          <cell r="D32">
            <v>0</v>
          </cell>
          <cell r="E32">
            <v>1415000</v>
          </cell>
          <cell r="G32">
            <v>1240000</v>
          </cell>
          <cell r="H32">
            <v>0</v>
          </cell>
          <cell r="I32">
            <v>1240000</v>
          </cell>
          <cell r="K32">
            <v>0</v>
          </cell>
          <cell r="L32">
            <v>625000</v>
          </cell>
          <cell r="M32">
            <v>625000</v>
          </cell>
          <cell r="O32">
            <v>40000</v>
          </cell>
          <cell r="Q32">
            <v>3320000</v>
          </cell>
          <cell r="S32">
            <v>3.98</v>
          </cell>
          <cell r="T32">
            <v>1.0249999999999999</v>
          </cell>
        </row>
        <row r="33">
          <cell r="A33">
            <v>35796</v>
          </cell>
          <cell r="B33">
            <v>1578000</v>
          </cell>
          <cell r="C33">
            <v>573500</v>
          </cell>
          <cell r="D33">
            <v>0</v>
          </cell>
          <cell r="E33">
            <v>2151500</v>
          </cell>
          <cell r="G33">
            <v>1137000</v>
          </cell>
          <cell r="H33">
            <v>0</v>
          </cell>
          <cell r="I33">
            <v>1137000</v>
          </cell>
          <cell r="K33">
            <v>0</v>
          </cell>
          <cell r="L33">
            <v>1297000</v>
          </cell>
          <cell r="M33">
            <v>1297000</v>
          </cell>
          <cell r="O33">
            <v>0</v>
          </cell>
          <cell r="Q33">
            <v>4585500</v>
          </cell>
          <cell r="S33">
            <v>3.48</v>
          </cell>
          <cell r="T33">
            <v>1.0249999999999999</v>
          </cell>
        </row>
        <row r="34">
          <cell r="A34">
            <v>35827</v>
          </cell>
          <cell r="B34">
            <v>1539000</v>
          </cell>
          <cell r="C34">
            <v>518000</v>
          </cell>
          <cell r="D34">
            <v>0</v>
          </cell>
          <cell r="E34">
            <v>2057000</v>
          </cell>
          <cell r="G34">
            <v>803475</v>
          </cell>
          <cell r="H34">
            <v>0</v>
          </cell>
          <cell r="I34">
            <v>803475</v>
          </cell>
          <cell r="K34">
            <v>0</v>
          </cell>
          <cell r="L34">
            <v>1100000</v>
          </cell>
          <cell r="M34">
            <v>1100000</v>
          </cell>
          <cell r="O34">
            <v>36000</v>
          </cell>
          <cell r="Q34">
            <v>3996475</v>
          </cell>
          <cell r="S34">
            <v>2.5</v>
          </cell>
          <cell r="T34">
            <v>1.0249999999999999</v>
          </cell>
        </row>
        <row r="35">
          <cell r="A35">
            <v>35855</v>
          </cell>
          <cell r="B35">
            <v>1250000</v>
          </cell>
          <cell r="C35">
            <v>418500</v>
          </cell>
          <cell r="D35">
            <v>0</v>
          </cell>
          <cell r="E35">
            <v>1668500</v>
          </cell>
          <cell r="G35">
            <v>284000</v>
          </cell>
          <cell r="H35">
            <v>0</v>
          </cell>
          <cell r="I35">
            <v>284000</v>
          </cell>
          <cell r="K35">
            <v>0</v>
          </cell>
          <cell r="L35">
            <v>800000</v>
          </cell>
          <cell r="M35">
            <v>800000</v>
          </cell>
          <cell r="O35">
            <v>39000</v>
          </cell>
          <cell r="Q35">
            <v>2791500</v>
          </cell>
          <cell r="S35">
            <v>2.23</v>
          </cell>
          <cell r="T35">
            <v>1.0249999999999999</v>
          </cell>
        </row>
        <row r="36">
          <cell r="A36">
            <v>35886</v>
          </cell>
          <cell r="B36">
            <v>810000</v>
          </cell>
          <cell r="C36">
            <v>330000</v>
          </cell>
          <cell r="D36">
            <v>446000</v>
          </cell>
          <cell r="E36">
            <v>1586000</v>
          </cell>
          <cell r="G36">
            <v>0</v>
          </cell>
          <cell r="H36">
            <v>-156000</v>
          </cell>
          <cell r="I36">
            <v>-156000</v>
          </cell>
          <cell r="K36">
            <v>-290000</v>
          </cell>
          <cell r="L36">
            <v>0</v>
          </cell>
          <cell r="M36">
            <v>-290000</v>
          </cell>
          <cell r="O36">
            <v>41000</v>
          </cell>
          <cell r="Q36">
            <v>1181000</v>
          </cell>
          <cell r="S36">
            <v>2.2599999999999998</v>
          </cell>
          <cell r="T36">
            <v>1.0249999999999999</v>
          </cell>
        </row>
        <row r="37">
          <cell r="A37">
            <v>35916</v>
          </cell>
          <cell r="B37">
            <v>488375</v>
          </cell>
          <cell r="C37">
            <v>116000</v>
          </cell>
          <cell r="D37">
            <v>1085000</v>
          </cell>
          <cell r="E37">
            <v>1689375</v>
          </cell>
          <cell r="G37">
            <v>0</v>
          </cell>
          <cell r="H37">
            <v>-575000</v>
          </cell>
          <cell r="I37">
            <v>-575000</v>
          </cell>
          <cell r="K37">
            <v>-510000</v>
          </cell>
          <cell r="L37">
            <v>0</v>
          </cell>
          <cell r="M37">
            <v>-510000</v>
          </cell>
          <cell r="O37">
            <v>37000</v>
          </cell>
          <cell r="Q37">
            <v>641375</v>
          </cell>
          <cell r="S37">
            <v>2.41</v>
          </cell>
          <cell r="T37">
            <v>1.0249999999999999</v>
          </cell>
        </row>
        <row r="38">
          <cell r="A38">
            <v>35947</v>
          </cell>
          <cell r="B38">
            <v>23853</v>
          </cell>
          <cell r="C38">
            <v>153120</v>
          </cell>
          <cell r="D38">
            <v>1407210</v>
          </cell>
          <cell r="E38">
            <v>1584183</v>
          </cell>
          <cell r="G38">
            <v>0</v>
          </cell>
          <cell r="H38">
            <v>-597210</v>
          </cell>
          <cell r="I38">
            <v>-597210</v>
          </cell>
          <cell r="K38">
            <v>-810000</v>
          </cell>
          <cell r="L38">
            <v>0</v>
          </cell>
          <cell r="M38">
            <v>-810000</v>
          </cell>
          <cell r="O38">
            <v>40000</v>
          </cell>
          <cell r="Q38">
            <v>216973</v>
          </cell>
          <cell r="S38">
            <v>2.4</v>
          </cell>
          <cell r="T38">
            <v>1.0249999999999999</v>
          </cell>
        </row>
        <row r="39">
          <cell r="A39">
            <v>35977</v>
          </cell>
          <cell r="B39">
            <v>0</v>
          </cell>
          <cell r="C39">
            <v>81617</v>
          </cell>
          <cell r="D39">
            <v>1157412</v>
          </cell>
          <cell r="E39">
            <v>1239029</v>
          </cell>
          <cell r="G39">
            <v>0</v>
          </cell>
          <cell r="H39">
            <v>-633800</v>
          </cell>
          <cell r="I39">
            <v>-633800</v>
          </cell>
          <cell r="K39">
            <v>-523612</v>
          </cell>
          <cell r="L39">
            <v>0</v>
          </cell>
          <cell r="M39">
            <v>-523612</v>
          </cell>
          <cell r="O39">
            <v>40000</v>
          </cell>
          <cell r="Q39">
            <v>121617</v>
          </cell>
          <cell r="S39">
            <v>2.2999999999999998</v>
          </cell>
          <cell r="T39">
            <v>1.0249999999999999</v>
          </cell>
        </row>
        <row r="40">
          <cell r="A40">
            <v>36008</v>
          </cell>
          <cell r="B40">
            <v>282638</v>
          </cell>
          <cell r="C40">
            <v>263500</v>
          </cell>
          <cell r="D40">
            <v>1148606</v>
          </cell>
          <cell r="E40">
            <v>1694744</v>
          </cell>
          <cell r="G40">
            <v>0</v>
          </cell>
          <cell r="H40">
            <v>-644006</v>
          </cell>
          <cell r="I40">
            <v>-644006</v>
          </cell>
          <cell r="K40">
            <v>-504600</v>
          </cell>
          <cell r="L40">
            <v>0</v>
          </cell>
          <cell r="M40">
            <v>-504600</v>
          </cell>
          <cell r="O40">
            <v>41600</v>
          </cell>
          <cell r="Q40">
            <v>587738</v>
          </cell>
          <cell r="S40">
            <v>2.4500000000000002</v>
          </cell>
          <cell r="T40">
            <v>1.0249999999999999</v>
          </cell>
        </row>
        <row r="41">
          <cell r="A41">
            <v>36039</v>
          </cell>
          <cell r="B41">
            <v>323133</v>
          </cell>
          <cell r="C41">
            <v>255000</v>
          </cell>
          <cell r="D41">
            <v>710559</v>
          </cell>
          <cell r="E41">
            <v>1288692</v>
          </cell>
          <cell r="G41">
            <v>0</v>
          </cell>
          <cell r="H41">
            <v>-342359</v>
          </cell>
          <cell r="I41">
            <v>-342359</v>
          </cell>
          <cell r="K41">
            <v>-368200</v>
          </cell>
          <cell r="L41">
            <v>0</v>
          </cell>
          <cell r="M41">
            <v>-368200</v>
          </cell>
          <cell r="O41">
            <v>35000</v>
          </cell>
          <cell r="Q41">
            <v>613133</v>
          </cell>
          <cell r="S41">
            <v>2.15</v>
          </cell>
          <cell r="T41">
            <v>1.0249999999999999</v>
          </cell>
        </row>
        <row r="42">
          <cell r="A42">
            <v>36069</v>
          </cell>
          <cell r="B42">
            <v>1036843</v>
          </cell>
          <cell r="C42">
            <v>258500</v>
          </cell>
          <cell r="D42">
            <v>434000</v>
          </cell>
          <cell r="E42">
            <v>1729343</v>
          </cell>
          <cell r="G42">
            <v>0</v>
          </cell>
          <cell r="H42">
            <v>-303000</v>
          </cell>
          <cell r="I42">
            <v>-303000</v>
          </cell>
          <cell r="K42">
            <v>-131000</v>
          </cell>
          <cell r="L42">
            <v>0</v>
          </cell>
          <cell r="M42">
            <v>-131000</v>
          </cell>
          <cell r="O42">
            <v>35000</v>
          </cell>
          <cell r="Q42">
            <v>1330343</v>
          </cell>
          <cell r="S42">
            <v>2.15</v>
          </cell>
          <cell r="T42">
            <v>1.0249999999999999</v>
          </cell>
        </row>
        <row r="43">
          <cell r="A43">
            <v>36100</v>
          </cell>
          <cell r="B43">
            <v>2196500</v>
          </cell>
          <cell r="C43">
            <v>258500</v>
          </cell>
          <cell r="D43">
            <v>-750000</v>
          </cell>
          <cell r="E43">
            <v>1705000</v>
          </cell>
          <cell r="G43">
            <v>450000</v>
          </cell>
          <cell r="H43">
            <v>0</v>
          </cell>
          <cell r="I43">
            <v>450000</v>
          </cell>
          <cell r="K43">
            <v>0</v>
          </cell>
          <cell r="L43">
            <v>300000</v>
          </cell>
          <cell r="M43">
            <v>300000</v>
          </cell>
          <cell r="O43">
            <v>35000</v>
          </cell>
          <cell r="Q43">
            <v>2490000</v>
          </cell>
          <cell r="S43">
            <v>2.5099999999999998</v>
          </cell>
          <cell r="T43">
            <v>1.0249999999999999</v>
          </cell>
        </row>
        <row r="44">
          <cell r="A44">
            <v>36130</v>
          </cell>
          <cell r="B44">
            <v>2817726</v>
          </cell>
          <cell r="C44">
            <v>258500</v>
          </cell>
          <cell r="D44">
            <v>-1900000</v>
          </cell>
          <cell r="E44">
            <v>1176226</v>
          </cell>
          <cell r="G44">
            <v>1000000</v>
          </cell>
          <cell r="H44">
            <v>0</v>
          </cell>
          <cell r="I44">
            <v>1000000</v>
          </cell>
          <cell r="K44">
            <v>0</v>
          </cell>
          <cell r="L44">
            <v>900000</v>
          </cell>
          <cell r="M44">
            <v>900000</v>
          </cell>
          <cell r="O44">
            <v>35000</v>
          </cell>
          <cell r="Q44">
            <v>3111226</v>
          </cell>
          <cell r="S44">
            <v>2.37</v>
          </cell>
          <cell r="T44">
            <v>1.0249999999999999</v>
          </cell>
        </row>
        <row r="45">
          <cell r="A45">
            <v>36161</v>
          </cell>
          <cell r="B45">
            <v>4145720</v>
          </cell>
          <cell r="C45">
            <v>258500</v>
          </cell>
          <cell r="D45">
            <v>-1900000</v>
          </cell>
          <cell r="E45">
            <v>2504220</v>
          </cell>
          <cell r="G45">
            <v>1000000</v>
          </cell>
          <cell r="H45">
            <v>0</v>
          </cell>
          <cell r="I45">
            <v>1000000</v>
          </cell>
          <cell r="K45">
            <v>0</v>
          </cell>
          <cell r="L45">
            <v>900000</v>
          </cell>
          <cell r="M45">
            <v>900000</v>
          </cell>
          <cell r="O45">
            <v>35000</v>
          </cell>
          <cell r="Q45">
            <v>4439220</v>
          </cell>
          <cell r="S45">
            <v>2.25</v>
          </cell>
          <cell r="T45">
            <v>1.0249999999999999</v>
          </cell>
        </row>
        <row r="46">
          <cell r="A46">
            <v>36192</v>
          </cell>
          <cell r="B46">
            <v>3410080</v>
          </cell>
          <cell r="C46">
            <v>258500</v>
          </cell>
          <cell r="D46">
            <v>-1650000</v>
          </cell>
          <cell r="E46">
            <v>2018580</v>
          </cell>
          <cell r="G46">
            <v>850000</v>
          </cell>
          <cell r="H46">
            <v>0</v>
          </cell>
          <cell r="I46">
            <v>850000</v>
          </cell>
          <cell r="K46">
            <v>0</v>
          </cell>
          <cell r="L46">
            <v>800000</v>
          </cell>
          <cell r="M46">
            <v>800000</v>
          </cell>
          <cell r="O46">
            <v>35000</v>
          </cell>
          <cell r="Q46">
            <v>3703580</v>
          </cell>
          <cell r="S46">
            <v>1.81</v>
          </cell>
          <cell r="T46">
            <v>1.0249999999999999</v>
          </cell>
        </row>
        <row r="47">
          <cell r="A47">
            <v>36220</v>
          </cell>
          <cell r="B47">
            <v>2624216</v>
          </cell>
          <cell r="C47">
            <v>263500</v>
          </cell>
          <cell r="D47">
            <v>-862500</v>
          </cell>
          <cell r="E47">
            <v>2025216</v>
          </cell>
          <cell r="G47">
            <v>425500</v>
          </cell>
          <cell r="H47">
            <v>0</v>
          </cell>
          <cell r="I47">
            <v>425500</v>
          </cell>
          <cell r="K47">
            <v>0</v>
          </cell>
          <cell r="L47">
            <v>437000</v>
          </cell>
          <cell r="M47">
            <v>437000</v>
          </cell>
          <cell r="O47">
            <v>22500</v>
          </cell>
          <cell r="Q47">
            <v>2910216</v>
          </cell>
          <cell r="S47">
            <v>1.77</v>
          </cell>
          <cell r="T47">
            <v>1.0249999999999999</v>
          </cell>
        </row>
        <row r="48">
          <cell r="A48">
            <v>36251</v>
          </cell>
          <cell r="B48">
            <v>1384213</v>
          </cell>
          <cell r="C48">
            <v>258500</v>
          </cell>
          <cell r="D48">
            <v>446000</v>
          </cell>
          <cell r="E48">
            <v>2088713</v>
          </cell>
          <cell r="G48">
            <v>0</v>
          </cell>
          <cell r="H48">
            <v>-156000</v>
          </cell>
          <cell r="I48">
            <v>-156000</v>
          </cell>
          <cell r="K48">
            <v>-290000</v>
          </cell>
          <cell r="L48">
            <v>0</v>
          </cell>
          <cell r="M48">
            <v>-290000</v>
          </cell>
          <cell r="O48">
            <v>21000</v>
          </cell>
          <cell r="Q48">
            <v>1663713</v>
          </cell>
          <cell r="S48">
            <v>1.75</v>
          </cell>
          <cell r="T48">
            <v>1.0249999999999999</v>
          </cell>
        </row>
        <row r="49">
          <cell r="A49">
            <v>36281</v>
          </cell>
          <cell r="B49">
            <v>735665</v>
          </cell>
          <cell r="C49">
            <v>258500</v>
          </cell>
          <cell r="D49">
            <v>1229000</v>
          </cell>
          <cell r="E49">
            <v>2223165</v>
          </cell>
          <cell r="G49">
            <v>0</v>
          </cell>
          <cell r="H49">
            <v>-657000</v>
          </cell>
          <cell r="I49">
            <v>-657000</v>
          </cell>
          <cell r="K49">
            <v>-572000</v>
          </cell>
          <cell r="L49">
            <v>0</v>
          </cell>
          <cell r="M49">
            <v>-572000</v>
          </cell>
          <cell r="O49">
            <v>21000</v>
          </cell>
          <cell r="Q49">
            <v>1015165</v>
          </cell>
          <cell r="S49">
            <v>1.66</v>
          </cell>
          <cell r="T49">
            <v>1.0249999999999999</v>
          </cell>
        </row>
        <row r="50">
          <cell r="A50">
            <v>36312</v>
          </cell>
          <cell r="B50">
            <v>559048</v>
          </cell>
          <cell r="C50">
            <v>255000</v>
          </cell>
          <cell r="D50">
            <v>1306000</v>
          </cell>
          <cell r="E50">
            <v>2120048</v>
          </cell>
          <cell r="G50">
            <v>0</v>
          </cell>
          <cell r="H50">
            <v>-708000</v>
          </cell>
          <cell r="I50">
            <v>-708000</v>
          </cell>
          <cell r="K50">
            <v>-598000</v>
          </cell>
          <cell r="L50">
            <v>0</v>
          </cell>
          <cell r="M50">
            <v>-598000</v>
          </cell>
          <cell r="O50">
            <v>20000</v>
          </cell>
          <cell r="Q50">
            <v>834048</v>
          </cell>
          <cell r="S50">
            <v>2.0499999999999998</v>
          </cell>
          <cell r="T50">
            <v>1.0249999999999999</v>
          </cell>
        </row>
        <row r="51">
          <cell r="A51">
            <v>36342</v>
          </cell>
          <cell r="B51">
            <v>420527</v>
          </cell>
          <cell r="C51">
            <v>263500</v>
          </cell>
          <cell r="D51">
            <v>1313000</v>
          </cell>
          <cell r="E51">
            <v>1997027</v>
          </cell>
          <cell r="G51">
            <v>0</v>
          </cell>
          <cell r="H51">
            <v>-719000</v>
          </cell>
          <cell r="I51">
            <v>-719000</v>
          </cell>
          <cell r="K51">
            <v>-594000</v>
          </cell>
          <cell r="L51">
            <v>0</v>
          </cell>
          <cell r="M51">
            <v>-594000</v>
          </cell>
          <cell r="O51">
            <v>19000</v>
          </cell>
          <cell r="Q51">
            <v>703027</v>
          </cell>
          <cell r="S51">
            <v>2.34</v>
          </cell>
          <cell r="T51">
            <v>1.0249999999999999</v>
          </cell>
        </row>
        <row r="52">
          <cell r="A52">
            <v>36373</v>
          </cell>
          <cell r="B52">
            <v>403116</v>
          </cell>
          <cell r="C52">
            <v>263500</v>
          </cell>
          <cell r="D52">
            <v>1174000</v>
          </cell>
          <cell r="E52">
            <v>1840616</v>
          </cell>
          <cell r="G52">
            <v>0</v>
          </cell>
          <cell r="H52">
            <v>-606000</v>
          </cell>
          <cell r="I52">
            <v>-606000</v>
          </cell>
          <cell r="K52">
            <v>-568000</v>
          </cell>
          <cell r="L52">
            <v>0</v>
          </cell>
          <cell r="M52">
            <v>-568000</v>
          </cell>
          <cell r="O52">
            <v>18000</v>
          </cell>
          <cell r="Q52">
            <v>684616</v>
          </cell>
          <cell r="S52">
            <v>2.1500000000000004</v>
          </cell>
          <cell r="T52">
            <v>1.0249999999999999</v>
          </cell>
        </row>
        <row r="53">
          <cell r="A53">
            <v>36404</v>
          </cell>
          <cell r="B53">
            <v>511029</v>
          </cell>
          <cell r="C53">
            <v>263500</v>
          </cell>
          <cell r="D53">
            <v>905000</v>
          </cell>
          <cell r="E53">
            <v>1679529</v>
          </cell>
          <cell r="G53">
            <v>0</v>
          </cell>
          <cell r="H53">
            <v>-303000</v>
          </cell>
          <cell r="I53">
            <v>-303000</v>
          </cell>
          <cell r="K53">
            <v>-602000</v>
          </cell>
          <cell r="L53">
            <v>0</v>
          </cell>
          <cell r="M53">
            <v>-602000</v>
          </cell>
          <cell r="O53">
            <v>20000</v>
          </cell>
          <cell r="Q53">
            <v>794529</v>
          </cell>
          <cell r="S53">
            <v>2.1500000000000004</v>
          </cell>
          <cell r="T53">
            <v>1.0249999999999999</v>
          </cell>
        </row>
        <row r="54">
          <cell r="A54">
            <v>36434</v>
          </cell>
          <cell r="B54">
            <v>1052461</v>
          </cell>
          <cell r="C54">
            <v>263500</v>
          </cell>
          <cell r="D54">
            <v>435000</v>
          </cell>
          <cell r="E54">
            <v>1750961</v>
          </cell>
          <cell r="G54">
            <v>0</v>
          </cell>
          <cell r="H54">
            <v>-303000</v>
          </cell>
          <cell r="I54">
            <v>-303000</v>
          </cell>
          <cell r="K54">
            <v>-132000</v>
          </cell>
          <cell r="L54">
            <v>0</v>
          </cell>
          <cell r="M54">
            <v>-132000</v>
          </cell>
          <cell r="O54">
            <v>25000</v>
          </cell>
          <cell r="Q54">
            <v>1340961</v>
          </cell>
          <cell r="S54">
            <v>2.4</v>
          </cell>
          <cell r="T54">
            <v>1.0249999999999999</v>
          </cell>
        </row>
        <row r="55">
          <cell r="A55">
            <v>36465</v>
          </cell>
          <cell r="B55">
            <v>1375000</v>
          </cell>
          <cell r="C55">
            <v>1015000</v>
          </cell>
          <cell r="D55">
            <v>-1000000</v>
          </cell>
          <cell r="E55">
            <v>1390000</v>
          </cell>
          <cell r="G55">
            <v>600000</v>
          </cell>
          <cell r="H55">
            <v>0</v>
          </cell>
          <cell r="I55">
            <v>600000</v>
          </cell>
          <cell r="K55">
            <v>0</v>
          </cell>
          <cell r="L55">
            <v>400000</v>
          </cell>
          <cell r="M55">
            <v>400000</v>
          </cell>
          <cell r="O55">
            <v>20000</v>
          </cell>
          <cell r="Q55">
            <v>2410000</v>
          </cell>
          <cell r="S55">
            <v>2.75</v>
          </cell>
          <cell r="T55">
            <v>1.0249999999999999</v>
          </cell>
        </row>
        <row r="56">
          <cell r="A56">
            <v>36495</v>
          </cell>
          <cell r="B56">
            <v>2358500</v>
          </cell>
          <cell r="C56">
            <v>1355500</v>
          </cell>
          <cell r="D56">
            <v>-1800000</v>
          </cell>
          <cell r="E56">
            <v>1914000</v>
          </cell>
          <cell r="G56">
            <v>1080000</v>
          </cell>
          <cell r="H56">
            <v>0</v>
          </cell>
          <cell r="I56">
            <v>1080000</v>
          </cell>
          <cell r="K56">
            <v>0</v>
          </cell>
          <cell r="L56">
            <v>720000</v>
          </cell>
          <cell r="M56">
            <v>720000</v>
          </cell>
          <cell r="O56">
            <v>20000</v>
          </cell>
          <cell r="Q56">
            <v>3734000</v>
          </cell>
          <cell r="S56">
            <v>2.75</v>
          </cell>
          <cell r="T56">
            <v>1.0249999999999999</v>
          </cell>
        </row>
        <row r="57">
          <cell r="A57">
            <v>36526</v>
          </cell>
          <cell r="B57">
            <v>3018500</v>
          </cell>
          <cell r="C57">
            <v>1355500</v>
          </cell>
          <cell r="D57">
            <v>-1800000</v>
          </cell>
          <cell r="E57">
            <v>2574000</v>
          </cell>
          <cell r="G57">
            <v>1080000</v>
          </cell>
          <cell r="H57">
            <v>0</v>
          </cell>
          <cell r="I57">
            <v>1080000</v>
          </cell>
          <cell r="K57">
            <v>0</v>
          </cell>
          <cell r="L57">
            <v>720000</v>
          </cell>
          <cell r="M57">
            <v>720000</v>
          </cell>
          <cell r="O57">
            <v>35000</v>
          </cell>
          <cell r="Q57">
            <v>4409000</v>
          </cell>
          <cell r="S57">
            <v>2.5750000000000002</v>
          </cell>
          <cell r="T57">
            <v>1.0249999999999999</v>
          </cell>
        </row>
        <row r="58">
          <cell r="A58">
            <v>36557</v>
          </cell>
          <cell r="B58">
            <v>2311500</v>
          </cell>
          <cell r="C58">
            <v>1314500</v>
          </cell>
          <cell r="D58">
            <v>-1800000</v>
          </cell>
          <cell r="E58">
            <v>1826000</v>
          </cell>
          <cell r="G58">
            <v>1080000</v>
          </cell>
          <cell r="H58">
            <v>0</v>
          </cell>
          <cell r="I58">
            <v>1080000</v>
          </cell>
          <cell r="K58">
            <v>0</v>
          </cell>
          <cell r="L58">
            <v>720000</v>
          </cell>
          <cell r="M58">
            <v>720000</v>
          </cell>
          <cell r="O58">
            <v>35000</v>
          </cell>
          <cell r="Q58">
            <v>3661000</v>
          </cell>
          <cell r="S58">
            <v>2.75</v>
          </cell>
          <cell r="T58">
            <v>1.0249999999999999</v>
          </cell>
        </row>
        <row r="59">
          <cell r="A59">
            <v>36586</v>
          </cell>
          <cell r="B59">
            <v>930500</v>
          </cell>
          <cell r="C59">
            <v>1295500</v>
          </cell>
          <cell r="D59">
            <v>-1100000</v>
          </cell>
          <cell r="E59">
            <v>1126000</v>
          </cell>
          <cell r="G59">
            <v>660000</v>
          </cell>
          <cell r="H59">
            <v>0</v>
          </cell>
          <cell r="I59">
            <v>660000</v>
          </cell>
          <cell r="K59">
            <v>0</v>
          </cell>
          <cell r="L59">
            <v>440000</v>
          </cell>
          <cell r="M59">
            <v>440000</v>
          </cell>
          <cell r="O59">
            <v>22500</v>
          </cell>
          <cell r="Q59">
            <v>2248500</v>
          </cell>
          <cell r="S59">
            <v>2.75</v>
          </cell>
          <cell r="T59">
            <v>1.0249999999999999</v>
          </cell>
        </row>
        <row r="60">
          <cell r="A60">
            <v>36617</v>
          </cell>
          <cell r="B60">
            <v>1235000</v>
          </cell>
          <cell r="C60">
            <v>915000</v>
          </cell>
          <cell r="D60">
            <v>-600000</v>
          </cell>
          <cell r="E60">
            <v>1550000</v>
          </cell>
          <cell r="G60">
            <v>300000</v>
          </cell>
          <cell r="H60">
            <v>0</v>
          </cell>
          <cell r="I60">
            <v>300000</v>
          </cell>
          <cell r="K60">
            <v>0</v>
          </cell>
          <cell r="L60">
            <v>300000</v>
          </cell>
          <cell r="M60">
            <v>300000</v>
          </cell>
          <cell r="O60">
            <v>21000</v>
          </cell>
          <cell r="Q60">
            <v>2171000</v>
          </cell>
          <cell r="S60">
            <v>2.75</v>
          </cell>
          <cell r="T60">
            <v>1.0249999999999999</v>
          </cell>
        </row>
        <row r="61">
          <cell r="A61">
            <v>36647</v>
          </cell>
          <cell r="B61">
            <v>1914500</v>
          </cell>
          <cell r="C61">
            <v>1285500</v>
          </cell>
          <cell r="D61">
            <v>-1250000</v>
          </cell>
          <cell r="E61">
            <v>1950000</v>
          </cell>
          <cell r="G61">
            <v>600000</v>
          </cell>
          <cell r="H61">
            <v>0</v>
          </cell>
          <cell r="I61">
            <v>600000</v>
          </cell>
          <cell r="K61">
            <v>0</v>
          </cell>
          <cell r="L61">
            <v>650000</v>
          </cell>
          <cell r="M61">
            <v>650000</v>
          </cell>
          <cell r="O61">
            <v>21000</v>
          </cell>
          <cell r="Q61">
            <v>3221000</v>
          </cell>
          <cell r="S61">
            <v>2.84</v>
          </cell>
          <cell r="T61">
            <v>1.0249999999999999</v>
          </cell>
        </row>
        <row r="62">
          <cell r="A62">
            <v>36678</v>
          </cell>
          <cell r="B62">
            <v>1162000</v>
          </cell>
          <cell r="C62">
            <v>615000</v>
          </cell>
          <cell r="D62">
            <v>-1300000</v>
          </cell>
          <cell r="E62">
            <v>477000</v>
          </cell>
          <cell r="G62">
            <v>600000</v>
          </cell>
          <cell r="H62">
            <v>0</v>
          </cell>
          <cell r="I62">
            <v>600000</v>
          </cell>
          <cell r="K62">
            <v>0</v>
          </cell>
          <cell r="L62">
            <v>700000</v>
          </cell>
          <cell r="M62">
            <v>700000</v>
          </cell>
          <cell r="O62">
            <v>20000</v>
          </cell>
          <cell r="Q62">
            <v>1797000</v>
          </cell>
          <cell r="S62">
            <v>2.84</v>
          </cell>
          <cell r="T62">
            <v>1.0249999999999999</v>
          </cell>
        </row>
        <row r="63">
          <cell r="A63">
            <v>36708</v>
          </cell>
          <cell r="B63">
            <v>1053500</v>
          </cell>
          <cell r="C63">
            <v>635500</v>
          </cell>
          <cell r="D63">
            <v>-1300000</v>
          </cell>
          <cell r="E63">
            <v>389000</v>
          </cell>
          <cell r="G63">
            <v>600000</v>
          </cell>
          <cell r="H63">
            <v>0</v>
          </cell>
          <cell r="I63">
            <v>600000</v>
          </cell>
          <cell r="K63">
            <v>0</v>
          </cell>
          <cell r="L63">
            <v>700000</v>
          </cell>
          <cell r="M63">
            <v>700000</v>
          </cell>
          <cell r="O63">
            <v>19000</v>
          </cell>
          <cell r="Q63">
            <v>1708000</v>
          </cell>
          <cell r="S63">
            <v>3.27</v>
          </cell>
          <cell r="T63">
            <v>1.0249999999999999</v>
          </cell>
        </row>
        <row r="64">
          <cell r="A64">
            <v>36739</v>
          </cell>
          <cell r="B64">
            <v>1239500</v>
          </cell>
          <cell r="C64">
            <v>635500</v>
          </cell>
          <cell r="D64">
            <v>1300000</v>
          </cell>
          <cell r="E64">
            <v>3175000</v>
          </cell>
          <cell r="G64">
            <v>0</v>
          </cell>
          <cell r="H64">
            <v>-600000</v>
          </cell>
          <cell r="I64">
            <v>-600000</v>
          </cell>
          <cell r="K64">
            <v>-700000</v>
          </cell>
          <cell r="L64">
            <v>0</v>
          </cell>
          <cell r="M64">
            <v>-700000</v>
          </cell>
          <cell r="O64">
            <v>18000</v>
          </cell>
          <cell r="Q64">
            <v>1893000</v>
          </cell>
          <cell r="S64">
            <v>4.2300000000000004</v>
          </cell>
          <cell r="T64">
            <v>1.0249999999999999</v>
          </cell>
        </row>
        <row r="65">
          <cell r="A65">
            <v>36770</v>
          </cell>
          <cell r="B65">
            <v>845000</v>
          </cell>
          <cell r="C65">
            <v>615000</v>
          </cell>
          <cell r="D65">
            <v>1000000</v>
          </cell>
          <cell r="E65">
            <v>2460000</v>
          </cell>
          <cell r="G65">
            <v>0</v>
          </cell>
          <cell r="H65">
            <v>-600000</v>
          </cell>
          <cell r="I65">
            <v>-600000</v>
          </cell>
          <cell r="K65">
            <v>-400000</v>
          </cell>
          <cell r="L65">
            <v>0</v>
          </cell>
          <cell r="M65">
            <v>-400000</v>
          </cell>
          <cell r="O65">
            <v>20000</v>
          </cell>
          <cell r="Q65">
            <v>1480000</v>
          </cell>
          <cell r="S65">
            <v>4.2300000000000004</v>
          </cell>
          <cell r="T65">
            <v>1.0249999999999999</v>
          </cell>
        </row>
        <row r="66">
          <cell r="A66">
            <v>36800</v>
          </cell>
          <cell r="B66">
            <v>804500</v>
          </cell>
          <cell r="C66">
            <v>635500</v>
          </cell>
          <cell r="D66">
            <v>550000</v>
          </cell>
          <cell r="E66">
            <v>1990000</v>
          </cell>
          <cell r="G66">
            <v>0</v>
          </cell>
          <cell r="H66">
            <v>-300000</v>
          </cell>
          <cell r="I66">
            <v>-300000</v>
          </cell>
          <cell r="K66">
            <v>-250000</v>
          </cell>
          <cell r="L66">
            <v>0</v>
          </cell>
          <cell r="M66">
            <v>-250000</v>
          </cell>
          <cell r="O66">
            <v>25000</v>
          </cell>
          <cell r="Q66">
            <v>1465000</v>
          </cell>
          <cell r="S66">
            <v>4.8</v>
          </cell>
          <cell r="T66">
            <v>1.0249999999999999</v>
          </cell>
        </row>
        <row r="67">
          <cell r="A67">
            <v>36831</v>
          </cell>
          <cell r="B67">
            <v>1375000</v>
          </cell>
          <cell r="C67">
            <v>1015000</v>
          </cell>
          <cell r="D67">
            <v>-1000000</v>
          </cell>
          <cell r="E67">
            <v>1390000</v>
          </cell>
          <cell r="G67">
            <v>600000</v>
          </cell>
          <cell r="H67">
            <v>0</v>
          </cell>
          <cell r="I67">
            <v>600000</v>
          </cell>
          <cell r="K67">
            <v>0</v>
          </cell>
          <cell r="L67">
            <v>400000</v>
          </cell>
          <cell r="M67">
            <v>400000</v>
          </cell>
          <cell r="O67">
            <v>20000</v>
          </cell>
          <cell r="Q67">
            <v>2410000</v>
          </cell>
          <cell r="S67">
            <v>5.4</v>
          </cell>
          <cell r="T67">
            <v>1.0249999999999999</v>
          </cell>
        </row>
        <row r="68">
          <cell r="A68">
            <v>36861</v>
          </cell>
          <cell r="B68">
            <v>2163500</v>
          </cell>
          <cell r="C68">
            <v>1550500</v>
          </cell>
          <cell r="D68">
            <v>-1800000</v>
          </cell>
          <cell r="E68">
            <v>1914000</v>
          </cell>
          <cell r="G68">
            <v>885000</v>
          </cell>
          <cell r="H68">
            <v>0</v>
          </cell>
          <cell r="I68">
            <v>885000</v>
          </cell>
          <cell r="K68">
            <v>0</v>
          </cell>
          <cell r="L68">
            <v>915000</v>
          </cell>
          <cell r="M68">
            <v>915000</v>
          </cell>
          <cell r="O68">
            <v>20000</v>
          </cell>
          <cell r="Q68">
            <v>3734000</v>
          </cell>
          <cell r="S68">
            <v>5.4</v>
          </cell>
          <cell r="T68">
            <v>1.0249999999999999</v>
          </cell>
        </row>
        <row r="69">
          <cell r="A69">
            <v>36892</v>
          </cell>
          <cell r="B69">
            <v>2703500</v>
          </cell>
          <cell r="C69">
            <v>1670500</v>
          </cell>
          <cell r="D69">
            <v>-1800000</v>
          </cell>
          <cell r="E69">
            <v>2574000</v>
          </cell>
          <cell r="G69">
            <v>765000</v>
          </cell>
          <cell r="H69">
            <v>0</v>
          </cell>
          <cell r="I69">
            <v>765000</v>
          </cell>
          <cell r="K69">
            <v>0</v>
          </cell>
          <cell r="L69">
            <v>1035000</v>
          </cell>
          <cell r="M69">
            <v>1035000</v>
          </cell>
          <cell r="O69">
            <v>35000</v>
          </cell>
          <cell r="Q69">
            <v>4409000</v>
          </cell>
          <cell r="S69">
            <v>5.4</v>
          </cell>
          <cell r="T69">
            <v>1.0249999999999999</v>
          </cell>
        </row>
        <row r="70">
          <cell r="A70">
            <v>36923</v>
          </cell>
          <cell r="B70">
            <v>2052000</v>
          </cell>
          <cell r="C70">
            <v>1574000</v>
          </cell>
          <cell r="D70">
            <v>-1800000</v>
          </cell>
          <cell r="E70">
            <v>1826000</v>
          </cell>
          <cell r="G70">
            <v>800000</v>
          </cell>
          <cell r="H70">
            <v>0</v>
          </cell>
          <cell r="I70">
            <v>800000</v>
          </cell>
          <cell r="K70">
            <v>0</v>
          </cell>
          <cell r="L70">
            <v>1000000</v>
          </cell>
          <cell r="M70">
            <v>1000000</v>
          </cell>
          <cell r="O70">
            <v>35000</v>
          </cell>
          <cell r="Q70">
            <v>3661000</v>
          </cell>
          <cell r="S70">
            <v>7.42</v>
          </cell>
          <cell r="T70">
            <v>1.0249999999999999</v>
          </cell>
        </row>
        <row r="71">
          <cell r="A71">
            <v>36951</v>
          </cell>
          <cell r="B71">
            <v>1140500</v>
          </cell>
          <cell r="C71">
            <v>1085500</v>
          </cell>
          <cell r="D71">
            <v>-1100000</v>
          </cell>
          <cell r="E71">
            <v>1126000</v>
          </cell>
          <cell r="G71">
            <v>650000</v>
          </cell>
          <cell r="H71">
            <v>0</v>
          </cell>
          <cell r="I71">
            <v>650000</v>
          </cell>
          <cell r="K71">
            <v>0</v>
          </cell>
          <cell r="L71">
            <v>450000</v>
          </cell>
          <cell r="M71">
            <v>450000</v>
          </cell>
          <cell r="O71">
            <v>22500</v>
          </cell>
          <cell r="Q71">
            <v>2248500</v>
          </cell>
          <cell r="S71">
            <v>6</v>
          </cell>
          <cell r="T71">
            <v>1.0249999999999999</v>
          </cell>
        </row>
        <row r="72">
          <cell r="A72">
            <v>36982</v>
          </cell>
          <cell r="B72">
            <v>135000</v>
          </cell>
          <cell r="C72">
            <v>140000</v>
          </cell>
          <cell r="D72">
            <v>600000</v>
          </cell>
          <cell r="E72">
            <v>875000</v>
          </cell>
          <cell r="G72">
            <v>0</v>
          </cell>
          <cell r="H72">
            <v>-300000</v>
          </cell>
          <cell r="I72">
            <v>-300000</v>
          </cell>
          <cell r="K72">
            <v>-300000</v>
          </cell>
          <cell r="L72">
            <v>0</v>
          </cell>
          <cell r="M72">
            <v>-300000</v>
          </cell>
          <cell r="O72">
            <v>21000</v>
          </cell>
          <cell r="Q72">
            <v>296000</v>
          </cell>
          <cell r="S72">
            <v>5.41</v>
          </cell>
          <cell r="T72">
            <v>1.0249999999999999</v>
          </cell>
        </row>
        <row r="73">
          <cell r="A73">
            <v>37012</v>
          </cell>
          <cell r="B73">
            <v>464500</v>
          </cell>
          <cell r="C73">
            <v>360500</v>
          </cell>
          <cell r="D73">
            <v>600000</v>
          </cell>
          <cell r="E73">
            <v>1425000</v>
          </cell>
          <cell r="G73">
            <v>0</v>
          </cell>
          <cell r="H73">
            <v>-600000</v>
          </cell>
          <cell r="I73">
            <v>-600000</v>
          </cell>
          <cell r="K73">
            <v>-700000</v>
          </cell>
          <cell r="L73">
            <v>0</v>
          </cell>
          <cell r="M73">
            <v>-700000</v>
          </cell>
          <cell r="O73">
            <v>21000</v>
          </cell>
          <cell r="Q73">
            <v>146000</v>
          </cell>
          <cell r="S73">
            <v>5.24</v>
          </cell>
          <cell r="T73">
            <v>1.0249999999999999</v>
          </cell>
        </row>
        <row r="74">
          <cell r="A74">
            <v>37043</v>
          </cell>
          <cell r="B74">
            <v>362000</v>
          </cell>
          <cell r="C74">
            <v>440000</v>
          </cell>
          <cell r="D74">
            <v>600000</v>
          </cell>
          <cell r="E74">
            <v>1402000</v>
          </cell>
          <cell r="G74">
            <v>0</v>
          </cell>
          <cell r="H74">
            <v>-600000</v>
          </cell>
          <cell r="I74">
            <v>-600000</v>
          </cell>
          <cell r="K74">
            <v>-700000</v>
          </cell>
          <cell r="L74">
            <v>0</v>
          </cell>
          <cell r="M74">
            <v>-700000</v>
          </cell>
          <cell r="O74">
            <v>20000</v>
          </cell>
          <cell r="Q74">
            <v>122000</v>
          </cell>
          <cell r="S74">
            <v>5.09</v>
          </cell>
          <cell r="T74">
            <v>1.0249999999999999</v>
          </cell>
        </row>
        <row r="75">
          <cell r="A75">
            <v>37073</v>
          </cell>
          <cell r="B75">
            <v>243500</v>
          </cell>
          <cell r="C75">
            <v>420500</v>
          </cell>
          <cell r="D75">
            <v>700000</v>
          </cell>
          <cell r="E75">
            <v>1364000</v>
          </cell>
          <cell r="G75">
            <v>0</v>
          </cell>
          <cell r="H75">
            <v>-700000</v>
          </cell>
          <cell r="I75">
            <v>-700000</v>
          </cell>
          <cell r="K75">
            <v>-700000</v>
          </cell>
          <cell r="L75">
            <v>0</v>
          </cell>
          <cell r="M75">
            <v>-700000</v>
          </cell>
          <cell r="O75">
            <v>20000</v>
          </cell>
          <cell r="Q75">
            <v>-16000</v>
          </cell>
          <cell r="S75">
            <v>4.0599999999999996</v>
          </cell>
          <cell r="T75">
            <v>1.0249999999999999</v>
          </cell>
        </row>
        <row r="76">
          <cell r="A76">
            <v>37104</v>
          </cell>
          <cell r="B76">
            <v>439500</v>
          </cell>
          <cell r="C76">
            <v>435500</v>
          </cell>
          <cell r="D76">
            <v>600000</v>
          </cell>
          <cell r="E76">
            <v>1475000</v>
          </cell>
          <cell r="G76">
            <v>0</v>
          </cell>
          <cell r="H76">
            <v>-600000</v>
          </cell>
          <cell r="I76">
            <v>-600000</v>
          </cell>
          <cell r="K76">
            <v>-700000</v>
          </cell>
          <cell r="L76">
            <v>0</v>
          </cell>
          <cell r="M76">
            <v>-700000</v>
          </cell>
          <cell r="O76">
            <v>20000</v>
          </cell>
          <cell r="Q76">
            <v>195000</v>
          </cell>
          <cell r="S76">
            <v>3.89</v>
          </cell>
          <cell r="T76">
            <v>1.0249999999999999</v>
          </cell>
        </row>
        <row r="77">
          <cell r="A77">
            <v>37196</v>
          </cell>
          <cell r="B77">
            <v>744100</v>
          </cell>
          <cell r="C77">
            <v>1886000</v>
          </cell>
          <cell r="D77">
            <v>2296000</v>
          </cell>
          <cell r="E77">
            <v>4926100</v>
          </cell>
          <cell r="G77">
            <v>2296000</v>
          </cell>
          <cell r="H77">
            <v>0</v>
          </cell>
          <cell r="I77">
            <v>2296000</v>
          </cell>
          <cell r="K77">
            <v>0</v>
          </cell>
          <cell r="L77">
            <v>1920000</v>
          </cell>
          <cell r="M77">
            <v>1920000</v>
          </cell>
          <cell r="O77">
            <v>75000</v>
          </cell>
          <cell r="Q77">
            <v>9217100</v>
          </cell>
          <cell r="S77">
            <v>3.23</v>
          </cell>
          <cell r="T77">
            <v>1.0249999999999999</v>
          </cell>
        </row>
        <row r="78">
          <cell r="A78">
            <v>37288</v>
          </cell>
          <cell r="B78">
            <v>1027900</v>
          </cell>
          <cell r="C78">
            <v>1824500</v>
          </cell>
          <cell r="D78">
            <v>1737000</v>
          </cell>
          <cell r="E78">
            <v>4589400</v>
          </cell>
          <cell r="G78">
            <v>1737000</v>
          </cell>
          <cell r="H78">
            <v>0</v>
          </cell>
          <cell r="I78">
            <v>1737000</v>
          </cell>
          <cell r="K78">
            <v>0</v>
          </cell>
          <cell r="L78">
            <v>1720000</v>
          </cell>
          <cell r="M78">
            <v>1720000</v>
          </cell>
          <cell r="O78">
            <v>78500</v>
          </cell>
          <cell r="Q78">
            <v>8124900</v>
          </cell>
          <cell r="S78">
            <v>3</v>
          </cell>
          <cell r="T78">
            <v>1.0249999999999999</v>
          </cell>
        </row>
        <row r="79">
          <cell r="A79">
            <v>37377</v>
          </cell>
          <cell r="B79">
            <v>357750</v>
          </cell>
          <cell r="C79">
            <v>1886000</v>
          </cell>
          <cell r="D79">
            <v>1594500</v>
          </cell>
          <cell r="E79">
            <v>3838250</v>
          </cell>
          <cell r="H79">
            <v>-996500</v>
          </cell>
          <cell r="I79">
            <v>-996500</v>
          </cell>
          <cell r="K79">
            <v>-598000</v>
          </cell>
          <cell r="M79">
            <v>-598000</v>
          </cell>
          <cell r="O79">
            <v>61000</v>
          </cell>
          <cell r="Q79">
            <v>2304750</v>
          </cell>
          <cell r="S79">
            <v>3.3090000000000002</v>
          </cell>
          <cell r="T79">
            <v>1.0249999999999999</v>
          </cell>
        </row>
        <row r="80">
          <cell r="A80">
            <v>37469</v>
          </cell>
          <cell r="B80">
            <v>494300</v>
          </cell>
          <cell r="C80">
            <v>1886000</v>
          </cell>
          <cell r="D80">
            <v>1594500</v>
          </cell>
          <cell r="E80">
            <v>3974800</v>
          </cell>
          <cell r="H80">
            <v>-996500</v>
          </cell>
          <cell r="I80">
            <v>-996500</v>
          </cell>
          <cell r="K80">
            <v>-598000</v>
          </cell>
          <cell r="M80">
            <v>-598000</v>
          </cell>
          <cell r="O80">
            <v>61000</v>
          </cell>
          <cell r="Q80">
            <v>2441300</v>
          </cell>
          <cell r="S80">
            <v>3.28</v>
          </cell>
          <cell r="T80">
            <v>1.0249999999999999</v>
          </cell>
        </row>
        <row r="81">
          <cell r="A81">
            <v>37561</v>
          </cell>
          <cell r="B81">
            <v>8305065</v>
          </cell>
          <cell r="C81">
            <v>1886000</v>
          </cell>
          <cell r="D81">
            <v>-4756000</v>
          </cell>
          <cell r="E81">
            <v>5435065</v>
          </cell>
          <cell r="G81">
            <v>2296000</v>
          </cell>
          <cell r="I81">
            <v>2296000</v>
          </cell>
          <cell r="L81">
            <v>2460000</v>
          </cell>
          <cell r="M81">
            <v>2460000</v>
          </cell>
          <cell r="O81">
            <v>61000</v>
          </cell>
          <cell r="Q81">
            <v>10252065</v>
          </cell>
          <cell r="S81">
            <v>3.7610000000000001</v>
          </cell>
          <cell r="T81">
            <v>1.0249999999999999</v>
          </cell>
        </row>
        <row r="82">
          <cell r="A82">
            <v>37653</v>
          </cell>
          <cell r="B82">
            <v>4664065</v>
          </cell>
          <cell r="C82">
            <v>1824500</v>
          </cell>
          <cell r="D82">
            <v>-2921000</v>
          </cell>
          <cell r="E82">
            <v>3567565</v>
          </cell>
          <cell r="G82">
            <v>1701000</v>
          </cell>
          <cell r="I82">
            <v>1701000</v>
          </cell>
          <cell r="L82">
            <v>1220000</v>
          </cell>
          <cell r="M82">
            <v>1220000</v>
          </cell>
          <cell r="O82">
            <v>61000</v>
          </cell>
          <cell r="Q82">
            <v>6549565</v>
          </cell>
          <cell r="S82">
            <v>4.1559999999999997</v>
          </cell>
          <cell r="T82">
            <v>1.0249999999999999</v>
          </cell>
        </row>
        <row r="83">
          <cell r="A83">
            <v>37712</v>
          </cell>
          <cell r="B83">
            <v>201000</v>
          </cell>
          <cell r="C83">
            <v>615000</v>
          </cell>
          <cell r="D83">
            <v>264000</v>
          </cell>
          <cell r="E83">
            <v>1080000</v>
          </cell>
          <cell r="H83">
            <v>-264000</v>
          </cell>
          <cell r="I83">
            <v>-264000</v>
          </cell>
          <cell r="M83">
            <v>0</v>
          </cell>
          <cell r="O83">
            <v>61000</v>
          </cell>
          <cell r="Q83">
            <v>877000</v>
          </cell>
          <cell r="S83">
            <v>6.0359999999999996</v>
          </cell>
          <cell r="T83">
            <v>1.0249999999999999</v>
          </cell>
        </row>
        <row r="84">
          <cell r="A84">
            <v>37742</v>
          </cell>
          <cell r="B84">
            <v>551300</v>
          </cell>
          <cell r="C84">
            <v>1886000</v>
          </cell>
          <cell r="D84">
            <v>3284000</v>
          </cell>
          <cell r="E84">
            <v>5721300</v>
          </cell>
          <cell r="H84">
            <v>-1567000</v>
          </cell>
          <cell r="I84">
            <v>-1567000</v>
          </cell>
          <cell r="K84">
            <v>-1717000</v>
          </cell>
          <cell r="M84">
            <v>-1717000</v>
          </cell>
          <cell r="O84">
            <v>61000</v>
          </cell>
          <cell r="Q84">
            <v>2498300</v>
          </cell>
          <cell r="S84">
            <v>5.0979999999999999</v>
          </cell>
          <cell r="T84">
            <v>1.0249999999999999</v>
          </cell>
        </row>
        <row r="85">
          <cell r="A85">
            <v>37834</v>
          </cell>
          <cell r="B85">
            <v>346000</v>
          </cell>
          <cell r="C85">
            <v>1312500</v>
          </cell>
          <cell r="D85">
            <v>3290000</v>
          </cell>
          <cell r="E85">
            <v>4948500</v>
          </cell>
          <cell r="H85">
            <v>-1573000</v>
          </cell>
          <cell r="I85">
            <v>-1573000</v>
          </cell>
          <cell r="K85">
            <v>-1717000</v>
          </cell>
          <cell r="M85">
            <v>-1717000</v>
          </cell>
          <cell r="O85">
            <v>61000</v>
          </cell>
          <cell r="Q85">
            <v>1719500</v>
          </cell>
          <cell r="S85">
            <v>5.7990000000000004</v>
          </cell>
          <cell r="T85">
            <v>1.0249999999999999</v>
          </cell>
        </row>
        <row r="86">
          <cell r="A86">
            <v>37926</v>
          </cell>
          <cell r="B86">
            <v>6484000</v>
          </cell>
          <cell r="C86">
            <v>1886000</v>
          </cell>
          <cell r="D86">
            <v>-5000000</v>
          </cell>
          <cell r="E86">
            <v>3370000</v>
          </cell>
          <cell r="G86">
            <v>2300000</v>
          </cell>
          <cell r="H86">
            <v>0</v>
          </cell>
          <cell r="I86">
            <v>2300000</v>
          </cell>
          <cell r="K86">
            <v>0</v>
          </cell>
          <cell r="L86">
            <v>2700000</v>
          </cell>
          <cell r="M86">
            <v>2700000</v>
          </cell>
          <cell r="O86">
            <v>61000</v>
          </cell>
          <cell r="Q86">
            <v>8431000</v>
          </cell>
          <cell r="S86">
            <v>5.234</v>
          </cell>
          <cell r="T86">
            <v>1.0249999999999999</v>
          </cell>
        </row>
        <row r="87">
          <cell r="A87">
            <v>38018</v>
          </cell>
          <cell r="B87">
            <v>4059600</v>
          </cell>
          <cell r="C87">
            <v>1845000</v>
          </cell>
          <cell r="D87">
            <v>-1786600</v>
          </cell>
          <cell r="E87">
            <v>4118000</v>
          </cell>
          <cell r="G87">
            <v>1349100</v>
          </cell>
          <cell r="H87">
            <v>-513000</v>
          </cell>
          <cell r="I87">
            <v>836100</v>
          </cell>
          <cell r="K87">
            <v>-570000</v>
          </cell>
          <cell r="L87">
            <v>1520500</v>
          </cell>
          <cell r="M87">
            <v>950500</v>
          </cell>
          <cell r="O87">
            <v>61000</v>
          </cell>
          <cell r="Q87">
            <v>5965600</v>
          </cell>
          <cell r="S87">
            <v>5.5650000000000004</v>
          </cell>
          <cell r="T87">
            <v>1.0249999999999999</v>
          </cell>
        </row>
        <row r="88">
          <cell r="A88">
            <v>38108</v>
          </cell>
          <cell r="B88">
            <v>1511000</v>
          </cell>
          <cell r="C88">
            <v>92000</v>
          </cell>
          <cell r="D88">
            <v>3164000</v>
          </cell>
          <cell r="E88">
            <v>4767000</v>
          </cell>
          <cell r="G88">
            <v>0</v>
          </cell>
          <cell r="H88">
            <v>-1582000</v>
          </cell>
          <cell r="I88">
            <v>-1582000</v>
          </cell>
          <cell r="K88">
            <v>-1582000</v>
          </cell>
          <cell r="L88">
            <v>0</v>
          </cell>
          <cell r="M88">
            <v>-1582000</v>
          </cell>
          <cell r="O88">
            <v>61000</v>
          </cell>
          <cell r="Q88">
            <v>1664000</v>
          </cell>
          <cell r="S88">
            <v>5.5229999999999997</v>
          </cell>
          <cell r="T88">
            <v>1.0249999999999999</v>
          </cell>
        </row>
        <row r="89">
          <cell r="A89">
            <v>38200</v>
          </cell>
          <cell r="B89">
            <v>1686000</v>
          </cell>
          <cell r="C89">
            <v>92000</v>
          </cell>
          <cell r="D89">
            <v>4196000</v>
          </cell>
          <cell r="E89">
            <v>5974000</v>
          </cell>
          <cell r="G89">
            <v>0</v>
          </cell>
          <cell r="H89">
            <v>-1573000</v>
          </cell>
          <cell r="I89">
            <v>-1573000</v>
          </cell>
          <cell r="K89">
            <v>-2623000</v>
          </cell>
          <cell r="M89">
            <v>-2623000</v>
          </cell>
          <cell r="O89">
            <v>61000</v>
          </cell>
          <cell r="Q89">
            <v>1839000</v>
          </cell>
          <cell r="S89">
            <v>6.4210000000000003</v>
          </cell>
          <cell r="T89">
            <v>1.0249999999999999</v>
          </cell>
        </row>
        <row r="90">
          <cell r="A90">
            <v>38292</v>
          </cell>
          <cell r="B90">
            <v>7989900</v>
          </cell>
          <cell r="C90">
            <v>92000</v>
          </cell>
          <cell r="D90">
            <v>-6064000</v>
          </cell>
          <cell r="E90">
            <v>2017900</v>
          </cell>
          <cell r="G90">
            <v>2300000</v>
          </cell>
          <cell r="H90">
            <v>0</v>
          </cell>
          <cell r="I90">
            <v>2300000</v>
          </cell>
          <cell r="K90">
            <v>0</v>
          </cell>
          <cell r="L90">
            <v>3764000</v>
          </cell>
          <cell r="M90">
            <v>3764000</v>
          </cell>
          <cell r="O90">
            <v>61000</v>
          </cell>
          <cell r="Q90">
            <v>8142900</v>
          </cell>
          <cell r="S90">
            <v>6.3070000000000004</v>
          </cell>
          <cell r="T90">
            <v>1.0249999999999999</v>
          </cell>
        </row>
        <row r="91">
          <cell r="A91">
            <v>38384</v>
          </cell>
          <cell r="B91">
            <v>5224800</v>
          </cell>
          <cell r="C91">
            <v>89000</v>
          </cell>
          <cell r="D91">
            <v>-2478100</v>
          </cell>
          <cell r="E91">
            <v>2835700</v>
          </cell>
          <cell r="G91">
            <v>1349100</v>
          </cell>
          <cell r="H91">
            <v>-495000</v>
          </cell>
          <cell r="I91">
            <v>854100</v>
          </cell>
          <cell r="K91">
            <v>-495000</v>
          </cell>
          <cell r="L91">
            <v>2119000</v>
          </cell>
          <cell r="M91">
            <v>1624000</v>
          </cell>
          <cell r="O91">
            <v>61000</v>
          </cell>
          <cell r="Q91">
            <v>5374800</v>
          </cell>
          <cell r="S91">
            <v>6.3168629726635404</v>
          </cell>
          <cell r="T91">
            <v>1.0249999999999999</v>
          </cell>
        </row>
        <row r="92">
          <cell r="A92">
            <v>38473</v>
          </cell>
          <cell r="B92">
            <v>1291100.0000000005</v>
          </cell>
          <cell r="C92">
            <v>92000</v>
          </cell>
          <cell r="D92">
            <v>4560968.6500000004</v>
          </cell>
          <cell r="E92">
            <v>5944068.6500000004</v>
          </cell>
          <cell r="H92">
            <v>-2224546.25</v>
          </cell>
          <cell r="I92">
            <v>-2224546.25</v>
          </cell>
          <cell r="K92">
            <v>-2336422.4</v>
          </cell>
          <cell r="M92">
            <v>-2336422.4</v>
          </cell>
          <cell r="O92">
            <v>61000</v>
          </cell>
          <cell r="Q92">
            <v>1444100.0000000005</v>
          </cell>
          <cell r="S92">
            <v>7.391</v>
          </cell>
          <cell r="T92">
            <v>1.0249999999999999</v>
          </cell>
        </row>
        <row r="93">
          <cell r="A93">
            <v>38565</v>
          </cell>
          <cell r="B93">
            <v>1320401</v>
          </cell>
          <cell r="C93">
            <v>92000</v>
          </cell>
          <cell r="D93">
            <v>3573658</v>
          </cell>
          <cell r="E93">
            <v>4986059</v>
          </cell>
          <cell r="F93">
            <v>0</v>
          </cell>
          <cell r="G93">
            <v>0</v>
          </cell>
          <cell r="H93">
            <v>-1902589</v>
          </cell>
          <cell r="I93">
            <v>-1902589</v>
          </cell>
          <cell r="J93">
            <v>0</v>
          </cell>
          <cell r="K93">
            <v>-1671069</v>
          </cell>
          <cell r="L93">
            <v>0</v>
          </cell>
          <cell r="M93">
            <v>-1671069</v>
          </cell>
          <cell r="N93">
            <v>0</v>
          </cell>
          <cell r="O93">
            <v>61000</v>
          </cell>
          <cell r="P93">
            <v>0</v>
          </cell>
          <cell r="Q93">
            <v>1473401</v>
          </cell>
          <cell r="R93">
            <v>0</v>
          </cell>
          <cell r="S93">
            <v>7.6529999999999996</v>
          </cell>
          <cell r="T93">
            <v>1.0249999999999999</v>
          </cell>
        </row>
        <row r="94">
          <cell r="A94">
            <v>38657</v>
          </cell>
          <cell r="B94">
            <v>7522200</v>
          </cell>
          <cell r="C94">
            <v>92000</v>
          </cell>
          <cell r="D94">
            <v>-6072000</v>
          </cell>
          <cell r="E94">
            <v>1542200</v>
          </cell>
          <cell r="G94">
            <v>2300000</v>
          </cell>
          <cell r="H94">
            <v>0</v>
          </cell>
          <cell r="I94">
            <v>2300000</v>
          </cell>
          <cell r="K94">
            <v>0</v>
          </cell>
          <cell r="L94">
            <v>3772000</v>
          </cell>
          <cell r="M94">
            <v>-3772000</v>
          </cell>
          <cell r="O94">
            <v>61000</v>
          </cell>
          <cell r="Q94">
            <v>131200</v>
          </cell>
          <cell r="S94">
            <v>9.5749999999999993</v>
          </cell>
          <cell r="T94">
            <v>1.0249999999999999</v>
          </cell>
        </row>
        <row r="95">
          <cell r="A95">
            <v>38749</v>
          </cell>
          <cell r="B95">
            <v>5178200</v>
          </cell>
          <cell r="C95">
            <v>91000</v>
          </cell>
          <cell r="D95">
            <v>-2574100</v>
          </cell>
          <cell r="E95">
            <v>2695100</v>
          </cell>
          <cell r="G95">
            <v>1349100</v>
          </cell>
          <cell r="H95">
            <v>-444909</v>
          </cell>
          <cell r="I95">
            <v>854100</v>
          </cell>
          <cell r="K95">
            <v>-467284</v>
          </cell>
          <cell r="L95">
            <v>2215000</v>
          </cell>
          <cell r="M95">
            <v>1747716</v>
          </cell>
          <cell r="O95">
            <v>61000</v>
          </cell>
          <cell r="Q95">
            <v>5357916</v>
          </cell>
          <cell r="S95">
            <v>12.723000000000001</v>
          </cell>
          <cell r="T95">
            <v>1.0249999999999999</v>
          </cell>
        </row>
        <row r="96">
          <cell r="A96">
            <v>38838</v>
          </cell>
          <cell r="B96">
            <v>695100</v>
          </cell>
          <cell r="C96">
            <v>91000</v>
          </cell>
          <cell r="D96">
            <v>5361000</v>
          </cell>
          <cell r="E96">
            <v>6147100</v>
          </cell>
          <cell r="H96">
            <v>-3025257</v>
          </cell>
          <cell r="I96">
            <v>-3025257</v>
          </cell>
          <cell r="K96">
            <v>-2335743</v>
          </cell>
          <cell r="M96">
            <v>-2335743</v>
          </cell>
          <cell r="O96">
            <v>61000</v>
          </cell>
          <cell r="Q96">
            <v>847100</v>
          </cell>
          <cell r="S96">
            <v>7.194</v>
          </cell>
          <cell r="T96">
            <v>1.0249999999999999</v>
          </cell>
        </row>
        <row r="97">
          <cell r="A97">
            <v>38930</v>
          </cell>
          <cell r="B97">
            <v>1507500</v>
          </cell>
          <cell r="C97">
            <v>91000</v>
          </cell>
          <cell r="D97">
            <v>1786997</v>
          </cell>
          <cell r="E97">
            <v>3385497</v>
          </cell>
          <cell r="H97">
            <v>-1008417</v>
          </cell>
          <cell r="I97">
            <v>-1008417</v>
          </cell>
          <cell r="K97">
            <v>-778580</v>
          </cell>
          <cell r="M97">
            <v>-778580</v>
          </cell>
          <cell r="O97">
            <v>61000</v>
          </cell>
          <cell r="Q97">
            <v>1659500</v>
          </cell>
          <cell r="S97">
            <v>7.218</v>
          </cell>
          <cell r="T97">
            <v>1.0249999999999999</v>
          </cell>
        </row>
        <row r="98">
          <cell r="A98">
            <v>39022</v>
          </cell>
          <cell r="B98">
            <v>7741200</v>
          </cell>
          <cell r="C98">
            <v>91000</v>
          </cell>
          <cell r="D98">
            <v>-6072000</v>
          </cell>
          <cell r="E98">
            <v>1760200</v>
          </cell>
          <cell r="G98">
            <v>340681</v>
          </cell>
          <cell r="I98">
            <v>340681</v>
          </cell>
          <cell r="L98">
            <v>1436419</v>
          </cell>
          <cell r="M98">
            <v>1436419</v>
          </cell>
          <cell r="O98">
            <v>61000</v>
          </cell>
          <cell r="Q98">
            <v>3598300</v>
          </cell>
          <cell r="S98">
            <v>8.5809999999999995</v>
          </cell>
          <cell r="T98">
            <v>1.0249999999999999</v>
          </cell>
        </row>
        <row r="99">
          <cell r="A99">
            <v>39114</v>
          </cell>
          <cell r="B99">
            <v>5238800</v>
          </cell>
          <cell r="C99">
            <v>91000</v>
          </cell>
          <cell r="D99">
            <v>-1787000</v>
          </cell>
          <cell r="E99">
            <v>3552700</v>
          </cell>
          <cell r="G99">
            <v>1349100</v>
          </cell>
          <cell r="H99">
            <v>-1008419</v>
          </cell>
          <cell r="I99">
            <v>340681</v>
          </cell>
          <cell r="K99">
            <v>-778581</v>
          </cell>
          <cell r="L99">
            <v>2215000</v>
          </cell>
          <cell r="M99">
            <v>1436419</v>
          </cell>
          <cell r="O99">
            <v>61000</v>
          </cell>
          <cell r="Q99">
            <v>5390800</v>
          </cell>
          <cell r="S99">
            <v>6.5910000000000002</v>
          </cell>
          <cell r="T99">
            <v>1.0249999999999999</v>
          </cell>
        </row>
        <row r="100">
          <cell r="A100">
            <v>54789</v>
          </cell>
          <cell r="C100" t="str">
            <v>.</v>
          </cell>
        </row>
      </sheetData>
      <sheetData sheetId="8">
        <row r="10">
          <cell r="A10">
            <v>35065</v>
          </cell>
          <cell r="B10">
            <v>452500</v>
          </cell>
          <cell r="C10">
            <v>75500</v>
          </cell>
          <cell r="D10">
            <v>6500</v>
          </cell>
          <cell r="E10">
            <v>534500</v>
          </cell>
          <cell r="G10">
            <v>-5000</v>
          </cell>
          <cell r="H10">
            <v>0</v>
          </cell>
          <cell r="I10">
            <v>-5000</v>
          </cell>
          <cell r="K10">
            <v>-1500</v>
          </cell>
          <cell r="L10">
            <v>0</v>
          </cell>
          <cell r="M10">
            <v>-1500</v>
          </cell>
          <cell r="O10">
            <v>-6500</v>
          </cell>
          <cell r="Q10">
            <v>240660</v>
          </cell>
          <cell r="R10">
            <v>0</v>
          </cell>
          <cell r="S10">
            <v>240660</v>
          </cell>
          <cell r="U10">
            <v>45840</v>
          </cell>
          <cell r="V10">
            <v>0</v>
          </cell>
          <cell r="W10">
            <v>45840</v>
          </cell>
          <cell r="Y10">
            <v>286500</v>
          </cell>
          <cell r="Z10">
            <v>280000</v>
          </cell>
          <cell r="AA10">
            <v>814500</v>
          </cell>
          <cell r="AB10">
            <v>2</v>
          </cell>
          <cell r="AC10">
            <v>1.04</v>
          </cell>
        </row>
        <row r="11">
          <cell r="A11">
            <v>35096</v>
          </cell>
          <cell r="B11">
            <v>477000</v>
          </cell>
          <cell r="C11">
            <v>66200</v>
          </cell>
          <cell r="D11">
            <v>10000</v>
          </cell>
          <cell r="E11">
            <v>553200</v>
          </cell>
          <cell r="G11">
            <v>-3000</v>
          </cell>
          <cell r="H11">
            <v>0</v>
          </cell>
          <cell r="I11">
            <v>-3000</v>
          </cell>
          <cell r="K11">
            <v>-7000</v>
          </cell>
          <cell r="L11">
            <v>0</v>
          </cell>
          <cell r="M11">
            <v>-7000</v>
          </cell>
          <cell r="O11">
            <v>-10000</v>
          </cell>
          <cell r="Q11">
            <v>285000</v>
          </cell>
          <cell r="R11">
            <v>0</v>
          </cell>
          <cell r="S11">
            <v>285000</v>
          </cell>
          <cell r="U11">
            <v>5000</v>
          </cell>
          <cell r="V11">
            <v>0</v>
          </cell>
          <cell r="W11">
            <v>5000</v>
          </cell>
          <cell r="Y11">
            <v>290000</v>
          </cell>
          <cell r="Z11">
            <v>280000</v>
          </cell>
          <cell r="AA11">
            <v>833200</v>
          </cell>
          <cell r="AB11">
            <v>2.5</v>
          </cell>
          <cell r="AC11">
            <v>1.04</v>
          </cell>
        </row>
        <row r="12">
          <cell r="A12">
            <v>35125</v>
          </cell>
          <cell r="B12">
            <v>403000</v>
          </cell>
          <cell r="C12">
            <v>68200</v>
          </cell>
          <cell r="D12">
            <v>2500</v>
          </cell>
          <cell r="E12">
            <v>473700</v>
          </cell>
          <cell r="G12">
            <v>-1000</v>
          </cell>
          <cell r="H12">
            <v>0</v>
          </cell>
          <cell r="I12">
            <v>-1000</v>
          </cell>
          <cell r="K12">
            <v>-1500</v>
          </cell>
          <cell r="L12">
            <v>0</v>
          </cell>
          <cell r="M12">
            <v>-1500</v>
          </cell>
          <cell r="O12">
            <v>-2500</v>
          </cell>
          <cell r="Q12">
            <v>15500</v>
          </cell>
          <cell r="R12">
            <v>0</v>
          </cell>
          <cell r="S12">
            <v>15500</v>
          </cell>
          <cell r="U12">
            <v>62000</v>
          </cell>
          <cell r="V12">
            <v>0</v>
          </cell>
          <cell r="W12">
            <v>62000</v>
          </cell>
          <cell r="Y12">
            <v>77500</v>
          </cell>
          <cell r="Z12">
            <v>75000</v>
          </cell>
          <cell r="AA12">
            <v>548700</v>
          </cell>
          <cell r="AB12">
            <v>2</v>
          </cell>
          <cell r="AC12">
            <v>1.04</v>
          </cell>
        </row>
        <row r="13">
          <cell r="A13">
            <v>35156</v>
          </cell>
          <cell r="B13">
            <v>194215</v>
          </cell>
          <cell r="C13">
            <v>32550</v>
          </cell>
          <cell r="D13">
            <v>124000</v>
          </cell>
          <cell r="E13">
            <v>350765</v>
          </cell>
          <cell r="G13">
            <v>-49600</v>
          </cell>
          <cell r="H13">
            <v>0</v>
          </cell>
          <cell r="I13">
            <v>-49600</v>
          </cell>
          <cell r="K13">
            <v>-74400</v>
          </cell>
          <cell r="L13">
            <v>0</v>
          </cell>
          <cell r="M13">
            <v>-74400</v>
          </cell>
          <cell r="O13">
            <v>-124000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Z13">
            <v>-124000</v>
          </cell>
          <cell r="AA13">
            <v>226765</v>
          </cell>
          <cell r="AB13">
            <v>2.4</v>
          </cell>
          <cell r="AC13">
            <v>1.04</v>
          </cell>
        </row>
        <row r="14">
          <cell r="A14">
            <v>35186</v>
          </cell>
          <cell r="B14">
            <v>131130</v>
          </cell>
          <cell r="C14">
            <v>27683</v>
          </cell>
          <cell r="D14">
            <v>200000</v>
          </cell>
          <cell r="E14">
            <v>358813</v>
          </cell>
          <cell r="G14">
            <v>-80000</v>
          </cell>
          <cell r="H14">
            <v>0</v>
          </cell>
          <cell r="I14">
            <v>-80000</v>
          </cell>
          <cell r="K14">
            <v>-120000</v>
          </cell>
          <cell r="L14">
            <v>0</v>
          </cell>
          <cell r="M14">
            <v>-120000</v>
          </cell>
          <cell r="O14">
            <v>-200000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Y14">
            <v>0</v>
          </cell>
          <cell r="Z14">
            <v>-200000</v>
          </cell>
          <cell r="AA14">
            <v>158813</v>
          </cell>
          <cell r="AB14">
            <v>2.5</v>
          </cell>
          <cell r="AC14">
            <v>1.04</v>
          </cell>
        </row>
        <row r="15">
          <cell r="A15">
            <v>35217</v>
          </cell>
          <cell r="B15">
            <v>192000</v>
          </cell>
          <cell r="C15">
            <v>16500</v>
          </cell>
          <cell r="D15">
            <v>200000</v>
          </cell>
          <cell r="E15">
            <v>408500</v>
          </cell>
          <cell r="G15">
            <v>-180000</v>
          </cell>
          <cell r="H15">
            <v>0</v>
          </cell>
          <cell r="I15">
            <v>-180000</v>
          </cell>
          <cell r="K15">
            <v>-20000</v>
          </cell>
          <cell r="L15">
            <v>0</v>
          </cell>
          <cell r="M15">
            <v>-20000</v>
          </cell>
          <cell r="O15">
            <v>-200000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W15">
            <v>0</v>
          </cell>
          <cell r="Y15">
            <v>0</v>
          </cell>
          <cell r="Z15">
            <v>-200000</v>
          </cell>
          <cell r="AA15">
            <v>208500</v>
          </cell>
          <cell r="AB15">
            <v>2.4500000000000002</v>
          </cell>
          <cell r="AC15">
            <v>1.04</v>
          </cell>
        </row>
        <row r="16">
          <cell r="A16">
            <v>35247</v>
          </cell>
          <cell r="B16">
            <v>136400</v>
          </cell>
          <cell r="C16">
            <v>18600</v>
          </cell>
          <cell r="D16">
            <v>238000</v>
          </cell>
          <cell r="E16">
            <v>393000</v>
          </cell>
          <cell r="G16">
            <v>-190400</v>
          </cell>
          <cell r="H16">
            <v>0</v>
          </cell>
          <cell r="I16">
            <v>-190400</v>
          </cell>
          <cell r="K16">
            <v>-47600</v>
          </cell>
          <cell r="L16">
            <v>0</v>
          </cell>
          <cell r="M16">
            <v>-47600</v>
          </cell>
          <cell r="O16">
            <v>-238000</v>
          </cell>
          <cell r="Q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W16">
            <v>0</v>
          </cell>
          <cell r="Y16">
            <v>0</v>
          </cell>
          <cell r="Z16">
            <v>-238000</v>
          </cell>
          <cell r="AA16">
            <v>155000</v>
          </cell>
          <cell r="AB16">
            <v>2.2999999999999998</v>
          </cell>
          <cell r="AC16">
            <v>1.04</v>
          </cell>
        </row>
        <row r="17">
          <cell r="A17">
            <v>35278</v>
          </cell>
          <cell r="B17">
            <v>240000</v>
          </cell>
          <cell r="C17">
            <v>10075</v>
          </cell>
          <cell r="D17">
            <v>166000</v>
          </cell>
          <cell r="E17">
            <v>416075</v>
          </cell>
          <cell r="G17">
            <v>-132800</v>
          </cell>
          <cell r="H17">
            <v>0</v>
          </cell>
          <cell r="I17">
            <v>-132800</v>
          </cell>
          <cell r="K17">
            <v>-33200</v>
          </cell>
          <cell r="L17">
            <v>0</v>
          </cell>
          <cell r="M17">
            <v>-33200</v>
          </cell>
          <cell r="O17">
            <v>-166000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Z17">
            <v>-166000</v>
          </cell>
          <cell r="AA17">
            <v>250075</v>
          </cell>
          <cell r="AB17">
            <v>2.75</v>
          </cell>
          <cell r="AC17">
            <v>1.04</v>
          </cell>
        </row>
        <row r="18">
          <cell r="A18">
            <v>35309</v>
          </cell>
          <cell r="B18">
            <v>112500</v>
          </cell>
          <cell r="C18">
            <v>5100</v>
          </cell>
          <cell r="D18">
            <v>120000</v>
          </cell>
          <cell r="E18">
            <v>237600</v>
          </cell>
          <cell r="G18">
            <v>-96000</v>
          </cell>
          <cell r="H18">
            <v>0</v>
          </cell>
          <cell r="I18">
            <v>-96000</v>
          </cell>
          <cell r="K18">
            <v>-24000</v>
          </cell>
          <cell r="L18">
            <v>0</v>
          </cell>
          <cell r="M18">
            <v>-24000</v>
          </cell>
          <cell r="O18">
            <v>-120000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Y18">
            <v>0</v>
          </cell>
          <cell r="Z18">
            <v>-120000</v>
          </cell>
          <cell r="AA18">
            <v>117600</v>
          </cell>
          <cell r="AB18">
            <v>2.35</v>
          </cell>
          <cell r="AC18">
            <v>1.04</v>
          </cell>
        </row>
        <row r="19">
          <cell r="A19">
            <v>35339</v>
          </cell>
          <cell r="B19">
            <v>110700</v>
          </cell>
          <cell r="C19">
            <v>5400</v>
          </cell>
          <cell r="D19">
            <v>50000</v>
          </cell>
          <cell r="E19">
            <v>166100</v>
          </cell>
          <cell r="G19">
            <v>-32000</v>
          </cell>
          <cell r="H19">
            <v>0</v>
          </cell>
          <cell r="I19">
            <v>-32000</v>
          </cell>
          <cell r="K19">
            <v>-18000</v>
          </cell>
          <cell r="L19">
            <v>0</v>
          </cell>
          <cell r="M19">
            <v>-18000</v>
          </cell>
          <cell r="O19">
            <v>-50000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Y19">
            <v>0</v>
          </cell>
          <cell r="Z19">
            <v>-50000</v>
          </cell>
          <cell r="AA19">
            <v>116100</v>
          </cell>
          <cell r="AB19">
            <v>2.15</v>
          </cell>
          <cell r="AC19">
            <v>1.04</v>
          </cell>
        </row>
        <row r="20">
          <cell r="A20">
            <v>35370</v>
          </cell>
          <cell r="B20">
            <v>240000</v>
          </cell>
          <cell r="C20">
            <v>33000</v>
          </cell>
          <cell r="D20">
            <v>0</v>
          </cell>
          <cell r="E20">
            <v>273000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Q20">
            <v>153000</v>
          </cell>
          <cell r="R20">
            <v>0</v>
          </cell>
          <cell r="S20">
            <v>153000</v>
          </cell>
          <cell r="U20">
            <v>10000</v>
          </cell>
          <cell r="V20">
            <v>0</v>
          </cell>
          <cell r="W20">
            <v>10000</v>
          </cell>
          <cell r="Y20">
            <v>163000</v>
          </cell>
          <cell r="Z20">
            <v>163000</v>
          </cell>
          <cell r="AA20">
            <v>436000</v>
          </cell>
          <cell r="AB20">
            <v>2.2999999999999998</v>
          </cell>
          <cell r="AC20">
            <v>1.04</v>
          </cell>
        </row>
        <row r="21">
          <cell r="A21">
            <v>35400</v>
          </cell>
          <cell r="B21">
            <v>450000</v>
          </cell>
          <cell r="C21">
            <v>60000</v>
          </cell>
          <cell r="D21">
            <v>0</v>
          </cell>
          <cell r="E21">
            <v>510000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Q21">
            <v>150000</v>
          </cell>
          <cell r="R21">
            <v>0</v>
          </cell>
          <cell r="S21">
            <v>150000</v>
          </cell>
          <cell r="U21">
            <v>50000</v>
          </cell>
          <cell r="V21">
            <v>0</v>
          </cell>
          <cell r="W21">
            <v>50000</v>
          </cell>
          <cell r="Y21">
            <v>200000</v>
          </cell>
          <cell r="Z21">
            <v>200000</v>
          </cell>
          <cell r="AA21">
            <v>710000</v>
          </cell>
          <cell r="AB21">
            <v>2.85</v>
          </cell>
          <cell r="AC21">
            <v>1.04</v>
          </cell>
        </row>
        <row r="22">
          <cell r="A22">
            <v>35431</v>
          </cell>
          <cell r="B22">
            <v>377000</v>
          </cell>
          <cell r="C22">
            <v>52000</v>
          </cell>
          <cell r="D22">
            <v>0</v>
          </cell>
          <cell r="E22">
            <v>429000</v>
          </cell>
          <cell r="G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Q22">
            <v>262000</v>
          </cell>
          <cell r="R22">
            <v>0</v>
          </cell>
          <cell r="S22">
            <v>262000</v>
          </cell>
          <cell r="U22">
            <v>76000</v>
          </cell>
          <cell r="V22">
            <v>0</v>
          </cell>
          <cell r="W22">
            <v>76000</v>
          </cell>
          <cell r="Y22">
            <v>338000</v>
          </cell>
          <cell r="Z22">
            <v>338000</v>
          </cell>
          <cell r="AA22">
            <v>767000</v>
          </cell>
          <cell r="AB22">
            <v>3.15</v>
          </cell>
          <cell r="AC22">
            <v>1.04</v>
          </cell>
        </row>
        <row r="23">
          <cell r="A23">
            <v>35462</v>
          </cell>
          <cell r="B23">
            <v>313000</v>
          </cell>
          <cell r="C23">
            <v>50000</v>
          </cell>
          <cell r="D23">
            <v>0</v>
          </cell>
          <cell r="E23">
            <v>363000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Q23">
            <v>217000</v>
          </cell>
          <cell r="R23">
            <v>0</v>
          </cell>
          <cell r="S23">
            <v>217000</v>
          </cell>
          <cell r="U23">
            <v>60000</v>
          </cell>
          <cell r="V23">
            <v>0</v>
          </cell>
          <cell r="W23">
            <v>60000</v>
          </cell>
          <cell r="Y23">
            <v>277000</v>
          </cell>
          <cell r="Z23">
            <v>277000</v>
          </cell>
          <cell r="AA23">
            <v>640000</v>
          </cell>
          <cell r="AB23">
            <v>3.3</v>
          </cell>
          <cell r="AC23">
            <v>1.04</v>
          </cell>
        </row>
        <row r="24">
          <cell r="A24">
            <v>35490</v>
          </cell>
          <cell r="B24">
            <v>275000</v>
          </cell>
          <cell r="C24">
            <v>35000</v>
          </cell>
          <cell r="D24">
            <v>0</v>
          </cell>
          <cell r="E24">
            <v>310000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Q24">
            <v>75000</v>
          </cell>
          <cell r="R24">
            <v>0</v>
          </cell>
          <cell r="S24">
            <v>75000</v>
          </cell>
          <cell r="U24">
            <v>50000</v>
          </cell>
          <cell r="V24">
            <v>0</v>
          </cell>
          <cell r="W24">
            <v>50000</v>
          </cell>
          <cell r="Y24">
            <v>125000</v>
          </cell>
          <cell r="Z24">
            <v>125000</v>
          </cell>
          <cell r="AA24">
            <v>435000</v>
          </cell>
          <cell r="AB24">
            <v>2.6</v>
          </cell>
          <cell r="AC24">
            <v>1.04</v>
          </cell>
        </row>
        <row r="25">
          <cell r="A25">
            <v>35521</v>
          </cell>
          <cell r="B25">
            <v>230000</v>
          </cell>
          <cell r="C25">
            <v>50000</v>
          </cell>
          <cell r="D25">
            <v>40000</v>
          </cell>
          <cell r="E25">
            <v>320000</v>
          </cell>
          <cell r="G25">
            <v>-30000</v>
          </cell>
          <cell r="H25">
            <v>0</v>
          </cell>
          <cell r="I25">
            <v>-30000</v>
          </cell>
          <cell r="K25">
            <v>-10000</v>
          </cell>
          <cell r="L25">
            <v>0</v>
          </cell>
          <cell r="M25">
            <v>-10000</v>
          </cell>
          <cell r="O25">
            <v>-40000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Z25">
            <v>-40000</v>
          </cell>
          <cell r="AA25">
            <v>280000</v>
          </cell>
          <cell r="AB25">
            <v>1.9</v>
          </cell>
          <cell r="AC25">
            <v>1.04</v>
          </cell>
        </row>
        <row r="26">
          <cell r="A26">
            <v>35551</v>
          </cell>
          <cell r="B26">
            <v>200000</v>
          </cell>
          <cell r="C26">
            <v>26000</v>
          </cell>
          <cell r="D26">
            <v>170000</v>
          </cell>
          <cell r="E26">
            <v>396000</v>
          </cell>
          <cell r="G26">
            <v>-135000</v>
          </cell>
          <cell r="H26">
            <v>0</v>
          </cell>
          <cell r="I26">
            <v>-135000</v>
          </cell>
          <cell r="K26">
            <v>-35000</v>
          </cell>
          <cell r="L26">
            <v>0</v>
          </cell>
          <cell r="M26">
            <v>-35000</v>
          </cell>
          <cell r="O26">
            <v>-170000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Z26">
            <v>-170000</v>
          </cell>
          <cell r="AA26">
            <v>226000</v>
          </cell>
          <cell r="AB26">
            <v>1.75</v>
          </cell>
          <cell r="AC26">
            <v>1.04</v>
          </cell>
        </row>
        <row r="27">
          <cell r="A27">
            <v>35582</v>
          </cell>
          <cell r="B27">
            <v>245000</v>
          </cell>
          <cell r="C27">
            <v>45000</v>
          </cell>
          <cell r="D27">
            <v>245000</v>
          </cell>
          <cell r="E27">
            <v>535000</v>
          </cell>
          <cell r="G27">
            <v>-200000</v>
          </cell>
          <cell r="H27">
            <v>0</v>
          </cell>
          <cell r="I27">
            <v>-200000</v>
          </cell>
          <cell r="K27">
            <v>-45000</v>
          </cell>
          <cell r="L27">
            <v>0</v>
          </cell>
          <cell r="M27">
            <v>-45000</v>
          </cell>
          <cell r="O27">
            <v>-245000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Y27">
            <v>0</v>
          </cell>
          <cell r="Z27">
            <v>-245000</v>
          </cell>
          <cell r="AA27">
            <v>290000</v>
          </cell>
          <cell r="AB27">
            <v>2</v>
          </cell>
          <cell r="AC27">
            <v>1.04</v>
          </cell>
        </row>
        <row r="28">
          <cell r="A28">
            <v>35612</v>
          </cell>
          <cell r="B28">
            <v>230000</v>
          </cell>
          <cell r="C28">
            <v>45000</v>
          </cell>
          <cell r="D28">
            <v>255000</v>
          </cell>
          <cell r="E28">
            <v>530000</v>
          </cell>
          <cell r="G28">
            <v>-215000</v>
          </cell>
          <cell r="H28">
            <v>0</v>
          </cell>
          <cell r="I28">
            <v>-215000</v>
          </cell>
          <cell r="K28">
            <v>-40000</v>
          </cell>
          <cell r="L28">
            <v>0</v>
          </cell>
          <cell r="M28">
            <v>-40000</v>
          </cell>
          <cell r="O28">
            <v>-255000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Y28">
            <v>0</v>
          </cell>
          <cell r="Z28">
            <v>-255000</v>
          </cell>
          <cell r="AA28">
            <v>275000</v>
          </cell>
          <cell r="AB28">
            <v>2.15</v>
          </cell>
          <cell r="AC28">
            <v>1.04</v>
          </cell>
        </row>
        <row r="29">
          <cell r="A29">
            <v>35643</v>
          </cell>
          <cell r="B29">
            <v>255000</v>
          </cell>
          <cell r="C29">
            <v>45000</v>
          </cell>
          <cell r="D29">
            <v>195000</v>
          </cell>
          <cell r="E29">
            <v>495000</v>
          </cell>
          <cell r="G29">
            <v>-150000</v>
          </cell>
          <cell r="H29">
            <v>0</v>
          </cell>
          <cell r="I29">
            <v>-150000</v>
          </cell>
          <cell r="K29">
            <v>-45000</v>
          </cell>
          <cell r="L29">
            <v>0</v>
          </cell>
          <cell r="M29">
            <v>-45000</v>
          </cell>
          <cell r="O29">
            <v>-195000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Z29">
            <v>-195000</v>
          </cell>
          <cell r="AA29">
            <v>300000</v>
          </cell>
          <cell r="AB29">
            <v>2.35</v>
          </cell>
          <cell r="AC29">
            <v>1.04</v>
          </cell>
        </row>
        <row r="30">
          <cell r="A30">
            <v>35674</v>
          </cell>
          <cell r="B30">
            <v>265000</v>
          </cell>
          <cell r="C30">
            <v>45000</v>
          </cell>
          <cell r="D30">
            <v>150000</v>
          </cell>
          <cell r="E30">
            <v>460000</v>
          </cell>
          <cell r="G30">
            <v>-110000</v>
          </cell>
          <cell r="H30">
            <v>0</v>
          </cell>
          <cell r="I30">
            <v>-110000</v>
          </cell>
          <cell r="K30">
            <v>-40000</v>
          </cell>
          <cell r="L30">
            <v>0</v>
          </cell>
          <cell r="M30">
            <v>-40000</v>
          </cell>
          <cell r="O30">
            <v>-150000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</v>
          </cell>
          <cell r="Y30">
            <v>0</v>
          </cell>
          <cell r="Z30">
            <v>-150000</v>
          </cell>
          <cell r="AA30">
            <v>310000</v>
          </cell>
          <cell r="AB30">
            <v>2.35</v>
          </cell>
          <cell r="AC30">
            <v>1.04</v>
          </cell>
        </row>
        <row r="31">
          <cell r="A31">
            <v>35704</v>
          </cell>
          <cell r="B31">
            <v>225000</v>
          </cell>
          <cell r="C31">
            <v>40000</v>
          </cell>
          <cell r="D31">
            <v>96500</v>
          </cell>
          <cell r="E31">
            <v>361500</v>
          </cell>
          <cell r="G31">
            <v>-90000</v>
          </cell>
          <cell r="H31">
            <v>0</v>
          </cell>
          <cell r="I31">
            <v>-90000</v>
          </cell>
          <cell r="K31">
            <v>-6500</v>
          </cell>
          <cell r="L31">
            <v>0</v>
          </cell>
          <cell r="M31">
            <v>-6500</v>
          </cell>
          <cell r="O31">
            <v>-96500</v>
          </cell>
          <cell r="Q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Y31">
            <v>0</v>
          </cell>
          <cell r="Z31">
            <v>-96500</v>
          </cell>
          <cell r="AA31">
            <v>265000</v>
          </cell>
          <cell r="AB31">
            <v>2.5499999999999998</v>
          </cell>
          <cell r="AC31">
            <v>1.04</v>
          </cell>
        </row>
        <row r="32">
          <cell r="A32">
            <v>35735</v>
          </cell>
          <cell r="B32">
            <v>235000</v>
          </cell>
          <cell r="C32">
            <v>45000</v>
          </cell>
          <cell r="D32">
            <v>0</v>
          </cell>
          <cell r="E32">
            <v>280000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O32">
            <v>0</v>
          </cell>
          <cell r="Q32">
            <v>20000</v>
          </cell>
          <cell r="R32">
            <v>0</v>
          </cell>
          <cell r="S32">
            <v>20000</v>
          </cell>
          <cell r="U32">
            <v>10000</v>
          </cell>
          <cell r="V32">
            <v>0</v>
          </cell>
          <cell r="W32">
            <v>10000</v>
          </cell>
          <cell r="Y32">
            <v>30000</v>
          </cell>
          <cell r="Z32">
            <v>30000</v>
          </cell>
          <cell r="AA32">
            <v>310000</v>
          </cell>
          <cell r="AB32">
            <v>3.65</v>
          </cell>
          <cell r="AC32">
            <v>1.04</v>
          </cell>
        </row>
        <row r="33">
          <cell r="A33">
            <v>35765</v>
          </cell>
          <cell r="B33">
            <v>300000</v>
          </cell>
          <cell r="C33">
            <v>35000</v>
          </cell>
          <cell r="D33">
            <v>0</v>
          </cell>
          <cell r="E33">
            <v>335000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O33">
            <v>0</v>
          </cell>
          <cell r="Q33">
            <v>150000</v>
          </cell>
          <cell r="R33">
            <v>0</v>
          </cell>
          <cell r="S33">
            <v>150000</v>
          </cell>
          <cell r="U33">
            <v>55000</v>
          </cell>
          <cell r="V33">
            <v>0</v>
          </cell>
          <cell r="W33">
            <v>55000</v>
          </cell>
          <cell r="Y33">
            <v>205000</v>
          </cell>
          <cell r="Z33">
            <v>205000</v>
          </cell>
          <cell r="AA33">
            <v>540000</v>
          </cell>
          <cell r="AB33">
            <v>3.98</v>
          </cell>
          <cell r="AC33">
            <v>1.04</v>
          </cell>
        </row>
        <row r="34">
          <cell r="A34">
            <v>35796</v>
          </cell>
          <cell r="B34">
            <v>353000</v>
          </cell>
          <cell r="C34">
            <v>49000</v>
          </cell>
          <cell r="D34">
            <v>0</v>
          </cell>
          <cell r="E34">
            <v>402000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Q34">
            <v>262000</v>
          </cell>
          <cell r="R34">
            <v>0</v>
          </cell>
          <cell r="S34">
            <v>262000</v>
          </cell>
          <cell r="U34">
            <v>76000</v>
          </cell>
          <cell r="V34">
            <v>0</v>
          </cell>
          <cell r="W34">
            <v>76000</v>
          </cell>
          <cell r="Y34">
            <v>338000</v>
          </cell>
          <cell r="Z34">
            <v>338000</v>
          </cell>
          <cell r="AA34">
            <v>740000</v>
          </cell>
          <cell r="AB34">
            <v>3.48</v>
          </cell>
          <cell r="AC34">
            <v>1.04</v>
          </cell>
        </row>
        <row r="35">
          <cell r="A35">
            <v>35827</v>
          </cell>
          <cell r="B35">
            <v>615341</v>
          </cell>
          <cell r="C35">
            <v>99637</v>
          </cell>
          <cell r="D35">
            <v>0</v>
          </cell>
          <cell r="E35">
            <v>714978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  <cell r="Q35">
            <v>193750</v>
          </cell>
          <cell r="R35">
            <v>0</v>
          </cell>
          <cell r="S35">
            <v>193750</v>
          </cell>
          <cell r="U35">
            <v>56250</v>
          </cell>
          <cell r="V35">
            <v>0</v>
          </cell>
          <cell r="W35">
            <v>56250</v>
          </cell>
          <cell r="Y35">
            <v>250000</v>
          </cell>
          <cell r="Z35">
            <v>250000</v>
          </cell>
          <cell r="AA35">
            <v>964978</v>
          </cell>
          <cell r="AB35">
            <v>2.5</v>
          </cell>
          <cell r="AC35">
            <v>1.04</v>
          </cell>
        </row>
        <row r="36">
          <cell r="A36">
            <v>35855</v>
          </cell>
          <cell r="B36">
            <v>532617</v>
          </cell>
          <cell r="C36">
            <v>78158</v>
          </cell>
          <cell r="D36">
            <v>0</v>
          </cell>
          <cell r="E36">
            <v>610775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Q36">
            <v>116250</v>
          </cell>
          <cell r="R36">
            <v>0</v>
          </cell>
          <cell r="S36">
            <v>116250</v>
          </cell>
          <cell r="U36">
            <v>33750</v>
          </cell>
          <cell r="V36">
            <v>0</v>
          </cell>
          <cell r="W36">
            <v>33750</v>
          </cell>
          <cell r="Y36">
            <v>150000</v>
          </cell>
          <cell r="Z36">
            <v>150000</v>
          </cell>
          <cell r="AA36">
            <v>760775</v>
          </cell>
          <cell r="AB36">
            <v>2.23</v>
          </cell>
          <cell r="AC36">
            <v>1.04</v>
          </cell>
        </row>
        <row r="37">
          <cell r="A37">
            <v>35886</v>
          </cell>
          <cell r="B37">
            <v>326274</v>
          </cell>
          <cell r="C37">
            <v>38318</v>
          </cell>
          <cell r="D37">
            <v>130000</v>
          </cell>
          <cell r="E37">
            <v>494592</v>
          </cell>
          <cell r="G37">
            <v>-100750</v>
          </cell>
          <cell r="H37">
            <v>0</v>
          </cell>
          <cell r="I37">
            <v>-100750</v>
          </cell>
          <cell r="K37">
            <v>-29250</v>
          </cell>
          <cell r="L37">
            <v>0</v>
          </cell>
          <cell r="M37">
            <v>-29250</v>
          </cell>
          <cell r="O37">
            <v>-130000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Z37">
            <v>-130000</v>
          </cell>
          <cell r="AA37">
            <v>364592</v>
          </cell>
          <cell r="AB37">
            <v>2.2599999999999998</v>
          </cell>
          <cell r="AC37">
            <v>1.04</v>
          </cell>
        </row>
        <row r="38">
          <cell r="A38">
            <v>35916</v>
          </cell>
          <cell r="B38">
            <v>74907</v>
          </cell>
          <cell r="C38">
            <v>17003</v>
          </cell>
          <cell r="D38">
            <v>134323</v>
          </cell>
          <cell r="E38">
            <v>226233</v>
          </cell>
          <cell r="G38">
            <v>-119257</v>
          </cell>
          <cell r="H38">
            <v>0</v>
          </cell>
          <cell r="I38">
            <v>-119257</v>
          </cell>
          <cell r="K38">
            <v>-15066</v>
          </cell>
          <cell r="L38">
            <v>0</v>
          </cell>
          <cell r="M38">
            <v>-15066</v>
          </cell>
          <cell r="O38">
            <v>-134323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Z38">
            <v>-134323</v>
          </cell>
          <cell r="AA38">
            <v>91910</v>
          </cell>
          <cell r="AB38">
            <v>2.41</v>
          </cell>
          <cell r="AC38">
            <v>1.04</v>
          </cell>
        </row>
        <row r="39">
          <cell r="A39">
            <v>35947</v>
          </cell>
          <cell r="B39">
            <v>67363</v>
          </cell>
          <cell r="C39">
            <v>15291</v>
          </cell>
          <cell r="D39">
            <v>129990</v>
          </cell>
          <cell r="E39">
            <v>212644</v>
          </cell>
          <cell r="G39">
            <v>-106020</v>
          </cell>
          <cell r="H39">
            <v>0</v>
          </cell>
          <cell r="I39">
            <v>-106020</v>
          </cell>
          <cell r="K39">
            <v>-23970</v>
          </cell>
          <cell r="L39">
            <v>0</v>
          </cell>
          <cell r="M39">
            <v>-23970</v>
          </cell>
          <cell r="O39">
            <v>-129990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Y39">
            <v>0</v>
          </cell>
          <cell r="Z39">
            <v>-129990</v>
          </cell>
          <cell r="AA39">
            <v>82654</v>
          </cell>
          <cell r="AB39">
            <v>2.4</v>
          </cell>
          <cell r="AC39">
            <v>1.04</v>
          </cell>
        </row>
        <row r="40">
          <cell r="A40">
            <v>35977</v>
          </cell>
          <cell r="B40">
            <v>5665</v>
          </cell>
          <cell r="C40">
            <v>1286</v>
          </cell>
          <cell r="D40">
            <v>216850</v>
          </cell>
          <cell r="E40">
            <v>223801</v>
          </cell>
          <cell r="G40">
            <v>-168059</v>
          </cell>
          <cell r="H40">
            <v>0</v>
          </cell>
          <cell r="I40">
            <v>-168059</v>
          </cell>
          <cell r="K40">
            <v>-48791</v>
          </cell>
          <cell r="L40">
            <v>0</v>
          </cell>
          <cell r="M40">
            <v>-48791</v>
          </cell>
          <cell r="O40">
            <v>-216850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Y40">
            <v>0</v>
          </cell>
          <cell r="Z40">
            <v>-216850</v>
          </cell>
          <cell r="AA40">
            <v>6951</v>
          </cell>
          <cell r="AB40">
            <v>2.2999999999999998</v>
          </cell>
          <cell r="AC40">
            <v>1.04</v>
          </cell>
        </row>
        <row r="41">
          <cell r="A41">
            <v>36008</v>
          </cell>
          <cell r="B41">
            <v>28198</v>
          </cell>
          <cell r="C41">
            <v>6401</v>
          </cell>
          <cell r="D41">
            <v>172600</v>
          </cell>
          <cell r="E41">
            <v>207199</v>
          </cell>
          <cell r="G41">
            <v>-133765</v>
          </cell>
          <cell r="H41">
            <v>0</v>
          </cell>
          <cell r="I41">
            <v>-133765</v>
          </cell>
          <cell r="K41">
            <v>-38835</v>
          </cell>
          <cell r="L41">
            <v>0</v>
          </cell>
          <cell r="M41">
            <v>-38835</v>
          </cell>
          <cell r="O41">
            <v>-172600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Y41">
            <v>0</v>
          </cell>
          <cell r="Z41">
            <v>-172600</v>
          </cell>
          <cell r="AA41">
            <v>34599</v>
          </cell>
          <cell r="AB41">
            <v>2.4500000000000002</v>
          </cell>
          <cell r="AC41">
            <v>1.04</v>
          </cell>
        </row>
        <row r="42">
          <cell r="A42">
            <v>36039</v>
          </cell>
          <cell r="B42">
            <v>72864</v>
          </cell>
          <cell r="C42">
            <v>16540</v>
          </cell>
          <cell r="D42">
            <v>120150</v>
          </cell>
          <cell r="E42">
            <v>209554</v>
          </cell>
          <cell r="G42">
            <v>-93116</v>
          </cell>
          <cell r="H42">
            <v>0</v>
          </cell>
          <cell r="I42">
            <v>-93116</v>
          </cell>
          <cell r="K42">
            <v>-27034</v>
          </cell>
          <cell r="L42">
            <v>0</v>
          </cell>
          <cell r="M42">
            <v>-27034</v>
          </cell>
          <cell r="O42">
            <v>-120150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Y42">
            <v>0</v>
          </cell>
          <cell r="Z42">
            <v>-120150</v>
          </cell>
          <cell r="AA42">
            <v>89404</v>
          </cell>
          <cell r="AB42">
            <v>2.15</v>
          </cell>
          <cell r="AC42">
            <v>1.04</v>
          </cell>
        </row>
        <row r="43">
          <cell r="A43">
            <v>36069</v>
          </cell>
          <cell r="B43">
            <v>188430</v>
          </cell>
          <cell r="C43">
            <v>42772</v>
          </cell>
          <cell r="D43">
            <v>98000</v>
          </cell>
          <cell r="E43">
            <v>329202</v>
          </cell>
          <cell r="G43">
            <v>-75950</v>
          </cell>
          <cell r="H43">
            <v>0</v>
          </cell>
          <cell r="I43">
            <v>-75950</v>
          </cell>
          <cell r="K43">
            <v>-22050</v>
          </cell>
          <cell r="L43">
            <v>0</v>
          </cell>
          <cell r="M43">
            <v>-22050</v>
          </cell>
          <cell r="O43">
            <v>-98000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Y43">
            <v>0</v>
          </cell>
          <cell r="Z43">
            <v>-98000</v>
          </cell>
          <cell r="AA43">
            <v>231202</v>
          </cell>
          <cell r="AB43">
            <v>2.15</v>
          </cell>
          <cell r="AC43">
            <v>1.04</v>
          </cell>
        </row>
        <row r="44">
          <cell r="A44">
            <v>36100</v>
          </cell>
          <cell r="B44">
            <v>369849</v>
          </cell>
          <cell r="C44">
            <v>83954</v>
          </cell>
          <cell r="D44">
            <v>-150000</v>
          </cell>
          <cell r="E44">
            <v>303803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O44">
            <v>0</v>
          </cell>
          <cell r="Q44">
            <v>116250</v>
          </cell>
          <cell r="R44">
            <v>0</v>
          </cell>
          <cell r="S44">
            <v>116250</v>
          </cell>
          <cell r="U44">
            <v>33750</v>
          </cell>
          <cell r="V44">
            <v>0</v>
          </cell>
          <cell r="W44">
            <v>33750</v>
          </cell>
          <cell r="Y44">
            <v>150000</v>
          </cell>
          <cell r="Z44">
            <v>150000</v>
          </cell>
          <cell r="AA44">
            <v>453803</v>
          </cell>
          <cell r="AB44">
            <v>2.5099999999999998</v>
          </cell>
          <cell r="AC44">
            <v>1.04</v>
          </cell>
        </row>
        <row r="45">
          <cell r="A45">
            <v>36130</v>
          </cell>
          <cell r="B45">
            <v>496359</v>
          </cell>
          <cell r="C45">
            <v>112670</v>
          </cell>
          <cell r="D45">
            <v>-300000</v>
          </cell>
          <cell r="E45">
            <v>309029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Q45">
            <v>232500</v>
          </cell>
          <cell r="R45">
            <v>0</v>
          </cell>
          <cell r="S45">
            <v>232500</v>
          </cell>
          <cell r="U45">
            <v>67500</v>
          </cell>
          <cell r="V45">
            <v>0</v>
          </cell>
          <cell r="W45">
            <v>67500</v>
          </cell>
          <cell r="Y45">
            <v>300000</v>
          </cell>
          <cell r="Z45">
            <v>300000</v>
          </cell>
          <cell r="AA45">
            <v>609029</v>
          </cell>
          <cell r="AB45">
            <v>2.37</v>
          </cell>
          <cell r="AC45">
            <v>1.04</v>
          </cell>
        </row>
        <row r="46">
          <cell r="A46">
            <v>36161</v>
          </cell>
          <cell r="B46">
            <v>593925</v>
          </cell>
          <cell r="C46">
            <v>134817</v>
          </cell>
          <cell r="D46">
            <v>-350000</v>
          </cell>
          <cell r="E46">
            <v>378742</v>
          </cell>
          <cell r="G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O46">
            <v>0</v>
          </cell>
          <cell r="Q46">
            <v>271250</v>
          </cell>
          <cell r="R46">
            <v>0</v>
          </cell>
          <cell r="S46">
            <v>271250</v>
          </cell>
          <cell r="U46">
            <v>78750</v>
          </cell>
          <cell r="V46">
            <v>0</v>
          </cell>
          <cell r="W46">
            <v>78750</v>
          </cell>
          <cell r="Y46">
            <v>350000</v>
          </cell>
          <cell r="Z46">
            <v>350000</v>
          </cell>
          <cell r="AA46">
            <v>728742</v>
          </cell>
          <cell r="AB46">
            <v>2.25</v>
          </cell>
          <cell r="AC46">
            <v>1.04</v>
          </cell>
        </row>
        <row r="47">
          <cell r="A47">
            <v>36192</v>
          </cell>
          <cell r="B47">
            <v>469686</v>
          </cell>
          <cell r="C47">
            <v>106616</v>
          </cell>
          <cell r="D47">
            <v>-300000</v>
          </cell>
          <cell r="E47">
            <v>276302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O47">
            <v>0</v>
          </cell>
          <cell r="Q47">
            <v>232500</v>
          </cell>
          <cell r="R47">
            <v>0</v>
          </cell>
          <cell r="S47">
            <v>232500</v>
          </cell>
          <cell r="U47">
            <v>67500</v>
          </cell>
          <cell r="V47">
            <v>0</v>
          </cell>
          <cell r="W47">
            <v>67500</v>
          </cell>
          <cell r="Y47">
            <v>300000</v>
          </cell>
          <cell r="Z47">
            <v>300000</v>
          </cell>
          <cell r="AA47">
            <v>576302</v>
          </cell>
          <cell r="AB47">
            <v>1.81</v>
          </cell>
          <cell r="AC47">
            <v>1.04</v>
          </cell>
        </row>
        <row r="48">
          <cell r="A48">
            <v>36220</v>
          </cell>
          <cell r="B48">
            <v>384217</v>
          </cell>
          <cell r="C48">
            <v>87215</v>
          </cell>
          <cell r="D48">
            <v>-138000</v>
          </cell>
          <cell r="E48">
            <v>333432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O48">
            <v>0</v>
          </cell>
          <cell r="Q48">
            <v>106950</v>
          </cell>
          <cell r="R48">
            <v>0</v>
          </cell>
          <cell r="S48">
            <v>106950</v>
          </cell>
          <cell r="U48">
            <v>31050</v>
          </cell>
          <cell r="V48">
            <v>0</v>
          </cell>
          <cell r="W48">
            <v>31050</v>
          </cell>
          <cell r="Y48">
            <v>138000</v>
          </cell>
          <cell r="Z48">
            <v>138000</v>
          </cell>
          <cell r="AA48">
            <v>471432</v>
          </cell>
          <cell r="AB48">
            <v>1.77</v>
          </cell>
          <cell r="AC48">
            <v>1.04</v>
          </cell>
        </row>
        <row r="49">
          <cell r="A49">
            <v>36251</v>
          </cell>
          <cell r="B49">
            <v>209378</v>
          </cell>
          <cell r="C49">
            <v>47528</v>
          </cell>
          <cell r="D49">
            <v>130000</v>
          </cell>
          <cell r="E49">
            <v>386906</v>
          </cell>
          <cell r="G49">
            <v>-100750</v>
          </cell>
          <cell r="H49">
            <v>0</v>
          </cell>
          <cell r="I49">
            <v>-100750</v>
          </cell>
          <cell r="K49">
            <v>-29250</v>
          </cell>
          <cell r="L49">
            <v>0</v>
          </cell>
          <cell r="M49">
            <v>-29250</v>
          </cell>
          <cell r="O49">
            <v>-130000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Z49">
            <v>-130000</v>
          </cell>
          <cell r="AA49">
            <v>256906</v>
          </cell>
          <cell r="AB49">
            <v>1.75</v>
          </cell>
          <cell r="AC49">
            <v>1.04</v>
          </cell>
        </row>
        <row r="50">
          <cell r="A50">
            <v>36281</v>
          </cell>
          <cell r="B50">
            <v>111137</v>
          </cell>
          <cell r="C50">
            <v>25227</v>
          </cell>
          <cell r="D50">
            <v>173000</v>
          </cell>
          <cell r="E50">
            <v>309364</v>
          </cell>
          <cell r="G50">
            <v>-134075</v>
          </cell>
          <cell r="H50">
            <v>0</v>
          </cell>
          <cell r="I50">
            <v>-134075</v>
          </cell>
          <cell r="K50">
            <v>-38925</v>
          </cell>
          <cell r="L50">
            <v>0</v>
          </cell>
          <cell r="M50">
            <v>-38925</v>
          </cell>
          <cell r="O50">
            <v>-173000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Z50">
            <v>-173000</v>
          </cell>
          <cell r="AA50">
            <v>136364</v>
          </cell>
          <cell r="AB50">
            <v>1.66</v>
          </cell>
          <cell r="AC50">
            <v>1.04</v>
          </cell>
        </row>
        <row r="51">
          <cell r="A51">
            <v>36312</v>
          </cell>
          <cell r="B51">
            <v>77216</v>
          </cell>
          <cell r="C51">
            <v>17527</v>
          </cell>
          <cell r="D51">
            <v>246000</v>
          </cell>
          <cell r="E51">
            <v>340743</v>
          </cell>
          <cell r="G51">
            <v>-190650</v>
          </cell>
          <cell r="H51">
            <v>0</v>
          </cell>
          <cell r="I51">
            <v>-190650</v>
          </cell>
          <cell r="K51">
            <v>-55350</v>
          </cell>
          <cell r="L51">
            <v>0</v>
          </cell>
          <cell r="M51">
            <v>-55350</v>
          </cell>
          <cell r="O51">
            <v>-246000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Z51">
            <v>-246000</v>
          </cell>
          <cell r="AA51">
            <v>94743</v>
          </cell>
          <cell r="AB51">
            <v>2.0499999999999998</v>
          </cell>
          <cell r="AC51">
            <v>1.04</v>
          </cell>
        </row>
        <row r="52">
          <cell r="A52">
            <v>36342</v>
          </cell>
          <cell r="B52">
            <v>79460</v>
          </cell>
          <cell r="C52">
            <v>18037</v>
          </cell>
          <cell r="D52">
            <v>246000</v>
          </cell>
          <cell r="E52">
            <v>343497</v>
          </cell>
          <cell r="G52">
            <v>-190650</v>
          </cell>
          <cell r="H52">
            <v>0</v>
          </cell>
          <cell r="I52">
            <v>-190650</v>
          </cell>
          <cell r="K52">
            <v>-55350</v>
          </cell>
          <cell r="L52">
            <v>0</v>
          </cell>
          <cell r="M52">
            <v>-55350</v>
          </cell>
          <cell r="O52">
            <v>-246000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Z52">
            <v>-246000</v>
          </cell>
          <cell r="AA52">
            <v>97497</v>
          </cell>
          <cell r="AB52">
            <v>2.34</v>
          </cell>
          <cell r="AC52">
            <v>1.04</v>
          </cell>
        </row>
        <row r="53">
          <cell r="A53">
            <v>36373</v>
          </cell>
          <cell r="B53">
            <v>69256</v>
          </cell>
          <cell r="C53">
            <v>15721</v>
          </cell>
          <cell r="D53">
            <v>166000</v>
          </cell>
          <cell r="E53">
            <v>250977</v>
          </cell>
          <cell r="G53">
            <v>-128650</v>
          </cell>
          <cell r="H53">
            <v>0</v>
          </cell>
          <cell r="I53">
            <v>-128650</v>
          </cell>
          <cell r="K53">
            <v>-37350</v>
          </cell>
          <cell r="L53">
            <v>0</v>
          </cell>
          <cell r="M53">
            <v>-37350</v>
          </cell>
          <cell r="O53">
            <v>-166000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Z53">
            <v>-166000</v>
          </cell>
          <cell r="AA53">
            <v>84977</v>
          </cell>
          <cell r="AB53">
            <v>2.1500000000000004</v>
          </cell>
          <cell r="AC53">
            <v>1.04</v>
          </cell>
        </row>
        <row r="54">
          <cell r="A54">
            <v>36404</v>
          </cell>
          <cell r="B54">
            <v>52543</v>
          </cell>
          <cell r="C54">
            <v>11927</v>
          </cell>
          <cell r="D54">
            <v>123000</v>
          </cell>
          <cell r="E54">
            <v>187470</v>
          </cell>
          <cell r="G54">
            <v>-95325</v>
          </cell>
          <cell r="H54">
            <v>0</v>
          </cell>
          <cell r="I54">
            <v>-95325</v>
          </cell>
          <cell r="K54">
            <v>-27675</v>
          </cell>
          <cell r="L54">
            <v>0</v>
          </cell>
          <cell r="M54">
            <v>-27675</v>
          </cell>
          <cell r="O54">
            <v>-123000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Y54">
            <v>0</v>
          </cell>
          <cell r="Z54">
            <v>-123000</v>
          </cell>
          <cell r="AA54">
            <v>64470</v>
          </cell>
          <cell r="AB54">
            <v>2.1500000000000004</v>
          </cell>
          <cell r="AC54">
            <v>1.04</v>
          </cell>
        </row>
        <row r="55">
          <cell r="A55">
            <v>36434</v>
          </cell>
          <cell r="B55">
            <v>171626</v>
          </cell>
          <cell r="C55">
            <v>38958</v>
          </cell>
          <cell r="D55">
            <v>98000</v>
          </cell>
          <cell r="E55">
            <v>308584</v>
          </cell>
          <cell r="G55">
            <v>-75950</v>
          </cell>
          <cell r="H55">
            <v>0</v>
          </cell>
          <cell r="I55">
            <v>-75950</v>
          </cell>
          <cell r="K55">
            <v>-22050</v>
          </cell>
          <cell r="L55">
            <v>0</v>
          </cell>
          <cell r="M55">
            <v>-22050</v>
          </cell>
          <cell r="O55">
            <v>-98000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Y55">
            <v>0</v>
          </cell>
          <cell r="Z55">
            <v>-98000</v>
          </cell>
          <cell r="AA55">
            <v>210584</v>
          </cell>
          <cell r="AB55">
            <v>2.4</v>
          </cell>
          <cell r="AC55">
            <v>1.04</v>
          </cell>
        </row>
        <row r="56">
          <cell r="A56">
            <v>36465</v>
          </cell>
          <cell r="B56">
            <v>382000</v>
          </cell>
          <cell r="C56">
            <v>78000</v>
          </cell>
          <cell r="D56">
            <v>-130000</v>
          </cell>
          <cell r="E56">
            <v>330000</v>
          </cell>
          <cell r="G56">
            <v>108000</v>
          </cell>
          <cell r="H56">
            <v>0</v>
          </cell>
          <cell r="I56">
            <v>108000</v>
          </cell>
          <cell r="K56">
            <v>22000</v>
          </cell>
          <cell r="L56">
            <v>0</v>
          </cell>
          <cell r="M56">
            <v>22000</v>
          </cell>
          <cell r="O56">
            <v>130000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Y56">
            <v>0</v>
          </cell>
          <cell r="Z56">
            <v>130000</v>
          </cell>
          <cell r="AA56">
            <v>460000</v>
          </cell>
          <cell r="AB56">
            <v>2.75</v>
          </cell>
          <cell r="AC56">
            <v>1.04</v>
          </cell>
        </row>
        <row r="57">
          <cell r="A57">
            <v>36495</v>
          </cell>
          <cell r="B57">
            <v>531200</v>
          </cell>
          <cell r="C57">
            <v>108800</v>
          </cell>
          <cell r="D57">
            <v>-300000</v>
          </cell>
          <cell r="E57">
            <v>340000</v>
          </cell>
          <cell r="G57">
            <v>249000</v>
          </cell>
          <cell r="H57">
            <v>0</v>
          </cell>
          <cell r="I57">
            <v>249000</v>
          </cell>
          <cell r="K57">
            <v>51000</v>
          </cell>
          <cell r="L57">
            <v>0</v>
          </cell>
          <cell r="M57">
            <v>51000</v>
          </cell>
          <cell r="O57">
            <v>300000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Y57">
            <v>0</v>
          </cell>
          <cell r="Z57">
            <v>300000</v>
          </cell>
          <cell r="AA57">
            <v>640000</v>
          </cell>
          <cell r="AB57">
            <v>2.75</v>
          </cell>
          <cell r="AC57">
            <v>1.04</v>
          </cell>
        </row>
        <row r="58">
          <cell r="A58">
            <v>36526</v>
          </cell>
          <cell r="B58">
            <v>564400</v>
          </cell>
          <cell r="C58">
            <v>115600</v>
          </cell>
          <cell r="D58">
            <v>-300000</v>
          </cell>
          <cell r="E58">
            <v>380000</v>
          </cell>
          <cell r="G58">
            <v>249000</v>
          </cell>
          <cell r="H58">
            <v>0</v>
          </cell>
          <cell r="I58">
            <v>249000</v>
          </cell>
          <cell r="K58">
            <v>51000</v>
          </cell>
          <cell r="L58">
            <v>0</v>
          </cell>
          <cell r="M58">
            <v>51000</v>
          </cell>
          <cell r="O58">
            <v>300000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Z58">
            <v>300000</v>
          </cell>
          <cell r="AA58">
            <v>680000</v>
          </cell>
          <cell r="AB58">
            <v>2.5750000000000002</v>
          </cell>
          <cell r="AC58">
            <v>1.04</v>
          </cell>
        </row>
        <row r="59">
          <cell r="A59">
            <v>36557</v>
          </cell>
          <cell r="B59">
            <v>464800</v>
          </cell>
          <cell r="C59">
            <v>95200</v>
          </cell>
          <cell r="D59">
            <v>-300000</v>
          </cell>
          <cell r="E59">
            <v>260000</v>
          </cell>
          <cell r="G59">
            <v>249000</v>
          </cell>
          <cell r="H59">
            <v>0</v>
          </cell>
          <cell r="I59">
            <v>249000</v>
          </cell>
          <cell r="K59">
            <v>51000</v>
          </cell>
          <cell r="L59">
            <v>0</v>
          </cell>
          <cell r="M59">
            <v>51000</v>
          </cell>
          <cell r="O59">
            <v>300000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Z59">
            <v>300000</v>
          </cell>
          <cell r="AA59">
            <v>560000</v>
          </cell>
          <cell r="AB59">
            <v>2.75</v>
          </cell>
          <cell r="AC59">
            <v>1.04</v>
          </cell>
        </row>
        <row r="60">
          <cell r="A60">
            <v>36586</v>
          </cell>
          <cell r="B60">
            <v>431600</v>
          </cell>
          <cell r="C60">
            <v>88400</v>
          </cell>
          <cell r="D60">
            <v>-140000</v>
          </cell>
          <cell r="E60">
            <v>380000</v>
          </cell>
          <cell r="G60">
            <v>116200</v>
          </cell>
          <cell r="H60">
            <v>0</v>
          </cell>
          <cell r="I60">
            <v>116200</v>
          </cell>
          <cell r="K60">
            <v>23800</v>
          </cell>
          <cell r="L60">
            <v>0</v>
          </cell>
          <cell r="M60">
            <v>23800</v>
          </cell>
          <cell r="O60">
            <v>140000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Z60">
            <v>140000</v>
          </cell>
          <cell r="AA60">
            <v>520000</v>
          </cell>
          <cell r="AB60">
            <v>2.75</v>
          </cell>
          <cell r="AC60">
            <v>1.04</v>
          </cell>
        </row>
        <row r="61">
          <cell r="A61">
            <v>36617</v>
          </cell>
          <cell r="B61">
            <v>407837</v>
          </cell>
          <cell r="C61">
            <v>86163</v>
          </cell>
          <cell r="D61">
            <v>-150000</v>
          </cell>
          <cell r="E61">
            <v>344000</v>
          </cell>
          <cell r="G61">
            <v>123837</v>
          </cell>
          <cell r="H61">
            <v>0</v>
          </cell>
          <cell r="I61">
            <v>123837</v>
          </cell>
          <cell r="K61">
            <v>26163</v>
          </cell>
          <cell r="L61">
            <v>0</v>
          </cell>
          <cell r="M61">
            <v>26163</v>
          </cell>
          <cell r="O61">
            <v>150000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Y61">
            <v>0</v>
          </cell>
          <cell r="Z61">
            <v>150000</v>
          </cell>
          <cell r="AA61">
            <v>494000</v>
          </cell>
          <cell r="AB61">
            <v>2.75</v>
          </cell>
          <cell r="AC61">
            <v>1.04</v>
          </cell>
        </row>
        <row r="62">
          <cell r="A62">
            <v>36647</v>
          </cell>
          <cell r="B62">
            <v>413901</v>
          </cell>
          <cell r="C62">
            <v>88099</v>
          </cell>
          <cell r="D62">
            <v>-200000</v>
          </cell>
          <cell r="E62">
            <v>302000</v>
          </cell>
          <cell r="G62">
            <v>164901</v>
          </cell>
          <cell r="H62">
            <v>0</v>
          </cell>
          <cell r="I62">
            <v>164901</v>
          </cell>
          <cell r="K62">
            <v>35099</v>
          </cell>
          <cell r="L62">
            <v>0</v>
          </cell>
          <cell r="M62">
            <v>35099</v>
          </cell>
          <cell r="O62">
            <v>200000</v>
          </cell>
          <cell r="Q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W62">
            <v>0</v>
          </cell>
          <cell r="Y62">
            <v>0</v>
          </cell>
          <cell r="Z62">
            <v>200000</v>
          </cell>
          <cell r="AA62">
            <v>502000</v>
          </cell>
          <cell r="AB62">
            <v>2.84</v>
          </cell>
          <cell r="AC62">
            <v>1.04</v>
          </cell>
        </row>
        <row r="63">
          <cell r="A63">
            <v>36678</v>
          </cell>
          <cell r="B63">
            <v>252000</v>
          </cell>
          <cell r="C63">
            <v>51000</v>
          </cell>
          <cell r="D63">
            <v>-215000</v>
          </cell>
          <cell r="E63">
            <v>88000</v>
          </cell>
          <cell r="G63">
            <v>178815</v>
          </cell>
          <cell r="H63">
            <v>0</v>
          </cell>
          <cell r="I63">
            <v>178815</v>
          </cell>
          <cell r="K63">
            <v>36185</v>
          </cell>
          <cell r="L63">
            <v>0</v>
          </cell>
          <cell r="M63">
            <v>36185</v>
          </cell>
          <cell r="O63">
            <v>215000</v>
          </cell>
          <cell r="Q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W63">
            <v>0</v>
          </cell>
          <cell r="Y63">
            <v>0</v>
          </cell>
          <cell r="Z63">
            <v>215000</v>
          </cell>
          <cell r="AA63">
            <v>303000</v>
          </cell>
          <cell r="AB63">
            <v>2.84</v>
          </cell>
          <cell r="AC63">
            <v>1.04</v>
          </cell>
        </row>
        <row r="64">
          <cell r="A64">
            <v>36708</v>
          </cell>
          <cell r="B64">
            <v>245000</v>
          </cell>
          <cell r="C64">
            <v>50000</v>
          </cell>
          <cell r="D64">
            <v>-210000</v>
          </cell>
          <cell r="E64">
            <v>85000</v>
          </cell>
          <cell r="G64">
            <v>174405</v>
          </cell>
          <cell r="H64">
            <v>0</v>
          </cell>
          <cell r="I64">
            <v>174405</v>
          </cell>
          <cell r="K64">
            <v>35595</v>
          </cell>
          <cell r="L64">
            <v>0</v>
          </cell>
          <cell r="M64">
            <v>35595</v>
          </cell>
          <cell r="O64">
            <v>210000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Y64">
            <v>0</v>
          </cell>
          <cell r="Z64">
            <v>210000</v>
          </cell>
          <cell r="AA64">
            <v>295000</v>
          </cell>
          <cell r="AB64">
            <v>3.27</v>
          </cell>
          <cell r="AC64">
            <v>1.04</v>
          </cell>
        </row>
        <row r="65">
          <cell r="A65">
            <v>36739</v>
          </cell>
          <cell r="B65">
            <v>252000</v>
          </cell>
          <cell r="C65">
            <v>49000</v>
          </cell>
          <cell r="D65">
            <v>200000</v>
          </cell>
          <cell r="E65">
            <v>501000</v>
          </cell>
          <cell r="G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Q65">
            <v>-167400</v>
          </cell>
          <cell r="R65">
            <v>0</v>
          </cell>
          <cell r="S65">
            <v>-167400</v>
          </cell>
          <cell r="U65">
            <v>-32600</v>
          </cell>
          <cell r="V65">
            <v>0</v>
          </cell>
          <cell r="W65">
            <v>-32600</v>
          </cell>
          <cell r="Y65">
            <v>-200000</v>
          </cell>
          <cell r="Z65">
            <v>-200000</v>
          </cell>
          <cell r="AA65">
            <v>301000</v>
          </cell>
          <cell r="AB65">
            <v>4.2300000000000004</v>
          </cell>
          <cell r="AC65">
            <v>1.04</v>
          </cell>
        </row>
        <row r="66">
          <cell r="A66">
            <v>36770</v>
          </cell>
          <cell r="B66">
            <v>189000</v>
          </cell>
          <cell r="C66">
            <v>37000</v>
          </cell>
          <cell r="D66">
            <v>125000</v>
          </cell>
          <cell r="E66">
            <v>351000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Q66">
            <v>-104537</v>
          </cell>
          <cell r="R66">
            <v>0</v>
          </cell>
          <cell r="S66">
            <v>-104537</v>
          </cell>
          <cell r="U66">
            <v>-20463</v>
          </cell>
          <cell r="V66">
            <v>0</v>
          </cell>
          <cell r="W66">
            <v>-20463</v>
          </cell>
          <cell r="Y66">
            <v>-125000</v>
          </cell>
          <cell r="Z66">
            <v>-125000</v>
          </cell>
          <cell r="AA66">
            <v>226000</v>
          </cell>
          <cell r="AB66">
            <v>4.2300000000000004</v>
          </cell>
          <cell r="AC66">
            <v>1.04</v>
          </cell>
        </row>
        <row r="67">
          <cell r="A67">
            <v>36800</v>
          </cell>
          <cell r="B67">
            <v>245000</v>
          </cell>
          <cell r="C67">
            <v>51000</v>
          </cell>
          <cell r="D67">
            <v>100000</v>
          </cell>
          <cell r="E67">
            <v>396000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Q67">
            <v>-82770</v>
          </cell>
          <cell r="R67">
            <v>0</v>
          </cell>
          <cell r="S67">
            <v>-82770</v>
          </cell>
          <cell r="U67">
            <v>-17230</v>
          </cell>
          <cell r="V67">
            <v>0</v>
          </cell>
          <cell r="W67">
            <v>-17230</v>
          </cell>
          <cell r="Y67">
            <v>-100000</v>
          </cell>
          <cell r="Z67">
            <v>-100000</v>
          </cell>
          <cell r="AA67">
            <v>296000</v>
          </cell>
          <cell r="AB67">
            <v>4.8</v>
          </cell>
          <cell r="AC67">
            <v>1.04</v>
          </cell>
        </row>
        <row r="68">
          <cell r="A68">
            <v>36831</v>
          </cell>
          <cell r="B68">
            <v>381939</v>
          </cell>
          <cell r="C68">
            <v>78061</v>
          </cell>
          <cell r="D68">
            <v>-130000</v>
          </cell>
          <cell r="E68">
            <v>330000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Q68">
            <v>0</v>
          </cell>
          <cell r="R68">
            <v>107939</v>
          </cell>
          <cell r="S68">
            <v>107939</v>
          </cell>
          <cell r="U68">
            <v>0</v>
          </cell>
          <cell r="V68">
            <v>22061</v>
          </cell>
          <cell r="W68">
            <v>22061</v>
          </cell>
          <cell r="Y68">
            <v>130000</v>
          </cell>
          <cell r="Z68">
            <v>130000</v>
          </cell>
          <cell r="AA68">
            <v>460000</v>
          </cell>
          <cell r="AB68">
            <v>5.4</v>
          </cell>
          <cell r="AC68">
            <v>1.04</v>
          </cell>
        </row>
        <row r="69">
          <cell r="A69">
            <v>36861</v>
          </cell>
          <cell r="B69">
            <v>531200</v>
          </cell>
          <cell r="C69">
            <v>108800</v>
          </cell>
          <cell r="D69">
            <v>-300000</v>
          </cell>
          <cell r="E69">
            <v>340000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Q69">
            <v>0</v>
          </cell>
          <cell r="R69">
            <v>249000</v>
          </cell>
          <cell r="S69">
            <v>249000</v>
          </cell>
          <cell r="U69">
            <v>0</v>
          </cell>
          <cell r="V69">
            <v>51000</v>
          </cell>
          <cell r="W69">
            <v>51000</v>
          </cell>
          <cell r="Y69">
            <v>300000</v>
          </cell>
          <cell r="Z69">
            <v>300000</v>
          </cell>
          <cell r="AA69">
            <v>640000</v>
          </cell>
          <cell r="AB69">
            <v>5.4</v>
          </cell>
          <cell r="AC69">
            <v>1.04</v>
          </cell>
        </row>
        <row r="70">
          <cell r="A70">
            <v>36892</v>
          </cell>
          <cell r="B70">
            <v>564400</v>
          </cell>
          <cell r="C70">
            <v>115600</v>
          </cell>
          <cell r="D70">
            <v>-300000</v>
          </cell>
          <cell r="E70">
            <v>380000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Q70">
            <v>0</v>
          </cell>
          <cell r="R70">
            <v>249000</v>
          </cell>
          <cell r="S70">
            <v>249000</v>
          </cell>
          <cell r="U70">
            <v>0</v>
          </cell>
          <cell r="V70">
            <v>51000</v>
          </cell>
          <cell r="W70">
            <v>51000</v>
          </cell>
          <cell r="Y70">
            <v>300000</v>
          </cell>
          <cell r="Z70">
            <v>300000</v>
          </cell>
          <cell r="AA70">
            <v>680000</v>
          </cell>
          <cell r="AB70">
            <v>5.4</v>
          </cell>
          <cell r="AC70">
            <v>1.04</v>
          </cell>
        </row>
        <row r="71">
          <cell r="A71">
            <v>36923</v>
          </cell>
          <cell r="B71">
            <v>464800</v>
          </cell>
          <cell r="C71">
            <v>95200</v>
          </cell>
          <cell r="D71">
            <v>-300000</v>
          </cell>
          <cell r="E71">
            <v>260000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Q71">
            <v>0</v>
          </cell>
          <cell r="R71">
            <v>249000</v>
          </cell>
          <cell r="S71">
            <v>249000</v>
          </cell>
          <cell r="U71">
            <v>0</v>
          </cell>
          <cell r="V71">
            <v>51000</v>
          </cell>
          <cell r="W71">
            <v>51000</v>
          </cell>
          <cell r="Y71">
            <v>300000</v>
          </cell>
          <cell r="Z71">
            <v>300000</v>
          </cell>
          <cell r="AA71">
            <v>560000</v>
          </cell>
          <cell r="AB71">
            <v>7.42</v>
          </cell>
          <cell r="AC71">
            <v>1.04</v>
          </cell>
        </row>
        <row r="72">
          <cell r="A72">
            <v>36951</v>
          </cell>
          <cell r="B72">
            <v>431600</v>
          </cell>
          <cell r="C72">
            <v>88400</v>
          </cell>
          <cell r="D72">
            <v>-140000</v>
          </cell>
          <cell r="E72">
            <v>380000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Q72">
            <v>0</v>
          </cell>
          <cell r="R72">
            <v>116200</v>
          </cell>
          <cell r="S72">
            <v>116200</v>
          </cell>
          <cell r="U72">
            <v>0</v>
          </cell>
          <cell r="V72">
            <v>23800</v>
          </cell>
          <cell r="W72">
            <v>23800</v>
          </cell>
          <cell r="Y72">
            <v>140000</v>
          </cell>
          <cell r="Z72">
            <v>140000</v>
          </cell>
          <cell r="AA72">
            <v>520000</v>
          </cell>
          <cell r="AB72">
            <v>6</v>
          </cell>
          <cell r="AC72">
            <v>1.04</v>
          </cell>
        </row>
        <row r="73">
          <cell r="A73">
            <v>36982</v>
          </cell>
          <cell r="B73">
            <v>259000</v>
          </cell>
          <cell r="C73">
            <v>60000</v>
          </cell>
          <cell r="D73">
            <v>150000</v>
          </cell>
          <cell r="E73">
            <v>469000</v>
          </cell>
          <cell r="G73">
            <v>-123837</v>
          </cell>
          <cell r="H73">
            <v>0</v>
          </cell>
          <cell r="I73">
            <v>-123837</v>
          </cell>
          <cell r="K73">
            <v>-26163</v>
          </cell>
          <cell r="L73">
            <v>0</v>
          </cell>
          <cell r="M73">
            <v>-26163</v>
          </cell>
          <cell r="O73">
            <v>-150000</v>
          </cell>
          <cell r="Q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W73">
            <v>0</v>
          </cell>
          <cell r="Y73">
            <v>0</v>
          </cell>
          <cell r="Z73">
            <v>-150000</v>
          </cell>
          <cell r="AA73">
            <v>319000</v>
          </cell>
          <cell r="AB73">
            <v>5.41</v>
          </cell>
          <cell r="AC73">
            <v>1.04</v>
          </cell>
        </row>
        <row r="74">
          <cell r="A74">
            <v>37012</v>
          </cell>
          <cell r="B74">
            <v>84100</v>
          </cell>
          <cell r="C74">
            <v>17900</v>
          </cell>
          <cell r="D74">
            <v>200000</v>
          </cell>
          <cell r="E74">
            <v>302000</v>
          </cell>
          <cell r="G74">
            <v>-164900</v>
          </cell>
          <cell r="H74">
            <v>0</v>
          </cell>
          <cell r="I74">
            <v>-164900</v>
          </cell>
          <cell r="K74">
            <v>-35100</v>
          </cell>
          <cell r="L74">
            <v>0</v>
          </cell>
          <cell r="M74">
            <v>-35100</v>
          </cell>
          <cell r="O74">
            <v>-200000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Y74">
            <v>0</v>
          </cell>
          <cell r="Z74">
            <v>-200000</v>
          </cell>
          <cell r="AA74">
            <v>102000</v>
          </cell>
          <cell r="AB74">
            <v>5.24</v>
          </cell>
          <cell r="AC74">
            <v>1.04</v>
          </cell>
        </row>
        <row r="75">
          <cell r="A75">
            <v>37043</v>
          </cell>
          <cell r="B75">
            <v>73185</v>
          </cell>
          <cell r="C75">
            <v>14815</v>
          </cell>
          <cell r="D75">
            <v>215000</v>
          </cell>
          <cell r="E75">
            <v>303000</v>
          </cell>
          <cell r="G75">
            <v>-178815</v>
          </cell>
          <cell r="H75">
            <v>0</v>
          </cell>
          <cell r="I75">
            <v>-178815</v>
          </cell>
          <cell r="K75">
            <v>-36185</v>
          </cell>
          <cell r="L75">
            <v>0</v>
          </cell>
          <cell r="M75">
            <v>-36185</v>
          </cell>
          <cell r="O75">
            <v>-215000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Y75">
            <v>0</v>
          </cell>
          <cell r="Z75">
            <v>-215000</v>
          </cell>
          <cell r="AA75">
            <v>88000</v>
          </cell>
          <cell r="AB75">
            <v>5.09</v>
          </cell>
          <cell r="AC75">
            <v>1.04</v>
          </cell>
        </row>
        <row r="76">
          <cell r="A76">
            <v>37073</v>
          </cell>
          <cell r="B76">
            <v>70595</v>
          </cell>
          <cell r="C76">
            <v>14405</v>
          </cell>
          <cell r="D76">
            <v>210000</v>
          </cell>
          <cell r="E76">
            <v>295000</v>
          </cell>
          <cell r="G76">
            <v>-174405</v>
          </cell>
          <cell r="H76">
            <v>0</v>
          </cell>
          <cell r="I76">
            <v>-174405</v>
          </cell>
          <cell r="K76">
            <v>-35595</v>
          </cell>
          <cell r="L76">
            <v>0</v>
          </cell>
          <cell r="M76">
            <v>-35595</v>
          </cell>
          <cell r="O76">
            <v>-210000</v>
          </cell>
          <cell r="Q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W76">
            <v>0</v>
          </cell>
          <cell r="Y76">
            <v>0</v>
          </cell>
          <cell r="Z76">
            <v>-210000</v>
          </cell>
          <cell r="AA76">
            <v>85000</v>
          </cell>
          <cell r="AB76">
            <v>4.0599999999999996</v>
          </cell>
          <cell r="AC76">
            <v>1.04</v>
          </cell>
        </row>
        <row r="77">
          <cell r="A77">
            <v>37104</v>
          </cell>
          <cell r="B77">
            <v>84560</v>
          </cell>
          <cell r="C77">
            <v>16440</v>
          </cell>
          <cell r="D77">
            <v>200000</v>
          </cell>
          <cell r="E77">
            <v>301000</v>
          </cell>
          <cell r="G77">
            <v>-167440</v>
          </cell>
          <cell r="H77">
            <v>0</v>
          </cell>
          <cell r="I77">
            <v>-167440</v>
          </cell>
          <cell r="K77">
            <v>-32560</v>
          </cell>
          <cell r="L77">
            <v>0</v>
          </cell>
          <cell r="M77">
            <v>-32560</v>
          </cell>
          <cell r="O77">
            <v>-200000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-200000</v>
          </cell>
          <cell r="AA77">
            <v>101000</v>
          </cell>
          <cell r="AB77">
            <v>3.89</v>
          </cell>
          <cell r="AC77">
            <v>1.04</v>
          </cell>
        </row>
        <row r="78">
          <cell r="A78">
            <v>37196</v>
          </cell>
          <cell r="B78">
            <v>1345960</v>
          </cell>
          <cell r="C78">
            <v>378915</v>
          </cell>
          <cell r="D78">
            <v>-760000</v>
          </cell>
          <cell r="E78">
            <v>964875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Q78">
            <v>0</v>
          </cell>
          <cell r="R78">
            <v>591885</v>
          </cell>
          <cell r="S78">
            <v>591885</v>
          </cell>
          <cell r="U78">
            <v>0</v>
          </cell>
          <cell r="V78">
            <v>168115</v>
          </cell>
          <cell r="W78">
            <v>168115</v>
          </cell>
          <cell r="Y78">
            <v>760000</v>
          </cell>
          <cell r="Z78">
            <v>760000</v>
          </cell>
          <cell r="AA78">
            <v>1724875</v>
          </cell>
          <cell r="AB78">
            <v>3.23</v>
          </cell>
          <cell r="AC78">
            <v>1.04</v>
          </cell>
        </row>
        <row r="79">
          <cell r="A79">
            <v>37288</v>
          </cell>
          <cell r="B79">
            <v>1569456</v>
          </cell>
          <cell r="C79">
            <v>296044</v>
          </cell>
          <cell r="D79">
            <v>-698000</v>
          </cell>
          <cell r="E79">
            <v>1167500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Q79">
            <v>0</v>
          </cell>
          <cell r="R79">
            <v>588536</v>
          </cell>
          <cell r="S79">
            <v>588536</v>
          </cell>
          <cell r="U79">
            <v>0</v>
          </cell>
          <cell r="V79">
            <v>109464</v>
          </cell>
          <cell r="W79">
            <v>109464</v>
          </cell>
          <cell r="Y79">
            <v>698000</v>
          </cell>
          <cell r="Z79">
            <v>698000</v>
          </cell>
          <cell r="AA79">
            <v>1865500</v>
          </cell>
          <cell r="AB79">
            <v>3</v>
          </cell>
          <cell r="AC79">
            <v>1.04</v>
          </cell>
        </row>
        <row r="80">
          <cell r="A80">
            <v>37377</v>
          </cell>
          <cell r="B80">
            <v>266172</v>
          </cell>
          <cell r="C80">
            <v>77038</v>
          </cell>
          <cell r="D80">
            <v>-216200</v>
          </cell>
          <cell r="E80">
            <v>127010</v>
          </cell>
          <cell r="G80">
            <v>-167528</v>
          </cell>
          <cell r="H80">
            <v>0</v>
          </cell>
          <cell r="I80">
            <v>-167528</v>
          </cell>
          <cell r="K80">
            <v>-48672</v>
          </cell>
          <cell r="L80">
            <v>0</v>
          </cell>
          <cell r="M80">
            <v>-48672</v>
          </cell>
          <cell r="O80">
            <v>-216200</v>
          </cell>
          <cell r="Q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Z80">
            <v>-216200</v>
          </cell>
          <cell r="AA80">
            <v>-89190</v>
          </cell>
          <cell r="AB80">
            <v>3.3209</v>
          </cell>
          <cell r="AC80">
            <v>1.04</v>
          </cell>
        </row>
        <row r="81">
          <cell r="A81">
            <v>37469</v>
          </cell>
          <cell r="B81">
            <v>336479</v>
          </cell>
          <cell r="C81">
            <v>99381</v>
          </cell>
          <cell r="D81">
            <v>-70500</v>
          </cell>
          <cell r="E81">
            <v>365360</v>
          </cell>
          <cell r="G81">
            <v>-166721</v>
          </cell>
          <cell r="H81">
            <v>0</v>
          </cell>
          <cell r="I81">
            <v>-166721</v>
          </cell>
          <cell r="K81">
            <v>-49479</v>
          </cell>
          <cell r="L81">
            <v>0</v>
          </cell>
          <cell r="M81">
            <v>-49479</v>
          </cell>
          <cell r="O81">
            <v>-216200</v>
          </cell>
          <cell r="Q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  <cell r="Y81">
            <v>0</v>
          </cell>
          <cell r="Z81">
            <v>-216200</v>
          </cell>
          <cell r="AA81">
            <v>149160</v>
          </cell>
          <cell r="AB81">
            <v>3.28</v>
          </cell>
          <cell r="AC81">
            <v>1.04</v>
          </cell>
        </row>
        <row r="82">
          <cell r="A82">
            <v>37561</v>
          </cell>
          <cell r="B82">
            <v>1492668</v>
          </cell>
          <cell r="C82">
            <v>400282</v>
          </cell>
          <cell r="D82">
            <v>-730000</v>
          </cell>
          <cell r="E82">
            <v>1162950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Q82">
            <v>574243</v>
          </cell>
          <cell r="S82">
            <v>574243</v>
          </cell>
          <cell r="U82">
            <v>155757</v>
          </cell>
          <cell r="V82">
            <v>0</v>
          </cell>
          <cell r="W82">
            <v>155757</v>
          </cell>
          <cell r="Y82">
            <v>730000</v>
          </cell>
          <cell r="Z82">
            <v>730000</v>
          </cell>
          <cell r="AA82">
            <v>1892950</v>
          </cell>
          <cell r="AB82">
            <v>3.7610000000000001</v>
          </cell>
          <cell r="AC82">
            <v>1.04</v>
          </cell>
        </row>
        <row r="83">
          <cell r="A83">
            <v>37653</v>
          </cell>
          <cell r="B83">
            <v>1183994</v>
          </cell>
          <cell r="C83">
            <v>271006</v>
          </cell>
          <cell r="D83">
            <v>-410500</v>
          </cell>
          <cell r="E83">
            <v>1044500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Q83">
            <v>335144</v>
          </cell>
          <cell r="S83">
            <v>335144</v>
          </cell>
          <cell r="U83">
            <v>75356</v>
          </cell>
          <cell r="V83">
            <v>0</v>
          </cell>
          <cell r="W83">
            <v>75356</v>
          </cell>
          <cell r="Y83">
            <v>410500</v>
          </cell>
          <cell r="Z83">
            <v>410500</v>
          </cell>
          <cell r="AA83">
            <v>1455000</v>
          </cell>
          <cell r="AB83">
            <v>4.1559999999999997</v>
          </cell>
          <cell r="AC83">
            <v>1.04</v>
          </cell>
        </row>
        <row r="84">
          <cell r="A84">
            <v>37712</v>
          </cell>
          <cell r="B84">
            <v>227104</v>
          </cell>
          <cell r="C84">
            <v>74396</v>
          </cell>
          <cell r="D84">
            <v>-70500</v>
          </cell>
          <cell r="E84">
            <v>231000</v>
          </cell>
          <cell r="G84">
            <v>-53104</v>
          </cell>
          <cell r="H84">
            <v>0</v>
          </cell>
          <cell r="I84">
            <v>-53104</v>
          </cell>
          <cell r="K84">
            <v>-17396</v>
          </cell>
          <cell r="L84">
            <v>0</v>
          </cell>
          <cell r="M84">
            <v>-17396</v>
          </cell>
          <cell r="O84">
            <v>-70500</v>
          </cell>
          <cell r="S84">
            <v>0</v>
          </cell>
          <cell r="V84">
            <v>0</v>
          </cell>
          <cell r="W84">
            <v>0</v>
          </cell>
          <cell r="Y84">
            <v>0</v>
          </cell>
          <cell r="Z84">
            <v>-70500</v>
          </cell>
          <cell r="AA84">
            <v>160500</v>
          </cell>
          <cell r="AB84">
            <v>6.0359999999999996</v>
          </cell>
          <cell r="AC84">
            <v>1.04</v>
          </cell>
        </row>
        <row r="85">
          <cell r="A85">
            <v>37742</v>
          </cell>
          <cell r="B85">
            <v>266172</v>
          </cell>
          <cell r="C85">
            <v>77038</v>
          </cell>
          <cell r="D85">
            <v>-216200</v>
          </cell>
          <cell r="E85">
            <v>127010</v>
          </cell>
          <cell r="G85">
            <v>-167528</v>
          </cell>
          <cell r="H85">
            <v>0</v>
          </cell>
          <cell r="I85">
            <v>-167528</v>
          </cell>
          <cell r="K85">
            <v>-48672</v>
          </cell>
          <cell r="L85">
            <v>0</v>
          </cell>
          <cell r="M85">
            <v>-48672</v>
          </cell>
          <cell r="O85">
            <v>-216200</v>
          </cell>
          <cell r="S85">
            <v>0</v>
          </cell>
          <cell r="V85">
            <v>0</v>
          </cell>
          <cell r="W85">
            <v>0</v>
          </cell>
          <cell r="Y85">
            <v>0</v>
          </cell>
          <cell r="Z85">
            <v>-216200</v>
          </cell>
          <cell r="AA85">
            <v>-89190</v>
          </cell>
          <cell r="AB85">
            <v>5.0979999999999999</v>
          </cell>
          <cell r="AC85">
            <v>1.04</v>
          </cell>
        </row>
        <row r="86">
          <cell r="A86">
            <v>37834</v>
          </cell>
          <cell r="B86">
            <v>336479</v>
          </cell>
          <cell r="C86">
            <v>99381</v>
          </cell>
          <cell r="D86">
            <v>-216200</v>
          </cell>
          <cell r="E86">
            <v>219660</v>
          </cell>
          <cell r="G86">
            <v>-166721</v>
          </cell>
          <cell r="H86">
            <v>0</v>
          </cell>
          <cell r="I86">
            <v>-166721</v>
          </cell>
          <cell r="K86">
            <v>-49479</v>
          </cell>
          <cell r="L86">
            <v>0</v>
          </cell>
          <cell r="M86">
            <v>-49479</v>
          </cell>
          <cell r="O86">
            <v>-216200</v>
          </cell>
          <cell r="S86">
            <v>0</v>
          </cell>
          <cell r="V86">
            <v>0</v>
          </cell>
          <cell r="W86">
            <v>0</v>
          </cell>
          <cell r="Y86">
            <v>0</v>
          </cell>
          <cell r="Z86">
            <v>-216200</v>
          </cell>
          <cell r="AA86">
            <v>3460</v>
          </cell>
          <cell r="AB86">
            <v>5.7990000000000004</v>
          </cell>
          <cell r="AC86">
            <v>1.04</v>
          </cell>
        </row>
        <row r="87">
          <cell r="A87">
            <v>37926</v>
          </cell>
          <cell r="B87">
            <v>1385343</v>
          </cell>
          <cell r="C87">
            <v>274657</v>
          </cell>
          <cell r="D87">
            <v>-790000</v>
          </cell>
          <cell r="E87">
            <v>870000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Q87">
            <v>658343</v>
          </cell>
          <cell r="S87">
            <v>658343</v>
          </cell>
          <cell r="U87">
            <v>131657</v>
          </cell>
          <cell r="V87">
            <v>0</v>
          </cell>
          <cell r="W87">
            <v>131657</v>
          </cell>
          <cell r="Y87">
            <v>790000</v>
          </cell>
          <cell r="Z87">
            <v>790000</v>
          </cell>
          <cell r="AA87">
            <v>1660000</v>
          </cell>
          <cell r="AB87">
            <v>5.234</v>
          </cell>
          <cell r="AC87">
            <v>1.04</v>
          </cell>
        </row>
        <row r="88">
          <cell r="A88">
            <v>38018</v>
          </cell>
          <cell r="B88">
            <v>964648</v>
          </cell>
          <cell r="C88">
            <v>216852</v>
          </cell>
          <cell r="D88">
            <v>-389500</v>
          </cell>
          <cell r="E88">
            <v>792000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Q88">
            <v>438648</v>
          </cell>
          <cell r="S88">
            <v>438648</v>
          </cell>
          <cell r="U88">
            <v>91852</v>
          </cell>
          <cell r="V88">
            <v>0</v>
          </cell>
          <cell r="W88">
            <v>91852</v>
          </cell>
          <cell r="Y88">
            <v>530500</v>
          </cell>
          <cell r="Z88">
            <v>530500</v>
          </cell>
          <cell r="AA88">
            <v>1322500</v>
          </cell>
          <cell r="AB88">
            <v>5.5650000000000004</v>
          </cell>
          <cell r="AC88">
            <v>1.04</v>
          </cell>
        </row>
        <row r="89">
          <cell r="A89">
            <v>38108</v>
          </cell>
          <cell r="B89">
            <v>185000</v>
          </cell>
          <cell r="C89">
            <v>33000</v>
          </cell>
          <cell r="D89">
            <v>-570000</v>
          </cell>
          <cell r="E89">
            <v>-352000</v>
          </cell>
          <cell r="G89">
            <v>-483566</v>
          </cell>
          <cell r="H89">
            <v>0</v>
          </cell>
          <cell r="I89">
            <v>-483566</v>
          </cell>
          <cell r="K89">
            <v>-86434</v>
          </cell>
          <cell r="L89">
            <v>0</v>
          </cell>
          <cell r="M89">
            <v>-86434</v>
          </cell>
          <cell r="O89">
            <v>-570000</v>
          </cell>
          <cell r="Q89">
            <v>0</v>
          </cell>
          <cell r="S89">
            <v>0</v>
          </cell>
          <cell r="U89">
            <v>0</v>
          </cell>
          <cell r="V89">
            <v>0</v>
          </cell>
          <cell r="W89">
            <v>0</v>
          </cell>
          <cell r="Y89">
            <v>0</v>
          </cell>
          <cell r="Z89">
            <v>-570000</v>
          </cell>
          <cell r="AA89">
            <v>-922000</v>
          </cell>
          <cell r="AB89">
            <v>5.5229999999999997</v>
          </cell>
          <cell r="AC89">
            <v>1.04</v>
          </cell>
        </row>
        <row r="90">
          <cell r="A90">
            <v>38200</v>
          </cell>
          <cell r="B90">
            <v>201000</v>
          </cell>
          <cell r="C90">
            <v>36000</v>
          </cell>
          <cell r="D90">
            <v>530000</v>
          </cell>
          <cell r="E90">
            <v>767000</v>
          </cell>
          <cell r="G90">
            <v>-448989</v>
          </cell>
          <cell r="I90">
            <v>-448989</v>
          </cell>
          <cell r="K90">
            <v>-81011</v>
          </cell>
          <cell r="M90">
            <v>-81011</v>
          </cell>
          <cell r="O90">
            <v>-530000</v>
          </cell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Z90">
            <v>-530000</v>
          </cell>
          <cell r="AA90">
            <v>237000</v>
          </cell>
          <cell r="AB90">
            <v>6.4210000000000003</v>
          </cell>
          <cell r="AC90">
            <v>1.04</v>
          </cell>
        </row>
        <row r="91">
          <cell r="A91">
            <v>38292</v>
          </cell>
          <cell r="B91">
            <v>1506475</v>
          </cell>
          <cell r="C91">
            <v>152925</v>
          </cell>
          <cell r="D91">
            <v>-790000</v>
          </cell>
          <cell r="E91">
            <v>869400</v>
          </cell>
          <cell r="G91">
            <v>0</v>
          </cell>
          <cell r="I91">
            <v>0</v>
          </cell>
          <cell r="K91">
            <v>0</v>
          </cell>
          <cell r="M91">
            <v>0</v>
          </cell>
          <cell r="O91">
            <v>0</v>
          </cell>
          <cell r="Q91">
            <v>717375</v>
          </cell>
          <cell r="S91">
            <v>717375</v>
          </cell>
          <cell r="U91">
            <v>72625</v>
          </cell>
          <cell r="V91">
            <v>0</v>
          </cell>
          <cell r="W91">
            <v>72625</v>
          </cell>
          <cell r="Y91">
            <v>790000</v>
          </cell>
          <cell r="Z91">
            <v>790000</v>
          </cell>
          <cell r="AA91">
            <v>1659400</v>
          </cell>
          <cell r="AB91">
            <v>6.3070000000000004</v>
          </cell>
          <cell r="AC91">
            <v>1.04</v>
          </cell>
        </row>
        <row r="92">
          <cell r="A92">
            <v>38384</v>
          </cell>
          <cell r="B92">
            <v>1073273</v>
          </cell>
          <cell r="C92">
            <v>129027</v>
          </cell>
          <cell r="D92">
            <v>-150000</v>
          </cell>
          <cell r="E92">
            <v>1052300</v>
          </cell>
          <cell r="G92">
            <v>-125460</v>
          </cell>
          <cell r="I92">
            <v>-125460</v>
          </cell>
          <cell r="K92">
            <v>-24540</v>
          </cell>
          <cell r="M92">
            <v>-24540</v>
          </cell>
          <cell r="O92">
            <v>-150000</v>
          </cell>
          <cell r="Q92">
            <v>432800</v>
          </cell>
          <cell r="S92">
            <v>432800</v>
          </cell>
          <cell r="U92">
            <v>43500</v>
          </cell>
          <cell r="V92">
            <v>0</v>
          </cell>
          <cell r="W92">
            <v>43500</v>
          </cell>
          <cell r="Y92">
            <v>476300</v>
          </cell>
          <cell r="Z92">
            <v>326300</v>
          </cell>
          <cell r="AA92">
            <v>1378600</v>
          </cell>
          <cell r="AB92">
            <v>6.3168629726635404</v>
          </cell>
          <cell r="AC92">
            <v>1.04</v>
          </cell>
        </row>
        <row r="93">
          <cell r="A93">
            <v>38473</v>
          </cell>
          <cell r="B93">
            <v>867301.83159283223</v>
          </cell>
          <cell r="C93">
            <v>76000.107407167758</v>
          </cell>
          <cell r="D93">
            <v>-436751.38500000001</v>
          </cell>
          <cell r="E93">
            <v>506550.554</v>
          </cell>
          <cell r="G93">
            <v>-366854.38500000001</v>
          </cell>
          <cell r="I93">
            <v>-366854.38500000001</v>
          </cell>
          <cell r="K93">
            <v>-69897</v>
          </cell>
          <cell r="M93">
            <v>-69897</v>
          </cell>
          <cell r="O93">
            <v>-436751.38500000001</v>
          </cell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Z93">
            <v>-436751.38500000001</v>
          </cell>
          <cell r="AA93">
            <v>69799.168999999994</v>
          </cell>
          <cell r="AB93">
            <v>7.391</v>
          </cell>
          <cell r="AC93">
            <v>1.04</v>
          </cell>
        </row>
        <row r="94">
          <cell r="A94">
            <v>38565</v>
          </cell>
          <cell r="B94">
            <v>842711.46471724217</v>
          </cell>
          <cell r="C94">
            <v>59829.643282757868</v>
          </cell>
          <cell r="D94">
            <v>-349401.10800000001</v>
          </cell>
          <cell r="E94">
            <v>553140</v>
          </cell>
          <cell r="G94">
            <v>-249796.96950000001</v>
          </cell>
          <cell r="H94">
            <v>0</v>
          </cell>
          <cell r="I94">
            <v>-249796.96950000001</v>
          </cell>
          <cell r="K94">
            <v>-55929</v>
          </cell>
          <cell r="L94">
            <v>0</v>
          </cell>
          <cell r="M94">
            <v>-55929</v>
          </cell>
          <cell r="O94">
            <v>-305725.96950000001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Y94">
            <v>0</v>
          </cell>
          <cell r="Z94">
            <v>-305725.96950000001</v>
          </cell>
          <cell r="AA94">
            <v>247414.03049999999</v>
          </cell>
          <cell r="AB94">
            <v>7.6529999999999996</v>
          </cell>
          <cell r="AC94">
            <v>1.04</v>
          </cell>
        </row>
        <row r="95">
          <cell r="A95">
            <v>38657</v>
          </cell>
          <cell r="B95">
            <v>1390721.3959300916</v>
          </cell>
          <cell r="C95">
            <v>206078.60406990841</v>
          </cell>
          <cell r="D95">
            <v>-810000</v>
          </cell>
          <cell r="E95">
            <v>786800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Q95">
            <v>723334</v>
          </cell>
          <cell r="R95">
            <v>0</v>
          </cell>
          <cell r="S95">
            <v>723334</v>
          </cell>
          <cell r="U95">
            <v>86666</v>
          </cell>
          <cell r="V95">
            <v>0</v>
          </cell>
          <cell r="W95">
            <v>86666</v>
          </cell>
          <cell r="Y95">
            <v>810000</v>
          </cell>
          <cell r="Z95">
            <v>810000</v>
          </cell>
          <cell r="AA95">
            <v>1596800</v>
          </cell>
          <cell r="AB95">
            <v>9.5749999999999993</v>
          </cell>
          <cell r="AC95">
            <v>1.04</v>
          </cell>
        </row>
        <row r="96">
          <cell r="A96">
            <v>38749</v>
          </cell>
          <cell r="B96">
            <v>994472.07237965171</v>
          </cell>
          <cell r="C96">
            <v>174127.92762034823</v>
          </cell>
          <cell r="D96">
            <v>-290000</v>
          </cell>
          <cell r="E96">
            <v>878600</v>
          </cell>
          <cell r="G96">
            <v>-73350</v>
          </cell>
          <cell r="H96">
            <v>0</v>
          </cell>
          <cell r="I96">
            <v>-73350</v>
          </cell>
          <cell r="K96">
            <v>-13980</v>
          </cell>
          <cell r="L96">
            <v>0</v>
          </cell>
          <cell r="M96">
            <v>-13980</v>
          </cell>
          <cell r="O96">
            <v>-87330</v>
          </cell>
          <cell r="Q96">
            <v>384166</v>
          </cell>
          <cell r="R96">
            <v>0</v>
          </cell>
          <cell r="S96">
            <v>384166</v>
          </cell>
          <cell r="U96">
            <v>55834</v>
          </cell>
          <cell r="V96">
            <v>0</v>
          </cell>
          <cell r="W96">
            <v>55834</v>
          </cell>
          <cell r="Y96">
            <v>440000</v>
          </cell>
          <cell r="Z96">
            <v>352670</v>
          </cell>
          <cell r="AA96">
            <v>1231270</v>
          </cell>
          <cell r="AB96">
            <v>12.723000000000001</v>
          </cell>
          <cell r="AC96">
            <v>1.04</v>
          </cell>
        </row>
        <row r="97">
          <cell r="A97">
            <v>38838</v>
          </cell>
          <cell r="B97">
            <v>186960</v>
          </cell>
          <cell r="C97">
            <v>28880</v>
          </cell>
          <cell r="D97">
            <v>673845</v>
          </cell>
          <cell r="E97">
            <v>889685</v>
          </cell>
          <cell r="G97">
            <v>-566031</v>
          </cell>
          <cell r="H97">
            <v>0</v>
          </cell>
          <cell r="I97">
            <v>-566031</v>
          </cell>
          <cell r="K97">
            <v>-107814</v>
          </cell>
          <cell r="L97">
            <v>0</v>
          </cell>
          <cell r="M97">
            <v>-107814</v>
          </cell>
          <cell r="O97">
            <v>-673845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Y97">
            <v>0</v>
          </cell>
          <cell r="Z97">
            <v>-673845</v>
          </cell>
          <cell r="AA97">
            <v>215840</v>
          </cell>
          <cell r="AB97">
            <v>7.194</v>
          </cell>
          <cell r="AC97">
            <v>1.04</v>
          </cell>
        </row>
        <row r="98">
          <cell r="A98">
            <v>38930</v>
          </cell>
          <cell r="B98">
            <v>217820</v>
          </cell>
          <cell r="C98">
            <v>35710</v>
          </cell>
          <cell r="D98">
            <v>224614</v>
          </cell>
          <cell r="E98">
            <v>478144</v>
          </cell>
          <cell r="G98">
            <v>-188675</v>
          </cell>
          <cell r="H98">
            <v>0</v>
          </cell>
          <cell r="I98">
            <v>-188675</v>
          </cell>
          <cell r="K98">
            <v>-35939</v>
          </cell>
          <cell r="L98">
            <v>0</v>
          </cell>
          <cell r="M98">
            <v>-35939</v>
          </cell>
          <cell r="O98">
            <v>-224614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Y98">
            <v>0</v>
          </cell>
          <cell r="Z98">
            <v>-224614</v>
          </cell>
          <cell r="AA98">
            <v>253530</v>
          </cell>
          <cell r="AB98">
            <v>7.218</v>
          </cell>
          <cell r="AC98">
            <v>1.04</v>
          </cell>
        </row>
        <row r="99">
          <cell r="A99">
            <v>39022</v>
          </cell>
          <cell r="B99">
            <v>725420</v>
          </cell>
          <cell r="C99">
            <v>61380</v>
          </cell>
          <cell r="E99">
            <v>786800</v>
          </cell>
          <cell r="H99">
            <v>0</v>
          </cell>
          <cell r="I99">
            <v>0</v>
          </cell>
          <cell r="L99">
            <v>0</v>
          </cell>
          <cell r="M99">
            <v>0</v>
          </cell>
          <cell r="O99">
            <v>0</v>
          </cell>
          <cell r="Q99">
            <v>705821.39593009162</v>
          </cell>
          <cell r="R99">
            <v>0</v>
          </cell>
          <cell r="S99">
            <v>705821.39593009162</v>
          </cell>
          <cell r="U99">
            <v>104178.60406990841</v>
          </cell>
          <cell r="V99">
            <v>0</v>
          </cell>
          <cell r="W99">
            <v>104178.60406990841</v>
          </cell>
          <cell r="Y99">
            <v>810000</v>
          </cell>
          <cell r="Z99">
            <v>810000</v>
          </cell>
          <cell r="AA99">
            <v>1596800</v>
          </cell>
          <cell r="AB99">
            <v>8.5809999999999995</v>
          </cell>
          <cell r="AC99">
            <v>1.04</v>
          </cell>
        </row>
        <row r="100">
          <cell r="A100">
            <v>39114</v>
          </cell>
          <cell r="B100">
            <v>659675</v>
          </cell>
          <cell r="C100">
            <v>120440</v>
          </cell>
          <cell r="D100">
            <v>215385</v>
          </cell>
          <cell r="E100">
            <v>995500</v>
          </cell>
          <cell r="G100">
            <v>-188675</v>
          </cell>
          <cell r="H100">
            <v>0</v>
          </cell>
          <cell r="I100">
            <v>-188675</v>
          </cell>
          <cell r="K100">
            <v>-35940</v>
          </cell>
          <cell r="L100">
            <v>0</v>
          </cell>
          <cell r="M100">
            <v>-35940</v>
          </cell>
          <cell r="O100">
            <v>-224615</v>
          </cell>
          <cell r="Q100">
            <v>374632</v>
          </cell>
          <cell r="R100">
            <v>0</v>
          </cell>
          <cell r="S100">
            <v>374632</v>
          </cell>
          <cell r="U100">
            <v>65368</v>
          </cell>
          <cell r="V100">
            <v>0</v>
          </cell>
          <cell r="W100">
            <v>65368</v>
          </cell>
          <cell r="Y100">
            <v>440000</v>
          </cell>
          <cell r="Z100">
            <v>215385</v>
          </cell>
          <cell r="AA100">
            <v>995500</v>
          </cell>
          <cell r="AB100">
            <v>6.5910000000000002</v>
          </cell>
          <cell r="AC100">
            <v>1.04</v>
          </cell>
        </row>
        <row r="101">
          <cell r="A101">
            <v>54789</v>
          </cell>
        </row>
      </sheetData>
      <sheetData sheetId="9">
        <row r="10">
          <cell r="A10">
            <v>35370</v>
          </cell>
          <cell r="B10">
            <v>240000</v>
          </cell>
          <cell r="C10">
            <v>2.2999999999999998</v>
          </cell>
          <cell r="D10">
            <v>1.0349999999999999</v>
          </cell>
        </row>
        <row r="11">
          <cell r="A11">
            <v>35400</v>
          </cell>
          <cell r="B11">
            <v>240000</v>
          </cell>
          <cell r="C11">
            <v>2.85</v>
          </cell>
          <cell r="D11">
            <v>1.0349999999999999</v>
          </cell>
        </row>
        <row r="12">
          <cell r="A12">
            <v>35431</v>
          </cell>
          <cell r="B12">
            <v>248000</v>
          </cell>
          <cell r="C12">
            <v>3.15</v>
          </cell>
          <cell r="D12">
            <v>1.0349999999999999</v>
          </cell>
        </row>
        <row r="13">
          <cell r="A13">
            <v>35462</v>
          </cell>
          <cell r="B13">
            <v>224000</v>
          </cell>
          <cell r="C13">
            <v>3.3</v>
          </cell>
          <cell r="D13">
            <v>1.0349999999999999</v>
          </cell>
        </row>
        <row r="14">
          <cell r="A14">
            <v>35490</v>
          </cell>
          <cell r="B14">
            <v>250000</v>
          </cell>
          <cell r="C14">
            <v>2.6</v>
          </cell>
          <cell r="D14">
            <v>1.0349999999999999</v>
          </cell>
        </row>
        <row r="15">
          <cell r="A15">
            <v>35521</v>
          </cell>
          <cell r="B15">
            <v>0</v>
          </cell>
          <cell r="C15">
            <v>1.9</v>
          </cell>
          <cell r="D15">
            <v>1.0349999999999999</v>
          </cell>
        </row>
        <row r="16">
          <cell r="A16">
            <v>35551</v>
          </cell>
          <cell r="B16">
            <v>0</v>
          </cell>
          <cell r="C16">
            <v>1.75</v>
          </cell>
          <cell r="D16">
            <v>1.0349999999999999</v>
          </cell>
        </row>
        <row r="17">
          <cell r="A17">
            <v>35582</v>
          </cell>
          <cell r="B17">
            <v>0</v>
          </cell>
          <cell r="C17">
            <v>2</v>
          </cell>
          <cell r="D17">
            <v>1.0349999999999999</v>
          </cell>
        </row>
        <row r="18">
          <cell r="A18">
            <v>35612</v>
          </cell>
          <cell r="B18">
            <v>0</v>
          </cell>
          <cell r="C18">
            <v>2.15</v>
          </cell>
          <cell r="D18">
            <v>1.0349999999999999</v>
          </cell>
        </row>
        <row r="19">
          <cell r="A19">
            <v>35643</v>
          </cell>
          <cell r="B19">
            <v>60000</v>
          </cell>
          <cell r="C19">
            <v>2.35</v>
          </cell>
          <cell r="D19">
            <v>1.0349999999999999</v>
          </cell>
        </row>
        <row r="20">
          <cell r="A20">
            <v>35674</v>
          </cell>
          <cell r="B20">
            <v>60000</v>
          </cell>
          <cell r="C20">
            <v>2.35</v>
          </cell>
          <cell r="D20">
            <v>1.0349999999999999</v>
          </cell>
        </row>
        <row r="21">
          <cell r="A21">
            <v>35704</v>
          </cell>
          <cell r="B21">
            <v>60000</v>
          </cell>
          <cell r="C21">
            <v>2.5499999999999998</v>
          </cell>
          <cell r="D21">
            <v>1.0349999999999999</v>
          </cell>
        </row>
        <row r="22">
          <cell r="A22">
            <v>35735</v>
          </cell>
          <cell r="B22">
            <v>100000</v>
          </cell>
          <cell r="C22">
            <v>3.65</v>
          </cell>
          <cell r="D22">
            <v>1.0349999999999999</v>
          </cell>
        </row>
        <row r="23">
          <cell r="A23">
            <v>35765</v>
          </cell>
          <cell r="B23">
            <v>105000</v>
          </cell>
          <cell r="C23">
            <v>3.98</v>
          </cell>
          <cell r="D23">
            <v>1.0349999999999999</v>
          </cell>
        </row>
        <row r="24">
          <cell r="A24">
            <v>35796</v>
          </cell>
          <cell r="B24">
            <v>248000</v>
          </cell>
          <cell r="C24">
            <v>3.48</v>
          </cell>
          <cell r="D24">
            <v>1.0349999999999999</v>
          </cell>
        </row>
        <row r="25">
          <cell r="A25">
            <v>35827</v>
          </cell>
          <cell r="B25">
            <v>224000</v>
          </cell>
          <cell r="C25">
            <v>2.5</v>
          </cell>
          <cell r="D25">
            <v>1.0349999999999999</v>
          </cell>
        </row>
        <row r="26">
          <cell r="A26">
            <v>35855</v>
          </cell>
          <cell r="B26">
            <v>224000</v>
          </cell>
          <cell r="C26">
            <v>2.23</v>
          </cell>
          <cell r="D26">
            <v>1.0349999999999999</v>
          </cell>
        </row>
        <row r="27">
          <cell r="A27">
            <v>35886</v>
          </cell>
          <cell r="B27">
            <v>75000</v>
          </cell>
          <cell r="C27">
            <v>2.2599999999999998</v>
          </cell>
          <cell r="D27">
            <v>1.0349999999999999</v>
          </cell>
        </row>
        <row r="28">
          <cell r="A28">
            <v>35916</v>
          </cell>
          <cell r="B28">
            <v>62000</v>
          </cell>
          <cell r="C28">
            <v>2.41</v>
          </cell>
          <cell r="D28">
            <v>1.0349999999999999</v>
          </cell>
        </row>
        <row r="29">
          <cell r="A29">
            <v>35947</v>
          </cell>
          <cell r="B29">
            <v>66000</v>
          </cell>
          <cell r="C29">
            <v>2.4</v>
          </cell>
          <cell r="D29">
            <v>1.0349999999999999</v>
          </cell>
        </row>
        <row r="30">
          <cell r="A30">
            <v>35977</v>
          </cell>
          <cell r="B30">
            <v>62000</v>
          </cell>
          <cell r="C30">
            <v>2.2999999999999998</v>
          </cell>
          <cell r="D30">
            <v>1.0349999999999999</v>
          </cell>
        </row>
        <row r="31">
          <cell r="A31">
            <v>36008</v>
          </cell>
          <cell r="B31">
            <v>62000</v>
          </cell>
          <cell r="C31">
            <v>2.4500000000000002</v>
          </cell>
          <cell r="D31">
            <v>1.0349999999999999</v>
          </cell>
        </row>
        <row r="32">
          <cell r="A32">
            <v>36039</v>
          </cell>
          <cell r="B32">
            <v>60000</v>
          </cell>
          <cell r="C32">
            <v>2.15</v>
          </cell>
          <cell r="D32">
            <v>1.0349999999999999</v>
          </cell>
        </row>
        <row r="33">
          <cell r="A33">
            <v>36069</v>
          </cell>
          <cell r="B33">
            <v>59969</v>
          </cell>
          <cell r="C33">
            <v>2.15</v>
          </cell>
          <cell r="D33">
            <v>1.0349999999999999</v>
          </cell>
        </row>
        <row r="34">
          <cell r="A34">
            <v>36100</v>
          </cell>
          <cell r="B34">
            <v>111307</v>
          </cell>
          <cell r="C34">
            <v>2.5099999999999998</v>
          </cell>
          <cell r="D34">
            <v>1.0349999999999999</v>
          </cell>
        </row>
        <row r="35">
          <cell r="A35">
            <v>36130</v>
          </cell>
          <cell r="B35">
            <v>173260</v>
          </cell>
          <cell r="C35">
            <v>2.37</v>
          </cell>
          <cell r="D35">
            <v>1.0349999999999999</v>
          </cell>
        </row>
        <row r="36">
          <cell r="A36">
            <v>36161</v>
          </cell>
          <cell r="B36">
            <v>209000</v>
          </cell>
          <cell r="C36">
            <v>2.25</v>
          </cell>
          <cell r="D36">
            <v>1.0349999999999999</v>
          </cell>
        </row>
        <row r="37">
          <cell r="A37">
            <v>36192</v>
          </cell>
          <cell r="B37">
            <v>208368</v>
          </cell>
          <cell r="C37">
            <v>1.81</v>
          </cell>
          <cell r="D37">
            <v>1.0349999999999999</v>
          </cell>
        </row>
        <row r="38">
          <cell r="A38">
            <v>36220</v>
          </cell>
          <cell r="B38">
            <v>192832</v>
          </cell>
          <cell r="C38">
            <v>1.77</v>
          </cell>
          <cell r="D38">
            <v>1.0349999999999999</v>
          </cell>
        </row>
        <row r="39">
          <cell r="A39">
            <v>36251</v>
          </cell>
          <cell r="B39">
            <v>75000</v>
          </cell>
          <cell r="C39">
            <v>1.75</v>
          </cell>
          <cell r="D39">
            <v>1.0349999999999999</v>
          </cell>
        </row>
        <row r="40">
          <cell r="A40">
            <v>36281</v>
          </cell>
          <cell r="B40">
            <v>66000</v>
          </cell>
          <cell r="C40">
            <v>1.66</v>
          </cell>
          <cell r="D40">
            <v>1.0349999999999999</v>
          </cell>
        </row>
        <row r="41">
          <cell r="A41">
            <v>36312</v>
          </cell>
          <cell r="B41">
            <v>63000</v>
          </cell>
          <cell r="C41">
            <v>2.0499999999999998</v>
          </cell>
          <cell r="D41">
            <v>1.0349999999999999</v>
          </cell>
        </row>
        <row r="42">
          <cell r="A42">
            <v>36342</v>
          </cell>
          <cell r="B42">
            <v>52000</v>
          </cell>
          <cell r="C42">
            <v>2.34</v>
          </cell>
          <cell r="D42">
            <v>1.0349999999999999</v>
          </cell>
        </row>
        <row r="43">
          <cell r="A43">
            <v>36373</v>
          </cell>
          <cell r="B43">
            <v>55000</v>
          </cell>
          <cell r="C43">
            <v>2.1500000000000004</v>
          </cell>
          <cell r="D43">
            <v>1.0349999999999999</v>
          </cell>
        </row>
        <row r="44">
          <cell r="A44">
            <v>36404</v>
          </cell>
          <cell r="B44">
            <v>52000</v>
          </cell>
          <cell r="C44">
            <v>2.1500000000000004</v>
          </cell>
          <cell r="D44">
            <v>1.0349999999999999</v>
          </cell>
        </row>
        <row r="45">
          <cell r="A45">
            <v>36434</v>
          </cell>
          <cell r="B45">
            <v>59969</v>
          </cell>
          <cell r="C45">
            <v>2.4</v>
          </cell>
          <cell r="D45">
            <v>1.0349999999999999</v>
          </cell>
        </row>
        <row r="46">
          <cell r="A46">
            <v>36465</v>
          </cell>
          <cell r="B46">
            <v>120000</v>
          </cell>
          <cell r="C46">
            <v>2.75</v>
          </cell>
          <cell r="D46">
            <v>1.0349999999999999</v>
          </cell>
        </row>
        <row r="47">
          <cell r="A47">
            <v>36495</v>
          </cell>
          <cell r="B47">
            <v>186000</v>
          </cell>
          <cell r="C47">
            <v>2.75</v>
          </cell>
          <cell r="D47">
            <v>1.0349999999999999</v>
          </cell>
        </row>
        <row r="48">
          <cell r="A48">
            <v>36526</v>
          </cell>
          <cell r="B48">
            <v>186000</v>
          </cell>
          <cell r="C48">
            <v>2.5750000000000002</v>
          </cell>
          <cell r="D48">
            <v>1.0349999999999999</v>
          </cell>
        </row>
        <row r="49">
          <cell r="A49">
            <v>36557</v>
          </cell>
          <cell r="B49">
            <v>174000</v>
          </cell>
          <cell r="C49">
            <v>2.75</v>
          </cell>
          <cell r="D49">
            <v>1.0349999999999999</v>
          </cell>
        </row>
        <row r="50">
          <cell r="A50">
            <v>36586</v>
          </cell>
          <cell r="B50">
            <v>124000</v>
          </cell>
          <cell r="C50">
            <v>2.75</v>
          </cell>
          <cell r="D50">
            <v>1.0349999999999999</v>
          </cell>
        </row>
        <row r="51">
          <cell r="A51">
            <v>36617</v>
          </cell>
          <cell r="B51">
            <v>60000</v>
          </cell>
          <cell r="C51">
            <v>2.75</v>
          </cell>
          <cell r="D51">
            <v>1.0349999999999999</v>
          </cell>
        </row>
        <row r="52">
          <cell r="A52">
            <v>36647</v>
          </cell>
          <cell r="B52">
            <v>60000</v>
          </cell>
          <cell r="C52">
            <v>2.84</v>
          </cell>
          <cell r="D52">
            <v>1.0349999999999999</v>
          </cell>
        </row>
        <row r="53">
          <cell r="A53">
            <v>36678</v>
          </cell>
          <cell r="B53">
            <v>60000</v>
          </cell>
          <cell r="C53">
            <v>2.84</v>
          </cell>
          <cell r="D53">
            <v>1.0349999999999999</v>
          </cell>
        </row>
        <row r="54">
          <cell r="A54">
            <v>36708</v>
          </cell>
          <cell r="B54">
            <v>50000</v>
          </cell>
          <cell r="C54">
            <v>3.27</v>
          </cell>
          <cell r="D54">
            <v>1.0349999999999999</v>
          </cell>
        </row>
        <row r="55">
          <cell r="A55">
            <v>36739</v>
          </cell>
          <cell r="B55">
            <v>50000</v>
          </cell>
          <cell r="C55">
            <v>4.2300000000000004</v>
          </cell>
          <cell r="D55">
            <v>1.0349999999999999</v>
          </cell>
        </row>
        <row r="56">
          <cell r="A56">
            <v>36770</v>
          </cell>
          <cell r="B56">
            <v>50000</v>
          </cell>
          <cell r="C56">
            <v>4.2300000000000004</v>
          </cell>
          <cell r="D56">
            <v>1.0349999999999999</v>
          </cell>
        </row>
        <row r="57">
          <cell r="A57">
            <v>36800</v>
          </cell>
          <cell r="B57">
            <v>60000</v>
          </cell>
          <cell r="C57">
            <v>4.8</v>
          </cell>
          <cell r="D57">
            <v>1.0349999999999999</v>
          </cell>
        </row>
        <row r="58">
          <cell r="A58">
            <v>36831</v>
          </cell>
          <cell r="B58">
            <v>120000</v>
          </cell>
          <cell r="C58">
            <v>5.4</v>
          </cell>
          <cell r="D58">
            <v>1.0349999999999999</v>
          </cell>
        </row>
        <row r="59">
          <cell r="A59">
            <v>36861</v>
          </cell>
          <cell r="B59">
            <v>186000</v>
          </cell>
          <cell r="C59">
            <v>5.4</v>
          </cell>
          <cell r="D59">
            <v>1.0349999999999999</v>
          </cell>
        </row>
        <row r="60">
          <cell r="A60">
            <v>36892</v>
          </cell>
          <cell r="B60">
            <v>186000</v>
          </cell>
          <cell r="C60">
            <v>5.4</v>
          </cell>
          <cell r="D60">
            <v>1.0349999999999999</v>
          </cell>
        </row>
        <row r="61">
          <cell r="A61">
            <v>36923</v>
          </cell>
          <cell r="B61">
            <v>174000</v>
          </cell>
          <cell r="C61">
            <v>7.42</v>
          </cell>
          <cell r="D61">
            <v>1.0349999999999999</v>
          </cell>
        </row>
        <row r="62">
          <cell r="A62">
            <v>36951</v>
          </cell>
          <cell r="B62">
            <v>124000</v>
          </cell>
          <cell r="C62">
            <v>6</v>
          </cell>
          <cell r="D62">
            <v>1.0349999999999999</v>
          </cell>
        </row>
        <row r="63">
          <cell r="A63">
            <v>36982</v>
          </cell>
          <cell r="B63">
            <v>60000</v>
          </cell>
          <cell r="C63">
            <v>5.41</v>
          </cell>
          <cell r="D63">
            <v>1.0349999999999999</v>
          </cell>
        </row>
        <row r="64">
          <cell r="A64">
            <v>37012</v>
          </cell>
          <cell r="B64">
            <v>60000</v>
          </cell>
          <cell r="C64">
            <v>5.24</v>
          </cell>
          <cell r="D64">
            <v>1.0349999999999999</v>
          </cell>
        </row>
        <row r="65">
          <cell r="A65">
            <v>37043</v>
          </cell>
          <cell r="B65">
            <v>60000</v>
          </cell>
          <cell r="C65">
            <v>5.09</v>
          </cell>
          <cell r="D65">
            <v>1.0349999999999999</v>
          </cell>
        </row>
        <row r="66">
          <cell r="A66">
            <v>37073</v>
          </cell>
          <cell r="B66">
            <v>50000</v>
          </cell>
          <cell r="C66">
            <v>4.0599999999999996</v>
          </cell>
          <cell r="D66">
            <v>1.0349999999999999</v>
          </cell>
        </row>
        <row r="67">
          <cell r="A67">
            <v>37104</v>
          </cell>
          <cell r="B67">
            <v>50000</v>
          </cell>
          <cell r="C67">
            <v>3.89</v>
          </cell>
          <cell r="D67">
            <v>1.0349999999999999</v>
          </cell>
        </row>
        <row r="68">
          <cell r="A68">
            <v>37196</v>
          </cell>
          <cell r="B68">
            <v>492000</v>
          </cell>
          <cell r="C68">
            <v>3.23</v>
          </cell>
          <cell r="D68">
            <v>1.0349999999999999</v>
          </cell>
        </row>
        <row r="69">
          <cell r="A69">
            <v>37288</v>
          </cell>
          <cell r="B69">
            <v>342100</v>
          </cell>
          <cell r="C69">
            <v>3</v>
          </cell>
          <cell r="D69">
            <v>1.0349999999999999</v>
          </cell>
        </row>
        <row r="70">
          <cell r="A70">
            <v>37377</v>
          </cell>
          <cell r="B70">
            <v>168500</v>
          </cell>
          <cell r="C70">
            <v>3.3090000000000002</v>
          </cell>
          <cell r="D70">
            <v>1.0349999999999999</v>
          </cell>
        </row>
        <row r="71">
          <cell r="A71">
            <v>37469</v>
          </cell>
          <cell r="B71">
            <v>171600</v>
          </cell>
          <cell r="C71">
            <v>3.28</v>
          </cell>
          <cell r="D71">
            <v>1.0349999999999999</v>
          </cell>
        </row>
        <row r="72">
          <cell r="A72">
            <v>37561</v>
          </cell>
          <cell r="B72">
            <v>399000</v>
          </cell>
          <cell r="C72">
            <v>3.7610000000000001</v>
          </cell>
          <cell r="D72">
            <v>1.0349999999999999</v>
          </cell>
        </row>
        <row r="73">
          <cell r="A73">
            <v>37653</v>
          </cell>
          <cell r="B73">
            <v>262000</v>
          </cell>
          <cell r="C73">
            <v>4.1559999999999997</v>
          </cell>
          <cell r="D73">
            <v>1.0349999999999999</v>
          </cell>
        </row>
        <row r="74">
          <cell r="A74">
            <v>37712</v>
          </cell>
          <cell r="B74">
            <v>60000</v>
          </cell>
          <cell r="C74">
            <v>6.0359999999999996</v>
          </cell>
          <cell r="D74">
            <v>1.0349999999999999</v>
          </cell>
        </row>
        <row r="75">
          <cell r="A75">
            <v>37742</v>
          </cell>
          <cell r="B75">
            <v>184000</v>
          </cell>
          <cell r="C75">
            <v>5.0979999999999999</v>
          </cell>
          <cell r="D75">
            <v>1.0349999999999999</v>
          </cell>
        </row>
        <row r="76">
          <cell r="A76">
            <v>37834</v>
          </cell>
          <cell r="B76">
            <v>184000</v>
          </cell>
          <cell r="C76">
            <v>5.7990000000000004</v>
          </cell>
          <cell r="D76">
            <v>1.0349999999999999</v>
          </cell>
        </row>
        <row r="77">
          <cell r="A77">
            <v>37926</v>
          </cell>
          <cell r="B77">
            <v>400000</v>
          </cell>
          <cell r="C77">
            <v>5.234</v>
          </cell>
          <cell r="D77">
            <v>1.0349999999999999</v>
          </cell>
        </row>
        <row r="78">
          <cell r="A78">
            <v>38018</v>
          </cell>
          <cell r="B78">
            <v>249000</v>
          </cell>
          <cell r="C78">
            <v>5.5650000000000004</v>
          </cell>
          <cell r="D78">
            <v>1.0349999999999999</v>
          </cell>
        </row>
        <row r="79">
          <cell r="A79">
            <v>38108</v>
          </cell>
          <cell r="B79">
            <v>184000</v>
          </cell>
          <cell r="C79">
            <v>5.5229999999999997</v>
          </cell>
          <cell r="D79">
            <v>1.0349999999999999</v>
          </cell>
        </row>
        <row r="80">
          <cell r="A80">
            <v>38200</v>
          </cell>
          <cell r="B80">
            <v>184000</v>
          </cell>
          <cell r="C80">
            <v>6.4210000000000003</v>
          </cell>
          <cell r="D80">
            <v>1.0349999999999999</v>
          </cell>
        </row>
        <row r="81">
          <cell r="A81">
            <v>38292</v>
          </cell>
          <cell r="B81">
            <v>400000</v>
          </cell>
          <cell r="C81">
            <v>6.3070000000000004</v>
          </cell>
          <cell r="D81">
            <v>1.0349999999999999</v>
          </cell>
        </row>
        <row r="82">
          <cell r="A82">
            <v>38384</v>
          </cell>
          <cell r="B82">
            <v>249000</v>
          </cell>
          <cell r="C82">
            <v>6.3168629726635404</v>
          </cell>
          <cell r="D82">
            <v>1.0349999999999999</v>
          </cell>
        </row>
        <row r="83">
          <cell r="A83">
            <v>38473</v>
          </cell>
          <cell r="B83">
            <v>184000</v>
          </cell>
          <cell r="C83">
            <v>7.6529999999999996</v>
          </cell>
          <cell r="D83">
            <v>1.0349999999999999</v>
          </cell>
        </row>
        <row r="84">
          <cell r="A84">
            <v>38657</v>
          </cell>
          <cell r="B84">
            <v>400000</v>
          </cell>
          <cell r="C84">
            <v>9.5749999999999993</v>
          </cell>
          <cell r="D84">
            <v>1.0349999999999999</v>
          </cell>
        </row>
        <row r="85">
          <cell r="A85">
            <v>38749</v>
          </cell>
          <cell r="B85">
            <v>249000</v>
          </cell>
          <cell r="C85">
            <v>12.723000000000001</v>
          </cell>
          <cell r="D85">
            <v>1.0349999999999999</v>
          </cell>
        </row>
        <row r="86">
          <cell r="A86">
            <v>38838</v>
          </cell>
          <cell r="B86" t="e">
            <v>#REF!</v>
          </cell>
          <cell r="C86">
            <v>7.194</v>
          </cell>
          <cell r="D86">
            <v>1.0349999999999999</v>
          </cell>
        </row>
        <row r="87">
          <cell r="A87">
            <v>38930</v>
          </cell>
          <cell r="B87" t="e">
            <v>#REF!</v>
          </cell>
          <cell r="C87">
            <v>7.218</v>
          </cell>
          <cell r="D87">
            <v>1.0349999999999999</v>
          </cell>
        </row>
        <row r="88">
          <cell r="A88">
            <v>39022</v>
          </cell>
          <cell r="B88" t="e">
            <v>#REF!</v>
          </cell>
          <cell r="C88">
            <v>8.5809999999999995</v>
          </cell>
          <cell r="D88">
            <v>1.0349999999999999</v>
          </cell>
        </row>
        <row r="89">
          <cell r="A89">
            <v>39114</v>
          </cell>
          <cell r="B89">
            <v>219500</v>
          </cell>
          <cell r="C89">
            <v>6.5910000000000002</v>
          </cell>
          <cell r="D89">
            <v>1.0349999999999999</v>
          </cell>
        </row>
        <row r="90">
          <cell r="A90">
            <v>54789</v>
          </cell>
        </row>
      </sheetData>
      <sheetData sheetId="10">
        <row r="9">
          <cell r="A9">
            <v>34274</v>
          </cell>
          <cell r="B9" t="str">
            <v>N0210</v>
          </cell>
          <cell r="C9" t="str">
            <v>No Notice</v>
          </cell>
          <cell r="D9" t="str">
            <v>Texas Gas</v>
          </cell>
          <cell r="E9">
            <v>2</v>
          </cell>
          <cell r="F9">
            <v>37195</v>
          </cell>
          <cell r="G9">
            <v>45500</v>
          </cell>
          <cell r="H9">
            <v>45500</v>
          </cell>
          <cell r="I9">
            <v>45500</v>
          </cell>
          <cell r="J9">
            <v>36367</v>
          </cell>
          <cell r="K9">
            <v>22292</v>
          </cell>
          <cell r="L9">
            <v>22292</v>
          </cell>
          <cell r="M9">
            <v>22292</v>
          </cell>
          <cell r="N9">
            <v>22292</v>
          </cell>
          <cell r="O9">
            <v>22292</v>
          </cell>
          <cell r="P9">
            <v>40177</v>
          </cell>
          <cell r="Q9">
            <v>45500</v>
          </cell>
          <cell r="R9">
            <v>45500</v>
          </cell>
          <cell r="T9">
            <v>1410500</v>
          </cell>
          <cell r="U9">
            <v>1274000</v>
          </cell>
          <cell r="V9">
            <v>1410500</v>
          </cell>
          <cell r="W9">
            <v>1091010</v>
          </cell>
          <cell r="X9">
            <v>691052</v>
          </cell>
          <cell r="Y9">
            <v>668760</v>
          </cell>
          <cell r="Z9">
            <v>691052</v>
          </cell>
          <cell r="AA9">
            <v>691052</v>
          </cell>
          <cell r="AB9">
            <v>668760</v>
          </cell>
          <cell r="AC9">
            <v>1245487</v>
          </cell>
          <cell r="AD9">
            <v>1365000</v>
          </cell>
          <cell r="AE9">
            <v>1410500</v>
          </cell>
          <cell r="AF9">
            <v>12617673</v>
          </cell>
        </row>
        <row r="10">
          <cell r="A10">
            <v>43831</v>
          </cell>
        </row>
      </sheetData>
      <sheetData sheetId="11">
        <row r="9">
          <cell r="A9">
            <v>34274</v>
          </cell>
          <cell r="B9" t="str">
            <v>N0340</v>
          </cell>
          <cell r="C9" t="str">
            <v>No Notice</v>
          </cell>
          <cell r="D9" t="str">
            <v>Texas Gas</v>
          </cell>
          <cell r="E9">
            <v>3</v>
          </cell>
          <cell r="F9">
            <v>37195</v>
          </cell>
          <cell r="G9">
            <v>81000</v>
          </cell>
          <cell r="H9">
            <v>81000</v>
          </cell>
          <cell r="I9">
            <v>81000</v>
          </cell>
          <cell r="J9">
            <v>81000</v>
          </cell>
          <cell r="K9">
            <v>67375</v>
          </cell>
          <cell r="L9">
            <v>67375</v>
          </cell>
          <cell r="M9">
            <v>67375</v>
          </cell>
          <cell r="N9">
            <v>67375</v>
          </cell>
          <cell r="O9">
            <v>67375</v>
          </cell>
          <cell r="P9">
            <v>81000</v>
          </cell>
          <cell r="Q9">
            <v>81000</v>
          </cell>
          <cell r="R9">
            <v>81000</v>
          </cell>
          <cell r="T9">
            <v>2511000</v>
          </cell>
          <cell r="U9">
            <v>2268000</v>
          </cell>
          <cell r="V9">
            <v>2511000</v>
          </cell>
          <cell r="W9">
            <v>2430000</v>
          </cell>
          <cell r="X9">
            <v>2088625</v>
          </cell>
          <cell r="Y9">
            <v>2021250</v>
          </cell>
          <cell r="Z9">
            <v>2088625</v>
          </cell>
          <cell r="AA9">
            <v>2088625</v>
          </cell>
          <cell r="AB9">
            <v>2021250</v>
          </cell>
          <cell r="AC9">
            <v>2511000</v>
          </cell>
          <cell r="AD9">
            <v>2430000</v>
          </cell>
          <cell r="AE9">
            <v>2511000</v>
          </cell>
          <cell r="AF9">
            <v>27480375</v>
          </cell>
        </row>
        <row r="10">
          <cell r="A10">
            <v>43831</v>
          </cell>
        </row>
      </sheetData>
      <sheetData sheetId="12">
        <row r="9">
          <cell r="A9">
            <v>34274</v>
          </cell>
          <cell r="B9" t="str">
            <v>N0410</v>
          </cell>
          <cell r="C9" t="str">
            <v>No Notice</v>
          </cell>
          <cell r="D9" t="str">
            <v>Texas Gas</v>
          </cell>
          <cell r="E9">
            <v>4</v>
          </cell>
          <cell r="F9">
            <v>37195</v>
          </cell>
          <cell r="G9">
            <v>13500</v>
          </cell>
          <cell r="H9">
            <v>13500</v>
          </cell>
          <cell r="I9">
            <v>13500</v>
          </cell>
          <cell r="J9">
            <v>8838</v>
          </cell>
          <cell r="K9">
            <v>4625</v>
          </cell>
          <cell r="L9">
            <v>4625</v>
          </cell>
          <cell r="M9">
            <v>4625</v>
          </cell>
          <cell r="N9">
            <v>4625</v>
          </cell>
          <cell r="O9">
            <v>4625</v>
          </cell>
          <cell r="P9">
            <v>9984</v>
          </cell>
          <cell r="Q9">
            <v>13500</v>
          </cell>
          <cell r="R9">
            <v>13500</v>
          </cell>
          <cell r="T9">
            <v>418500</v>
          </cell>
          <cell r="U9">
            <v>378000</v>
          </cell>
          <cell r="V9">
            <v>418500</v>
          </cell>
          <cell r="W9">
            <v>265140</v>
          </cell>
          <cell r="X9">
            <v>143375</v>
          </cell>
          <cell r="Y9">
            <v>138750</v>
          </cell>
          <cell r="Z9">
            <v>143375</v>
          </cell>
          <cell r="AA9">
            <v>143375</v>
          </cell>
          <cell r="AB9">
            <v>138750</v>
          </cell>
          <cell r="AC9">
            <v>309504</v>
          </cell>
          <cell r="AD9">
            <v>405000</v>
          </cell>
          <cell r="AE9">
            <v>418500</v>
          </cell>
          <cell r="AF9">
            <v>3320769</v>
          </cell>
        </row>
        <row r="10">
          <cell r="A10">
            <v>43831</v>
          </cell>
        </row>
      </sheetData>
      <sheetData sheetId="13">
        <row r="9">
          <cell r="A9">
            <v>34274</v>
          </cell>
          <cell r="B9" t="str">
            <v>3770</v>
          </cell>
          <cell r="C9" t="str">
            <v>FT</v>
          </cell>
          <cell r="D9" t="str">
            <v>Texas Gas</v>
          </cell>
          <cell r="E9">
            <v>2</v>
          </cell>
          <cell r="F9">
            <v>35369</v>
          </cell>
          <cell r="G9">
            <v>3000</v>
          </cell>
          <cell r="H9">
            <v>3000</v>
          </cell>
          <cell r="I9">
            <v>3000</v>
          </cell>
          <cell r="J9">
            <v>3000</v>
          </cell>
          <cell r="K9">
            <v>3000</v>
          </cell>
          <cell r="L9">
            <v>3000</v>
          </cell>
          <cell r="M9">
            <v>3000</v>
          </cell>
          <cell r="N9">
            <v>3000</v>
          </cell>
          <cell r="O9">
            <v>3000</v>
          </cell>
          <cell r="P9">
            <v>3000</v>
          </cell>
          <cell r="Q9">
            <v>3000</v>
          </cell>
          <cell r="R9">
            <v>3000</v>
          </cell>
          <cell r="S9">
            <v>3000</v>
          </cell>
          <cell r="T9">
            <v>93000</v>
          </cell>
          <cell r="U9">
            <v>84000</v>
          </cell>
          <cell r="V9">
            <v>93000</v>
          </cell>
          <cell r="W9">
            <v>90000</v>
          </cell>
          <cell r="X9">
            <v>93000</v>
          </cell>
          <cell r="Y9">
            <v>90000</v>
          </cell>
          <cell r="Z9">
            <v>93000</v>
          </cell>
          <cell r="AA9">
            <v>93000</v>
          </cell>
          <cell r="AB9">
            <v>90000</v>
          </cell>
          <cell r="AC9">
            <v>93000</v>
          </cell>
          <cell r="AD9">
            <v>90000</v>
          </cell>
          <cell r="AE9">
            <v>93000</v>
          </cell>
          <cell r="AF9">
            <v>1095000</v>
          </cell>
        </row>
        <row r="10">
          <cell r="A10">
            <v>43831</v>
          </cell>
        </row>
      </sheetData>
      <sheetData sheetId="14">
        <row r="9">
          <cell r="A9">
            <v>34274</v>
          </cell>
          <cell r="B9" t="str">
            <v>3817</v>
          </cell>
          <cell r="C9" t="str">
            <v>FT</v>
          </cell>
          <cell r="D9" t="str">
            <v>Texas Gas</v>
          </cell>
          <cell r="E9">
            <v>2</v>
          </cell>
          <cell r="F9">
            <v>35369</v>
          </cell>
          <cell r="G9">
            <v>2428</v>
          </cell>
          <cell r="H9">
            <v>2428</v>
          </cell>
          <cell r="I9">
            <v>2428</v>
          </cell>
          <cell r="J9">
            <v>2428</v>
          </cell>
          <cell r="K9">
            <v>2428</v>
          </cell>
          <cell r="L9">
            <v>2428</v>
          </cell>
          <cell r="M9">
            <v>2428</v>
          </cell>
          <cell r="N9">
            <v>2428</v>
          </cell>
          <cell r="O9">
            <v>2428</v>
          </cell>
          <cell r="P9">
            <v>2428</v>
          </cell>
          <cell r="Q9">
            <v>2428</v>
          </cell>
          <cell r="R9">
            <v>2428</v>
          </cell>
          <cell r="T9">
            <v>75268</v>
          </cell>
          <cell r="U9">
            <v>67984</v>
          </cell>
          <cell r="V9">
            <v>75268</v>
          </cell>
          <cell r="W9">
            <v>72840</v>
          </cell>
          <cell r="X9">
            <v>75268</v>
          </cell>
          <cell r="Y9">
            <v>72840</v>
          </cell>
          <cell r="Z9">
            <v>75268</v>
          </cell>
          <cell r="AA9">
            <v>75268</v>
          </cell>
          <cell r="AB9">
            <v>72840</v>
          </cell>
          <cell r="AC9">
            <v>75268</v>
          </cell>
          <cell r="AD9">
            <v>72840</v>
          </cell>
          <cell r="AE9">
            <v>75268</v>
          </cell>
          <cell r="AF9">
            <v>886220</v>
          </cell>
        </row>
        <row r="10">
          <cell r="A10">
            <v>43831</v>
          </cell>
        </row>
      </sheetData>
      <sheetData sheetId="15">
        <row r="9">
          <cell r="A9">
            <v>34274</v>
          </cell>
          <cell r="B9" t="str">
            <v>3355</v>
          </cell>
          <cell r="C9" t="str">
            <v>FT</v>
          </cell>
          <cell r="D9" t="str">
            <v>Texas Gas</v>
          </cell>
          <cell r="E9">
            <v>3</v>
          </cell>
          <cell r="F9">
            <v>35369</v>
          </cell>
          <cell r="G9">
            <v>10105</v>
          </cell>
          <cell r="H9">
            <v>10105</v>
          </cell>
          <cell r="I9">
            <v>10105</v>
          </cell>
          <cell r="J9">
            <v>10105</v>
          </cell>
          <cell r="K9">
            <v>10105</v>
          </cell>
          <cell r="L9">
            <v>10105</v>
          </cell>
          <cell r="M9">
            <v>10105</v>
          </cell>
          <cell r="N9">
            <v>10105</v>
          </cell>
          <cell r="O9">
            <v>10105</v>
          </cell>
          <cell r="P9">
            <v>10105</v>
          </cell>
          <cell r="Q9">
            <v>10105</v>
          </cell>
          <cell r="R9">
            <v>10105</v>
          </cell>
          <cell r="T9">
            <v>313255</v>
          </cell>
          <cell r="U9">
            <v>282940</v>
          </cell>
          <cell r="V9">
            <v>313255</v>
          </cell>
          <cell r="W9">
            <v>303150</v>
          </cell>
          <cell r="X9">
            <v>313255</v>
          </cell>
          <cell r="Y9">
            <v>303150</v>
          </cell>
          <cell r="Z9">
            <v>313255</v>
          </cell>
          <cell r="AA9">
            <v>313255</v>
          </cell>
          <cell r="AB9">
            <v>303150</v>
          </cell>
          <cell r="AC9">
            <v>313255</v>
          </cell>
          <cell r="AD9">
            <v>303150</v>
          </cell>
          <cell r="AE9">
            <v>313255</v>
          </cell>
          <cell r="AF9">
            <v>3688325</v>
          </cell>
        </row>
        <row r="10">
          <cell r="A10">
            <v>34700</v>
          </cell>
          <cell r="B10" t="str">
            <v>3355</v>
          </cell>
          <cell r="C10" t="str">
            <v>FT</v>
          </cell>
          <cell r="D10" t="str">
            <v>Texas Gas</v>
          </cell>
          <cell r="E10">
            <v>3</v>
          </cell>
          <cell r="F10">
            <v>35369</v>
          </cell>
          <cell r="G10">
            <v>6819</v>
          </cell>
          <cell r="H10">
            <v>6819</v>
          </cell>
          <cell r="I10">
            <v>6819</v>
          </cell>
          <cell r="J10">
            <v>6819</v>
          </cell>
          <cell r="K10">
            <v>6819</v>
          </cell>
          <cell r="L10">
            <v>6819</v>
          </cell>
          <cell r="M10">
            <v>6819</v>
          </cell>
          <cell r="N10">
            <v>6819</v>
          </cell>
          <cell r="O10">
            <v>6819</v>
          </cell>
          <cell r="P10">
            <v>6819</v>
          </cell>
          <cell r="Q10">
            <v>6819</v>
          </cell>
          <cell r="R10">
            <v>6819</v>
          </cell>
          <cell r="T10">
            <v>211389</v>
          </cell>
          <cell r="U10">
            <v>190932</v>
          </cell>
          <cell r="V10">
            <v>211389</v>
          </cell>
          <cell r="W10">
            <v>204570</v>
          </cell>
          <cell r="X10">
            <v>211389</v>
          </cell>
          <cell r="Y10">
            <v>204570</v>
          </cell>
          <cell r="Z10">
            <v>211389</v>
          </cell>
          <cell r="AA10">
            <v>211389</v>
          </cell>
          <cell r="AB10">
            <v>204570</v>
          </cell>
          <cell r="AC10">
            <v>211389</v>
          </cell>
          <cell r="AD10">
            <v>204570</v>
          </cell>
          <cell r="AE10">
            <v>211389</v>
          </cell>
          <cell r="AF10">
            <v>2488935</v>
          </cell>
        </row>
        <row r="11">
          <cell r="A11">
            <v>36557</v>
          </cell>
          <cell r="B11" t="str">
            <v>3355</v>
          </cell>
          <cell r="C11" t="str">
            <v>FT</v>
          </cell>
          <cell r="D11" t="str">
            <v>Texas Gas</v>
          </cell>
          <cell r="E11">
            <v>3</v>
          </cell>
          <cell r="F11">
            <v>37195</v>
          </cell>
          <cell r="G11">
            <v>8577</v>
          </cell>
          <cell r="H11">
            <v>8577</v>
          </cell>
          <cell r="I11">
            <v>8577</v>
          </cell>
          <cell r="J11">
            <v>8577</v>
          </cell>
          <cell r="K11">
            <v>8577</v>
          </cell>
          <cell r="L11">
            <v>8577</v>
          </cell>
          <cell r="M11">
            <v>8577</v>
          </cell>
          <cell r="N11">
            <v>8577</v>
          </cell>
          <cell r="O11">
            <v>8577</v>
          </cell>
          <cell r="P11">
            <v>8577</v>
          </cell>
          <cell r="Q11">
            <v>8577</v>
          </cell>
          <cell r="R11">
            <v>8577</v>
          </cell>
          <cell r="T11">
            <v>265887</v>
          </cell>
          <cell r="U11">
            <v>240156</v>
          </cell>
          <cell r="V11">
            <v>265887</v>
          </cell>
          <cell r="W11">
            <v>257310</v>
          </cell>
          <cell r="X11">
            <v>265887</v>
          </cell>
          <cell r="Y11">
            <v>257310</v>
          </cell>
          <cell r="Z11">
            <v>265887</v>
          </cell>
          <cell r="AA11">
            <v>265887</v>
          </cell>
          <cell r="AB11">
            <v>257310</v>
          </cell>
          <cell r="AC11">
            <v>265887</v>
          </cell>
          <cell r="AD11">
            <v>257310</v>
          </cell>
          <cell r="AE11">
            <v>265887</v>
          </cell>
          <cell r="AF11">
            <v>3130605</v>
          </cell>
        </row>
        <row r="12">
          <cell r="A12">
            <v>43831</v>
          </cell>
        </row>
      </sheetData>
      <sheetData sheetId="16">
        <row r="9">
          <cell r="A9">
            <v>34274</v>
          </cell>
          <cell r="B9" t="str">
            <v>3355.1</v>
          </cell>
          <cell r="C9" t="str">
            <v>FT</v>
          </cell>
          <cell r="D9" t="str">
            <v>Texas Gas</v>
          </cell>
          <cell r="E9">
            <v>3</v>
          </cell>
          <cell r="F9">
            <v>35369</v>
          </cell>
          <cell r="G9">
            <v>5106</v>
          </cell>
          <cell r="H9">
            <v>5106</v>
          </cell>
          <cell r="I9">
            <v>5106</v>
          </cell>
          <cell r="J9">
            <v>5106</v>
          </cell>
          <cell r="K9">
            <v>5106</v>
          </cell>
          <cell r="L9">
            <v>5106</v>
          </cell>
          <cell r="M9">
            <v>5106</v>
          </cell>
          <cell r="N9">
            <v>5106</v>
          </cell>
          <cell r="O9">
            <v>5106</v>
          </cell>
          <cell r="P9">
            <v>5106</v>
          </cell>
          <cell r="Q9">
            <v>5106</v>
          </cell>
          <cell r="R9">
            <v>5106</v>
          </cell>
          <cell r="T9">
            <v>158286</v>
          </cell>
          <cell r="U9">
            <v>142968</v>
          </cell>
          <cell r="V9">
            <v>158286</v>
          </cell>
          <cell r="W9">
            <v>153180</v>
          </cell>
          <cell r="X9">
            <v>158286</v>
          </cell>
          <cell r="Y9">
            <v>153180</v>
          </cell>
          <cell r="Z9">
            <v>158286</v>
          </cell>
          <cell r="AA9">
            <v>158286</v>
          </cell>
          <cell r="AB9">
            <v>153180</v>
          </cell>
          <cell r="AC9">
            <v>158286</v>
          </cell>
          <cell r="AD9">
            <v>153180</v>
          </cell>
          <cell r="AE9">
            <v>158286</v>
          </cell>
          <cell r="AF9">
            <v>1863690</v>
          </cell>
        </row>
        <row r="10">
          <cell r="A10">
            <v>36557</v>
          </cell>
          <cell r="B10" t="str">
            <v>3355.1</v>
          </cell>
          <cell r="C10" t="str">
            <v>FT</v>
          </cell>
          <cell r="D10" t="str">
            <v>Texas Gas</v>
          </cell>
          <cell r="E10">
            <v>3</v>
          </cell>
          <cell r="F10">
            <v>37195</v>
          </cell>
          <cell r="G10">
            <v>6423</v>
          </cell>
          <cell r="H10">
            <v>6423</v>
          </cell>
          <cell r="I10">
            <v>6423</v>
          </cell>
          <cell r="J10">
            <v>6423</v>
          </cell>
          <cell r="K10">
            <v>6423</v>
          </cell>
          <cell r="L10">
            <v>6423</v>
          </cell>
          <cell r="M10">
            <v>6423</v>
          </cell>
          <cell r="N10">
            <v>6423</v>
          </cell>
          <cell r="O10">
            <v>6423</v>
          </cell>
          <cell r="P10">
            <v>6423</v>
          </cell>
          <cell r="Q10">
            <v>6423</v>
          </cell>
          <cell r="R10">
            <v>6423</v>
          </cell>
          <cell r="T10">
            <v>199113</v>
          </cell>
          <cell r="U10">
            <v>179844</v>
          </cell>
          <cell r="V10">
            <v>199113</v>
          </cell>
          <cell r="W10">
            <v>192690</v>
          </cell>
          <cell r="X10">
            <v>199113</v>
          </cell>
          <cell r="Y10">
            <v>192690</v>
          </cell>
          <cell r="Z10">
            <v>199113</v>
          </cell>
          <cell r="AA10">
            <v>199113</v>
          </cell>
          <cell r="AB10">
            <v>192690</v>
          </cell>
          <cell r="AC10">
            <v>199113</v>
          </cell>
          <cell r="AD10">
            <v>192690</v>
          </cell>
          <cell r="AE10">
            <v>199113</v>
          </cell>
          <cell r="AF10">
            <v>2344395</v>
          </cell>
        </row>
        <row r="11">
          <cell r="A11">
            <v>43831</v>
          </cell>
        </row>
      </sheetData>
      <sheetData sheetId="17">
        <row r="9">
          <cell r="A9">
            <v>34274</v>
          </cell>
          <cell r="B9" t="str">
            <v>3819</v>
          </cell>
          <cell r="C9" t="str">
            <v>FT</v>
          </cell>
          <cell r="D9" t="str">
            <v>Texas Gas</v>
          </cell>
          <cell r="E9">
            <v>4</v>
          </cell>
          <cell r="F9">
            <v>37195</v>
          </cell>
          <cell r="G9">
            <v>3500</v>
          </cell>
          <cell r="H9">
            <v>3500</v>
          </cell>
          <cell r="I9">
            <v>3500</v>
          </cell>
          <cell r="J9">
            <v>3500</v>
          </cell>
          <cell r="K9">
            <v>3500</v>
          </cell>
          <cell r="L9">
            <v>3500</v>
          </cell>
          <cell r="M9">
            <v>3500</v>
          </cell>
          <cell r="N9">
            <v>3500</v>
          </cell>
          <cell r="O9">
            <v>3500</v>
          </cell>
          <cell r="P9">
            <v>3500</v>
          </cell>
          <cell r="Q9">
            <v>3500</v>
          </cell>
          <cell r="R9">
            <v>3500</v>
          </cell>
          <cell r="T9">
            <v>108500</v>
          </cell>
          <cell r="U9">
            <v>98000</v>
          </cell>
          <cell r="V9">
            <v>108500</v>
          </cell>
          <cell r="W9">
            <v>105000</v>
          </cell>
          <cell r="X9">
            <v>108500</v>
          </cell>
          <cell r="Y9">
            <v>105000</v>
          </cell>
          <cell r="Z9">
            <v>108500</v>
          </cell>
          <cell r="AA9">
            <v>108500</v>
          </cell>
          <cell r="AB9">
            <v>105000</v>
          </cell>
          <cell r="AC9">
            <v>108500</v>
          </cell>
          <cell r="AD9">
            <v>105000</v>
          </cell>
          <cell r="AE9">
            <v>108500</v>
          </cell>
          <cell r="AF9">
            <v>1277500</v>
          </cell>
        </row>
        <row r="10">
          <cell r="A10">
            <v>43831</v>
          </cell>
        </row>
      </sheetData>
      <sheetData sheetId="18">
        <row r="9">
          <cell r="A9">
            <v>35370</v>
          </cell>
          <cell r="B9" t="str">
            <v>9213</v>
          </cell>
          <cell r="C9" t="str">
            <v>FT</v>
          </cell>
          <cell r="D9" t="str">
            <v>Texas Gas</v>
          </cell>
          <cell r="E9">
            <v>3</v>
          </cell>
          <cell r="F9">
            <v>35735</v>
          </cell>
          <cell r="G9">
            <v>12000</v>
          </cell>
          <cell r="H9">
            <v>12000</v>
          </cell>
          <cell r="I9">
            <v>12000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12000</v>
          </cell>
          <cell r="R9">
            <v>12000</v>
          </cell>
          <cell r="T9">
            <v>372000</v>
          </cell>
          <cell r="U9">
            <v>336000</v>
          </cell>
          <cell r="V9">
            <v>372000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360000</v>
          </cell>
          <cell r="AE9">
            <v>372000</v>
          </cell>
          <cell r="AF9">
            <v>1812000</v>
          </cell>
        </row>
        <row r="10">
          <cell r="A10">
            <v>43831</v>
          </cell>
        </row>
      </sheetData>
      <sheetData sheetId="19">
        <row r="8">
          <cell r="A8">
            <v>34274</v>
          </cell>
          <cell r="B8">
            <v>1504222</v>
          </cell>
        </row>
        <row r="9">
          <cell r="A9">
            <v>35370</v>
          </cell>
          <cell r="B9">
            <v>166841.97</v>
          </cell>
        </row>
        <row r="10">
          <cell r="A10">
            <v>36831</v>
          </cell>
          <cell r="B10">
            <v>0</v>
          </cell>
        </row>
        <row r="11">
          <cell r="A11">
            <v>54789</v>
          </cell>
        </row>
      </sheetData>
      <sheetData sheetId="20"/>
      <sheetData sheetId="21">
        <row r="10">
          <cell r="A10">
            <v>34274</v>
          </cell>
          <cell r="B10" t="str">
            <v>2546</v>
          </cell>
          <cell r="C10" t="str">
            <v>FT-G</v>
          </cell>
          <cell r="D10" t="str">
            <v>Tennessee</v>
          </cell>
          <cell r="E10" t="str">
            <v>Danville</v>
          </cell>
          <cell r="F10">
            <v>36831</v>
          </cell>
          <cell r="G10">
            <v>13529</v>
          </cell>
          <cell r="H10">
            <v>13529</v>
          </cell>
          <cell r="I10">
            <v>13529</v>
          </cell>
          <cell r="J10">
            <v>10229</v>
          </cell>
          <cell r="K10">
            <v>7236</v>
          </cell>
          <cell r="L10">
            <v>5160</v>
          </cell>
          <cell r="M10">
            <v>4703</v>
          </cell>
          <cell r="N10">
            <v>4730</v>
          </cell>
          <cell r="O10">
            <v>5259</v>
          </cell>
          <cell r="P10">
            <v>9192</v>
          </cell>
          <cell r="Q10">
            <v>13529</v>
          </cell>
          <cell r="R10">
            <v>13529</v>
          </cell>
          <cell r="T10">
            <v>114154</v>
          </cell>
        </row>
        <row r="11">
          <cell r="A11">
            <v>36557</v>
          </cell>
          <cell r="B11" t="str">
            <v>2546</v>
          </cell>
          <cell r="C11" t="str">
            <v>FT-G</v>
          </cell>
          <cell r="D11" t="str">
            <v>Tennessee</v>
          </cell>
          <cell r="E11" t="str">
            <v>Danville</v>
          </cell>
          <cell r="F11">
            <v>36831</v>
          </cell>
          <cell r="G11">
            <v>13483</v>
          </cell>
          <cell r="H11">
            <v>13483</v>
          </cell>
          <cell r="I11">
            <v>13483</v>
          </cell>
          <cell r="J11">
            <v>9887</v>
          </cell>
          <cell r="K11">
            <v>7191</v>
          </cell>
          <cell r="L11">
            <v>7191</v>
          </cell>
          <cell r="M11">
            <v>4944</v>
          </cell>
          <cell r="N11">
            <v>4944</v>
          </cell>
          <cell r="O11">
            <v>5393</v>
          </cell>
          <cell r="P11">
            <v>8989</v>
          </cell>
          <cell r="Q11">
            <v>13483</v>
          </cell>
          <cell r="R11">
            <v>13483</v>
          </cell>
          <cell r="T11">
            <v>115954</v>
          </cell>
        </row>
        <row r="12">
          <cell r="A12">
            <v>36831</v>
          </cell>
          <cell r="B12" t="str">
            <v>2546</v>
          </cell>
          <cell r="C12" t="str">
            <v>FT-G</v>
          </cell>
          <cell r="D12" t="str">
            <v>Tennessee</v>
          </cell>
          <cell r="E12" t="str">
            <v>Danville</v>
          </cell>
          <cell r="F12">
            <v>37561</v>
          </cell>
          <cell r="G12">
            <v>13483</v>
          </cell>
          <cell r="H12">
            <v>13483</v>
          </cell>
          <cell r="I12">
            <v>13483</v>
          </cell>
          <cell r="J12">
            <v>9887</v>
          </cell>
          <cell r="K12">
            <v>7191</v>
          </cell>
          <cell r="L12">
            <v>5393</v>
          </cell>
          <cell r="M12">
            <v>4944</v>
          </cell>
          <cell r="N12">
            <v>4944</v>
          </cell>
          <cell r="O12">
            <v>5393</v>
          </cell>
          <cell r="P12">
            <v>8989</v>
          </cell>
          <cell r="Q12">
            <v>13483</v>
          </cell>
          <cell r="R12">
            <v>13483</v>
          </cell>
          <cell r="T12">
            <v>114156</v>
          </cell>
        </row>
        <row r="13">
          <cell r="A13">
            <v>43831</v>
          </cell>
        </row>
      </sheetData>
      <sheetData sheetId="22">
        <row r="10">
          <cell r="A10">
            <v>34274</v>
          </cell>
          <cell r="B10" t="str">
            <v>2546</v>
          </cell>
          <cell r="C10" t="str">
            <v>FT-G</v>
          </cell>
          <cell r="D10" t="str">
            <v>Tennessee Gas</v>
          </cell>
          <cell r="E10" t="str">
            <v>Danville</v>
          </cell>
          <cell r="F10">
            <v>36831</v>
          </cell>
          <cell r="G10">
            <v>1471</v>
          </cell>
          <cell r="H10">
            <v>1471</v>
          </cell>
          <cell r="I10">
            <v>1471</v>
          </cell>
          <cell r="J10">
            <v>771</v>
          </cell>
          <cell r="K10">
            <v>764</v>
          </cell>
          <cell r="L10">
            <v>840</v>
          </cell>
          <cell r="M10">
            <v>797</v>
          </cell>
          <cell r="N10">
            <v>770</v>
          </cell>
          <cell r="O10">
            <v>741</v>
          </cell>
          <cell r="P10">
            <v>808</v>
          </cell>
          <cell r="Q10">
            <v>1471</v>
          </cell>
          <cell r="R10">
            <v>1471</v>
          </cell>
          <cell r="T10">
            <v>12846</v>
          </cell>
        </row>
        <row r="11">
          <cell r="A11">
            <v>36557</v>
          </cell>
          <cell r="B11" t="str">
            <v>2546</v>
          </cell>
          <cell r="C11" t="str">
            <v>FT-G</v>
          </cell>
          <cell r="D11" t="str">
            <v>Tennessee Gas</v>
          </cell>
          <cell r="E11" t="str">
            <v>Danville</v>
          </cell>
          <cell r="F11">
            <v>36831</v>
          </cell>
          <cell r="G11">
            <v>1517</v>
          </cell>
          <cell r="H11">
            <v>1517</v>
          </cell>
          <cell r="I11">
            <v>1517</v>
          </cell>
          <cell r="J11">
            <v>1113</v>
          </cell>
          <cell r="K11">
            <v>809</v>
          </cell>
          <cell r="L11">
            <v>809</v>
          </cell>
          <cell r="M11">
            <v>556</v>
          </cell>
          <cell r="N11">
            <v>556</v>
          </cell>
          <cell r="O11">
            <v>607</v>
          </cell>
          <cell r="P11">
            <v>1011</v>
          </cell>
          <cell r="Q11">
            <v>1517</v>
          </cell>
          <cell r="R11">
            <v>1517</v>
          </cell>
          <cell r="T11">
            <v>13046</v>
          </cell>
        </row>
        <row r="12">
          <cell r="A12">
            <v>36831</v>
          </cell>
          <cell r="B12" t="str">
            <v>2546</v>
          </cell>
          <cell r="C12" t="str">
            <v>FT-G</v>
          </cell>
          <cell r="D12" t="str">
            <v>Tennessee Gas</v>
          </cell>
          <cell r="E12" t="str">
            <v>Danville</v>
          </cell>
          <cell r="F12">
            <v>37561</v>
          </cell>
          <cell r="G12">
            <v>1517</v>
          </cell>
          <cell r="H12">
            <v>1517</v>
          </cell>
          <cell r="I12">
            <v>1517</v>
          </cell>
          <cell r="J12">
            <v>1113</v>
          </cell>
          <cell r="K12">
            <v>809</v>
          </cell>
          <cell r="L12">
            <v>607</v>
          </cell>
          <cell r="M12">
            <v>556</v>
          </cell>
          <cell r="N12">
            <v>556</v>
          </cell>
          <cell r="O12">
            <v>607</v>
          </cell>
          <cell r="P12">
            <v>1011</v>
          </cell>
          <cell r="Q12">
            <v>1517</v>
          </cell>
          <cell r="R12">
            <v>1517</v>
          </cell>
          <cell r="T12">
            <v>12844</v>
          </cell>
        </row>
        <row r="13">
          <cell r="A13">
            <v>43831</v>
          </cell>
        </row>
      </sheetData>
      <sheetData sheetId="23">
        <row r="9">
          <cell r="A9">
            <v>34274</v>
          </cell>
          <cell r="B9" t="str">
            <v>2548</v>
          </cell>
          <cell r="C9" t="str">
            <v>FT-G</v>
          </cell>
          <cell r="D9" t="str">
            <v>Tennessee Gas</v>
          </cell>
          <cell r="E9" t="str">
            <v>Lebanon</v>
          </cell>
          <cell r="F9">
            <v>36831</v>
          </cell>
          <cell r="G9">
            <v>5324</v>
          </cell>
          <cell r="H9">
            <v>5324</v>
          </cell>
          <cell r="I9">
            <v>5324</v>
          </cell>
          <cell r="J9">
            <v>5100</v>
          </cell>
          <cell r="K9">
            <v>2261</v>
          </cell>
          <cell r="L9">
            <v>1720</v>
          </cell>
          <cell r="M9">
            <v>1710</v>
          </cell>
          <cell r="N9">
            <v>1720</v>
          </cell>
          <cell r="O9">
            <v>2191</v>
          </cell>
          <cell r="P9">
            <v>3677</v>
          </cell>
          <cell r="Q9">
            <v>5324</v>
          </cell>
          <cell r="R9">
            <v>5324</v>
          </cell>
          <cell r="T9">
            <v>44999</v>
          </cell>
        </row>
        <row r="10">
          <cell r="A10">
            <v>36557</v>
          </cell>
          <cell r="B10" t="str">
            <v>2548</v>
          </cell>
          <cell r="C10" t="str">
            <v>FT-G</v>
          </cell>
          <cell r="D10" t="str">
            <v>Tennessee Gas</v>
          </cell>
          <cell r="E10" t="str">
            <v>Lebanon</v>
          </cell>
          <cell r="F10">
            <v>36831</v>
          </cell>
          <cell r="G10">
            <v>5262</v>
          </cell>
          <cell r="H10">
            <v>5262</v>
          </cell>
          <cell r="I10">
            <v>5262</v>
          </cell>
          <cell r="J10">
            <v>5014</v>
          </cell>
          <cell r="K10">
            <v>2279</v>
          </cell>
          <cell r="L10">
            <v>2279</v>
          </cell>
          <cell r="M10">
            <v>1823</v>
          </cell>
          <cell r="N10">
            <v>1823</v>
          </cell>
          <cell r="O10">
            <v>1823</v>
          </cell>
          <cell r="P10">
            <v>1823</v>
          </cell>
          <cell r="Q10">
            <v>5262</v>
          </cell>
          <cell r="R10">
            <v>5262</v>
          </cell>
          <cell r="T10">
            <v>43174</v>
          </cell>
        </row>
        <row r="11">
          <cell r="A11">
            <v>36831</v>
          </cell>
          <cell r="B11" t="str">
            <v>2548</v>
          </cell>
          <cell r="C11" t="str">
            <v>FT-G</v>
          </cell>
          <cell r="D11" t="str">
            <v>Tennessee Gas</v>
          </cell>
          <cell r="E11" t="str">
            <v>Lebanon</v>
          </cell>
          <cell r="F11">
            <v>37561</v>
          </cell>
          <cell r="G11">
            <v>5262</v>
          </cell>
          <cell r="H11">
            <v>5262</v>
          </cell>
          <cell r="I11">
            <v>5262</v>
          </cell>
          <cell r="J11">
            <v>5014</v>
          </cell>
          <cell r="K11">
            <v>2279</v>
          </cell>
          <cell r="L11">
            <v>1823</v>
          </cell>
          <cell r="M11">
            <v>1823</v>
          </cell>
          <cell r="N11">
            <v>1823</v>
          </cell>
          <cell r="O11">
            <v>2279</v>
          </cell>
          <cell r="P11">
            <v>3646</v>
          </cell>
          <cell r="Q11">
            <v>5262</v>
          </cell>
          <cell r="R11">
            <v>5262</v>
          </cell>
          <cell r="T11">
            <v>44997</v>
          </cell>
        </row>
        <row r="12">
          <cell r="A12">
            <v>43831</v>
          </cell>
        </row>
      </sheetData>
      <sheetData sheetId="24">
        <row r="9">
          <cell r="A9">
            <v>34274</v>
          </cell>
          <cell r="B9" t="str">
            <v>2548</v>
          </cell>
          <cell r="C9" t="str">
            <v>FT-G</v>
          </cell>
          <cell r="D9" t="str">
            <v>Tennessee Gas</v>
          </cell>
          <cell r="E9" t="str">
            <v>Lebanon</v>
          </cell>
          <cell r="F9">
            <v>36831</v>
          </cell>
          <cell r="G9">
            <v>448</v>
          </cell>
          <cell r="H9">
            <v>448</v>
          </cell>
          <cell r="I9">
            <v>448</v>
          </cell>
          <cell r="J9">
            <v>400</v>
          </cell>
          <cell r="K9">
            <v>239</v>
          </cell>
          <cell r="L9">
            <v>280</v>
          </cell>
          <cell r="M9">
            <v>290</v>
          </cell>
          <cell r="N9">
            <v>280</v>
          </cell>
          <cell r="O9">
            <v>309</v>
          </cell>
          <cell r="P9">
            <v>323</v>
          </cell>
          <cell r="Q9">
            <v>448</v>
          </cell>
          <cell r="R9">
            <v>448</v>
          </cell>
          <cell r="T9">
            <v>4361</v>
          </cell>
        </row>
        <row r="10">
          <cell r="A10">
            <v>36557</v>
          </cell>
          <cell r="B10" t="str">
            <v>2548</v>
          </cell>
          <cell r="C10" t="str">
            <v>FT-G</v>
          </cell>
          <cell r="D10" t="str">
            <v>Tennessee Gas</v>
          </cell>
          <cell r="E10" t="str">
            <v>Lebanon</v>
          </cell>
          <cell r="F10">
            <v>36831</v>
          </cell>
          <cell r="G10">
            <v>510</v>
          </cell>
          <cell r="H10">
            <v>510</v>
          </cell>
          <cell r="I10">
            <v>510</v>
          </cell>
          <cell r="J10">
            <v>486</v>
          </cell>
          <cell r="K10">
            <v>221</v>
          </cell>
          <cell r="L10">
            <v>221</v>
          </cell>
          <cell r="M10">
            <v>177</v>
          </cell>
          <cell r="N10">
            <v>177</v>
          </cell>
          <cell r="O10">
            <v>177</v>
          </cell>
          <cell r="P10">
            <v>177</v>
          </cell>
          <cell r="Q10">
            <v>510</v>
          </cell>
          <cell r="R10">
            <v>510</v>
          </cell>
          <cell r="T10">
            <v>4186</v>
          </cell>
        </row>
        <row r="11">
          <cell r="A11">
            <v>36831</v>
          </cell>
          <cell r="B11" t="str">
            <v>2548</v>
          </cell>
          <cell r="C11" t="str">
            <v>FT-G</v>
          </cell>
          <cell r="D11" t="str">
            <v>Tennessee Gas</v>
          </cell>
          <cell r="E11" t="str">
            <v>Lebanon</v>
          </cell>
          <cell r="F11">
            <v>37561</v>
          </cell>
          <cell r="G11">
            <v>510</v>
          </cell>
          <cell r="H11">
            <v>510</v>
          </cell>
          <cell r="I11">
            <v>510</v>
          </cell>
          <cell r="J11">
            <v>486</v>
          </cell>
          <cell r="K11">
            <v>221</v>
          </cell>
          <cell r="L11">
            <v>177</v>
          </cell>
          <cell r="M11">
            <v>177</v>
          </cell>
          <cell r="N11">
            <v>177</v>
          </cell>
          <cell r="O11">
            <v>221</v>
          </cell>
          <cell r="P11">
            <v>354</v>
          </cell>
          <cell r="Q11">
            <v>510</v>
          </cell>
          <cell r="R11">
            <v>510</v>
          </cell>
          <cell r="T11">
            <v>4363</v>
          </cell>
        </row>
        <row r="12">
          <cell r="A12">
            <v>43831</v>
          </cell>
        </row>
      </sheetData>
      <sheetData sheetId="25">
        <row r="9">
          <cell r="A9">
            <v>34274</v>
          </cell>
          <cell r="B9" t="str">
            <v>2550</v>
          </cell>
          <cell r="C9" t="str">
            <v>FT-G</v>
          </cell>
          <cell r="D9" t="str">
            <v>Tennessee Gas</v>
          </cell>
          <cell r="E9" t="str">
            <v>Campbellsville</v>
          </cell>
          <cell r="F9">
            <v>36831</v>
          </cell>
          <cell r="G9">
            <v>6361</v>
          </cell>
          <cell r="H9">
            <v>6361</v>
          </cell>
          <cell r="I9">
            <v>6361</v>
          </cell>
          <cell r="J9">
            <v>5789</v>
          </cell>
          <cell r="K9">
            <v>4523</v>
          </cell>
          <cell r="L9">
            <v>3010</v>
          </cell>
          <cell r="M9">
            <v>3004</v>
          </cell>
          <cell r="N9">
            <v>3010</v>
          </cell>
          <cell r="O9">
            <v>4004</v>
          </cell>
          <cell r="P9">
            <v>4596</v>
          </cell>
          <cell r="Q9">
            <v>6361</v>
          </cell>
          <cell r="R9">
            <v>6361</v>
          </cell>
          <cell r="T9">
            <v>59741</v>
          </cell>
        </row>
        <row r="10">
          <cell r="A10">
            <v>36557</v>
          </cell>
          <cell r="B10" t="str">
            <v>2550</v>
          </cell>
          <cell r="C10" t="str">
            <v>FT-G</v>
          </cell>
          <cell r="D10" t="str">
            <v>Tennessee Gas</v>
          </cell>
          <cell r="E10" t="str">
            <v>Campbellsville</v>
          </cell>
          <cell r="F10">
            <v>36831</v>
          </cell>
          <cell r="G10">
            <v>6255</v>
          </cell>
          <cell r="H10">
            <v>6255</v>
          </cell>
          <cell r="I10">
            <v>6255</v>
          </cell>
          <cell r="J10">
            <v>5657</v>
          </cell>
          <cell r="K10">
            <v>4562</v>
          </cell>
          <cell r="L10">
            <v>4562</v>
          </cell>
          <cell r="M10">
            <v>3193</v>
          </cell>
          <cell r="N10">
            <v>3193</v>
          </cell>
          <cell r="O10">
            <v>4106</v>
          </cell>
          <cell r="P10">
            <v>4562</v>
          </cell>
          <cell r="Q10">
            <v>6255</v>
          </cell>
          <cell r="R10">
            <v>6255</v>
          </cell>
          <cell r="T10">
            <v>61110</v>
          </cell>
        </row>
        <row r="11">
          <cell r="A11">
            <v>36831</v>
          </cell>
          <cell r="B11" t="str">
            <v>2550</v>
          </cell>
          <cell r="C11" t="str">
            <v>FT-G</v>
          </cell>
          <cell r="D11" t="str">
            <v>Tennessee Gas</v>
          </cell>
          <cell r="E11" t="str">
            <v>Campbellsville</v>
          </cell>
          <cell r="F11">
            <v>37561</v>
          </cell>
          <cell r="G11">
            <v>6255</v>
          </cell>
          <cell r="H11">
            <v>6255</v>
          </cell>
          <cell r="I11">
            <v>6255</v>
          </cell>
          <cell r="J11">
            <v>5657</v>
          </cell>
          <cell r="K11">
            <v>4562</v>
          </cell>
          <cell r="L11">
            <v>3193</v>
          </cell>
          <cell r="M11">
            <v>3193</v>
          </cell>
          <cell r="N11">
            <v>3193</v>
          </cell>
          <cell r="O11">
            <v>4106</v>
          </cell>
          <cell r="P11">
            <v>4562</v>
          </cell>
          <cell r="Q11">
            <v>6255</v>
          </cell>
          <cell r="R11">
            <v>6255</v>
          </cell>
          <cell r="T11">
            <v>59741</v>
          </cell>
        </row>
        <row r="12">
          <cell r="A12">
            <v>43831</v>
          </cell>
        </row>
      </sheetData>
      <sheetData sheetId="26">
        <row r="9">
          <cell r="A9">
            <v>34274</v>
          </cell>
          <cell r="B9" t="str">
            <v>2550</v>
          </cell>
          <cell r="C9" t="str">
            <v>FT-G</v>
          </cell>
          <cell r="D9" t="str">
            <v>Tennessee Gas</v>
          </cell>
          <cell r="E9" t="str">
            <v>Campbellsville</v>
          </cell>
          <cell r="F9">
            <v>36831</v>
          </cell>
          <cell r="G9">
            <v>495</v>
          </cell>
          <cell r="H9">
            <v>495</v>
          </cell>
          <cell r="I9">
            <v>495</v>
          </cell>
          <cell r="J9">
            <v>411</v>
          </cell>
          <cell r="K9">
            <v>477</v>
          </cell>
          <cell r="L9">
            <v>490</v>
          </cell>
          <cell r="M9">
            <v>496</v>
          </cell>
          <cell r="N9">
            <v>490</v>
          </cell>
          <cell r="O9">
            <v>496</v>
          </cell>
          <cell r="P9">
            <v>404</v>
          </cell>
          <cell r="Q9">
            <v>495</v>
          </cell>
          <cell r="R9">
            <v>495</v>
          </cell>
          <cell r="T9">
            <v>5739</v>
          </cell>
        </row>
        <row r="10">
          <cell r="A10">
            <v>36557</v>
          </cell>
          <cell r="B10" t="str">
            <v>2550</v>
          </cell>
          <cell r="C10" t="str">
            <v>FT-G</v>
          </cell>
          <cell r="D10" t="str">
            <v>Tennessee Gas</v>
          </cell>
          <cell r="E10" t="str">
            <v>Campbellsville</v>
          </cell>
          <cell r="F10">
            <v>36831</v>
          </cell>
          <cell r="G10">
            <v>601</v>
          </cell>
          <cell r="H10">
            <v>601</v>
          </cell>
          <cell r="I10">
            <v>601</v>
          </cell>
          <cell r="J10">
            <v>543</v>
          </cell>
          <cell r="K10">
            <v>438</v>
          </cell>
          <cell r="L10">
            <v>438</v>
          </cell>
          <cell r="M10">
            <v>307</v>
          </cell>
          <cell r="N10">
            <v>307</v>
          </cell>
          <cell r="O10">
            <v>394</v>
          </cell>
          <cell r="P10">
            <v>438</v>
          </cell>
          <cell r="Q10">
            <v>601</v>
          </cell>
          <cell r="R10">
            <v>601</v>
          </cell>
          <cell r="T10">
            <v>5870</v>
          </cell>
        </row>
        <row r="11">
          <cell r="A11">
            <v>36831</v>
          </cell>
          <cell r="B11" t="str">
            <v>2550</v>
          </cell>
          <cell r="C11" t="str">
            <v>FT-G</v>
          </cell>
          <cell r="D11" t="str">
            <v>Tennessee Gas</v>
          </cell>
          <cell r="E11" t="str">
            <v>Campbellsville</v>
          </cell>
          <cell r="F11">
            <v>37561</v>
          </cell>
          <cell r="G11">
            <v>601</v>
          </cell>
          <cell r="H11">
            <v>601</v>
          </cell>
          <cell r="I11">
            <v>601</v>
          </cell>
          <cell r="J11">
            <v>543</v>
          </cell>
          <cell r="K11">
            <v>438</v>
          </cell>
          <cell r="L11">
            <v>307</v>
          </cell>
          <cell r="M11">
            <v>307</v>
          </cell>
          <cell r="N11">
            <v>307</v>
          </cell>
          <cell r="O11">
            <v>394</v>
          </cell>
          <cell r="P11">
            <v>438</v>
          </cell>
          <cell r="Q11">
            <v>601</v>
          </cell>
          <cell r="R11">
            <v>601</v>
          </cell>
          <cell r="T11">
            <v>5739</v>
          </cell>
        </row>
        <row r="12">
          <cell r="A12">
            <v>43831</v>
          </cell>
        </row>
      </sheetData>
      <sheetData sheetId="27">
        <row r="9">
          <cell r="A9">
            <v>34274</v>
          </cell>
          <cell r="B9" t="str">
            <v>2551</v>
          </cell>
          <cell r="C9" t="str">
            <v>FT-G</v>
          </cell>
          <cell r="D9" t="str">
            <v>Tennessee Gas</v>
          </cell>
          <cell r="E9" t="str">
            <v>Harrodsburg</v>
          </cell>
          <cell r="F9">
            <v>36831</v>
          </cell>
          <cell r="G9">
            <v>5121</v>
          </cell>
          <cell r="H9">
            <v>5121</v>
          </cell>
          <cell r="I9">
            <v>5121</v>
          </cell>
          <cell r="J9">
            <v>4625</v>
          </cell>
          <cell r="K9">
            <v>2713</v>
          </cell>
          <cell r="L9">
            <v>1720</v>
          </cell>
          <cell r="M9">
            <v>1710</v>
          </cell>
          <cell r="N9">
            <v>1720</v>
          </cell>
          <cell r="O9">
            <v>2753</v>
          </cell>
          <cell r="P9">
            <v>4213</v>
          </cell>
          <cell r="Q9">
            <v>5121</v>
          </cell>
          <cell r="R9">
            <v>5121</v>
          </cell>
          <cell r="T9">
            <v>45059</v>
          </cell>
        </row>
        <row r="10">
          <cell r="A10">
            <v>36557</v>
          </cell>
          <cell r="B10" t="str">
            <v>2551</v>
          </cell>
          <cell r="C10" t="str">
            <v>FT-G</v>
          </cell>
          <cell r="D10" t="str">
            <v>Tennessee Gas</v>
          </cell>
          <cell r="E10" t="str">
            <v>Harrodsburg</v>
          </cell>
          <cell r="F10">
            <v>36831</v>
          </cell>
          <cell r="G10">
            <v>5098</v>
          </cell>
          <cell r="H10">
            <v>5098</v>
          </cell>
          <cell r="I10">
            <v>5098</v>
          </cell>
          <cell r="J10">
            <v>4551</v>
          </cell>
          <cell r="K10">
            <v>2731</v>
          </cell>
          <cell r="L10">
            <v>2731</v>
          </cell>
          <cell r="M10">
            <v>1820</v>
          </cell>
          <cell r="N10">
            <v>1820</v>
          </cell>
          <cell r="O10">
            <v>1820</v>
          </cell>
          <cell r="P10">
            <v>1820</v>
          </cell>
          <cell r="Q10">
            <v>5098</v>
          </cell>
          <cell r="R10">
            <v>5098</v>
          </cell>
          <cell r="T10">
            <v>42783</v>
          </cell>
        </row>
        <row r="11">
          <cell r="A11">
            <v>36831</v>
          </cell>
          <cell r="B11" t="str">
            <v>2551</v>
          </cell>
          <cell r="C11" t="str">
            <v>FT-G</v>
          </cell>
          <cell r="D11" t="str">
            <v>Tennessee Gas</v>
          </cell>
          <cell r="E11" t="str">
            <v>Harrodsburg</v>
          </cell>
          <cell r="F11">
            <v>37561</v>
          </cell>
          <cell r="G11">
            <v>5098</v>
          </cell>
          <cell r="H11">
            <v>5098</v>
          </cell>
          <cell r="I11">
            <v>5098</v>
          </cell>
          <cell r="J11">
            <v>4551</v>
          </cell>
          <cell r="K11">
            <v>2731</v>
          </cell>
          <cell r="L11">
            <v>1821</v>
          </cell>
          <cell r="M11">
            <v>1820</v>
          </cell>
          <cell r="N11">
            <v>1820</v>
          </cell>
          <cell r="O11">
            <v>2730</v>
          </cell>
          <cell r="P11">
            <v>4095</v>
          </cell>
          <cell r="Q11">
            <v>5098</v>
          </cell>
          <cell r="R11">
            <v>5098</v>
          </cell>
          <cell r="T11">
            <v>45058</v>
          </cell>
        </row>
        <row r="12">
          <cell r="A12">
            <v>43831</v>
          </cell>
        </row>
      </sheetData>
      <sheetData sheetId="28">
        <row r="9">
          <cell r="A9">
            <v>34274</v>
          </cell>
          <cell r="B9" t="str">
            <v>2551.1</v>
          </cell>
          <cell r="C9" t="str">
            <v>FT-G</v>
          </cell>
          <cell r="D9" t="str">
            <v>Tennessee Gas</v>
          </cell>
          <cell r="E9" t="str">
            <v>Harrodsburg</v>
          </cell>
          <cell r="F9">
            <v>36831</v>
          </cell>
          <cell r="G9">
            <v>480</v>
          </cell>
          <cell r="H9">
            <v>480</v>
          </cell>
          <cell r="I9">
            <v>480</v>
          </cell>
          <cell r="J9">
            <v>375</v>
          </cell>
          <cell r="K9">
            <v>287</v>
          </cell>
          <cell r="L9">
            <v>280</v>
          </cell>
          <cell r="M9">
            <v>290</v>
          </cell>
          <cell r="N9">
            <v>280</v>
          </cell>
          <cell r="O9">
            <v>247</v>
          </cell>
          <cell r="P9">
            <v>287</v>
          </cell>
          <cell r="Q9">
            <v>480</v>
          </cell>
          <cell r="R9">
            <v>480</v>
          </cell>
          <cell r="T9">
            <v>4446</v>
          </cell>
        </row>
        <row r="10">
          <cell r="A10">
            <v>36557</v>
          </cell>
          <cell r="B10" t="str">
            <v>2551.1</v>
          </cell>
          <cell r="C10" t="str">
            <v>FT-G</v>
          </cell>
          <cell r="D10" t="str">
            <v>Tennessee Gas</v>
          </cell>
          <cell r="E10" t="str">
            <v>Harrodsburg</v>
          </cell>
          <cell r="F10">
            <v>36831</v>
          </cell>
          <cell r="G10">
            <v>503</v>
          </cell>
          <cell r="H10">
            <v>503</v>
          </cell>
          <cell r="I10">
            <v>503</v>
          </cell>
          <cell r="J10">
            <v>449</v>
          </cell>
          <cell r="K10">
            <v>269</v>
          </cell>
          <cell r="L10">
            <v>269</v>
          </cell>
          <cell r="M10">
            <v>180</v>
          </cell>
          <cell r="N10">
            <v>180</v>
          </cell>
          <cell r="O10">
            <v>180</v>
          </cell>
          <cell r="P10">
            <v>180</v>
          </cell>
          <cell r="Q10">
            <v>503</v>
          </cell>
          <cell r="R10">
            <v>503</v>
          </cell>
          <cell r="T10">
            <v>4222</v>
          </cell>
        </row>
        <row r="11">
          <cell r="A11">
            <v>36831</v>
          </cell>
          <cell r="B11" t="str">
            <v>2551.1</v>
          </cell>
          <cell r="C11" t="str">
            <v>FT-G</v>
          </cell>
          <cell r="D11" t="str">
            <v>Tennessee Gas</v>
          </cell>
          <cell r="E11" t="str">
            <v>Harrodsburg</v>
          </cell>
          <cell r="F11">
            <v>37561</v>
          </cell>
          <cell r="G11">
            <v>503</v>
          </cell>
          <cell r="H11">
            <v>503</v>
          </cell>
          <cell r="I11">
            <v>503</v>
          </cell>
          <cell r="J11">
            <v>449</v>
          </cell>
          <cell r="K11">
            <v>269</v>
          </cell>
          <cell r="L11">
            <v>179</v>
          </cell>
          <cell r="M11">
            <v>180</v>
          </cell>
          <cell r="N11">
            <v>180</v>
          </cell>
          <cell r="O11">
            <v>270</v>
          </cell>
          <cell r="P11">
            <v>405</v>
          </cell>
          <cell r="Q11">
            <v>503</v>
          </cell>
          <cell r="R11">
            <v>503</v>
          </cell>
          <cell r="T11">
            <v>4447</v>
          </cell>
        </row>
        <row r="12">
          <cell r="A12">
            <v>43831</v>
          </cell>
        </row>
      </sheetData>
      <sheetData sheetId="29">
        <row r="9">
          <cell r="A9">
            <v>34274</v>
          </cell>
          <cell r="B9" t="str">
            <v>2385</v>
          </cell>
          <cell r="C9" t="str">
            <v>FT-GS</v>
          </cell>
          <cell r="D9" t="str">
            <v>Tennessee Gas</v>
          </cell>
          <cell r="E9" t="str">
            <v>Greensburg</v>
          </cell>
          <cell r="F9">
            <v>36831</v>
          </cell>
          <cell r="G9">
            <v>8282</v>
          </cell>
          <cell r="H9">
            <v>8282</v>
          </cell>
          <cell r="I9">
            <v>8282</v>
          </cell>
          <cell r="J9">
            <v>8282</v>
          </cell>
          <cell r="K9">
            <v>8282</v>
          </cell>
          <cell r="L9">
            <v>8282</v>
          </cell>
          <cell r="M9">
            <v>8282</v>
          </cell>
          <cell r="N9">
            <v>8282</v>
          </cell>
          <cell r="O9">
            <v>8282</v>
          </cell>
          <cell r="P9">
            <v>8282</v>
          </cell>
          <cell r="Q9">
            <v>8282</v>
          </cell>
          <cell r="R9">
            <v>8282</v>
          </cell>
          <cell r="T9">
            <v>99384</v>
          </cell>
        </row>
        <row r="10">
          <cell r="A10">
            <v>43831</v>
          </cell>
        </row>
      </sheetData>
      <sheetData sheetId="30"/>
      <sheetData sheetId="31">
        <row r="10">
          <cell r="A10">
            <v>35370</v>
          </cell>
          <cell r="B10" t="str">
            <v>014573</v>
          </cell>
          <cell r="C10" t="str">
            <v>T-FTS</v>
          </cell>
          <cell r="D10" t="str">
            <v>Trunkline Gas</v>
          </cell>
          <cell r="E10" t="str">
            <v>Paducah</v>
          </cell>
          <cell r="F10">
            <v>35703</v>
          </cell>
          <cell r="G10">
            <v>8000</v>
          </cell>
          <cell r="H10">
            <v>8000</v>
          </cell>
          <cell r="I10">
            <v>8000</v>
          </cell>
          <cell r="J10">
            <v>8000</v>
          </cell>
          <cell r="K10">
            <v>2200</v>
          </cell>
          <cell r="L10">
            <v>2200</v>
          </cell>
          <cell r="M10">
            <v>2200</v>
          </cell>
          <cell r="N10">
            <v>2200</v>
          </cell>
          <cell r="O10">
            <v>2200</v>
          </cell>
          <cell r="P10">
            <v>8000</v>
          </cell>
          <cell r="Q10">
            <v>8000</v>
          </cell>
          <cell r="R10">
            <v>8000</v>
          </cell>
          <cell r="T10">
            <v>67000</v>
          </cell>
        </row>
        <row r="11">
          <cell r="A11">
            <v>35704</v>
          </cell>
          <cell r="B11" t="str">
            <v>014573</v>
          </cell>
          <cell r="C11" t="str">
            <v>T-FTS</v>
          </cell>
          <cell r="D11" t="str">
            <v>Trunkline Gas</v>
          </cell>
          <cell r="E11" t="str">
            <v>Paducah</v>
          </cell>
          <cell r="F11">
            <v>36068</v>
          </cell>
          <cell r="G11">
            <v>8000</v>
          </cell>
          <cell r="H11">
            <v>8000</v>
          </cell>
          <cell r="I11">
            <v>8000</v>
          </cell>
          <cell r="J11">
            <v>8000</v>
          </cell>
          <cell r="K11">
            <v>2200</v>
          </cell>
          <cell r="L11">
            <v>2200</v>
          </cell>
          <cell r="M11">
            <v>2200</v>
          </cell>
          <cell r="N11">
            <v>2200</v>
          </cell>
          <cell r="O11">
            <v>2200</v>
          </cell>
          <cell r="P11">
            <v>8000</v>
          </cell>
          <cell r="Q11">
            <v>8000</v>
          </cell>
          <cell r="R11">
            <v>8000</v>
          </cell>
          <cell r="T11">
            <v>67000</v>
          </cell>
        </row>
        <row r="12">
          <cell r="A12">
            <v>36069</v>
          </cell>
          <cell r="B12" t="str">
            <v>014573</v>
          </cell>
          <cell r="C12" t="str">
            <v>T-FTS</v>
          </cell>
          <cell r="D12" t="str">
            <v>Trunkline Gas</v>
          </cell>
          <cell r="E12" t="str">
            <v>Paducah</v>
          </cell>
          <cell r="F12">
            <v>36433</v>
          </cell>
          <cell r="G12">
            <v>8000</v>
          </cell>
          <cell r="H12">
            <v>8000</v>
          </cell>
          <cell r="I12">
            <v>8000</v>
          </cell>
          <cell r="J12">
            <v>8000</v>
          </cell>
          <cell r="K12">
            <v>2200</v>
          </cell>
          <cell r="L12">
            <v>2200</v>
          </cell>
          <cell r="M12">
            <v>2200</v>
          </cell>
          <cell r="N12">
            <v>2200</v>
          </cell>
          <cell r="O12">
            <v>2200</v>
          </cell>
          <cell r="P12">
            <v>8000</v>
          </cell>
          <cell r="Q12">
            <v>8000</v>
          </cell>
          <cell r="R12">
            <v>8000</v>
          </cell>
          <cell r="T12">
            <v>67000</v>
          </cell>
        </row>
        <row r="13">
          <cell r="A13">
            <v>36434</v>
          </cell>
          <cell r="B13" t="str">
            <v>014573</v>
          </cell>
          <cell r="C13" t="str">
            <v>T-FTS</v>
          </cell>
          <cell r="D13" t="str">
            <v>Trunkline Gas</v>
          </cell>
          <cell r="E13" t="str">
            <v>Paducah</v>
          </cell>
          <cell r="F13">
            <v>36464</v>
          </cell>
          <cell r="G13">
            <v>8000</v>
          </cell>
          <cell r="H13">
            <v>8000</v>
          </cell>
          <cell r="I13">
            <v>8000</v>
          </cell>
          <cell r="J13">
            <v>8000</v>
          </cell>
          <cell r="K13">
            <v>2200</v>
          </cell>
          <cell r="L13">
            <v>2200</v>
          </cell>
          <cell r="M13">
            <v>2200</v>
          </cell>
          <cell r="N13">
            <v>2200</v>
          </cell>
          <cell r="O13">
            <v>2200</v>
          </cell>
          <cell r="P13">
            <v>8000</v>
          </cell>
          <cell r="Q13">
            <v>8000</v>
          </cell>
          <cell r="R13">
            <v>8000</v>
          </cell>
          <cell r="T13">
            <v>67000</v>
          </cell>
        </row>
        <row r="14">
          <cell r="A14">
            <v>36465</v>
          </cell>
          <cell r="B14" t="str">
            <v>014573</v>
          </cell>
          <cell r="C14" t="str">
            <v>T-FTS</v>
          </cell>
          <cell r="D14" t="str">
            <v>Trunkline Gas</v>
          </cell>
          <cell r="E14" t="str">
            <v>Paducah</v>
          </cell>
          <cell r="F14">
            <v>36799</v>
          </cell>
          <cell r="G14">
            <v>11000</v>
          </cell>
          <cell r="H14">
            <v>11000</v>
          </cell>
          <cell r="I14">
            <v>11000</v>
          </cell>
          <cell r="J14">
            <v>11000</v>
          </cell>
          <cell r="K14">
            <v>3025</v>
          </cell>
          <cell r="L14">
            <v>3025</v>
          </cell>
          <cell r="M14">
            <v>3025</v>
          </cell>
          <cell r="N14">
            <v>3025</v>
          </cell>
          <cell r="O14">
            <v>3025</v>
          </cell>
          <cell r="P14">
            <v>11000</v>
          </cell>
          <cell r="Q14">
            <v>11000</v>
          </cell>
          <cell r="R14">
            <v>11000</v>
          </cell>
          <cell r="T14">
            <v>92125</v>
          </cell>
        </row>
        <row r="15">
          <cell r="A15">
            <v>36800</v>
          </cell>
          <cell r="B15" t="str">
            <v>014573</v>
          </cell>
          <cell r="C15" t="str">
            <v>T-FTS</v>
          </cell>
          <cell r="D15" t="str">
            <v>Trunkline Gas</v>
          </cell>
          <cell r="E15" t="str">
            <v>Paducah</v>
          </cell>
          <cell r="F15">
            <v>37164</v>
          </cell>
          <cell r="G15">
            <v>11000</v>
          </cell>
          <cell r="H15">
            <v>11000</v>
          </cell>
          <cell r="I15">
            <v>11000</v>
          </cell>
          <cell r="J15">
            <v>11000</v>
          </cell>
          <cell r="K15">
            <v>3025</v>
          </cell>
          <cell r="L15">
            <v>3025</v>
          </cell>
          <cell r="M15">
            <v>3025</v>
          </cell>
          <cell r="N15">
            <v>3025</v>
          </cell>
          <cell r="O15">
            <v>3025</v>
          </cell>
          <cell r="P15">
            <v>11000</v>
          </cell>
          <cell r="Q15">
            <v>11000</v>
          </cell>
          <cell r="R15">
            <v>11000</v>
          </cell>
          <cell r="T15">
            <v>92125</v>
          </cell>
        </row>
        <row r="16">
          <cell r="A16">
            <v>37165</v>
          </cell>
          <cell r="B16" t="str">
            <v>014573</v>
          </cell>
          <cell r="C16" t="str">
            <v>T-FTS</v>
          </cell>
          <cell r="D16" t="str">
            <v>Trunkline Gas</v>
          </cell>
          <cell r="E16" t="str">
            <v>Paducah</v>
          </cell>
          <cell r="F16">
            <v>37195</v>
          </cell>
          <cell r="G16">
            <v>11000</v>
          </cell>
          <cell r="H16">
            <v>11000</v>
          </cell>
          <cell r="I16">
            <v>11000</v>
          </cell>
          <cell r="J16">
            <v>11000</v>
          </cell>
          <cell r="K16">
            <v>3025</v>
          </cell>
          <cell r="L16">
            <v>3025</v>
          </cell>
          <cell r="M16">
            <v>3025</v>
          </cell>
          <cell r="N16">
            <v>3025</v>
          </cell>
          <cell r="O16">
            <v>3025</v>
          </cell>
          <cell r="P16">
            <v>11000</v>
          </cell>
          <cell r="Q16">
            <v>11000</v>
          </cell>
          <cell r="R16">
            <v>11000</v>
          </cell>
          <cell r="T16">
            <v>92125</v>
          </cell>
        </row>
        <row r="17">
          <cell r="A17">
            <v>37926</v>
          </cell>
          <cell r="B17" t="str">
            <v>014573</v>
          </cell>
          <cell r="C17" t="str">
            <v>T-FTS</v>
          </cell>
          <cell r="D17" t="str">
            <v>Trunkline Gas</v>
          </cell>
          <cell r="E17" t="str">
            <v>Paducah</v>
          </cell>
          <cell r="G17">
            <v>8000</v>
          </cell>
          <cell r="H17">
            <v>8000</v>
          </cell>
          <cell r="I17">
            <v>8000</v>
          </cell>
          <cell r="J17">
            <v>8000</v>
          </cell>
          <cell r="K17">
            <v>2200</v>
          </cell>
          <cell r="L17">
            <v>2200</v>
          </cell>
          <cell r="M17">
            <v>2200</v>
          </cell>
          <cell r="N17">
            <v>2200</v>
          </cell>
          <cell r="O17">
            <v>2200</v>
          </cell>
          <cell r="P17">
            <v>8000</v>
          </cell>
          <cell r="Q17">
            <v>8000</v>
          </cell>
          <cell r="R17">
            <v>8000</v>
          </cell>
          <cell r="T17">
            <v>67000</v>
          </cell>
        </row>
        <row r="18">
          <cell r="A18">
            <v>43831</v>
          </cell>
        </row>
      </sheetData>
      <sheetData sheetId="32">
        <row r="8">
          <cell r="A8">
            <v>35370</v>
          </cell>
          <cell r="B8">
            <v>0.25800000000000001</v>
          </cell>
          <cell r="C8">
            <v>0.26</v>
          </cell>
          <cell r="D8">
            <v>248000</v>
          </cell>
          <cell r="E8">
            <v>224000</v>
          </cell>
          <cell r="F8">
            <v>248000</v>
          </cell>
          <cell r="G8">
            <v>240000</v>
          </cell>
          <cell r="H8">
            <v>68200</v>
          </cell>
          <cell r="I8">
            <v>66000</v>
          </cell>
          <cell r="J8">
            <v>68200</v>
          </cell>
          <cell r="K8">
            <v>68200</v>
          </cell>
          <cell r="L8">
            <v>66000</v>
          </cell>
          <cell r="M8">
            <v>248000</v>
          </cell>
          <cell r="N8">
            <v>240000</v>
          </cell>
          <cell r="O8">
            <v>248000</v>
          </cell>
          <cell r="P8">
            <v>2032600</v>
          </cell>
          <cell r="Q8">
            <v>562310.80000000005</v>
          </cell>
        </row>
        <row r="9">
          <cell r="A9">
            <v>36557</v>
          </cell>
          <cell r="B9">
            <v>0.26790000000000003</v>
          </cell>
          <cell r="C9">
            <v>0.23</v>
          </cell>
          <cell r="D9">
            <v>248000</v>
          </cell>
          <cell r="E9">
            <v>224000</v>
          </cell>
          <cell r="F9">
            <v>248000</v>
          </cell>
          <cell r="G9">
            <v>240000</v>
          </cell>
          <cell r="H9">
            <v>68200</v>
          </cell>
          <cell r="I9">
            <v>66000</v>
          </cell>
          <cell r="J9">
            <v>68200</v>
          </cell>
          <cell r="K9">
            <v>68200</v>
          </cell>
          <cell r="L9">
            <v>66000</v>
          </cell>
          <cell r="M9">
            <v>248000</v>
          </cell>
          <cell r="N9">
            <v>240000</v>
          </cell>
          <cell r="O9">
            <v>248000</v>
          </cell>
          <cell r="P9">
            <v>2032600</v>
          </cell>
          <cell r="Q9">
            <v>580423.54</v>
          </cell>
        </row>
        <row r="10">
          <cell r="A10">
            <v>36831</v>
          </cell>
          <cell r="B10">
            <v>0.26790000000000003</v>
          </cell>
          <cell r="C10">
            <v>0.2</v>
          </cell>
          <cell r="D10">
            <v>248000</v>
          </cell>
          <cell r="E10">
            <v>224000</v>
          </cell>
          <cell r="F10">
            <v>248000</v>
          </cell>
          <cell r="G10">
            <v>240000</v>
          </cell>
          <cell r="H10">
            <v>68200</v>
          </cell>
          <cell r="I10">
            <v>66000</v>
          </cell>
          <cell r="J10">
            <v>68200</v>
          </cell>
          <cell r="K10">
            <v>68200</v>
          </cell>
          <cell r="L10">
            <v>66000</v>
          </cell>
          <cell r="M10">
            <v>248000</v>
          </cell>
          <cell r="N10">
            <v>240000</v>
          </cell>
          <cell r="O10">
            <v>248000</v>
          </cell>
          <cell r="P10">
            <v>2032600</v>
          </cell>
          <cell r="Q10">
            <v>557933.54</v>
          </cell>
        </row>
        <row r="11">
          <cell r="A11">
            <v>54789</v>
          </cell>
        </row>
      </sheetData>
      <sheetData sheetId="33"/>
      <sheetData sheetId="34">
        <row r="1">
          <cell r="A1" t="str">
            <v>Trunkline Gas Rates</v>
          </cell>
        </row>
        <row r="9">
          <cell r="A9">
            <v>35339</v>
          </cell>
          <cell r="B9">
            <v>2.5100000000000001E-2</v>
          </cell>
          <cell r="D9">
            <v>1.9E-3</v>
          </cell>
          <cell r="E9">
            <v>8.8000000000000005E-3</v>
          </cell>
        </row>
        <row r="10">
          <cell r="A10">
            <v>35370</v>
          </cell>
          <cell r="B10">
            <v>2.5100000000000001E-2</v>
          </cell>
          <cell r="D10">
            <v>1.9E-3</v>
          </cell>
          <cell r="E10">
            <v>8.8000000000000005E-3</v>
          </cell>
        </row>
        <row r="11">
          <cell r="A11">
            <v>35521</v>
          </cell>
          <cell r="B11">
            <v>2.5100000000000001E-2</v>
          </cell>
          <cell r="D11">
            <v>1.9E-3</v>
          </cell>
          <cell r="E11">
            <v>8.8000000000000005E-3</v>
          </cell>
          <cell r="F11">
            <v>1.18E-2</v>
          </cell>
        </row>
        <row r="12">
          <cell r="A12">
            <v>36465</v>
          </cell>
          <cell r="B12">
            <v>2.5099999999999997E-2</v>
          </cell>
          <cell r="D12">
            <v>2.2000000000000001E-3</v>
          </cell>
          <cell r="E12">
            <v>7.3000000000000001E-3</v>
          </cell>
          <cell r="F12">
            <v>9.7999999999999997E-3</v>
          </cell>
        </row>
        <row r="13">
          <cell r="A13">
            <v>36831</v>
          </cell>
          <cell r="B13">
            <v>2.5099999999999997E-2</v>
          </cell>
          <cell r="D13">
            <v>2.2000000000000001E-3</v>
          </cell>
          <cell r="E13">
            <v>7.1999999999999998E-3</v>
          </cell>
          <cell r="F13">
            <v>7.6E-3</v>
          </cell>
        </row>
        <row r="14">
          <cell r="A14">
            <v>37043</v>
          </cell>
          <cell r="B14">
            <v>2.5099999999999997E-2</v>
          </cell>
          <cell r="D14">
            <v>2.2000000000000001E-3</v>
          </cell>
          <cell r="E14">
            <v>7.0000000000000001E-3</v>
          </cell>
          <cell r="F14">
            <v>8.2000000000000007E-3</v>
          </cell>
        </row>
        <row r="15">
          <cell r="A15">
            <v>37196</v>
          </cell>
          <cell r="B15">
            <v>2.1299999999999999E-2</v>
          </cell>
          <cell r="D15">
            <v>2.2000000000000001E-3</v>
          </cell>
          <cell r="E15">
            <v>7.0000000000000001E-3</v>
          </cell>
          <cell r="F15">
            <v>8.2000000000000007E-3</v>
          </cell>
        </row>
        <row r="16">
          <cell r="A16">
            <v>37561</v>
          </cell>
          <cell r="B16">
            <v>2.1299999999999999E-2</v>
          </cell>
          <cell r="D16">
            <v>2.0999999999999999E-3</v>
          </cell>
          <cell r="E16">
            <v>5.4999999999999997E-3</v>
          </cell>
          <cell r="F16">
            <v>1.12E-2</v>
          </cell>
        </row>
        <row r="17">
          <cell r="A17">
            <v>37834</v>
          </cell>
          <cell r="B17">
            <v>2.1299999999999999E-2</v>
          </cell>
          <cell r="D17">
            <v>2.0999999999999999E-3</v>
          </cell>
          <cell r="E17">
            <v>4.0000000000000001E-3</v>
          </cell>
          <cell r="F17">
            <v>1.2800000000000001E-2</v>
          </cell>
        </row>
        <row r="18">
          <cell r="A18">
            <v>37926</v>
          </cell>
          <cell r="B18">
            <v>2.1299999999999999E-2</v>
          </cell>
          <cell r="D18">
            <v>2.0999999999999999E-3</v>
          </cell>
          <cell r="E18">
            <v>4.0000000000000001E-3</v>
          </cell>
          <cell r="F18">
            <v>1.32E-2</v>
          </cell>
        </row>
        <row r="19">
          <cell r="A19">
            <v>38108</v>
          </cell>
          <cell r="B19">
            <v>2.1299999999999999E-2</v>
          </cell>
          <cell r="D19">
            <v>2.0999999999999999E-3</v>
          </cell>
          <cell r="E19">
            <v>4.0000000000000001E-3</v>
          </cell>
          <cell r="F19">
            <v>1.11E-2</v>
          </cell>
        </row>
        <row r="20">
          <cell r="A20">
            <v>38200</v>
          </cell>
          <cell r="B20">
            <v>2.1299999999999999E-2</v>
          </cell>
          <cell r="D20">
            <v>2.0999999999999999E-3</v>
          </cell>
          <cell r="E20">
            <v>0</v>
          </cell>
          <cell r="F20">
            <v>1.11E-2</v>
          </cell>
        </row>
        <row r="21">
          <cell r="A21">
            <v>38384</v>
          </cell>
          <cell r="B21">
            <v>2.1299999999999999E-2</v>
          </cell>
          <cell r="D21">
            <v>1.9E-3</v>
          </cell>
          <cell r="E21">
            <v>0</v>
          </cell>
          <cell r="F21">
            <v>1.11E-2</v>
          </cell>
        </row>
        <row r="22">
          <cell r="A22">
            <v>39114</v>
          </cell>
          <cell r="B22">
            <v>2.1299999999999999E-2</v>
          </cell>
          <cell r="D22">
            <v>1.6000000000000001E-3</v>
          </cell>
          <cell r="E22">
            <v>0</v>
          </cell>
          <cell r="F22">
            <v>1.2999999999999999E-3</v>
          </cell>
        </row>
        <row r="23">
          <cell r="A23">
            <v>54789</v>
          </cell>
        </row>
      </sheetData>
      <sheetData sheetId="35"/>
      <sheetData sheetId="36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1.0213000000000001</v>
          </cell>
          <cell r="E8">
            <v>8.2000000000000007E-3</v>
          </cell>
          <cell r="F8">
            <v>0.13819999999999999</v>
          </cell>
          <cell r="G8">
            <v>3.4331</v>
          </cell>
          <cell r="H8">
            <v>2.86E-2</v>
          </cell>
          <cell r="I8">
            <v>-0.26279999999999998</v>
          </cell>
          <cell r="K8">
            <v>-0.87129999999999974</v>
          </cell>
          <cell r="L8">
            <v>2.7960000000000003</v>
          </cell>
          <cell r="M8" t="str">
            <v>I</v>
          </cell>
          <cell r="N8" t="str">
            <v>I</v>
          </cell>
          <cell r="O8" t="str">
            <v>R</v>
          </cell>
          <cell r="P8" t="str">
            <v>N</v>
          </cell>
          <cell r="Q8" t="str">
            <v>R</v>
          </cell>
        </row>
        <row r="9">
          <cell r="A9" t="str">
            <v>95-010 A</v>
          </cell>
          <cell r="B9">
            <v>34999</v>
          </cell>
          <cell r="C9">
            <v>1.9764999999999999</v>
          </cell>
          <cell r="D9">
            <v>1.0213000000000001</v>
          </cell>
          <cell r="E9">
            <v>8.2000000000000007E-3</v>
          </cell>
          <cell r="F9">
            <v>0.1231</v>
          </cell>
          <cell r="G9">
            <v>3.4344000000000001</v>
          </cell>
          <cell r="H9">
            <v>-0.16750000000000001</v>
          </cell>
          <cell r="I9">
            <v>-0.26279999999999998</v>
          </cell>
          <cell r="K9">
            <v>-0.73560000000000036</v>
          </cell>
          <cell r="L9">
            <v>3.1290999999999998</v>
          </cell>
          <cell r="M9" t="str">
            <v>I</v>
          </cell>
          <cell r="N9" t="str">
            <v>R</v>
          </cell>
          <cell r="O9" t="str">
            <v>N</v>
          </cell>
          <cell r="P9" t="str">
            <v>N</v>
          </cell>
          <cell r="Q9" t="str">
            <v>I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1.0213000000000001</v>
          </cell>
          <cell r="E10">
            <v>8.2000000000000007E-3</v>
          </cell>
          <cell r="F10">
            <v>7.7499999999999999E-2</v>
          </cell>
          <cell r="G10">
            <v>3.4331</v>
          </cell>
          <cell r="H10">
            <v>-0.16750000000000001</v>
          </cell>
          <cell r="I10">
            <v>-0.21329999999999999</v>
          </cell>
          <cell r="K10">
            <v>-0.75189999999999979</v>
          </cell>
          <cell r="L10">
            <v>3.0620000000000003</v>
          </cell>
          <cell r="M10" t="str">
            <v>R</v>
          </cell>
          <cell r="N10" t="str">
            <v>N</v>
          </cell>
          <cell r="O10" t="str">
            <v>I</v>
          </cell>
          <cell r="P10" t="str">
            <v>N</v>
          </cell>
          <cell r="Q10" t="str">
            <v>R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1.0213000000000001</v>
          </cell>
          <cell r="E11">
            <v>8.2000000000000007E-3</v>
          </cell>
          <cell r="F11">
            <v>7.46E-2</v>
          </cell>
          <cell r="G11">
            <v>3.4331</v>
          </cell>
          <cell r="H11">
            <v>-0.16750000000000001</v>
          </cell>
          <cell r="I11">
            <v>-0.216</v>
          </cell>
          <cell r="K11">
            <v>-0.68209999999999993</v>
          </cell>
          <cell r="L11">
            <v>3.1345000000000001</v>
          </cell>
          <cell r="M11" t="str">
            <v>I</v>
          </cell>
          <cell r="N11" t="str">
            <v>N</v>
          </cell>
          <cell r="O11" t="str">
            <v>R</v>
          </cell>
          <cell r="P11" t="str">
            <v>N</v>
          </cell>
          <cell r="Q11" t="str">
            <v>I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1.0088999999999999</v>
          </cell>
          <cell r="E12">
            <v>8.2000000000000007E-3</v>
          </cell>
          <cell r="F12">
            <v>7.46E-2</v>
          </cell>
          <cell r="G12">
            <v>3.4331</v>
          </cell>
          <cell r="H12">
            <v>-0.16750000000000001</v>
          </cell>
          <cell r="I12">
            <v>-0.216</v>
          </cell>
          <cell r="K12">
            <v>-0.54679999999999995</v>
          </cell>
          <cell r="L12">
            <v>3.2698</v>
          </cell>
          <cell r="M12" t="str">
            <v>I</v>
          </cell>
          <cell r="N12" t="str">
            <v>N</v>
          </cell>
          <cell r="O12" t="str">
            <v>N</v>
          </cell>
          <cell r="P12" t="str">
            <v>N</v>
          </cell>
          <cell r="Q12" t="str">
            <v>I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1.0424</v>
          </cell>
          <cell r="E13">
            <v>0</v>
          </cell>
          <cell r="F13">
            <v>6.3200000000000006E-2</v>
          </cell>
          <cell r="G13">
            <v>3.4331</v>
          </cell>
          <cell r="H13">
            <v>-0.16750000000000001</v>
          </cell>
          <cell r="I13">
            <v>-0.1249</v>
          </cell>
          <cell r="K13">
            <v>-0.11119999999999997</v>
          </cell>
          <cell r="L13">
            <v>3.6143000000000001</v>
          </cell>
          <cell r="M13" t="str">
            <v>I</v>
          </cell>
          <cell r="N13" t="str">
            <v>N</v>
          </cell>
          <cell r="O13" t="str">
            <v>I</v>
          </cell>
          <cell r="P13" t="str">
            <v>N</v>
          </cell>
          <cell r="Q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1.044</v>
          </cell>
          <cell r="E14">
            <v>0</v>
          </cell>
          <cell r="F14">
            <v>6.3200000000000006E-2</v>
          </cell>
          <cell r="G14">
            <v>3.4331</v>
          </cell>
          <cell r="H14">
            <v>-0.16750000000000001</v>
          </cell>
          <cell r="I14">
            <v>-0.1249</v>
          </cell>
          <cell r="K14">
            <v>-0.40839999999999965</v>
          </cell>
          <cell r="L14">
            <v>3.3171000000000004</v>
          </cell>
          <cell r="M14" t="str">
            <v>R</v>
          </cell>
          <cell r="N14" t="str">
            <v>N</v>
          </cell>
          <cell r="O14" t="str">
            <v>N</v>
          </cell>
          <cell r="P14" t="str">
            <v>N</v>
          </cell>
          <cell r="Q14" t="str">
            <v>R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1.0227999999999999</v>
          </cell>
          <cell r="E15">
            <v>0</v>
          </cell>
          <cell r="F15">
            <v>6.6400000000000001E-2</v>
          </cell>
          <cell r="G15">
            <v>3.4331</v>
          </cell>
          <cell r="H15">
            <v>-0.121</v>
          </cell>
          <cell r="I15">
            <v>-9.0499999999999997E-2</v>
          </cell>
          <cell r="K15">
            <v>0.36809999999999965</v>
          </cell>
          <cell r="L15">
            <v>4.0126999999999997</v>
          </cell>
          <cell r="M15" t="str">
            <v>I</v>
          </cell>
          <cell r="N15" t="str">
            <v>I</v>
          </cell>
          <cell r="O15" t="str">
            <v>I</v>
          </cell>
          <cell r="P15" t="str">
            <v>N</v>
          </cell>
          <cell r="Q15" t="str">
            <v>I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0.9073</v>
          </cell>
          <cell r="E16">
            <v>0</v>
          </cell>
          <cell r="F16">
            <v>6.6400000000000001E-2</v>
          </cell>
          <cell r="G16">
            <v>3.4331</v>
          </cell>
          <cell r="H16">
            <v>-0.121</v>
          </cell>
          <cell r="I16">
            <v>-9.0499999999999997E-2</v>
          </cell>
          <cell r="K16">
            <v>0.55069999999999952</v>
          </cell>
          <cell r="L16">
            <v>4.1952999999999996</v>
          </cell>
          <cell r="M16" t="str">
            <v>I</v>
          </cell>
          <cell r="N16" t="str">
            <v>N</v>
          </cell>
          <cell r="O16" t="str">
            <v>N</v>
          </cell>
          <cell r="P16" t="str">
            <v>N</v>
          </cell>
          <cell r="Q16" t="str">
            <v>I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0.86250000000000004</v>
          </cell>
          <cell r="E17">
            <v>0</v>
          </cell>
          <cell r="F17">
            <v>4.2099999999999999E-2</v>
          </cell>
          <cell r="G17">
            <v>3.4331</v>
          </cell>
          <cell r="H17">
            <v>-0.121</v>
          </cell>
          <cell r="I17">
            <v>-0.16889999999999999</v>
          </cell>
          <cell r="K17">
            <v>-7.4399999999999522E-2</v>
          </cell>
          <cell r="L17">
            <v>3.6486000000000005</v>
          </cell>
          <cell r="M17" t="str">
            <v>R</v>
          </cell>
          <cell r="N17" t="str">
            <v>N</v>
          </cell>
          <cell r="O17" t="str">
            <v>R</v>
          </cell>
          <cell r="P17" t="str">
            <v>N</v>
          </cell>
          <cell r="Q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0.85740000000000005</v>
          </cell>
          <cell r="E18">
            <v>0</v>
          </cell>
          <cell r="F18">
            <v>4.3499999999999997E-2</v>
          </cell>
          <cell r="G18">
            <v>3.4331</v>
          </cell>
          <cell r="H18">
            <v>-0.121</v>
          </cell>
          <cell r="I18">
            <v>-0.1172</v>
          </cell>
          <cell r="K18">
            <v>-0.11960000000000018</v>
          </cell>
          <cell r="L18">
            <v>3.5516999999999999</v>
          </cell>
          <cell r="M18" t="str">
            <v>R</v>
          </cell>
          <cell r="N18" t="str">
            <v>N</v>
          </cell>
          <cell r="O18" t="str">
            <v>I</v>
          </cell>
          <cell r="P18" t="str">
            <v>N</v>
          </cell>
          <cell r="Q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0.85519999999999996</v>
          </cell>
          <cell r="E19">
            <v>0</v>
          </cell>
          <cell r="F19">
            <v>4.3499999999999997E-2</v>
          </cell>
          <cell r="G19">
            <v>3.4331</v>
          </cell>
          <cell r="H19">
            <v>-0.121</v>
          </cell>
          <cell r="I19">
            <v>-0.1172</v>
          </cell>
          <cell r="K19">
            <v>8.7599999999999997E-2</v>
          </cell>
          <cell r="L19">
            <v>3.7588999999999997</v>
          </cell>
          <cell r="M19" t="str">
            <v>I</v>
          </cell>
          <cell r="N19" t="str">
            <v>N</v>
          </cell>
          <cell r="O19" t="str">
            <v>N</v>
          </cell>
          <cell r="P19" t="str">
            <v>N</v>
          </cell>
          <cell r="Q19" t="str">
            <v>I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0.88370000000000004</v>
          </cell>
          <cell r="E20">
            <v>0</v>
          </cell>
          <cell r="F20">
            <v>4.7500000000000001E-2</v>
          </cell>
          <cell r="G20">
            <v>3.4331</v>
          </cell>
          <cell r="H20">
            <v>-0.121</v>
          </cell>
          <cell r="I20">
            <v>-8.4899999999999989E-2</v>
          </cell>
          <cell r="K20">
            <v>-0.23140000000000005</v>
          </cell>
          <cell r="L20">
            <v>3.4076</v>
          </cell>
          <cell r="M20" t="str">
            <v>R</v>
          </cell>
          <cell r="N20" t="str">
            <v>N</v>
          </cell>
          <cell r="O20" t="str">
            <v>I</v>
          </cell>
          <cell r="P20" t="str">
            <v>N</v>
          </cell>
          <cell r="Q20" t="str">
            <v>R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0.87540000000000007</v>
          </cell>
          <cell r="E21">
            <v>0</v>
          </cell>
          <cell r="F21">
            <v>4.99E-2</v>
          </cell>
          <cell r="G21">
            <v>3.4331</v>
          </cell>
          <cell r="H21">
            <v>-3.3999999999999998E-3</v>
          </cell>
          <cell r="I21">
            <v>-8.4899999999999989E-2</v>
          </cell>
          <cell r="K21">
            <v>-0.21740000000000001</v>
          </cell>
          <cell r="L21">
            <v>3.3039999999999998</v>
          </cell>
          <cell r="M21" t="str">
            <v>R</v>
          </cell>
          <cell r="N21" t="str">
            <v>I</v>
          </cell>
          <cell r="O21" t="str">
            <v>N</v>
          </cell>
          <cell r="P21" t="str">
            <v>N</v>
          </cell>
          <cell r="Q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0.83779999999999999</v>
          </cell>
          <cell r="E22">
            <v>0</v>
          </cell>
          <cell r="F22">
            <v>4.9799999999999997E-2</v>
          </cell>
          <cell r="G22">
            <v>3.4331</v>
          </cell>
          <cell r="H22">
            <v>-3.3999999999999998E-3</v>
          </cell>
          <cell r="I22">
            <v>-7.8299999999999995E-2</v>
          </cell>
          <cell r="K22">
            <v>-0.19860000000000022</v>
          </cell>
          <cell r="L22">
            <v>3.3161999999999998</v>
          </cell>
          <cell r="M22" t="str">
            <v>I</v>
          </cell>
          <cell r="N22" t="str">
            <v>N</v>
          </cell>
          <cell r="O22" t="str">
            <v>I</v>
          </cell>
          <cell r="P22" t="str">
            <v>N</v>
          </cell>
          <cell r="Q22" t="str">
            <v>I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0.81059999999999999</v>
          </cell>
          <cell r="E23">
            <v>0</v>
          </cell>
          <cell r="F23">
            <v>4.9799999999999997E-2</v>
          </cell>
          <cell r="G23">
            <v>3.4331</v>
          </cell>
          <cell r="H23">
            <v>-3.3999999999999998E-3</v>
          </cell>
          <cell r="I23">
            <v>-7.5600000000000001E-2</v>
          </cell>
          <cell r="K23">
            <v>0.17679999999999979</v>
          </cell>
          <cell r="L23">
            <v>3.6888999999999998</v>
          </cell>
          <cell r="M23" t="str">
            <v>I</v>
          </cell>
          <cell r="N23" t="str">
            <v>N</v>
          </cell>
          <cell r="O23" t="str">
            <v>I</v>
          </cell>
          <cell r="P23" t="str">
            <v>N</v>
          </cell>
          <cell r="Q23" t="str">
            <v>I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0.81059999999999999</v>
          </cell>
          <cell r="E24">
            <v>0</v>
          </cell>
          <cell r="F24">
            <v>6.1899999999999997E-2</v>
          </cell>
          <cell r="G24">
            <v>3.4331</v>
          </cell>
          <cell r="H24">
            <v>-3.3999999999999998E-3</v>
          </cell>
          <cell r="I24">
            <v>-7.5600000000000001E-2</v>
          </cell>
          <cell r="K24">
            <v>0.49269999999999942</v>
          </cell>
          <cell r="L24">
            <v>4.0047999999999995</v>
          </cell>
          <cell r="M24" t="str">
            <v>I</v>
          </cell>
          <cell r="N24" t="str">
            <v>N</v>
          </cell>
          <cell r="O24" t="str">
            <v>N</v>
          </cell>
          <cell r="P24" t="str">
            <v>N</v>
          </cell>
          <cell r="Q24" t="str">
            <v>I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0.81059999999999999</v>
          </cell>
          <cell r="E25">
            <v>0</v>
          </cell>
          <cell r="F25">
            <v>6.1800000000000001E-2</v>
          </cell>
          <cell r="G25">
            <v>3.4331</v>
          </cell>
          <cell r="H25">
            <v>-3.3999999999999998E-3</v>
          </cell>
          <cell r="I25">
            <v>-7.5600000000000001E-2</v>
          </cell>
          <cell r="K25">
            <v>0.54749999999999999</v>
          </cell>
          <cell r="L25">
            <v>4.0595999999999997</v>
          </cell>
          <cell r="M25" t="str">
            <v>I</v>
          </cell>
          <cell r="N25" t="str">
            <v>N</v>
          </cell>
          <cell r="O25" t="str">
            <v>N</v>
          </cell>
          <cell r="P25" t="str">
            <v>N</v>
          </cell>
          <cell r="Q25" t="str">
            <v>I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0.81090000000000007</v>
          </cell>
          <cell r="E26">
            <v>0</v>
          </cell>
          <cell r="F26">
            <v>6.1800000000000001E-2</v>
          </cell>
          <cell r="G26">
            <v>3.4331</v>
          </cell>
          <cell r="H26">
            <v>-3.3999999999999998E-3</v>
          </cell>
          <cell r="I26">
            <v>-7.5600000000000001E-2</v>
          </cell>
          <cell r="K26">
            <v>0.10460000000000021</v>
          </cell>
          <cell r="L26">
            <v>3.6167000000000002</v>
          </cell>
          <cell r="M26" t="str">
            <v>R</v>
          </cell>
          <cell r="N26" t="str">
            <v>N</v>
          </cell>
          <cell r="O26" t="str">
            <v>N</v>
          </cell>
          <cell r="P26" t="str">
            <v>N</v>
          </cell>
          <cell r="Q26" t="str">
            <v>R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0.79519999999999991</v>
          </cell>
          <cell r="E27">
            <v>0</v>
          </cell>
          <cell r="F27">
            <v>6.1800000000000001E-2</v>
          </cell>
          <cell r="G27">
            <v>3.4331</v>
          </cell>
          <cell r="H27">
            <v>9.3799999999999994E-2</v>
          </cell>
          <cell r="I27">
            <v>-7.5600000000000001E-2</v>
          </cell>
          <cell r="K27">
            <v>-0.40630000000000011</v>
          </cell>
          <cell r="L27">
            <v>3.0085999999999999</v>
          </cell>
          <cell r="M27" t="str">
            <v>R</v>
          </cell>
          <cell r="N27" t="str">
            <v>I</v>
          </cell>
          <cell r="O27" t="str">
            <v>N</v>
          </cell>
          <cell r="P27" t="str">
            <v>N</v>
          </cell>
          <cell r="Q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0.79519999999999991</v>
          </cell>
          <cell r="E28">
            <v>0</v>
          </cell>
          <cell r="F28">
            <v>6.1800000000000001E-2</v>
          </cell>
          <cell r="G28">
            <v>3.4331</v>
          </cell>
          <cell r="H28">
            <v>9.3799999999999994E-2</v>
          </cell>
          <cell r="I28">
            <v>-7.5600000000000001E-2</v>
          </cell>
          <cell r="K28">
            <v>-0.57599999999999996</v>
          </cell>
          <cell r="L28">
            <v>2.8388999999999998</v>
          </cell>
          <cell r="M28" t="str">
            <v>R</v>
          </cell>
          <cell r="N28" t="str">
            <v>N</v>
          </cell>
          <cell r="O28" t="str">
            <v>N</v>
          </cell>
          <cell r="P28" t="str">
            <v>N</v>
          </cell>
          <cell r="Q28" t="str">
            <v>R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0.84510000000000007</v>
          </cell>
          <cell r="E29">
            <v>0</v>
          </cell>
          <cell r="F29">
            <v>5.2900000000000003E-2</v>
          </cell>
          <cell r="G29">
            <v>3.4331</v>
          </cell>
          <cell r="H29">
            <v>9.3799999999999994E-2</v>
          </cell>
          <cell r="I29">
            <v>-4.8799999999999996E-2</v>
          </cell>
          <cell r="K29">
            <v>-0.22270000000000006</v>
          </cell>
          <cell r="L29">
            <v>3.1654</v>
          </cell>
          <cell r="M29" t="str">
            <v>I</v>
          </cell>
          <cell r="N29" t="str">
            <v>N</v>
          </cell>
          <cell r="O29" t="str">
            <v>I</v>
          </cell>
          <cell r="P29" t="str">
            <v>N</v>
          </cell>
          <cell r="Q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0.84510000000000007</v>
          </cell>
          <cell r="E30">
            <v>0</v>
          </cell>
          <cell r="F30">
            <v>5.2900000000000003E-2</v>
          </cell>
          <cell r="G30">
            <v>3.4331</v>
          </cell>
          <cell r="H30">
            <v>9.3799999999999994E-2</v>
          </cell>
          <cell r="I30">
            <v>-4.5299999999999993E-2</v>
          </cell>
          <cell r="K30">
            <v>-6.3399999999999887E-2</v>
          </cell>
          <cell r="L30">
            <v>3.3212000000000002</v>
          </cell>
          <cell r="M30" t="str">
            <v>I</v>
          </cell>
          <cell r="N30" t="str">
            <v>N</v>
          </cell>
          <cell r="O30" t="str">
            <v>I</v>
          </cell>
          <cell r="P30" t="str">
            <v>N</v>
          </cell>
          <cell r="Q30" t="str">
            <v>I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0.98599999999999999</v>
          </cell>
          <cell r="E31">
            <v>0</v>
          </cell>
          <cell r="F31">
            <v>5.1999999999999998E-2</v>
          </cell>
          <cell r="G31">
            <v>3.4331</v>
          </cell>
          <cell r="H31">
            <v>9.3799999999999994E-2</v>
          </cell>
          <cell r="I31">
            <v>-4.5299999999999993E-2</v>
          </cell>
          <cell r="K31">
            <v>0.28820000000000001</v>
          </cell>
          <cell r="L31">
            <v>3.6728000000000001</v>
          </cell>
          <cell r="M31" t="str">
            <v>I</v>
          </cell>
          <cell r="N31" t="str">
            <v>N</v>
          </cell>
          <cell r="O31" t="str">
            <v>N</v>
          </cell>
          <cell r="P31" t="str">
            <v>N</v>
          </cell>
          <cell r="Q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0.83379999999999999</v>
          </cell>
          <cell r="E32">
            <v>0</v>
          </cell>
          <cell r="F32">
            <v>5.1999999999999998E-2</v>
          </cell>
          <cell r="G32">
            <v>3.4331</v>
          </cell>
          <cell r="H32">
            <v>9.3799999999999994E-2</v>
          </cell>
          <cell r="I32">
            <v>-4.5299999999999993E-2</v>
          </cell>
          <cell r="K32">
            <v>0.11900000000000001</v>
          </cell>
          <cell r="L32">
            <v>3.5036</v>
          </cell>
          <cell r="M32" t="str">
            <v>R</v>
          </cell>
          <cell r="N32" t="str">
            <v>N</v>
          </cell>
          <cell r="O32" t="str">
            <v>N</v>
          </cell>
          <cell r="P32" t="str">
            <v>N</v>
          </cell>
          <cell r="Q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0.84150000000000003</v>
          </cell>
          <cell r="E33">
            <v>0</v>
          </cell>
          <cell r="F33">
            <v>5.9200000000000003E-2</v>
          </cell>
          <cell r="G33">
            <v>3.4331</v>
          </cell>
          <cell r="H33">
            <v>0.1211</v>
          </cell>
          <cell r="I33">
            <v>-4.5299999999999993E-2</v>
          </cell>
          <cell r="K33">
            <v>0.35640000000000016</v>
          </cell>
          <cell r="L33">
            <v>3.7137000000000002</v>
          </cell>
          <cell r="M33" t="str">
            <v>I</v>
          </cell>
          <cell r="N33" t="str">
            <v>I</v>
          </cell>
          <cell r="O33" t="str">
            <v>N</v>
          </cell>
          <cell r="P33" t="str">
            <v>N</v>
          </cell>
          <cell r="Q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0.84150000000000003</v>
          </cell>
          <cell r="E34">
            <v>0</v>
          </cell>
          <cell r="F34">
            <v>5.9200000000000003E-2</v>
          </cell>
          <cell r="G34">
            <v>3.4331</v>
          </cell>
          <cell r="H34">
            <v>0.1211</v>
          </cell>
          <cell r="I34">
            <v>-5.1899999999999995E-2</v>
          </cell>
          <cell r="K34">
            <v>1.4870000000000001</v>
          </cell>
          <cell r="L34">
            <v>4.8509000000000002</v>
          </cell>
          <cell r="M34" t="str">
            <v>I</v>
          </cell>
          <cell r="N34" t="str">
            <v>N</v>
          </cell>
          <cell r="O34" t="str">
            <v>R</v>
          </cell>
          <cell r="P34" t="str">
            <v>N</v>
          </cell>
          <cell r="Q34" t="str">
            <v>I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0.99509999999999998</v>
          </cell>
          <cell r="E35">
            <v>0</v>
          </cell>
          <cell r="F35">
            <v>5.9200000000000003E-2</v>
          </cell>
          <cell r="G35">
            <v>3.4331</v>
          </cell>
          <cell r="H35">
            <v>0.1211</v>
          </cell>
          <cell r="I35">
            <v>-5.1899999999999995E-2</v>
          </cell>
          <cell r="K35">
            <v>1.6301999999999994</v>
          </cell>
          <cell r="L35">
            <v>4.9940999999999995</v>
          </cell>
          <cell r="M35" t="str">
            <v>I</v>
          </cell>
          <cell r="N35" t="str">
            <v>N</v>
          </cell>
          <cell r="O35" t="str">
            <v>N</v>
          </cell>
          <cell r="P35" t="str">
            <v>N</v>
          </cell>
          <cell r="Q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0.99509999999999998</v>
          </cell>
          <cell r="E36">
            <v>0</v>
          </cell>
          <cell r="F36">
            <v>5.9200000000000003E-2</v>
          </cell>
          <cell r="G36">
            <v>3.4331</v>
          </cell>
          <cell r="H36">
            <v>0.1211</v>
          </cell>
          <cell r="I36">
            <v>-5.1899999999999995E-2</v>
          </cell>
          <cell r="K36">
            <v>0.77419999999999967</v>
          </cell>
          <cell r="L36">
            <v>4.1380999999999997</v>
          </cell>
          <cell r="M36" t="str">
            <v>R</v>
          </cell>
          <cell r="N36" t="str">
            <v>N</v>
          </cell>
          <cell r="O36" t="str">
            <v>N</v>
          </cell>
          <cell r="P36" t="str">
            <v>N</v>
          </cell>
          <cell r="Q36" t="str">
            <v>R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0.99509999999999998</v>
          </cell>
          <cell r="E37">
            <v>0</v>
          </cell>
          <cell r="F37">
            <v>5.9200000000000003E-2</v>
          </cell>
          <cell r="G37">
            <v>3.4331</v>
          </cell>
          <cell r="H37">
            <v>0.1211</v>
          </cell>
          <cell r="I37">
            <v>-5.3499999999999992E-2</v>
          </cell>
          <cell r="K37">
            <v>0.33220000000000016</v>
          </cell>
          <cell r="L37">
            <v>3.6977000000000002</v>
          </cell>
          <cell r="M37" t="str">
            <v>R</v>
          </cell>
          <cell r="N37" t="str">
            <v>N</v>
          </cell>
          <cell r="O37" t="str">
            <v>R</v>
          </cell>
          <cell r="P37" t="str">
            <v>N</v>
          </cell>
          <cell r="Q37" t="str">
            <v>R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0.87449999999999994</v>
          </cell>
          <cell r="E38">
            <v>0</v>
          </cell>
          <cell r="F38">
            <v>3.09E-2</v>
          </cell>
          <cell r="G38">
            <v>3.4331</v>
          </cell>
          <cell r="H38">
            <v>0.1211</v>
          </cell>
          <cell r="I38">
            <v>-5.3499999999999992E-2</v>
          </cell>
          <cell r="K38">
            <v>2.1899999999999933E-2</v>
          </cell>
          <cell r="L38">
            <v>3.3874</v>
          </cell>
          <cell r="M38" t="str">
            <v>R</v>
          </cell>
          <cell r="N38" t="str">
            <v>N</v>
          </cell>
          <cell r="O38" t="str">
            <v>N</v>
          </cell>
          <cell r="P38" t="str">
            <v>N</v>
          </cell>
          <cell r="Q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0.82040000000000002</v>
          </cell>
          <cell r="E39">
            <v>0</v>
          </cell>
          <cell r="F39">
            <v>1.8599999999999998E-2</v>
          </cell>
          <cell r="G39">
            <v>3.4331</v>
          </cell>
          <cell r="H39">
            <v>-0.1147</v>
          </cell>
          <cell r="I39">
            <v>-5.3499999999999992E-2</v>
          </cell>
          <cell r="K39">
            <v>-0.20250000000000001</v>
          </cell>
          <cell r="L39">
            <v>3.3988000000000005</v>
          </cell>
          <cell r="M39" t="str">
            <v>I</v>
          </cell>
          <cell r="N39" t="str">
            <v>R</v>
          </cell>
          <cell r="O39" t="str">
            <v>N</v>
          </cell>
          <cell r="P39" t="str">
            <v>N</v>
          </cell>
          <cell r="Q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0.82040000000000002</v>
          </cell>
          <cell r="E40">
            <v>0</v>
          </cell>
          <cell r="F40">
            <v>1.8599999999999998E-2</v>
          </cell>
          <cell r="G40">
            <v>3.4331</v>
          </cell>
          <cell r="H40">
            <v>-0.1147</v>
          </cell>
          <cell r="I40">
            <v>-5.3499999999999992E-2</v>
          </cell>
          <cell r="K40">
            <v>-2.9699999999999921E-2</v>
          </cell>
          <cell r="L40">
            <v>3.5716000000000001</v>
          </cell>
          <cell r="M40" t="str">
            <v>I</v>
          </cell>
          <cell r="N40" t="str">
            <v>N</v>
          </cell>
          <cell r="O40" t="str">
            <v>N</v>
          </cell>
          <cell r="P40" t="str">
            <v>N</v>
          </cell>
          <cell r="Q40" t="str">
            <v>I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0.82040000000000002</v>
          </cell>
          <cell r="E41">
            <v>0</v>
          </cell>
          <cell r="F41">
            <v>1.8599999999999998E-2</v>
          </cell>
          <cell r="G41">
            <v>3.4331</v>
          </cell>
          <cell r="H41">
            <v>-0.1147</v>
          </cell>
          <cell r="I41">
            <v>-1.9E-3</v>
          </cell>
          <cell r="K41">
            <v>0.18399999999999977</v>
          </cell>
          <cell r="L41">
            <v>3.7336999999999998</v>
          </cell>
          <cell r="M41" t="str">
            <v>I</v>
          </cell>
          <cell r="N41" t="str">
            <v>N</v>
          </cell>
          <cell r="O41" t="str">
            <v>I</v>
          </cell>
          <cell r="P41" t="str">
            <v>N</v>
          </cell>
          <cell r="Q41" t="str">
            <v>I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0.82040000000000002</v>
          </cell>
          <cell r="E42">
            <v>0</v>
          </cell>
          <cell r="F42">
            <v>1.8599999999999998E-2</v>
          </cell>
          <cell r="G42">
            <v>3.4331</v>
          </cell>
          <cell r="H42">
            <v>-0.1147</v>
          </cell>
          <cell r="I42">
            <v>-1.11E-2</v>
          </cell>
          <cell r="K42">
            <v>-8.1300000000000233E-2</v>
          </cell>
          <cell r="L42">
            <v>3.4775999999999998</v>
          </cell>
          <cell r="M42" t="str">
            <v>R</v>
          </cell>
          <cell r="N42" t="str">
            <v>N</v>
          </cell>
          <cell r="O42" t="str">
            <v>R</v>
          </cell>
          <cell r="P42" t="str">
            <v>N</v>
          </cell>
          <cell r="Q42" t="str">
            <v>R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0.82040000000000002</v>
          </cell>
          <cell r="E43">
            <v>0</v>
          </cell>
          <cell r="F43">
            <v>1.8599999999999998E-2</v>
          </cell>
          <cell r="G43">
            <v>3.4331</v>
          </cell>
          <cell r="H43">
            <v>-0.1147</v>
          </cell>
          <cell r="I43">
            <v>-1.11E-2</v>
          </cell>
          <cell r="K43">
            <v>-3.0999999999995198E-3</v>
          </cell>
          <cell r="L43">
            <v>3.5558000000000005</v>
          </cell>
          <cell r="M43" t="str">
            <v>I</v>
          </cell>
          <cell r="N43" t="str">
            <v>N</v>
          </cell>
          <cell r="O43" t="str">
            <v>N</v>
          </cell>
          <cell r="P43" t="str">
            <v>N</v>
          </cell>
          <cell r="Q43" t="str">
            <v>I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0.82040000000000002</v>
          </cell>
          <cell r="E44">
            <v>0</v>
          </cell>
          <cell r="F44">
            <v>1.8599999999999998E-2</v>
          </cell>
          <cell r="G44">
            <v>3.4331</v>
          </cell>
          <cell r="H44">
            <v>-0.1147</v>
          </cell>
          <cell r="I44">
            <v>-1.11E-2</v>
          </cell>
          <cell r="K44">
            <v>-0.3196</v>
          </cell>
          <cell r="L44">
            <v>3.2393000000000001</v>
          </cell>
          <cell r="M44" t="str">
            <v>R</v>
          </cell>
          <cell r="N44" t="str">
            <v>N</v>
          </cell>
          <cell r="O44" t="str">
            <v>N</v>
          </cell>
          <cell r="P44" t="str">
            <v>N</v>
          </cell>
          <cell r="Q44" t="str">
            <v>R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0.82040000000000002</v>
          </cell>
          <cell r="E45">
            <v>0</v>
          </cell>
          <cell r="F45">
            <v>1.8599999999999998E-2</v>
          </cell>
          <cell r="G45">
            <v>3.4331</v>
          </cell>
          <cell r="H45">
            <v>-0.311</v>
          </cell>
          <cell r="I45">
            <v>-2.41E-2</v>
          </cell>
          <cell r="K45">
            <v>-0.52969999999999984</v>
          </cell>
          <cell r="L45">
            <v>3.2385000000000002</v>
          </cell>
          <cell r="M45" t="str">
            <v>R</v>
          </cell>
          <cell r="N45" t="str">
            <v>R</v>
          </cell>
          <cell r="O45" t="str">
            <v>R</v>
          </cell>
          <cell r="P45" t="str">
            <v>N</v>
          </cell>
          <cell r="Q45" t="str">
            <v>R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0.75429999999999997</v>
          </cell>
          <cell r="E46">
            <v>0</v>
          </cell>
          <cell r="F46">
            <v>1.8599999999999998E-2</v>
          </cell>
          <cell r="G46">
            <v>3.4331</v>
          </cell>
          <cell r="H46">
            <v>-0.311</v>
          </cell>
          <cell r="I46">
            <v>-2.41E-2</v>
          </cell>
          <cell r="K46">
            <v>-0.24840000000000001</v>
          </cell>
          <cell r="L46">
            <v>3.5198</v>
          </cell>
          <cell r="M46" t="str">
            <v>I</v>
          </cell>
          <cell r="N46" t="str">
            <v>N</v>
          </cell>
          <cell r="O46" t="str">
            <v>N</v>
          </cell>
          <cell r="P46" t="str">
            <v>N</v>
          </cell>
          <cell r="Q46" t="str">
            <v>I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0.75429999999999997</v>
          </cell>
          <cell r="E47">
            <v>0</v>
          </cell>
          <cell r="F47">
            <v>1.8599999999999998E-2</v>
          </cell>
          <cell r="G47">
            <v>3.4331</v>
          </cell>
          <cell r="H47">
            <v>-0.311</v>
          </cell>
          <cell r="I47">
            <v>-2.41E-2</v>
          </cell>
          <cell r="K47">
            <v>-0.40960000000000002</v>
          </cell>
          <cell r="L47">
            <v>3.3586</v>
          </cell>
          <cell r="M47" t="str">
            <v>R</v>
          </cell>
          <cell r="N47" t="str">
            <v>N</v>
          </cell>
          <cell r="O47" t="str">
            <v>N</v>
          </cell>
          <cell r="P47" t="str">
            <v>N</v>
          </cell>
          <cell r="Q47" t="str">
            <v>R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0.75429999999999997</v>
          </cell>
          <cell r="E48">
            <v>0</v>
          </cell>
          <cell r="F48">
            <v>1.8599999999999998E-2</v>
          </cell>
          <cell r="G48">
            <v>3.4331</v>
          </cell>
          <cell r="H48">
            <v>-0.311</v>
          </cell>
          <cell r="I48">
            <v>-2.41E-2</v>
          </cell>
          <cell r="K48">
            <v>-0.50919999999999965</v>
          </cell>
          <cell r="L48">
            <v>3.2590000000000003</v>
          </cell>
          <cell r="M48" t="str">
            <v>R</v>
          </cell>
          <cell r="N48" t="str">
            <v>N</v>
          </cell>
          <cell r="O48" t="str">
            <v>N</v>
          </cell>
          <cell r="P48" t="str">
            <v>N</v>
          </cell>
          <cell r="Q48" t="str">
            <v>R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0.75429999999999997</v>
          </cell>
          <cell r="E49">
            <v>0</v>
          </cell>
          <cell r="F49">
            <v>1.8599999999999998E-2</v>
          </cell>
          <cell r="G49">
            <v>3.4331</v>
          </cell>
          <cell r="H49">
            <v>-0.311</v>
          </cell>
          <cell r="I49">
            <v>-2.2499999999999999E-2</v>
          </cell>
          <cell r="J49">
            <v>2.47E-2</v>
          </cell>
          <cell r="K49">
            <v>-0.87469999999999959</v>
          </cell>
          <cell r="L49">
            <v>2.8672000000000004</v>
          </cell>
          <cell r="M49" t="str">
            <v>R</v>
          </cell>
          <cell r="N49" t="str">
            <v>N</v>
          </cell>
          <cell r="O49" t="str">
            <v>I</v>
          </cell>
          <cell r="P49" t="str">
            <v>I</v>
          </cell>
          <cell r="Q49" t="str">
            <v>R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0.75429999999999997</v>
          </cell>
          <cell r="E50">
            <v>0</v>
          </cell>
          <cell r="F50">
            <v>1.8599999999999998E-2</v>
          </cell>
          <cell r="G50">
            <v>3.4331</v>
          </cell>
          <cell r="H50">
            <v>-0.311</v>
          </cell>
          <cell r="I50">
            <v>-2.2499999999999999E-2</v>
          </cell>
          <cell r="J50">
            <v>2.47E-2</v>
          </cell>
          <cell r="K50">
            <v>-0.93419999999999948</v>
          </cell>
          <cell r="L50">
            <v>2.8077000000000005</v>
          </cell>
          <cell r="M50" t="str">
            <v>R</v>
          </cell>
          <cell r="N50" t="str">
            <v>N</v>
          </cell>
          <cell r="O50" t="str">
            <v>N</v>
          </cell>
          <cell r="P50" t="str">
            <v>N</v>
          </cell>
          <cell r="Q50" t="str">
            <v>R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0.75429999999999997</v>
          </cell>
          <cell r="E51">
            <v>0</v>
          </cell>
          <cell r="F51">
            <v>1.8599999999999998E-2</v>
          </cell>
          <cell r="G51">
            <v>3.4331</v>
          </cell>
          <cell r="H51">
            <v>-0.18820000000000001</v>
          </cell>
          <cell r="I51">
            <v>-6.54E-2</v>
          </cell>
          <cell r="J51">
            <v>2.47E-2</v>
          </cell>
          <cell r="K51">
            <v>-0.92859999999999998</v>
          </cell>
          <cell r="L51">
            <v>2.7334000000000001</v>
          </cell>
          <cell r="M51" t="str">
            <v>R</v>
          </cell>
          <cell r="N51" t="str">
            <v>I</v>
          </cell>
          <cell r="O51" t="str">
            <v>R</v>
          </cell>
          <cell r="P51" t="str">
            <v>N</v>
          </cell>
          <cell r="Q51" t="str">
            <v>I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0.75429999999999997</v>
          </cell>
          <cell r="E52">
            <v>0</v>
          </cell>
          <cell r="F52">
            <v>1.8599999999999998E-2</v>
          </cell>
          <cell r="G52">
            <v>3.4331</v>
          </cell>
          <cell r="H52">
            <v>-0.18820000000000001</v>
          </cell>
          <cell r="I52">
            <v>-6.54E-2</v>
          </cell>
          <cell r="J52">
            <v>2.47E-2</v>
          </cell>
          <cell r="K52">
            <v>-1.0251999999999999</v>
          </cell>
          <cell r="L52">
            <v>2.6368</v>
          </cell>
          <cell r="M52" t="str">
            <v>R</v>
          </cell>
          <cell r="N52" t="str">
            <v>N</v>
          </cell>
          <cell r="O52" t="str">
            <v>N</v>
          </cell>
          <cell r="P52" t="str">
            <v>N</v>
          </cell>
          <cell r="Q52" t="str">
            <v>R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0.75429999999999997</v>
          </cell>
          <cell r="E53">
            <v>0</v>
          </cell>
          <cell r="F53">
            <v>1.8599999999999998E-2</v>
          </cell>
          <cell r="G53">
            <v>3.4331</v>
          </cell>
          <cell r="H53">
            <v>-0.18820000000000001</v>
          </cell>
          <cell r="I53">
            <v>-6.54E-2</v>
          </cell>
          <cell r="J53">
            <v>2.47E-2</v>
          </cell>
          <cell r="K53">
            <v>-0.60170000000000023</v>
          </cell>
          <cell r="L53">
            <v>3.0602999999999998</v>
          </cell>
          <cell r="M53" t="str">
            <v>I</v>
          </cell>
          <cell r="N53" t="str">
            <v>N</v>
          </cell>
          <cell r="O53" t="str">
            <v>N</v>
          </cell>
          <cell r="P53" t="str">
            <v>N</v>
          </cell>
          <cell r="Q53" t="str">
            <v>I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0.75429999999999997</v>
          </cell>
          <cell r="E54">
            <v>0</v>
          </cell>
          <cell r="F54">
            <v>1.8599999999999998E-2</v>
          </cell>
          <cell r="G54">
            <v>3.4331</v>
          </cell>
          <cell r="H54">
            <v>-0.18820000000000001</v>
          </cell>
          <cell r="I54">
            <v>-5.5899999999999998E-2</v>
          </cell>
          <cell r="J54">
            <v>2.47E-2</v>
          </cell>
          <cell r="K54">
            <v>-0.26919999999999988</v>
          </cell>
          <cell r="L54">
            <v>3.3833000000000002</v>
          </cell>
          <cell r="M54" t="str">
            <v>I</v>
          </cell>
          <cell r="N54" t="str">
            <v>N</v>
          </cell>
          <cell r="O54" t="str">
            <v>I</v>
          </cell>
          <cell r="P54" t="str">
            <v>N</v>
          </cell>
          <cell r="Q54" t="str">
            <v>I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0.75429999999999997</v>
          </cell>
          <cell r="E55">
            <v>0</v>
          </cell>
          <cell r="F55">
            <v>1.8599999999999998E-2</v>
          </cell>
          <cell r="G55">
            <v>3.4331</v>
          </cell>
          <cell r="H55">
            <v>-0.18820000000000001</v>
          </cell>
          <cell r="I55">
            <v>-5.5899999999999998E-2</v>
          </cell>
          <cell r="J55">
            <v>2.47E-2</v>
          </cell>
          <cell r="K55">
            <v>-0.48269999999999968</v>
          </cell>
          <cell r="L55">
            <v>3.1698000000000004</v>
          </cell>
          <cell r="M55" t="str">
            <v>R</v>
          </cell>
          <cell r="N55" t="str">
            <v>N</v>
          </cell>
          <cell r="O55" t="str">
            <v>N</v>
          </cell>
          <cell r="P55" t="str">
            <v>N</v>
          </cell>
          <cell r="Q55" t="str">
            <v>R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0.75429999999999997</v>
          </cell>
          <cell r="E56">
            <v>0</v>
          </cell>
          <cell r="F56">
            <v>1.8599999999999998E-2</v>
          </cell>
          <cell r="G56">
            <v>3.4331</v>
          </cell>
          <cell r="H56">
            <v>-0.18820000000000001</v>
          </cell>
          <cell r="I56">
            <v>-5.5899999999999998E-2</v>
          </cell>
          <cell r="J56">
            <v>2.47E-2</v>
          </cell>
          <cell r="K56">
            <v>-0.49339999999999962</v>
          </cell>
          <cell r="L56">
            <v>3.1591000000000005</v>
          </cell>
          <cell r="M56" t="str">
            <v>R</v>
          </cell>
          <cell r="N56" t="str">
            <v>N</v>
          </cell>
          <cell r="O56" t="str">
            <v>N</v>
          </cell>
          <cell r="P56" t="str">
            <v>N</v>
          </cell>
          <cell r="Q56" t="str">
            <v>R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0.75429999999999997</v>
          </cell>
          <cell r="E57">
            <v>0</v>
          </cell>
          <cell r="F57">
            <v>1.8599999999999998E-2</v>
          </cell>
          <cell r="G57">
            <v>3.4331</v>
          </cell>
          <cell r="H57">
            <v>-0.22389999999999999</v>
          </cell>
          <cell r="I57">
            <v>-4.5200000000000004E-2</v>
          </cell>
          <cell r="J57">
            <v>2.47E-2</v>
          </cell>
          <cell r="K57">
            <v>-0.24169999999999964</v>
          </cell>
          <cell r="L57">
            <v>3.4358000000000004</v>
          </cell>
          <cell r="M57" t="str">
            <v>I</v>
          </cell>
          <cell r="N57" t="str">
            <v>R</v>
          </cell>
          <cell r="O57" t="str">
            <v>I</v>
          </cell>
          <cell r="P57" t="str">
            <v>N</v>
          </cell>
          <cell r="Q57" t="str">
            <v>I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0.76140000000000008</v>
          </cell>
          <cell r="E58">
            <v>0</v>
          </cell>
          <cell r="F58">
            <v>3.0000000000000001E-3</v>
          </cell>
          <cell r="G58">
            <v>3.4331</v>
          </cell>
          <cell r="H58">
            <v>-0.22389999999999999</v>
          </cell>
          <cell r="I58">
            <v>-4.5200000000000004E-2</v>
          </cell>
          <cell r="J58">
            <v>2.47E-2</v>
          </cell>
          <cell r="K58">
            <v>-1.0299999999999809E-2</v>
          </cell>
          <cell r="L58">
            <v>3.6672000000000002</v>
          </cell>
          <cell r="M58" t="str">
            <v>I</v>
          </cell>
          <cell r="N58" t="str">
            <v>N</v>
          </cell>
          <cell r="O58" t="str">
            <v>N</v>
          </cell>
          <cell r="P58" t="str">
            <v>N</v>
          </cell>
          <cell r="Q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0.75679999999999992</v>
          </cell>
          <cell r="E59">
            <v>0</v>
          </cell>
          <cell r="F59">
            <v>3.0000000000000001E-3</v>
          </cell>
          <cell r="G59">
            <v>3.4331</v>
          </cell>
          <cell r="H59">
            <v>-0.22389999999999999</v>
          </cell>
          <cell r="I59">
            <v>-4.5200000000000004E-2</v>
          </cell>
          <cell r="J59">
            <v>2.47E-2</v>
          </cell>
          <cell r="K59">
            <v>2.2400000000000364E-2</v>
          </cell>
          <cell r="L59">
            <v>3.6999000000000004</v>
          </cell>
          <cell r="M59" t="str">
            <v>I</v>
          </cell>
          <cell r="N59" t="str">
            <v>N</v>
          </cell>
          <cell r="O59" t="str">
            <v>N</v>
          </cell>
          <cell r="P59" t="str">
            <v>N</v>
          </cell>
          <cell r="Q59" t="str">
            <v>I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0.75679999999999992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-4.8000000000000001E-2</v>
          </cell>
          <cell r="J60">
            <v>2.47E-2</v>
          </cell>
          <cell r="K60">
            <v>2.9697999999999998</v>
          </cell>
          <cell r="L60">
            <v>3.2169999999999996</v>
          </cell>
          <cell r="M60" t="str">
            <v>R</v>
          </cell>
          <cell r="N60" t="str">
            <v>N</v>
          </cell>
          <cell r="O60" t="str">
            <v>R</v>
          </cell>
          <cell r="P60" t="str">
            <v>N</v>
          </cell>
          <cell r="Q60" t="str">
            <v>I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0.76029999999999998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-4.8000000000000001E-2</v>
          </cell>
          <cell r="J61">
            <v>9.3399999999999997E-2</v>
          </cell>
          <cell r="K61">
            <v>3.1185</v>
          </cell>
          <cell r="L61">
            <v>3.2970000000000002</v>
          </cell>
          <cell r="M61" t="str">
            <v>I</v>
          </cell>
          <cell r="N61" t="str">
            <v>N</v>
          </cell>
          <cell r="O61" t="str">
            <v>N</v>
          </cell>
          <cell r="P61" t="str">
            <v>I</v>
          </cell>
          <cell r="Q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0.76029999999999998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3.3853</v>
          </cell>
          <cell r="L62">
            <v>3.2970000000000002</v>
          </cell>
          <cell r="M62" t="str">
            <v>N</v>
          </cell>
          <cell r="N62" t="str">
            <v>I</v>
          </cell>
          <cell r="O62" t="str">
            <v>I</v>
          </cell>
          <cell r="P62" t="str">
            <v>N</v>
          </cell>
          <cell r="Q62" t="str">
            <v>I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0.76029999999999998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3.6766999999999999</v>
          </cell>
          <cell r="L63">
            <v>3.3382000000000001</v>
          </cell>
          <cell r="M63" t="str">
            <v>I</v>
          </cell>
          <cell r="N63" t="str">
            <v>I</v>
          </cell>
          <cell r="O63" t="str">
            <v>N</v>
          </cell>
          <cell r="P63" t="str">
            <v>N</v>
          </cell>
          <cell r="Q63" t="str">
            <v>I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0.76029999999999998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4.2766000000000002</v>
          </cell>
          <cell r="L64">
            <v>3.9380999999999999</v>
          </cell>
          <cell r="M64" t="str">
            <v>I</v>
          </cell>
          <cell r="N64" t="str">
            <v>N</v>
          </cell>
          <cell r="O64" t="str">
            <v>N</v>
          </cell>
          <cell r="P64" t="str">
            <v>N</v>
          </cell>
          <cell r="Q64" t="str">
            <v>I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0.76029999999999998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5.6981000000000002</v>
          </cell>
          <cell r="L65">
            <v>5.3712999999999997</v>
          </cell>
          <cell r="M65" t="str">
            <v>I</v>
          </cell>
          <cell r="N65" t="str">
            <v>N</v>
          </cell>
          <cell r="O65" t="str">
            <v>R</v>
          </cell>
          <cell r="P65" t="str">
            <v>N</v>
          </cell>
          <cell r="Q65" t="str">
            <v>I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0.76029999999999998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6.3247</v>
          </cell>
          <cell r="L66">
            <v>5.9956000000000005</v>
          </cell>
          <cell r="M66" t="str">
            <v>I</v>
          </cell>
          <cell r="N66" t="str">
            <v>N</v>
          </cell>
          <cell r="O66" t="str">
            <v>I</v>
          </cell>
          <cell r="P66" t="str">
            <v>N</v>
          </cell>
          <cell r="Q66" t="str">
            <v>I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0.9506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7.7404000000000002</v>
          </cell>
          <cell r="L67">
            <v>6.5270999999999999</v>
          </cell>
          <cell r="M67" t="str">
            <v>I</v>
          </cell>
          <cell r="N67" t="str">
            <v>I</v>
          </cell>
          <cell r="O67" t="str">
            <v>N</v>
          </cell>
          <cell r="P67" t="str">
            <v>N</v>
          </cell>
          <cell r="Q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1.2250000000000001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9.3680000000000003</v>
          </cell>
          <cell r="L68">
            <v>8.1851000000000003</v>
          </cell>
          <cell r="M68" t="str">
            <v>I</v>
          </cell>
          <cell r="N68" t="str">
            <v>N</v>
          </cell>
          <cell r="O68" t="str">
            <v>I</v>
          </cell>
          <cell r="P68" t="str">
            <v>R</v>
          </cell>
          <cell r="Q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1.2250000000000001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8.4709000000000003</v>
          </cell>
          <cell r="L69">
            <v>7.2880000000000003</v>
          </cell>
          <cell r="M69" t="str">
            <v>R</v>
          </cell>
          <cell r="N69" t="str">
            <v>N</v>
          </cell>
          <cell r="O69" t="str">
            <v>N</v>
          </cell>
          <cell r="P69" t="str">
            <v>N</v>
          </cell>
          <cell r="Q69" t="str">
            <v>R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1.2250000000000001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8.4170999999999996</v>
          </cell>
          <cell r="L70">
            <v>7.2341999999999995</v>
          </cell>
          <cell r="M70" t="str">
            <v>R</v>
          </cell>
          <cell r="N70" t="str">
            <v>N</v>
          </cell>
          <cell r="O70" t="str">
            <v>N</v>
          </cell>
          <cell r="P70" t="str">
            <v>N</v>
          </cell>
          <cell r="Q70" t="str">
            <v>R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1.0611999999999999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8.3436000000000003</v>
          </cell>
          <cell r="L71">
            <v>6.8740000000000006</v>
          </cell>
          <cell r="M71" t="str">
            <v>R</v>
          </cell>
          <cell r="N71" t="str">
            <v>I</v>
          </cell>
          <cell r="O71" t="str">
            <v>R</v>
          </cell>
          <cell r="P71" t="str">
            <v>N</v>
          </cell>
          <cell r="Q71" t="str">
            <v>R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1.0611999999999999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8.2019000000000002</v>
          </cell>
          <cell r="L72">
            <v>6.7323000000000004</v>
          </cell>
          <cell r="M72" t="str">
            <v>R</v>
          </cell>
          <cell r="N72" t="str">
            <v>N</v>
          </cell>
          <cell r="O72" t="str">
            <v>N</v>
          </cell>
          <cell r="P72" t="str">
            <v>N</v>
          </cell>
          <cell r="Q72" t="str">
            <v>R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1.0611999999999999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7.4484999999999992</v>
          </cell>
          <cell r="L73">
            <v>5.9788999999999994</v>
          </cell>
          <cell r="M73" t="str">
            <v>R</v>
          </cell>
          <cell r="N73" t="str">
            <v>N</v>
          </cell>
          <cell r="O73" t="str">
            <v>N</v>
          </cell>
          <cell r="P73" t="str">
            <v>N</v>
          </cell>
          <cell r="Q73" t="str">
            <v>R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1.0611999999999999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6.8639000000000001</v>
          </cell>
          <cell r="L74">
            <v>5.3826000000000001</v>
          </cell>
          <cell r="M74" t="str">
            <v>R</v>
          </cell>
          <cell r="N74" t="str">
            <v>N</v>
          </cell>
          <cell r="O74" t="str">
            <v>I</v>
          </cell>
          <cell r="P74" t="str">
            <v>N</v>
          </cell>
          <cell r="Q74" t="str">
            <v>R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1.0611999999999999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4.9066000000000001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1.0611999999999999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4.4613999999999994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1.0611999999999999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4.4327000000000005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1.0611999999999999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-1.14E-2</v>
          </cell>
          <cell r="J78">
            <v>2.3699999999999999E-2</v>
          </cell>
          <cell r="K78">
            <v>4.4146999999999998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0.96189999999999998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-0.16690000000000002</v>
          </cell>
          <cell r="J79">
            <v>2.3699999999999999E-2</v>
          </cell>
          <cell r="K79">
            <v>4.8261000000000003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1.0845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-0.16690000000000002</v>
          </cell>
          <cell r="J80">
            <v>7.4700000000000003E-2</v>
          </cell>
          <cell r="K80">
            <v>5.1513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1.0845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-0.16690000000000002</v>
          </cell>
          <cell r="J81">
            <v>7.4700000000000003E-2</v>
          </cell>
          <cell r="K81">
            <v>7.7705000000000002</v>
          </cell>
        </row>
        <row r="82">
          <cell r="A82" t="str">
            <v>2003-00126</v>
          </cell>
          <cell r="B82" t="str">
            <v>05/01/03</v>
          </cell>
          <cell r="C82">
            <v>5.5705</v>
          </cell>
          <cell r="D82">
            <v>1.0845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-0.16690000000000002</v>
          </cell>
          <cell r="J82">
            <v>7.4700000000000003E-2</v>
          </cell>
          <cell r="K82">
            <v>6.7792000000000003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1.0658000000000001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-0.15740000000000001</v>
          </cell>
          <cell r="J83">
            <v>7.4700000000000003E-2</v>
          </cell>
          <cell r="K83">
            <v>7.7881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1.0759000000000001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7.3476999999999997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1.0759000000000001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7.6138999999999992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1.0759000000000001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7.3516999999999992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1.0759000000000001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-5.4000000000000003E-3</v>
          </cell>
          <cell r="J87">
            <v>6.1199999999999997E-2</v>
          </cell>
          <cell r="K87">
            <v>8.2896000000000001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1.0718000000000001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8.2150999999999996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1.0718000000000001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8.2209000000000003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1.0718000000000001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9.5278999999999989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1.0718000000000001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9.4963999999999995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1.0718000000000001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11.433300000000001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1.0718000000000001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11.486199999999998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1.2622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12.373999999999999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1.0571999999999999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9.3487000000000009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1.0571999999999999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8.7180000000000017</v>
          </cell>
          <cell r="L96" t="str">
            <v>Source: Exhibit A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1.0571999999999999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8.7868999999999993</v>
          </cell>
          <cell r="L97" t="str">
            <v>Source: Exhibit A</v>
          </cell>
        </row>
        <row r="98">
          <cell r="A98" t="str">
            <v>End of Database</v>
          </cell>
        </row>
      </sheetData>
      <sheetData sheetId="37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  <cell r="L7" t="str">
            <v>HLF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0.28760000000000002</v>
          </cell>
          <cell r="E8">
            <v>8.2000000000000007E-3</v>
          </cell>
          <cell r="F8">
            <v>0.13819999999999999</v>
          </cell>
          <cell r="G8">
            <v>2.6513</v>
          </cell>
          <cell r="H8">
            <v>2.86E-2</v>
          </cell>
          <cell r="I8">
            <v>-0.26279999999999998</v>
          </cell>
          <cell r="K8">
            <v>-0.82319999999999993</v>
          </cell>
          <cell r="L8">
            <v>5.5145</v>
          </cell>
          <cell r="M8">
            <v>2.0623</v>
          </cell>
          <cell r="N8" t="str">
            <v>I</v>
          </cell>
          <cell r="O8" t="str">
            <v>I</v>
          </cell>
          <cell r="P8" t="str">
            <v>R</v>
          </cell>
          <cell r="Q8" t="str">
            <v>N</v>
          </cell>
          <cell r="R8" t="str">
            <v>R</v>
          </cell>
          <cell r="S8" t="str">
            <v>I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  <cell r="F9" t="str">
            <v>NA</v>
          </cell>
          <cell r="G9" t="str">
            <v>NA</v>
          </cell>
          <cell r="H9" t="str">
            <v>NA</v>
          </cell>
          <cell r="I9" t="str">
            <v>NA</v>
          </cell>
          <cell r="K9" t="str">
            <v>NA</v>
          </cell>
          <cell r="L9" t="str">
            <v>NA</v>
          </cell>
          <cell r="M9">
            <v>0</v>
          </cell>
          <cell r="N9" t="str">
            <v>R</v>
          </cell>
          <cell r="O9" t="str">
            <v>R</v>
          </cell>
          <cell r="P9" t="str">
            <v>I</v>
          </cell>
          <cell r="Q9" t="str">
            <v>N</v>
          </cell>
          <cell r="R9" t="str">
            <v>I</v>
          </cell>
          <cell r="S9" t="str">
            <v>R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0.28760000000000002</v>
          </cell>
          <cell r="E10">
            <v>8.2000000000000007E-3</v>
          </cell>
          <cell r="F10">
            <v>7.7499999999999999E-2</v>
          </cell>
          <cell r="G10">
            <v>2.6513</v>
          </cell>
          <cell r="H10">
            <v>-0.16750000000000001</v>
          </cell>
          <cell r="I10">
            <v>-0.21329999999999999</v>
          </cell>
          <cell r="K10">
            <v>-0.70379999999999998</v>
          </cell>
          <cell r="L10">
            <v>5.6445999999999996</v>
          </cell>
          <cell r="M10">
            <v>2.3283</v>
          </cell>
          <cell r="N10" t="str">
            <v>I</v>
          </cell>
          <cell r="O10" t="str">
            <v>R</v>
          </cell>
          <cell r="P10" t="str">
            <v>R</v>
          </cell>
          <cell r="Q10" t="str">
            <v>N</v>
          </cell>
          <cell r="R10" t="str">
            <v>R</v>
          </cell>
          <cell r="S10" t="str">
            <v>I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0.28760000000000002</v>
          </cell>
          <cell r="E11">
            <v>8.2000000000000007E-3</v>
          </cell>
          <cell r="F11">
            <v>7.46E-2</v>
          </cell>
          <cell r="G11">
            <v>2.6513</v>
          </cell>
          <cell r="H11">
            <v>-0.16750000000000001</v>
          </cell>
          <cell r="I11">
            <v>-0.216</v>
          </cell>
          <cell r="K11">
            <v>-0.63399999999999967</v>
          </cell>
          <cell r="L11">
            <v>5.6445999999999996</v>
          </cell>
          <cell r="M11">
            <v>2.4008000000000003</v>
          </cell>
          <cell r="N11" t="str">
            <v>I</v>
          </cell>
          <cell r="O11" t="str">
            <v>N</v>
          </cell>
          <cell r="P11" t="str">
            <v>R</v>
          </cell>
          <cell r="Q11" t="str">
            <v>N</v>
          </cell>
          <cell r="R11" t="str">
            <v>I</v>
          </cell>
          <cell r="S11" t="str">
            <v>N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0.28410000000000002</v>
          </cell>
          <cell r="E12">
            <v>8.2000000000000007E-3</v>
          </cell>
          <cell r="F12">
            <v>7.46E-2</v>
          </cell>
          <cell r="G12">
            <v>2.6513</v>
          </cell>
          <cell r="H12">
            <v>-0.16750000000000001</v>
          </cell>
          <cell r="I12">
            <v>-0.216</v>
          </cell>
          <cell r="K12">
            <v>-0.48980000000000007</v>
          </cell>
          <cell r="L12">
            <v>5.5761000000000003</v>
          </cell>
          <cell r="M12">
            <v>2.5449999999999999</v>
          </cell>
          <cell r="N12" t="str">
            <v>I</v>
          </cell>
          <cell r="O12" t="str">
            <v>N</v>
          </cell>
          <cell r="P12" t="str">
            <v>N</v>
          </cell>
          <cell r="Q12" t="str">
            <v>N</v>
          </cell>
          <cell r="R12" t="str">
            <v>I</v>
          </cell>
          <cell r="S12" t="str">
            <v>R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0.28820000000000001</v>
          </cell>
          <cell r="E13">
            <v>0</v>
          </cell>
          <cell r="F13">
            <v>6.3200000000000006E-2</v>
          </cell>
          <cell r="G13">
            <v>2.6513</v>
          </cell>
          <cell r="H13">
            <v>-0.16750000000000001</v>
          </cell>
          <cell r="I13">
            <v>-0.1249</v>
          </cell>
          <cell r="K13">
            <v>-8.3599999999999897E-2</v>
          </cell>
          <cell r="L13">
            <v>5.6570999999999998</v>
          </cell>
          <cell r="M13">
            <v>2.8601000000000001</v>
          </cell>
          <cell r="N13" t="str">
            <v>I</v>
          </cell>
          <cell r="O13" t="str">
            <v>N</v>
          </cell>
          <cell r="P13" t="str">
            <v>I</v>
          </cell>
          <cell r="Q13" t="str">
            <v>N</v>
          </cell>
          <cell r="R13" t="str">
            <v>I</v>
          </cell>
          <cell r="S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0.28870000000000001</v>
          </cell>
          <cell r="E14">
            <v>0</v>
          </cell>
          <cell r="F14">
            <v>6.3200000000000006E-2</v>
          </cell>
          <cell r="G14">
            <v>2.6513</v>
          </cell>
          <cell r="H14">
            <v>-0.16750000000000001</v>
          </cell>
          <cell r="I14">
            <v>-0.1249</v>
          </cell>
          <cell r="K14">
            <v>-0.38189999999999968</v>
          </cell>
          <cell r="L14">
            <v>5.6666999999999996</v>
          </cell>
          <cell r="M14">
            <v>2.5618000000000003</v>
          </cell>
          <cell r="N14" t="str">
            <v>R</v>
          </cell>
          <cell r="O14" t="str">
            <v>N</v>
          </cell>
          <cell r="P14" t="str">
            <v>N</v>
          </cell>
          <cell r="Q14" t="str">
            <v>N</v>
          </cell>
          <cell r="R14" t="str">
            <v>R</v>
          </cell>
          <cell r="S14" t="str">
            <v>I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0.27360000000000001</v>
          </cell>
          <cell r="E15">
            <v>0</v>
          </cell>
          <cell r="F15">
            <v>6.6400000000000001E-2</v>
          </cell>
          <cell r="G15">
            <v>2.6513</v>
          </cell>
          <cell r="H15">
            <v>-0.121</v>
          </cell>
          <cell r="I15">
            <v>-9.0499999999999997E-2</v>
          </cell>
          <cell r="K15">
            <v>0.40070000000000006</v>
          </cell>
          <cell r="L15">
            <v>5.5183</v>
          </cell>
          <cell r="M15">
            <v>3.2635000000000001</v>
          </cell>
          <cell r="N15" t="str">
            <v>I</v>
          </cell>
          <cell r="O15" t="str">
            <v>I</v>
          </cell>
          <cell r="P15" t="str">
            <v>I</v>
          </cell>
          <cell r="Q15" t="str">
            <v>N</v>
          </cell>
          <cell r="R15" t="str">
            <v>I</v>
          </cell>
          <cell r="S15" t="str">
            <v>R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0.2432</v>
          </cell>
          <cell r="E16">
            <v>0</v>
          </cell>
          <cell r="F16">
            <v>6.6400000000000001E-2</v>
          </cell>
          <cell r="G16">
            <v>2.6513</v>
          </cell>
          <cell r="H16">
            <v>-0.121</v>
          </cell>
          <cell r="I16">
            <v>-9.0499999999999997E-2</v>
          </cell>
          <cell r="K16">
            <v>0.66839999999999966</v>
          </cell>
          <cell r="L16">
            <v>4.9048999999999996</v>
          </cell>
          <cell r="M16">
            <v>3.5311999999999997</v>
          </cell>
          <cell r="N16" t="str">
            <v>I</v>
          </cell>
          <cell r="O16" t="str">
            <v>N</v>
          </cell>
          <cell r="P16" t="str">
            <v>N</v>
          </cell>
          <cell r="Q16" t="str">
            <v>N</v>
          </cell>
          <cell r="R16" t="str">
            <v>I</v>
          </cell>
          <cell r="S16" t="str">
            <v>R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0.22789999999999999</v>
          </cell>
          <cell r="E17">
            <v>0</v>
          </cell>
          <cell r="F17">
            <v>4.2099999999999999E-2</v>
          </cell>
          <cell r="G17">
            <v>3.4331</v>
          </cell>
          <cell r="H17">
            <v>-0.121</v>
          </cell>
          <cell r="I17">
            <v>-0.16889999999999999</v>
          </cell>
          <cell r="K17">
            <v>-0.70899999999999985</v>
          </cell>
          <cell r="L17">
            <v>4.5968999999999998</v>
          </cell>
          <cell r="M17">
            <v>3.0140000000000002</v>
          </cell>
          <cell r="N17" t="str">
            <v>R</v>
          </cell>
          <cell r="O17" t="str">
            <v>N</v>
          </cell>
          <cell r="P17" t="str">
            <v>R</v>
          </cell>
          <cell r="Q17" t="str">
            <v>N</v>
          </cell>
          <cell r="R17" t="str">
            <v>R</v>
          </cell>
          <cell r="S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0.2266</v>
          </cell>
          <cell r="E18">
            <v>0</v>
          </cell>
          <cell r="F18">
            <v>4.3499999999999997E-2</v>
          </cell>
          <cell r="G18">
            <v>3.4331</v>
          </cell>
          <cell r="H18">
            <v>-0.121</v>
          </cell>
          <cell r="I18">
            <v>-0.1172</v>
          </cell>
          <cell r="K18">
            <v>-0.7504000000000004</v>
          </cell>
          <cell r="L18">
            <v>4.5693999999999999</v>
          </cell>
          <cell r="M18">
            <v>2.9208999999999996</v>
          </cell>
          <cell r="N18" t="str">
            <v>R</v>
          </cell>
          <cell r="O18" t="str">
            <v>N</v>
          </cell>
          <cell r="P18" t="str">
            <v>I</v>
          </cell>
          <cell r="Q18" t="str">
            <v>N</v>
          </cell>
          <cell r="R18" t="str">
            <v>R</v>
          </cell>
          <cell r="S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0.22600000000000001</v>
          </cell>
          <cell r="E19">
            <v>0</v>
          </cell>
          <cell r="F19">
            <v>4.3499999999999997E-2</v>
          </cell>
          <cell r="G19">
            <v>3.4331</v>
          </cell>
          <cell r="H19">
            <v>-0.121</v>
          </cell>
          <cell r="I19">
            <v>-0.1172</v>
          </cell>
          <cell r="K19">
            <v>-0.5416000000000003</v>
          </cell>
          <cell r="L19">
            <v>4.5575000000000001</v>
          </cell>
          <cell r="M19">
            <v>3.1296999999999997</v>
          </cell>
          <cell r="N19" t="str">
            <v>I</v>
          </cell>
          <cell r="O19" t="str">
            <v>N</v>
          </cell>
          <cell r="P19" t="str">
            <v>N</v>
          </cell>
          <cell r="Q19" t="str">
            <v>N</v>
          </cell>
          <cell r="R19" t="str">
            <v>I</v>
          </cell>
          <cell r="S19" t="str">
            <v>R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0.23350000000000001</v>
          </cell>
          <cell r="E20">
            <v>0</v>
          </cell>
          <cell r="F20">
            <v>4.7500000000000001E-2</v>
          </cell>
          <cell r="G20">
            <v>3.4331</v>
          </cell>
          <cell r="H20">
            <v>-0.121</v>
          </cell>
          <cell r="I20">
            <v>-8.4899999999999989E-2</v>
          </cell>
          <cell r="K20">
            <v>-0.88160000000000038</v>
          </cell>
          <cell r="L20">
            <v>4.7096</v>
          </cell>
          <cell r="M20">
            <v>2.7573999999999996</v>
          </cell>
          <cell r="N20" t="str">
            <v>R</v>
          </cell>
          <cell r="O20" t="str">
            <v>N</v>
          </cell>
          <cell r="P20" t="str">
            <v>I</v>
          </cell>
          <cell r="Q20" t="str">
            <v>N</v>
          </cell>
          <cell r="R20" t="str">
            <v>R</v>
          </cell>
          <cell r="S20" t="str">
            <v>I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0.2336</v>
          </cell>
          <cell r="E21">
            <v>0</v>
          </cell>
          <cell r="F21">
            <v>4.99E-2</v>
          </cell>
          <cell r="G21">
            <v>3.4331</v>
          </cell>
          <cell r="H21">
            <v>-3.3999999999999998E-3</v>
          </cell>
          <cell r="I21">
            <v>-8.4900000000000003E-2</v>
          </cell>
          <cell r="K21">
            <v>-0.85919999999999996</v>
          </cell>
          <cell r="L21">
            <v>4.7243000000000004</v>
          </cell>
          <cell r="M21">
            <v>2.6621999999999999</v>
          </cell>
          <cell r="N21" t="str">
            <v>R</v>
          </cell>
          <cell r="O21" t="str">
            <v>I</v>
          </cell>
          <cell r="P21" t="str">
            <v>N</v>
          </cell>
          <cell r="Q21" t="str">
            <v>N</v>
          </cell>
          <cell r="R21" t="str">
            <v>I</v>
          </cell>
          <cell r="S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0.22359999999999999</v>
          </cell>
          <cell r="E22">
            <v>0</v>
          </cell>
          <cell r="F22">
            <v>4.9799999999999997E-2</v>
          </cell>
          <cell r="G22">
            <v>3.4331</v>
          </cell>
          <cell r="H22">
            <v>-3.3999999999999998E-3</v>
          </cell>
          <cell r="I22">
            <v>-7.8299999999999995E-2</v>
          </cell>
          <cell r="K22">
            <v>-0.81280000000000052</v>
          </cell>
          <cell r="L22">
            <v>4.5213999999999999</v>
          </cell>
          <cell r="M22">
            <v>2.7019999999999995</v>
          </cell>
          <cell r="N22" t="str">
            <v>I</v>
          </cell>
          <cell r="O22" t="str">
            <v>N</v>
          </cell>
          <cell r="P22" t="str">
            <v>I</v>
          </cell>
          <cell r="Q22" t="str">
            <v>N</v>
          </cell>
          <cell r="R22" t="str">
            <v>I</v>
          </cell>
          <cell r="S22" t="str">
            <v>R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0.21629999999999999</v>
          </cell>
          <cell r="E23">
            <v>0</v>
          </cell>
          <cell r="F23">
            <v>4.9799999999999997E-2</v>
          </cell>
          <cell r="G23">
            <v>3.4331</v>
          </cell>
          <cell r="H23">
            <v>-3.3999999999999998E-3</v>
          </cell>
          <cell r="I23">
            <v>-7.5600000000000001E-2</v>
          </cell>
          <cell r="K23">
            <v>-0.41749999999999998</v>
          </cell>
          <cell r="L23">
            <v>4.375</v>
          </cell>
          <cell r="M23">
            <v>3.0945999999999998</v>
          </cell>
          <cell r="N23" t="str">
            <v>I</v>
          </cell>
          <cell r="O23" t="str">
            <v>N</v>
          </cell>
          <cell r="P23" t="str">
            <v>I</v>
          </cell>
          <cell r="Q23" t="str">
            <v>N</v>
          </cell>
          <cell r="R23" t="str">
            <v>I</v>
          </cell>
          <cell r="S23" t="str">
            <v>R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0.21629999999999999</v>
          </cell>
          <cell r="E24">
            <v>0</v>
          </cell>
          <cell r="F24">
            <v>6.1899999999999997E-2</v>
          </cell>
          <cell r="G24">
            <v>3.4331</v>
          </cell>
          <cell r="H24">
            <v>-3.3999999999999998E-3</v>
          </cell>
          <cell r="I24">
            <v>-7.5600000000000001E-2</v>
          </cell>
          <cell r="K24">
            <v>-0.10160000000000018</v>
          </cell>
          <cell r="L24">
            <v>4.375</v>
          </cell>
          <cell r="M24">
            <v>3.4104999999999999</v>
          </cell>
          <cell r="N24" t="str">
            <v>I</v>
          </cell>
          <cell r="O24" t="str">
            <v>N</v>
          </cell>
          <cell r="P24" t="str">
            <v>N</v>
          </cell>
          <cell r="Q24" t="str">
            <v>N</v>
          </cell>
          <cell r="R24" t="str">
            <v>I</v>
          </cell>
          <cell r="S24" t="str">
            <v>N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0.21629999999999999</v>
          </cell>
          <cell r="E25">
            <v>0</v>
          </cell>
          <cell r="F25">
            <v>6.1800000000000001E-2</v>
          </cell>
          <cell r="G25">
            <v>3.4331</v>
          </cell>
          <cell r="H25">
            <v>-3.3999999999999998E-3</v>
          </cell>
          <cell r="I25">
            <v>-7.5600000000000001E-2</v>
          </cell>
          <cell r="K25">
            <v>-4.6800000000000438E-2</v>
          </cell>
          <cell r="L25">
            <v>4.375</v>
          </cell>
          <cell r="M25">
            <v>3.4652999999999996</v>
          </cell>
          <cell r="N25" t="str">
            <v>I</v>
          </cell>
          <cell r="O25" t="str">
            <v>N</v>
          </cell>
          <cell r="P25" t="str">
            <v>N</v>
          </cell>
          <cell r="Q25" t="str">
            <v>N</v>
          </cell>
          <cell r="R25" t="str">
            <v>I</v>
          </cell>
          <cell r="S25" t="str">
            <v>N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0.21640000000000001</v>
          </cell>
          <cell r="E26">
            <v>0</v>
          </cell>
          <cell r="F26">
            <v>6.1800000000000001E-2</v>
          </cell>
          <cell r="G26">
            <v>3.4331</v>
          </cell>
          <cell r="H26">
            <v>-3.3999999999999998E-3</v>
          </cell>
          <cell r="I26">
            <v>-7.5600000000000001E-2</v>
          </cell>
          <cell r="K26">
            <v>-0.48989999999999984</v>
          </cell>
          <cell r="L26">
            <v>4.3760000000000003</v>
          </cell>
          <cell r="M26">
            <v>3.0222000000000002</v>
          </cell>
          <cell r="N26" t="str">
            <v>R</v>
          </cell>
          <cell r="O26" t="str">
            <v>N</v>
          </cell>
          <cell r="P26" t="str">
            <v>N</v>
          </cell>
          <cell r="Q26" t="str">
            <v>N</v>
          </cell>
          <cell r="R26" t="str">
            <v>R</v>
          </cell>
          <cell r="S26" t="str">
            <v>I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0.2122</v>
          </cell>
          <cell r="E27">
            <v>0</v>
          </cell>
          <cell r="F27">
            <v>6.1800000000000001E-2</v>
          </cell>
          <cell r="G27">
            <v>3.4331</v>
          </cell>
          <cell r="H27">
            <v>9.3799999999999994E-2</v>
          </cell>
          <cell r="I27">
            <v>-7.5600000000000001E-2</v>
          </cell>
          <cell r="K27">
            <v>-0.98929999999999985</v>
          </cell>
          <cell r="L27">
            <v>4.2912999999999997</v>
          </cell>
          <cell r="M27">
            <v>2.4256000000000002</v>
          </cell>
          <cell r="N27" t="str">
            <v>R</v>
          </cell>
          <cell r="O27" t="str">
            <v>I</v>
          </cell>
          <cell r="P27" t="str">
            <v>N</v>
          </cell>
          <cell r="Q27" t="str">
            <v>N</v>
          </cell>
          <cell r="R27" t="str">
            <v>R</v>
          </cell>
          <cell r="S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0.2122</v>
          </cell>
          <cell r="E28">
            <v>0</v>
          </cell>
          <cell r="F28">
            <v>6.1800000000000001E-2</v>
          </cell>
          <cell r="G28">
            <v>3.4331</v>
          </cell>
          <cell r="H28">
            <v>9.3799999999999994E-2</v>
          </cell>
          <cell r="I28">
            <v>-7.5600000000000001E-2</v>
          </cell>
          <cell r="K28">
            <v>-1.159</v>
          </cell>
          <cell r="L28">
            <v>4.2912999999999997</v>
          </cell>
          <cell r="M28">
            <v>2.2559</v>
          </cell>
          <cell r="N28" t="str">
            <v>R</v>
          </cell>
          <cell r="O28" t="str">
            <v>N</v>
          </cell>
          <cell r="P28" t="str">
            <v>N</v>
          </cell>
          <cell r="Q28" t="str">
            <v>N</v>
          </cell>
          <cell r="R28" t="str">
            <v>R</v>
          </cell>
          <cell r="S28" t="str">
            <v>N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0.22550000000000001</v>
          </cell>
          <cell r="E29">
            <v>0</v>
          </cell>
          <cell r="F29">
            <v>5.2900000000000003E-2</v>
          </cell>
          <cell r="G29">
            <v>3.4331</v>
          </cell>
          <cell r="H29">
            <v>9.3799999999999994E-2</v>
          </cell>
          <cell r="I29">
            <v>-4.8799999999999996E-2</v>
          </cell>
          <cell r="K29">
            <v>-0.84230000000000016</v>
          </cell>
          <cell r="L29">
            <v>4.5613000000000001</v>
          </cell>
          <cell r="M29">
            <v>2.5457999999999998</v>
          </cell>
          <cell r="N29" t="str">
            <v>I</v>
          </cell>
          <cell r="O29" t="str">
            <v>N</v>
          </cell>
          <cell r="P29" t="str">
            <v>I</v>
          </cell>
          <cell r="Q29" t="str">
            <v>N</v>
          </cell>
          <cell r="R29" t="str">
            <v>I</v>
          </cell>
          <cell r="S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0.22550000000000001</v>
          </cell>
          <cell r="E30">
            <v>0</v>
          </cell>
          <cell r="F30">
            <v>5.2900000000000003E-2</v>
          </cell>
          <cell r="G30">
            <v>3.4331</v>
          </cell>
          <cell r="H30">
            <v>9.3799999999999994E-2</v>
          </cell>
          <cell r="I30">
            <v>-4.5299999999999993E-2</v>
          </cell>
          <cell r="K30">
            <v>-0.68300000000000005</v>
          </cell>
          <cell r="L30">
            <v>4.5613000000000001</v>
          </cell>
          <cell r="M30">
            <v>2.7016</v>
          </cell>
          <cell r="N30" t="str">
            <v>I</v>
          </cell>
          <cell r="O30" t="str">
            <v>N</v>
          </cell>
          <cell r="P30" t="str">
            <v>I</v>
          </cell>
          <cell r="Q30" t="str">
            <v>N</v>
          </cell>
          <cell r="R30" t="str">
            <v>I</v>
          </cell>
          <cell r="S30" t="str">
            <v>N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0.2631</v>
          </cell>
          <cell r="E31">
            <v>0</v>
          </cell>
          <cell r="F31">
            <v>5.1999999999999998E-2</v>
          </cell>
          <cell r="G31">
            <v>3.4331</v>
          </cell>
          <cell r="H31">
            <v>9.3799999999999994E-2</v>
          </cell>
          <cell r="I31">
            <v>-4.5299999999999993E-2</v>
          </cell>
          <cell r="K31">
            <v>-0.43470000000000009</v>
          </cell>
          <cell r="L31">
            <v>5.3216000000000001</v>
          </cell>
          <cell r="M31">
            <v>2.9499</v>
          </cell>
          <cell r="N31" t="str">
            <v>I</v>
          </cell>
          <cell r="O31" t="str">
            <v>N</v>
          </cell>
          <cell r="P31" t="str">
            <v>N</v>
          </cell>
          <cell r="Q31" t="str">
            <v>N</v>
          </cell>
          <cell r="R31" t="str">
            <v>I</v>
          </cell>
          <cell r="S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0.2225</v>
          </cell>
          <cell r="E32">
            <v>0</v>
          </cell>
          <cell r="F32">
            <v>5.1999999999999998E-2</v>
          </cell>
          <cell r="G32">
            <v>3.4331</v>
          </cell>
          <cell r="H32">
            <v>9.3799999999999994E-2</v>
          </cell>
          <cell r="I32">
            <v>-4.5299999999999993E-2</v>
          </cell>
          <cell r="K32">
            <v>-0.49229999999999996</v>
          </cell>
          <cell r="L32">
            <v>4.5003000000000002</v>
          </cell>
          <cell r="M32">
            <v>2.8923000000000001</v>
          </cell>
          <cell r="N32" t="str">
            <v>R</v>
          </cell>
          <cell r="O32" t="str">
            <v>N</v>
          </cell>
          <cell r="P32" t="str">
            <v>N</v>
          </cell>
          <cell r="Q32" t="str">
            <v>N</v>
          </cell>
          <cell r="R32" t="str">
            <v>R</v>
          </cell>
          <cell r="S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0.2225</v>
          </cell>
          <cell r="E33">
            <v>0</v>
          </cell>
          <cell r="F33">
            <v>5.9200000000000003E-2</v>
          </cell>
          <cell r="G33">
            <v>3.4331</v>
          </cell>
          <cell r="H33">
            <v>0.1211</v>
          </cell>
          <cell r="I33">
            <v>-4.5299999999999993E-2</v>
          </cell>
          <cell r="K33">
            <v>-0.26259999999999961</v>
          </cell>
          <cell r="L33">
            <v>4.7756999999999996</v>
          </cell>
          <cell r="M33">
            <v>3.0947000000000005</v>
          </cell>
          <cell r="N33" t="str">
            <v>I</v>
          </cell>
          <cell r="O33" t="str">
            <v>I</v>
          </cell>
          <cell r="P33" t="str">
            <v>N</v>
          </cell>
          <cell r="Q33" t="str">
            <v>N</v>
          </cell>
          <cell r="R33" t="str">
            <v>I</v>
          </cell>
          <cell r="S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0.2225</v>
          </cell>
          <cell r="E34">
            <v>0</v>
          </cell>
          <cell r="F34">
            <v>5.9200000000000003E-2</v>
          </cell>
          <cell r="G34">
            <v>3.4331</v>
          </cell>
          <cell r="H34">
            <v>0.1211</v>
          </cell>
          <cell r="I34">
            <v>-5.1899999999999995E-2</v>
          </cell>
          <cell r="K34">
            <v>0.86799999999999955</v>
          </cell>
          <cell r="L34">
            <v>4.7756999999999996</v>
          </cell>
          <cell r="M34">
            <v>4.2318999999999996</v>
          </cell>
          <cell r="N34" t="str">
            <v>I</v>
          </cell>
          <cell r="O34" t="str">
            <v>N</v>
          </cell>
          <cell r="P34" t="str">
            <v>R</v>
          </cell>
          <cell r="Q34" t="str">
            <v>N</v>
          </cell>
          <cell r="R34" t="str">
            <v>I</v>
          </cell>
          <cell r="S34" t="str">
            <v>N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0.2631</v>
          </cell>
          <cell r="E35">
            <v>0</v>
          </cell>
          <cell r="F35">
            <v>5.9200000000000003E-2</v>
          </cell>
          <cell r="G35">
            <v>3.4331</v>
          </cell>
          <cell r="H35">
            <v>0.1211</v>
          </cell>
          <cell r="I35">
            <v>-5.1899999999999995E-2</v>
          </cell>
          <cell r="K35">
            <v>0.89819999999999933</v>
          </cell>
          <cell r="L35">
            <v>5.6473000000000004</v>
          </cell>
          <cell r="M35">
            <v>4.2620999999999993</v>
          </cell>
          <cell r="N35" t="str">
            <v>I</v>
          </cell>
          <cell r="O35" t="str">
            <v>N</v>
          </cell>
          <cell r="P35" t="str">
            <v>N</v>
          </cell>
          <cell r="Q35" t="str">
            <v>N</v>
          </cell>
          <cell r="R35" t="str">
            <v>I</v>
          </cell>
          <cell r="S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0.2631</v>
          </cell>
          <cell r="E36">
            <v>0</v>
          </cell>
          <cell r="F36">
            <v>5.9200000000000003E-2</v>
          </cell>
          <cell r="G36">
            <v>3.4331</v>
          </cell>
          <cell r="H36">
            <v>0.1211</v>
          </cell>
          <cell r="I36">
            <v>-5.1899999999999995E-2</v>
          </cell>
          <cell r="K36">
            <v>4.2200000000000314E-2</v>
          </cell>
          <cell r="L36">
            <v>5.6473000000000004</v>
          </cell>
          <cell r="M36">
            <v>3.4061000000000003</v>
          </cell>
          <cell r="N36" t="str">
            <v>R</v>
          </cell>
          <cell r="O36" t="str">
            <v>N</v>
          </cell>
          <cell r="P36" t="str">
            <v>N</v>
          </cell>
          <cell r="Q36" t="str">
            <v>N</v>
          </cell>
          <cell r="R36" t="str">
            <v>R</v>
          </cell>
          <cell r="S36" t="str">
            <v>N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0.2631</v>
          </cell>
          <cell r="E37">
            <v>0</v>
          </cell>
          <cell r="F37">
            <v>5.9200000000000003E-2</v>
          </cell>
          <cell r="G37">
            <v>3.4331</v>
          </cell>
          <cell r="H37">
            <v>0.1211</v>
          </cell>
          <cell r="I37">
            <v>-5.3499999999999992E-2</v>
          </cell>
          <cell r="K37">
            <v>-0.3997999999999996</v>
          </cell>
          <cell r="L37">
            <v>5.6473000000000004</v>
          </cell>
          <cell r="M37">
            <v>2.9657000000000004</v>
          </cell>
          <cell r="N37" t="str">
            <v>R</v>
          </cell>
          <cell r="O37" t="str">
            <v>N</v>
          </cell>
          <cell r="P37" t="str">
            <v>R</v>
          </cell>
          <cell r="Q37" t="str">
            <v>N</v>
          </cell>
          <cell r="R37" t="str">
            <v>R</v>
          </cell>
          <cell r="S37" t="str">
            <v>N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0.23119999999999999</v>
          </cell>
          <cell r="E38">
            <v>0</v>
          </cell>
          <cell r="F38">
            <v>3.09E-2</v>
          </cell>
          <cell r="G38">
            <v>3.4331</v>
          </cell>
          <cell r="H38">
            <v>0.1211</v>
          </cell>
          <cell r="I38">
            <v>-5.3499999999999992E-2</v>
          </cell>
          <cell r="K38">
            <v>-0.62140000000000006</v>
          </cell>
          <cell r="L38">
            <v>4.9629000000000003</v>
          </cell>
          <cell r="M38">
            <v>2.7441</v>
          </cell>
          <cell r="N38" t="str">
            <v>R</v>
          </cell>
          <cell r="O38" t="str">
            <v>N</v>
          </cell>
          <cell r="P38" t="str">
            <v>N</v>
          </cell>
          <cell r="Q38" t="str">
            <v>N</v>
          </cell>
          <cell r="R38" t="str">
            <v>R</v>
          </cell>
          <cell r="S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0.21690000000000001</v>
          </cell>
          <cell r="E39">
            <v>0</v>
          </cell>
          <cell r="F39">
            <v>1.8599999999999998E-2</v>
          </cell>
          <cell r="G39">
            <v>3.4331</v>
          </cell>
          <cell r="H39">
            <v>-0.1147</v>
          </cell>
          <cell r="I39">
            <v>-5.3499999999999992E-2</v>
          </cell>
          <cell r="K39">
            <v>-0.80599999999999994</v>
          </cell>
          <cell r="L39">
            <v>4.6555999999999997</v>
          </cell>
          <cell r="M39">
            <v>2.7953000000000001</v>
          </cell>
          <cell r="N39" t="str">
            <v>I</v>
          </cell>
          <cell r="O39" t="str">
            <v>R</v>
          </cell>
          <cell r="P39" t="str">
            <v>N</v>
          </cell>
          <cell r="Q39" t="str">
            <v>N</v>
          </cell>
          <cell r="R39" t="str">
            <v>R</v>
          </cell>
          <cell r="S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0.21690000000000001</v>
          </cell>
          <cell r="E40">
            <v>0</v>
          </cell>
          <cell r="F40">
            <v>1.8599999999999998E-2</v>
          </cell>
          <cell r="G40">
            <v>3.4331</v>
          </cell>
          <cell r="H40">
            <v>-0.1147</v>
          </cell>
          <cell r="I40">
            <v>-5.3499999999999992E-2</v>
          </cell>
          <cell r="K40">
            <v>-0.63319999999999987</v>
          </cell>
          <cell r="L40">
            <v>4.6555999999999997</v>
          </cell>
          <cell r="M40">
            <v>2.9681000000000002</v>
          </cell>
          <cell r="N40" t="str">
            <v>I</v>
          </cell>
          <cell r="O40" t="str">
            <v>N</v>
          </cell>
          <cell r="P40" t="str">
            <v>N</v>
          </cell>
          <cell r="Q40" t="str">
            <v>N</v>
          </cell>
          <cell r="R40" t="str">
            <v>I</v>
          </cell>
          <cell r="S40" t="str">
            <v>N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0.21690000000000001</v>
          </cell>
          <cell r="E41">
            <v>0</v>
          </cell>
          <cell r="F41">
            <v>1.8599999999999998E-2</v>
          </cell>
          <cell r="G41">
            <v>3.4331</v>
          </cell>
          <cell r="H41">
            <v>-0.1147</v>
          </cell>
          <cell r="I41">
            <v>-1.9E-3</v>
          </cell>
          <cell r="K41">
            <v>-0.41950000000000021</v>
          </cell>
          <cell r="L41">
            <v>4.6555999999999997</v>
          </cell>
          <cell r="M41">
            <v>3.1301999999999999</v>
          </cell>
          <cell r="N41" t="str">
            <v>I</v>
          </cell>
          <cell r="O41" t="str">
            <v>N</v>
          </cell>
          <cell r="P41" t="str">
            <v>I</v>
          </cell>
          <cell r="Q41" t="str">
            <v>N</v>
          </cell>
          <cell r="R41" t="str">
            <v>I</v>
          </cell>
          <cell r="S41" t="str">
            <v>N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0.21690000000000001</v>
          </cell>
          <cell r="E42">
            <v>0</v>
          </cell>
          <cell r="F42">
            <v>1.8599999999999998E-2</v>
          </cell>
          <cell r="G42">
            <v>3.4331</v>
          </cell>
          <cell r="H42">
            <v>-0.1147</v>
          </cell>
          <cell r="I42">
            <v>-1.11E-2</v>
          </cell>
          <cell r="K42">
            <v>-0.68480000000000019</v>
          </cell>
          <cell r="L42">
            <v>4.6555999999999997</v>
          </cell>
          <cell r="M42">
            <v>2.8740999999999999</v>
          </cell>
          <cell r="N42" t="str">
            <v>R</v>
          </cell>
          <cell r="O42" t="str">
            <v>N</v>
          </cell>
          <cell r="P42" t="str">
            <v>R</v>
          </cell>
          <cell r="Q42" t="str">
            <v>N</v>
          </cell>
          <cell r="R42" t="str">
            <v>R</v>
          </cell>
          <cell r="S42" t="str">
            <v>N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0.21690000000000001</v>
          </cell>
          <cell r="E43">
            <v>0</v>
          </cell>
          <cell r="F43">
            <v>1.8599999999999998E-2</v>
          </cell>
          <cell r="G43">
            <v>3.4331</v>
          </cell>
          <cell r="H43">
            <v>-0.1147</v>
          </cell>
          <cell r="I43">
            <v>-1.11E-2</v>
          </cell>
          <cell r="K43">
            <v>-0.60659999999999992</v>
          </cell>
          <cell r="L43">
            <v>4.6555999999999997</v>
          </cell>
          <cell r="M43">
            <v>2.9523000000000001</v>
          </cell>
          <cell r="N43" t="str">
            <v>I</v>
          </cell>
          <cell r="O43" t="str">
            <v>N</v>
          </cell>
          <cell r="P43" t="str">
            <v>N</v>
          </cell>
          <cell r="Q43" t="str">
            <v>N</v>
          </cell>
          <cell r="R43" t="str">
            <v>I</v>
          </cell>
          <cell r="S43" t="str">
            <v>N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0.21690000000000001</v>
          </cell>
          <cell r="E44">
            <v>0</v>
          </cell>
          <cell r="F44">
            <v>1.8599999999999998E-2</v>
          </cell>
          <cell r="G44">
            <v>3.4331</v>
          </cell>
          <cell r="H44">
            <v>-0.1147</v>
          </cell>
          <cell r="I44">
            <v>-1.11E-2</v>
          </cell>
          <cell r="K44">
            <v>-0.92310000000000003</v>
          </cell>
          <cell r="L44">
            <v>4.6555999999999997</v>
          </cell>
          <cell r="M44">
            <v>2.6358000000000001</v>
          </cell>
          <cell r="N44" t="str">
            <v>R</v>
          </cell>
          <cell r="O44" t="str">
            <v>N</v>
          </cell>
          <cell r="P44" t="str">
            <v>N</v>
          </cell>
          <cell r="Q44" t="str">
            <v>N</v>
          </cell>
          <cell r="R44" t="str">
            <v>R</v>
          </cell>
          <cell r="S44" t="str">
            <v>N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0.21690000000000001</v>
          </cell>
          <cell r="E45">
            <v>0</v>
          </cell>
          <cell r="F45">
            <v>1.8599999999999998E-2</v>
          </cell>
          <cell r="G45">
            <v>3.4331</v>
          </cell>
          <cell r="H45">
            <v>-0.311</v>
          </cell>
          <cell r="I45">
            <v>-2.41E-2</v>
          </cell>
          <cell r="K45">
            <v>-1.1331999999999998</v>
          </cell>
          <cell r="L45">
            <v>4.6555999999999997</v>
          </cell>
          <cell r="M45">
            <v>2.6350000000000002</v>
          </cell>
          <cell r="N45" t="str">
            <v>R</v>
          </cell>
          <cell r="O45" t="str">
            <v>R</v>
          </cell>
          <cell r="P45" t="str">
            <v>R</v>
          </cell>
          <cell r="Q45" t="str">
            <v>N</v>
          </cell>
          <cell r="R45" t="str">
            <v>R</v>
          </cell>
          <cell r="S45" t="str">
            <v>N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0.19939999999999999</v>
          </cell>
          <cell r="E46">
            <v>0</v>
          </cell>
          <cell r="F46">
            <v>1.8599999999999998E-2</v>
          </cell>
          <cell r="G46">
            <v>3.4331</v>
          </cell>
          <cell r="H46">
            <v>-0.311</v>
          </cell>
          <cell r="I46">
            <v>-2.41E-2</v>
          </cell>
          <cell r="K46">
            <v>-0.8032999999999999</v>
          </cell>
          <cell r="L46">
            <v>4.2808999999999999</v>
          </cell>
          <cell r="M46">
            <v>2.9649000000000001</v>
          </cell>
          <cell r="N46" t="str">
            <v>I</v>
          </cell>
          <cell r="O46" t="str">
            <v>N</v>
          </cell>
          <cell r="P46" t="str">
            <v>N</v>
          </cell>
          <cell r="Q46" t="str">
            <v>N</v>
          </cell>
          <cell r="R46" t="str">
            <v>I</v>
          </cell>
          <cell r="S46" t="str">
            <v>R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0.19939999999999999</v>
          </cell>
          <cell r="E47">
            <v>0</v>
          </cell>
          <cell r="F47">
            <v>1.8599999999999998E-2</v>
          </cell>
          <cell r="G47">
            <v>3.4331</v>
          </cell>
          <cell r="H47">
            <v>-0.311</v>
          </cell>
          <cell r="I47">
            <v>-2.41E-2</v>
          </cell>
          <cell r="K47">
            <v>-0.96449999999999991</v>
          </cell>
          <cell r="L47">
            <v>4.2808999999999999</v>
          </cell>
          <cell r="M47">
            <v>2.8037000000000001</v>
          </cell>
          <cell r="N47" t="str">
            <v>R</v>
          </cell>
          <cell r="O47" t="str">
            <v>N</v>
          </cell>
          <cell r="P47" t="str">
            <v>N</v>
          </cell>
          <cell r="Q47" t="str">
            <v>N</v>
          </cell>
          <cell r="R47" t="str">
            <v>R</v>
          </cell>
          <cell r="S47" t="str">
            <v>N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0.19939999999999999</v>
          </cell>
          <cell r="E48">
            <v>0</v>
          </cell>
          <cell r="F48">
            <v>1.8599999999999998E-2</v>
          </cell>
          <cell r="G48">
            <v>3.4331</v>
          </cell>
          <cell r="H48">
            <v>-0.311</v>
          </cell>
          <cell r="I48">
            <v>-2.41E-2</v>
          </cell>
          <cell r="K48">
            <v>-1.0641</v>
          </cell>
          <cell r="L48">
            <v>4.2808999999999999</v>
          </cell>
          <cell r="M48">
            <v>2.7040999999999999</v>
          </cell>
          <cell r="N48" t="str">
            <v>R</v>
          </cell>
          <cell r="O48" t="str">
            <v>N</v>
          </cell>
          <cell r="P48" t="str">
            <v>N</v>
          </cell>
          <cell r="Q48" t="str">
            <v>N</v>
          </cell>
          <cell r="R48" t="str">
            <v>R</v>
          </cell>
          <cell r="S48" t="str">
            <v>N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0.19939999999999999</v>
          </cell>
          <cell r="E49">
            <v>0</v>
          </cell>
          <cell r="F49">
            <v>1.8599999999999998E-2</v>
          </cell>
          <cell r="G49">
            <v>3.4331</v>
          </cell>
          <cell r="H49">
            <v>-0.311</v>
          </cell>
          <cell r="I49">
            <v>-2.2499999999999999E-2</v>
          </cell>
          <cell r="J49">
            <v>2.47E-2</v>
          </cell>
          <cell r="K49">
            <v>-1.4296</v>
          </cell>
          <cell r="L49">
            <v>4.2808999999999999</v>
          </cell>
          <cell r="M49">
            <v>2.3123</v>
          </cell>
          <cell r="N49" t="str">
            <v>R</v>
          </cell>
          <cell r="O49" t="str">
            <v>N</v>
          </cell>
          <cell r="P49" t="str">
            <v>I</v>
          </cell>
          <cell r="Q49" t="str">
            <v>I</v>
          </cell>
          <cell r="R49" t="str">
            <v>R</v>
          </cell>
          <cell r="S49" t="str">
            <v>N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0.19939999999999999</v>
          </cell>
          <cell r="E50">
            <v>0</v>
          </cell>
          <cell r="F50">
            <v>1.8599999999999998E-2</v>
          </cell>
          <cell r="G50">
            <v>3.4331</v>
          </cell>
          <cell r="H50">
            <v>-0.311</v>
          </cell>
          <cell r="I50">
            <v>-2.2499999999999999E-2</v>
          </cell>
          <cell r="J50">
            <v>2.47E-2</v>
          </cell>
          <cell r="K50">
            <v>-1.4890999999999999</v>
          </cell>
          <cell r="L50">
            <v>4.2808999999999999</v>
          </cell>
          <cell r="M50">
            <v>2.2528000000000001</v>
          </cell>
          <cell r="N50" t="str">
            <v>R</v>
          </cell>
          <cell r="O50" t="str">
            <v>N</v>
          </cell>
          <cell r="P50" t="str">
            <v>N</v>
          </cell>
          <cell r="Q50" t="str">
            <v>N</v>
          </cell>
          <cell r="R50" t="str">
            <v>R</v>
          </cell>
          <cell r="S50" t="str">
            <v>N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0.19939999999999999</v>
          </cell>
          <cell r="E51">
            <v>0</v>
          </cell>
          <cell r="F51">
            <v>1.8599999999999998E-2</v>
          </cell>
          <cell r="G51">
            <v>3.4331</v>
          </cell>
          <cell r="H51">
            <v>-0.18820000000000001</v>
          </cell>
          <cell r="I51">
            <v>-6.54E-2</v>
          </cell>
          <cell r="J51">
            <v>2.47E-2</v>
          </cell>
          <cell r="K51">
            <v>-1.4834999999999998</v>
          </cell>
          <cell r="L51">
            <v>4.2808999999999999</v>
          </cell>
          <cell r="M51">
            <v>2.1785000000000001</v>
          </cell>
          <cell r="N51" t="str">
            <v>R</v>
          </cell>
          <cell r="O51" t="str">
            <v>I</v>
          </cell>
          <cell r="P51" t="str">
            <v>R</v>
          </cell>
          <cell r="Q51" t="str">
            <v>N</v>
          </cell>
          <cell r="R51" t="str">
            <v>I</v>
          </cell>
          <cell r="S51" t="str">
            <v>N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0.19939999999999999</v>
          </cell>
          <cell r="E52">
            <v>0</v>
          </cell>
          <cell r="F52">
            <v>1.8599999999999998E-2</v>
          </cell>
          <cell r="G52">
            <v>3.4331</v>
          </cell>
          <cell r="H52">
            <v>-0.18820000000000001</v>
          </cell>
          <cell r="I52">
            <v>-6.54E-2</v>
          </cell>
          <cell r="J52">
            <v>2.47E-2</v>
          </cell>
          <cell r="K52">
            <v>-1.5800999999999998</v>
          </cell>
          <cell r="L52">
            <v>4.2808999999999999</v>
          </cell>
          <cell r="M52">
            <v>2.0819000000000001</v>
          </cell>
          <cell r="N52" t="str">
            <v>R</v>
          </cell>
          <cell r="O52" t="str">
            <v>N</v>
          </cell>
          <cell r="P52" t="str">
            <v>N</v>
          </cell>
          <cell r="Q52" t="str">
            <v>N</v>
          </cell>
          <cell r="R52" t="str">
            <v>R</v>
          </cell>
          <cell r="S52" t="str">
            <v>N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0.19939999999999999</v>
          </cell>
          <cell r="E53">
            <v>0</v>
          </cell>
          <cell r="F53">
            <v>1.8599999999999998E-2</v>
          </cell>
          <cell r="G53">
            <v>3.4331</v>
          </cell>
          <cell r="H53">
            <v>-0.18820000000000001</v>
          </cell>
          <cell r="I53">
            <v>-6.54E-2</v>
          </cell>
          <cell r="J53">
            <v>2.47E-2</v>
          </cell>
          <cell r="K53">
            <v>-1.1566000000000001</v>
          </cell>
          <cell r="L53">
            <v>4.2808999999999999</v>
          </cell>
          <cell r="M53">
            <v>2.5053999999999998</v>
          </cell>
          <cell r="N53" t="str">
            <v>I</v>
          </cell>
          <cell r="O53" t="str">
            <v>N</v>
          </cell>
          <cell r="P53" t="str">
            <v>N</v>
          </cell>
          <cell r="Q53" t="str">
            <v>N</v>
          </cell>
          <cell r="R53" t="str">
            <v>I</v>
          </cell>
          <cell r="S53" t="str">
            <v>N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0.19939999999999999</v>
          </cell>
          <cell r="E54">
            <v>0</v>
          </cell>
          <cell r="F54">
            <v>1.8599999999999998E-2</v>
          </cell>
          <cell r="G54">
            <v>3.4331</v>
          </cell>
          <cell r="H54">
            <v>-0.18820000000000001</v>
          </cell>
          <cell r="I54">
            <v>-5.5899999999999998E-2</v>
          </cell>
          <cell r="J54">
            <v>2.47E-2</v>
          </cell>
          <cell r="K54">
            <v>-0.82410000000000028</v>
          </cell>
          <cell r="L54">
            <v>4.2808999999999999</v>
          </cell>
          <cell r="M54">
            <v>2.8283999999999998</v>
          </cell>
          <cell r="N54" t="str">
            <v>I</v>
          </cell>
          <cell r="O54" t="str">
            <v>N</v>
          </cell>
          <cell r="P54" t="str">
            <v>I</v>
          </cell>
          <cell r="Q54" t="str">
            <v>N</v>
          </cell>
          <cell r="R54" t="str">
            <v>I</v>
          </cell>
          <cell r="S54" t="str">
            <v>N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0.19939999999999999</v>
          </cell>
          <cell r="E55">
            <v>0</v>
          </cell>
          <cell r="F55">
            <v>1.8599999999999998E-2</v>
          </cell>
          <cell r="G55">
            <v>3.4331</v>
          </cell>
          <cell r="H55">
            <v>-0.18820000000000001</v>
          </cell>
          <cell r="I55">
            <v>-5.5899999999999998E-2</v>
          </cell>
          <cell r="J55">
            <v>2.47E-2</v>
          </cell>
          <cell r="K55">
            <v>-1.0376000000000001</v>
          </cell>
          <cell r="L55">
            <v>4.2808999999999999</v>
          </cell>
          <cell r="M55">
            <v>2.6149</v>
          </cell>
          <cell r="N55" t="str">
            <v>R</v>
          </cell>
          <cell r="O55" t="str">
            <v>N</v>
          </cell>
          <cell r="P55" t="str">
            <v>N</v>
          </cell>
          <cell r="Q55" t="str">
            <v>N</v>
          </cell>
          <cell r="R55" t="str">
            <v>R</v>
          </cell>
          <cell r="S55" t="str">
            <v>N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0.19939999999999999</v>
          </cell>
          <cell r="E56">
            <v>0</v>
          </cell>
          <cell r="F56">
            <v>1.8599999999999998E-2</v>
          </cell>
          <cell r="G56">
            <v>3.4331</v>
          </cell>
          <cell r="H56">
            <v>-0.18820000000000001</v>
          </cell>
          <cell r="I56">
            <v>-5.5899999999999998E-2</v>
          </cell>
          <cell r="J56">
            <v>2.47E-2</v>
          </cell>
          <cell r="K56">
            <v>-1.0483</v>
          </cell>
          <cell r="L56">
            <v>4.2808999999999999</v>
          </cell>
          <cell r="M56">
            <v>2.6042000000000001</v>
          </cell>
          <cell r="N56" t="str">
            <v>R</v>
          </cell>
          <cell r="O56" t="str">
            <v>N</v>
          </cell>
          <cell r="P56" t="str">
            <v>N</v>
          </cell>
          <cell r="Q56" t="str">
            <v>N</v>
          </cell>
          <cell r="R56" t="str">
            <v>R</v>
          </cell>
          <cell r="S56" t="str">
            <v>N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0.19939999999999999</v>
          </cell>
          <cell r="E57">
            <v>0</v>
          </cell>
          <cell r="F57">
            <v>1.8599999999999998E-2</v>
          </cell>
          <cell r="G57">
            <v>3.4331</v>
          </cell>
          <cell r="H57">
            <v>-0.22389999999999999</v>
          </cell>
          <cell r="I57">
            <v>-4.5200000000000004E-2</v>
          </cell>
          <cell r="J57">
            <v>2.47E-2</v>
          </cell>
          <cell r="K57">
            <v>-0.79659999999999997</v>
          </cell>
          <cell r="L57">
            <v>4.2808999999999999</v>
          </cell>
          <cell r="M57">
            <v>2.8809</v>
          </cell>
          <cell r="N57" t="str">
            <v>I</v>
          </cell>
          <cell r="O57" t="str">
            <v>R</v>
          </cell>
          <cell r="P57" t="str">
            <v>I</v>
          </cell>
          <cell r="Q57" t="str">
            <v>N</v>
          </cell>
          <cell r="R57" t="str">
            <v>I</v>
          </cell>
          <cell r="S57" t="str">
            <v>N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0.20130000000000001</v>
          </cell>
          <cell r="E58">
            <v>0</v>
          </cell>
          <cell r="F58">
            <v>3.0000000000000001E-3</v>
          </cell>
          <cell r="G58">
            <v>3.4331</v>
          </cell>
          <cell r="H58">
            <v>-0.22389999999999999</v>
          </cell>
          <cell r="I58">
            <v>-4.5200000000000004E-2</v>
          </cell>
          <cell r="J58">
            <v>2.47E-2</v>
          </cell>
          <cell r="K58">
            <v>-0.57040000000000002</v>
          </cell>
          <cell r="L58">
            <v>4.3211000000000004</v>
          </cell>
          <cell r="M58">
            <v>3.1071</v>
          </cell>
          <cell r="N58" t="str">
            <v>I</v>
          </cell>
          <cell r="O58" t="str">
            <v>N</v>
          </cell>
          <cell r="P58" t="str">
            <v>N</v>
          </cell>
          <cell r="Q58" t="str">
            <v>N</v>
          </cell>
          <cell r="R58" t="str">
            <v>I</v>
          </cell>
          <cell r="S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0.2001</v>
          </cell>
          <cell r="E59">
            <v>0</v>
          </cell>
          <cell r="F59">
            <v>3.0000000000000001E-3</v>
          </cell>
          <cell r="G59">
            <v>3.4331</v>
          </cell>
          <cell r="H59">
            <v>-0.22389999999999999</v>
          </cell>
          <cell r="I59">
            <v>-4.5200000000000004E-2</v>
          </cell>
          <cell r="J59">
            <v>2.47E-2</v>
          </cell>
          <cell r="K59">
            <v>-0.53429999999999978</v>
          </cell>
          <cell r="L59">
            <v>4.2945000000000002</v>
          </cell>
          <cell r="M59">
            <v>3.1432000000000002</v>
          </cell>
          <cell r="N59" t="str">
            <v>I</v>
          </cell>
          <cell r="O59" t="str">
            <v>N</v>
          </cell>
          <cell r="P59" t="str">
            <v>N</v>
          </cell>
          <cell r="Q59" t="str">
            <v>N</v>
          </cell>
          <cell r="R59" t="str">
            <v>I</v>
          </cell>
          <cell r="S59" t="str">
            <v>R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0.2001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-4.8000000000000001E-2</v>
          </cell>
          <cell r="J60">
            <v>2.47E-2</v>
          </cell>
          <cell r="K60">
            <v>2.4131</v>
          </cell>
          <cell r="L60">
            <v>4.2945000000000002</v>
          </cell>
          <cell r="M60">
            <v>2.6602999999999999</v>
          </cell>
          <cell r="N60" t="str">
            <v>R</v>
          </cell>
          <cell r="O60" t="str">
            <v>N</v>
          </cell>
          <cell r="P60" t="str">
            <v>R</v>
          </cell>
          <cell r="Q60" t="str">
            <v>N</v>
          </cell>
          <cell r="R60" t="str">
            <v>I</v>
          </cell>
          <cell r="S60" t="str">
            <v>N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0.20100000000000001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-4.8000000000000001E-2</v>
          </cell>
          <cell r="J61">
            <v>9.3399999999999997E-2</v>
          </cell>
          <cell r="K61">
            <v>2.5592000000000001</v>
          </cell>
          <cell r="L61">
            <v>4.3144999999999998</v>
          </cell>
          <cell r="M61">
            <v>2.7377000000000002</v>
          </cell>
          <cell r="N61" t="str">
            <v>I</v>
          </cell>
          <cell r="O61" t="str">
            <v>N</v>
          </cell>
          <cell r="P61" t="str">
            <v>N</v>
          </cell>
          <cell r="Q61" t="str">
            <v>I</v>
          </cell>
          <cell r="R61" t="str">
            <v>I</v>
          </cell>
          <cell r="S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0.20100000000000001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2.8260000000000001</v>
          </cell>
          <cell r="L62">
            <v>4.3144999999999998</v>
          </cell>
          <cell r="M62">
            <v>2.7377000000000002</v>
          </cell>
          <cell r="N62" t="str">
            <v>N</v>
          </cell>
          <cell r="O62" t="str">
            <v>I</v>
          </cell>
          <cell r="P62" t="str">
            <v>I</v>
          </cell>
          <cell r="Q62" t="str">
            <v>N</v>
          </cell>
          <cell r="R62" t="str">
            <v>I</v>
          </cell>
          <cell r="S62" t="str">
            <v>N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0.20100000000000001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3.1173999999999999</v>
          </cell>
          <cell r="L63">
            <v>4.3144999999999998</v>
          </cell>
          <cell r="M63">
            <v>2.7789000000000001</v>
          </cell>
          <cell r="N63" t="str">
            <v>I</v>
          </cell>
          <cell r="O63" t="str">
            <v>I</v>
          </cell>
          <cell r="P63" t="str">
            <v>N</v>
          </cell>
          <cell r="Q63" t="str">
            <v>N</v>
          </cell>
          <cell r="R63" t="str">
            <v>I</v>
          </cell>
          <cell r="S63" t="str">
            <v>N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0.20100000000000001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3.7172999999999998</v>
          </cell>
          <cell r="L64">
            <v>4.3144999999999998</v>
          </cell>
          <cell r="M64">
            <v>3.3788</v>
          </cell>
          <cell r="N64" t="str">
            <v>I</v>
          </cell>
          <cell r="O64" t="str">
            <v>N</v>
          </cell>
          <cell r="P64" t="str">
            <v>N</v>
          </cell>
          <cell r="Q64" t="str">
            <v>N</v>
          </cell>
          <cell r="R64" t="str">
            <v>I</v>
          </cell>
          <cell r="S64" t="str">
            <v>N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0.20100000000000001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5.1387999999999989</v>
          </cell>
          <cell r="L65">
            <v>4.3144999999999998</v>
          </cell>
          <cell r="M65">
            <v>4.8119999999999994</v>
          </cell>
          <cell r="N65" t="str">
            <v>I</v>
          </cell>
          <cell r="O65" t="str">
            <v>N</v>
          </cell>
          <cell r="P65" t="str">
            <v>R</v>
          </cell>
          <cell r="Q65" t="str">
            <v>N</v>
          </cell>
          <cell r="R65" t="str">
            <v>I</v>
          </cell>
          <cell r="S65" t="str">
            <v>N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0.20100000000000001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5.7654000000000005</v>
          </cell>
          <cell r="L66">
            <v>4.3144999999999998</v>
          </cell>
          <cell r="M66">
            <v>5.4363000000000001</v>
          </cell>
          <cell r="N66" t="str">
            <v>I</v>
          </cell>
          <cell r="O66" t="str">
            <v>N</v>
          </cell>
          <cell r="P66" t="str">
            <v>I</v>
          </cell>
          <cell r="Q66" t="str">
            <v>N</v>
          </cell>
          <cell r="R66" t="str">
            <v>I</v>
          </cell>
          <cell r="S66" t="str">
            <v>N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0.18820000000000001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6.9780000000000006</v>
          </cell>
          <cell r="L67">
            <v>4.5294999999999996</v>
          </cell>
          <cell r="M67">
            <v>5.7647000000000004</v>
          </cell>
          <cell r="N67" t="str">
            <v>I</v>
          </cell>
          <cell r="O67" t="str">
            <v>I</v>
          </cell>
          <cell r="P67" t="str">
            <v>N</v>
          </cell>
          <cell r="Q67" t="str">
            <v>N</v>
          </cell>
          <cell r="R67" t="str">
            <v>I</v>
          </cell>
          <cell r="S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0.24249999999999999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8.3855000000000004</v>
          </cell>
          <cell r="L68">
            <v>5.8369999999999997</v>
          </cell>
          <cell r="M68">
            <v>7.2025999999999994</v>
          </cell>
          <cell r="N68" t="str">
            <v>I</v>
          </cell>
          <cell r="O68" t="str">
            <v>N</v>
          </cell>
          <cell r="P68" t="str">
            <v>I</v>
          </cell>
          <cell r="Q68" t="str">
            <v>R</v>
          </cell>
          <cell r="R68" t="str">
            <v>I</v>
          </cell>
          <cell r="S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0.24249999999999999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7.4883999999999995</v>
          </cell>
          <cell r="L69">
            <v>5.8369999999999997</v>
          </cell>
          <cell r="M69">
            <v>6.3054999999999994</v>
          </cell>
          <cell r="N69" t="str">
            <v>R</v>
          </cell>
          <cell r="O69" t="str">
            <v>N</v>
          </cell>
          <cell r="P69" t="str">
            <v>N</v>
          </cell>
          <cell r="Q69" t="str">
            <v>N</v>
          </cell>
          <cell r="R69" t="str">
            <v>R</v>
          </cell>
          <cell r="S69" t="str">
            <v>N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0.24249999999999999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7.4345999999999997</v>
          </cell>
          <cell r="L70">
            <v>5.8369999999999997</v>
          </cell>
          <cell r="M70">
            <v>6.2516999999999996</v>
          </cell>
          <cell r="N70" t="str">
            <v>R</v>
          </cell>
          <cell r="O70" t="str">
            <v>N</v>
          </cell>
          <cell r="P70" t="str">
            <v>N</v>
          </cell>
          <cell r="Q70" t="str">
            <v>N</v>
          </cell>
          <cell r="R70" t="str">
            <v>R</v>
          </cell>
          <cell r="S70" t="str">
            <v>N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0.21010000000000001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7.4924999999999997</v>
          </cell>
          <cell r="L71">
            <v>5.0563000000000002</v>
          </cell>
          <cell r="M71">
            <v>6.0228999999999999</v>
          </cell>
          <cell r="N71" t="str">
            <v>R</v>
          </cell>
          <cell r="O71" t="str">
            <v>I</v>
          </cell>
          <cell r="P71" t="str">
            <v>R</v>
          </cell>
          <cell r="Q71" t="str">
            <v>N</v>
          </cell>
          <cell r="R71" t="str">
            <v>I</v>
          </cell>
          <cell r="S71" t="str">
            <v>R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0.21010000000000001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7.3507999999999996</v>
          </cell>
          <cell r="L72">
            <v>5.0563000000000002</v>
          </cell>
          <cell r="M72">
            <v>5.8811999999999998</v>
          </cell>
          <cell r="N72" t="str">
            <v>R</v>
          </cell>
          <cell r="O72" t="str">
            <v>N</v>
          </cell>
          <cell r="P72" t="str">
            <v>N</v>
          </cell>
          <cell r="Q72" t="str">
            <v>N</v>
          </cell>
          <cell r="R72" t="str">
            <v>R</v>
          </cell>
          <cell r="S72" t="str">
            <v>N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0.21010000000000001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6.5973999999999995</v>
          </cell>
          <cell r="L73">
            <v>5.0563000000000002</v>
          </cell>
          <cell r="M73">
            <v>5.1277999999999997</v>
          </cell>
          <cell r="N73" t="str">
            <v>R</v>
          </cell>
          <cell r="O73" t="str">
            <v>N</v>
          </cell>
          <cell r="P73" t="str">
            <v>N</v>
          </cell>
          <cell r="Q73" t="str">
            <v>N</v>
          </cell>
          <cell r="R73" t="str">
            <v>R</v>
          </cell>
          <cell r="S73" t="str">
            <v>N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0.21010000000000001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6.0127999999999995</v>
          </cell>
          <cell r="L74">
            <v>5.0563000000000002</v>
          </cell>
          <cell r="M74">
            <v>4.5314999999999994</v>
          </cell>
          <cell r="N74" t="str">
            <v>R</v>
          </cell>
          <cell r="O74" t="str">
            <v>N</v>
          </cell>
          <cell r="P74" t="str">
            <v>I</v>
          </cell>
          <cell r="Q74" t="str">
            <v>N</v>
          </cell>
          <cell r="R74" t="str">
            <v>R</v>
          </cell>
          <cell r="S74" t="str">
            <v>N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0.21010000000000001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4.0555000000000003</v>
          </cell>
          <cell r="L75">
            <v>5.0563000000000002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0.21010000000000001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3.6102999999999996</v>
          </cell>
          <cell r="L76">
            <v>5.0563000000000002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0.21010000000000001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3.5815999999999999</v>
          </cell>
          <cell r="L77">
            <v>5.0563000000000002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0.21010000000000001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-1.14E-2</v>
          </cell>
          <cell r="J78">
            <v>2.3699999999999999E-2</v>
          </cell>
          <cell r="K78">
            <v>3.5636000000000001</v>
          </cell>
          <cell r="L78">
            <v>5.0563000000000002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0.19040000000000001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-0.16690000000000002</v>
          </cell>
          <cell r="J79">
            <v>2.3699999999999999E-2</v>
          </cell>
          <cell r="K79">
            <v>4.0546000000000006</v>
          </cell>
          <cell r="L79">
            <v>4.5831999999999997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0.19040000000000001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-0.16690000000000002</v>
          </cell>
          <cell r="J80">
            <v>7.4700000000000003E-2</v>
          </cell>
          <cell r="K80">
            <v>4.3798000000000004</v>
          </cell>
          <cell r="L80">
            <v>4.7106000000000003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0.19040000000000001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-0.16690000000000002</v>
          </cell>
          <cell r="J81">
            <v>7.4700000000000003E-2</v>
          </cell>
          <cell r="K81">
            <v>6.8764000000000003</v>
          </cell>
          <cell r="L81">
            <v>4.7106000000000003</v>
          </cell>
        </row>
        <row r="82">
          <cell r="A82" t="str">
            <v>2003-00126</v>
          </cell>
          <cell r="B82">
            <v>37742</v>
          </cell>
          <cell r="C82">
            <v>5.5705</v>
          </cell>
          <cell r="D82">
            <v>0.19040000000000001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-0.16690000000000002</v>
          </cell>
          <cell r="J82">
            <v>7.4700000000000003E-2</v>
          </cell>
          <cell r="K82">
            <v>5.8851000000000004</v>
          </cell>
          <cell r="L82">
            <v>4.7106000000000003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0.18709999999999999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-0.15740000000000001</v>
          </cell>
          <cell r="J83">
            <v>7.4700000000000003E-2</v>
          </cell>
          <cell r="K83">
            <v>6.9093999999999998</v>
          </cell>
          <cell r="L83">
            <v>4.6295999999999999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0.18709999999999999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6.4588999999999999</v>
          </cell>
          <cell r="L84">
            <v>4.6387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0.18709999999999999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6.7250999999999994</v>
          </cell>
          <cell r="L85">
            <v>4.6387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0.18709999999999999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6.4629000000000003</v>
          </cell>
          <cell r="L86">
            <v>4.6387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0.18709999999999999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-5.3999999999999994E-3</v>
          </cell>
          <cell r="J87">
            <v>6.1199999999999997E-2</v>
          </cell>
          <cell r="K87">
            <v>7.2302</v>
          </cell>
          <cell r="L87">
            <v>4.6387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0.18640000000000001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7.3296999999999999</v>
          </cell>
          <cell r="L88">
            <v>4.6207000000000003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0.18640000000000001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7.3354999999999997</v>
          </cell>
          <cell r="L89">
            <v>4.6207000000000003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0.18640000000000001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8.6425000000000001</v>
          </cell>
          <cell r="L90">
            <v>4.6207000000000003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0.18640000000000001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8.6110000000000024</v>
          </cell>
          <cell r="L91">
            <v>4.6207000000000003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0.18640000000000001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10.547900000000002</v>
          </cell>
          <cell r="L92">
            <v>4.6207000000000003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0.18640000000000001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10.600800000000001</v>
          </cell>
          <cell r="L93">
            <v>4.5575999999999999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0.2195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11.331299999999999</v>
          </cell>
          <cell r="L94">
            <v>5.4417999999999997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0.18390000000000001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8.4754000000000005</v>
          </cell>
          <cell r="L95">
            <v>4.5575999999999999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0.18390000000000001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7.8447000000000013</v>
          </cell>
          <cell r="L96">
            <v>4.5575999999999999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0.18390000000000001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7.9136000000000006</v>
          </cell>
          <cell r="L97">
            <v>4.5575999999999999</v>
          </cell>
        </row>
        <row r="98">
          <cell r="M98" t="str">
            <v>Source: Exhibit A</v>
          </cell>
        </row>
      </sheetData>
      <sheetData sheetId="38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0.97670000000000001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0.96160000000000001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0.96550000000000002</v>
          </cell>
          <cell r="E10">
            <v>3.2500000000000001E-2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0.96189999999999998</v>
          </cell>
          <cell r="E11">
            <v>0.19769999999999999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0.94950000000000001</v>
          </cell>
          <cell r="E12">
            <v>1.29E-2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0.96340000000000003</v>
          </cell>
          <cell r="E13">
            <v>3.8999999999999998E-3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1.0442</v>
          </cell>
          <cell r="E14">
            <v>7.6999999999998181E-3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1.0583</v>
          </cell>
          <cell r="E15">
            <v>5.0399999999999778E-2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0.94279999999999997</v>
          </cell>
          <cell r="E16">
            <v>2.12E-2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0.80870000000000009</v>
          </cell>
          <cell r="E17">
            <v>-3.0199999999999783E-2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0.80640000000000001</v>
          </cell>
          <cell r="E18">
            <v>-1.8E-3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0.80049999999999999</v>
          </cell>
          <cell r="E19">
            <v>0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0.86319999999999997</v>
          </cell>
          <cell r="E20">
            <v>3.4000000000000252E-2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0.85729999999999995</v>
          </cell>
          <cell r="E21">
            <v>-0.23839999999999995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0.8196</v>
          </cell>
          <cell r="E22">
            <v>3.7000000000000002E-3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0.79309999999999992</v>
          </cell>
          <cell r="E23">
            <v>-1.6000000000000014E-2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0.80519999999999992</v>
          </cell>
          <cell r="E24">
            <v>1.000000000000334E-3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0.80510000000000004</v>
          </cell>
          <cell r="E25">
            <v>9.9000000000000199E-3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0.8054</v>
          </cell>
          <cell r="E26">
            <v>-5.3900000000000059E-2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0.78969999999999985</v>
          </cell>
          <cell r="E27">
            <v>-1.4100000000000001E-2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0.78969999999999996</v>
          </cell>
          <cell r="E28">
            <v>-0.12110000000000021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0.89570000000000016</v>
          </cell>
          <cell r="E29">
            <v>0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0.84920000000000018</v>
          </cell>
          <cell r="E30">
            <v>8.1000000000002181E-3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0.98920000000000008</v>
          </cell>
          <cell r="E31">
            <v>-9.800000000000253E-3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0.83700000000000008</v>
          </cell>
          <cell r="E32">
            <v>2.2499999999999999E-2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0.8519000000000001</v>
          </cell>
          <cell r="E33">
            <v>5.4000000000002935E-3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0.8519000000000001</v>
          </cell>
          <cell r="E34">
            <v>-0.10470000000000024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1.0055000000000001</v>
          </cell>
          <cell r="E35">
            <v>0.115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1.0055000000000001</v>
          </cell>
          <cell r="E36">
            <v>-4.469999999999974E-2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1.0055000000000001</v>
          </cell>
          <cell r="E37">
            <v>-6.7799999999999638E-2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0.85660000000000003</v>
          </cell>
          <cell r="E38">
            <v>-0.15920000000000023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0.79020000000000001</v>
          </cell>
          <cell r="E39">
            <v>0.10379999999999967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0.79020000000000001</v>
          </cell>
          <cell r="E40">
            <v>5.259999999999998E-2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0.83899999999999997</v>
          </cell>
          <cell r="E41">
            <v>-1.3700000000000045E-2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0.83599999999999997</v>
          </cell>
          <cell r="E42">
            <v>1.4300000000000423E-2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0.83599999999999997</v>
          </cell>
          <cell r="E43">
            <v>-3.0899999999999928E-2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0.83599999999999997</v>
          </cell>
          <cell r="E44">
            <v>0.70840000000000014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0.83599999999999997</v>
          </cell>
          <cell r="E45">
            <v>-9.199999999999986E-2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0.76989999999999992</v>
          </cell>
          <cell r="E46">
            <v>0.1694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0.76989999999999992</v>
          </cell>
          <cell r="E47">
            <v>0.15110000000000001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0.76989999999999992</v>
          </cell>
          <cell r="E48">
            <v>-0.18730000000000002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0.76989999999999992</v>
          </cell>
          <cell r="E49">
            <v>-0.1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0.76989999999999992</v>
          </cell>
          <cell r="E50">
            <v>3.15E-2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0.76990000000000003</v>
          </cell>
          <cell r="E51">
            <v>-0.1608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0.7286999999999999</v>
          </cell>
          <cell r="E52">
            <v>0.27210000000000001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0.7286999999999999</v>
          </cell>
          <cell r="E53">
            <v>0.34399999999999997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0.73169999999999991</v>
          </cell>
          <cell r="E54">
            <v>-4.5100000000000001E-2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0.73169999999999991</v>
          </cell>
          <cell r="E55">
            <v>-5.2900000000000003E-2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0.73169999999999991</v>
          </cell>
          <cell r="E56">
            <v>0.51049999999999995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0.73169999999999991</v>
          </cell>
          <cell r="E57">
            <v>0.67230000000000001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0.72319999999999995</v>
          </cell>
          <cell r="E58">
            <v>-9.98E-2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0.71859999999999991</v>
          </cell>
          <cell r="E59">
            <v>-9.98E-2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0.72209999999999996</v>
          </cell>
          <cell r="E60">
            <v>0.46689999999999998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0.76329999999999998</v>
          </cell>
          <cell r="E61">
            <v>9.0700000000000003E-2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0.76329999999999998</v>
          </cell>
          <cell r="E62">
            <v>0.27239999999999998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0.76329999999999998</v>
          </cell>
          <cell r="E63">
            <v>1.1285000000000001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0.76329999999999998</v>
          </cell>
          <cell r="E64">
            <v>-0.14700000000000024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0.9506</v>
          </cell>
          <cell r="E65">
            <v>0.30630000000000002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0.9506</v>
          </cell>
          <cell r="E66">
            <v>-0.14660000000000001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0.9506</v>
          </cell>
          <cell r="E67">
            <v>3.0286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1.2250000000000001</v>
          </cell>
          <cell r="E68">
            <v>1.2950999999999999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1.2250000000000001</v>
          </cell>
          <cell r="E69">
            <v>-3.3917999999999999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1.2250000000000001</v>
          </cell>
          <cell r="E70">
            <v>-0.91139999999999999</v>
          </cell>
        </row>
        <row r="71">
          <cell r="A71" t="str">
            <v>1999-070 M</v>
          </cell>
          <cell r="B71">
            <v>37012</v>
          </cell>
          <cell r="C71">
            <v>5.4908999999999999</v>
          </cell>
          <cell r="D71">
            <v>1.0611999999999999</v>
          </cell>
          <cell r="E71">
            <v>0.21460000000000001</v>
          </cell>
        </row>
        <row r="72">
          <cell r="A72" t="str">
            <v>1999-070 N</v>
          </cell>
          <cell r="B72">
            <v>37104</v>
          </cell>
          <cell r="C72">
            <v>3.2307999999999999</v>
          </cell>
          <cell r="D72">
            <v>1.0611999999999999</v>
          </cell>
          <cell r="E72">
            <v>-0.63959999999999995</v>
          </cell>
        </row>
        <row r="73">
          <cell r="A73" t="str">
            <v>1999-070 O</v>
          </cell>
          <cell r="B73">
            <v>37196</v>
          </cell>
          <cell r="C73">
            <v>1.9111</v>
          </cell>
          <cell r="D73">
            <v>1.0611999999999999</v>
          </cell>
          <cell r="E73">
            <v>3.15E-2</v>
          </cell>
        </row>
        <row r="74">
          <cell r="A74" t="str">
            <v>1999-070 P</v>
          </cell>
          <cell r="B74">
            <v>37288</v>
          </cell>
          <cell r="C74">
            <v>1.9111</v>
          </cell>
          <cell r="D74">
            <v>1.0611999999999999</v>
          </cell>
          <cell r="E74">
            <v>3.15E-2</v>
          </cell>
        </row>
        <row r="75">
          <cell r="A75" t="str">
            <v>2002-00251</v>
          </cell>
          <cell r="B75">
            <v>37377</v>
          </cell>
          <cell r="C75">
            <v>1.9111</v>
          </cell>
          <cell r="D75">
            <v>1.0611999999999999</v>
          </cell>
          <cell r="E75">
            <v>3.15E-2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1.0518000000000001</v>
          </cell>
          <cell r="E76">
            <v>3.15E-2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0.80489999999999995</v>
          </cell>
          <cell r="E78">
            <v>3.15E-2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0.92749999999999999</v>
          </cell>
          <cell r="E79">
            <v>3.15E-2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0.92749999999999999</v>
          </cell>
          <cell r="E80">
            <v>3.15E-2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0.92749999999999999</v>
          </cell>
          <cell r="E81">
            <v>3.15E-2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0.92749999999999999</v>
          </cell>
          <cell r="E82">
            <v>3.15E-2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0.91820000000000013</v>
          </cell>
          <cell r="E83">
            <v>3.15E-2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0.92830000000000001</v>
          </cell>
          <cell r="E84">
            <v>3.15E-2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1.0759000000000001</v>
          </cell>
          <cell r="E85">
            <v>3.15E-2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</v>
          </cell>
          <cell r="E86">
            <v>3.15E-2</v>
          </cell>
        </row>
      </sheetData>
      <sheetData sheetId="39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0.97670000000000001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0.96160000000000001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0.96550000000000002</v>
          </cell>
          <cell r="E10">
            <v>3.2500000000000001E-2</v>
          </cell>
          <cell r="F10">
            <v>5.6445999999999996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0.96189999999999998</v>
          </cell>
          <cell r="E11">
            <v>0.19769999999999999</v>
          </cell>
          <cell r="F11">
            <v>5.6445999999999996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0.22470000000000001</v>
          </cell>
          <cell r="E12">
            <v>1.29E-2</v>
          </cell>
          <cell r="F12">
            <v>5.5761000000000003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0.31209999999999999</v>
          </cell>
          <cell r="E13">
            <v>3.8999999999999998E-3</v>
          </cell>
          <cell r="F13">
            <v>5.6570999999999998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0.28889999999999999</v>
          </cell>
          <cell r="E14">
            <v>7.6999999999998181E-3</v>
          </cell>
          <cell r="F14">
            <v>5.6666999999999996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0.30910000000000004</v>
          </cell>
          <cell r="E15">
            <v>5.0399999999999778E-2</v>
          </cell>
          <cell r="F15">
            <v>5.5183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0.2787</v>
          </cell>
          <cell r="E16">
            <v>2.12E-2</v>
          </cell>
          <cell r="F16">
            <v>4.9048999999999996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0.17410000000000003</v>
          </cell>
          <cell r="E17">
            <v>-3.0199999999999783E-2</v>
          </cell>
          <cell r="F17">
            <v>4.5968999999999998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0.1719</v>
          </cell>
          <cell r="E18">
            <v>-1.8000000000002458E-3</v>
          </cell>
          <cell r="F18">
            <v>4.5693999999999999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0.17130000000000001</v>
          </cell>
          <cell r="E19">
            <v>0</v>
          </cell>
          <cell r="F19">
            <v>4.5575000000000001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0.21300000000000002</v>
          </cell>
          <cell r="E20">
            <v>3.4000000000000252E-2</v>
          </cell>
          <cell r="F20">
            <v>4.7096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0.21549999999999997</v>
          </cell>
          <cell r="E21">
            <v>-0.23839999999999995</v>
          </cell>
          <cell r="F21">
            <v>4.7243000000000004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0.2054</v>
          </cell>
          <cell r="E22">
            <v>3.7000000000000002E-3</v>
          </cell>
          <cell r="F22">
            <v>4.5213999999999999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0.1988</v>
          </cell>
          <cell r="E23">
            <v>-1.6000000000000014E-2</v>
          </cell>
          <cell r="F23">
            <v>4.375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0.2109</v>
          </cell>
          <cell r="E24">
            <v>1.000000000000334E-3</v>
          </cell>
          <cell r="F24">
            <v>4.375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0.21079999999999999</v>
          </cell>
          <cell r="E25">
            <v>9.9000000000000199E-3</v>
          </cell>
          <cell r="F25">
            <v>4.375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0.2109</v>
          </cell>
          <cell r="E26">
            <v>-5.3900000000000059E-2</v>
          </cell>
          <cell r="F26">
            <v>4.3760000000000003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0.20670000000000002</v>
          </cell>
          <cell r="E27">
            <v>-1.4100000000000001E-2</v>
          </cell>
          <cell r="F27">
            <v>4.2912999999999997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0.20669999999999999</v>
          </cell>
          <cell r="E28">
            <v>-0.12110000000000021</v>
          </cell>
          <cell r="F28">
            <v>4.2912999999999997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0.27609999999999996</v>
          </cell>
          <cell r="E29">
            <v>0</v>
          </cell>
          <cell r="F29">
            <v>4.5613000000000001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0.22959999999999997</v>
          </cell>
          <cell r="E30">
            <v>8.1000000000002181E-3</v>
          </cell>
          <cell r="F30">
            <v>4.5613000000000001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0.26629999999999998</v>
          </cell>
          <cell r="E31">
            <v>-9.800000000000253E-3</v>
          </cell>
          <cell r="F31">
            <v>5.3216000000000001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0.22570000000000001</v>
          </cell>
          <cell r="E32">
            <v>2.2499999999999999E-2</v>
          </cell>
          <cell r="F32">
            <v>4.5003000000000002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0.2329</v>
          </cell>
          <cell r="E33">
            <v>5.4000000000002935E-3</v>
          </cell>
          <cell r="F33">
            <v>4.7756999999999996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0.2329</v>
          </cell>
          <cell r="E34">
            <v>-0.10470000000000024</v>
          </cell>
          <cell r="F34">
            <v>4.7756999999999996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0.27350000000000002</v>
          </cell>
          <cell r="E35">
            <v>0.115</v>
          </cell>
          <cell r="F35">
            <v>5.6473000000000004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0.27350000000000002</v>
          </cell>
          <cell r="E36">
            <v>-4.469999999999974E-2</v>
          </cell>
          <cell r="F36">
            <v>5.6473000000000004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0.27350000000000002</v>
          </cell>
          <cell r="E37">
            <v>-6.7799999999999638E-2</v>
          </cell>
          <cell r="F37">
            <v>5.6473000000000004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0.21329999999999999</v>
          </cell>
          <cell r="E38">
            <v>-0.15920000000000023</v>
          </cell>
          <cell r="F38">
            <v>4.9629000000000003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0.1867</v>
          </cell>
          <cell r="E39">
            <v>0.10379999999999967</v>
          </cell>
          <cell r="F39">
            <v>4.6555999999999997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0.1867</v>
          </cell>
          <cell r="E40">
            <v>5.259999999999998E-2</v>
          </cell>
          <cell r="F40">
            <v>4.6555999999999997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0.23550000000000001</v>
          </cell>
          <cell r="E41">
            <v>-1.3700000000000045E-2</v>
          </cell>
          <cell r="F41">
            <v>4.6555999999999997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0.23250000000000001</v>
          </cell>
          <cell r="E42">
            <v>1.4300000000000423E-2</v>
          </cell>
          <cell r="F42">
            <v>4.6555999999999997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0.23250000000000001</v>
          </cell>
          <cell r="E43">
            <v>-3.0899999999999928E-2</v>
          </cell>
          <cell r="F43">
            <v>4.6555999999999997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0.23250000000000001</v>
          </cell>
          <cell r="E44">
            <v>0.70840000000000014</v>
          </cell>
          <cell r="F44">
            <v>4.6555999999999997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0.23250000000000001</v>
          </cell>
          <cell r="E45">
            <v>-9.199999999999986E-2</v>
          </cell>
          <cell r="F45">
            <v>4.6555999999999997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0.215</v>
          </cell>
          <cell r="E46">
            <v>0.1694</v>
          </cell>
          <cell r="F46">
            <v>4.2808999999999999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0.215</v>
          </cell>
          <cell r="E47">
            <v>0.15110000000000001</v>
          </cell>
          <cell r="F47">
            <v>4.2808999999999999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0.215</v>
          </cell>
          <cell r="E48">
            <v>-0.18730000000000002</v>
          </cell>
          <cell r="F48">
            <v>4.2808999999999999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0.215</v>
          </cell>
          <cell r="E49">
            <v>-0.1</v>
          </cell>
          <cell r="F49">
            <v>4.2808999999999999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0.215</v>
          </cell>
          <cell r="E50">
            <v>3.15E-2</v>
          </cell>
          <cell r="F50">
            <v>4.2808999999999999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0.215</v>
          </cell>
          <cell r="E51">
            <v>-0.1608</v>
          </cell>
          <cell r="F51">
            <v>4.2808999999999999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0.17380000000000001</v>
          </cell>
          <cell r="E52">
            <v>0.27210000000000001</v>
          </cell>
          <cell r="F52">
            <v>4.2808999999999999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0.17380000000000001</v>
          </cell>
          <cell r="E53">
            <v>0.34399999999999997</v>
          </cell>
          <cell r="F53">
            <v>4.2808999999999999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0.17680000000000001</v>
          </cell>
          <cell r="E54">
            <v>-4.5100000000000001E-2</v>
          </cell>
          <cell r="F54">
            <v>4.2808999999999999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0.17680000000000001</v>
          </cell>
          <cell r="E55">
            <v>-5.2900000000000003E-2</v>
          </cell>
          <cell r="F55">
            <v>4.2808999999999999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0.17680000000000001</v>
          </cell>
          <cell r="E56">
            <v>0.51049999999999995</v>
          </cell>
          <cell r="F56">
            <v>4.2808999999999999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0.17680000000000001</v>
          </cell>
          <cell r="E57">
            <v>0.67230000000000001</v>
          </cell>
          <cell r="F57">
            <v>4.2808999999999999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0.16310000000000002</v>
          </cell>
          <cell r="E58">
            <v>-9.98E-2</v>
          </cell>
          <cell r="F58">
            <v>4.3211000000000004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0.16189999999999999</v>
          </cell>
          <cell r="E59">
            <v>-9.98E-2</v>
          </cell>
          <cell r="F59">
            <v>4.2945000000000002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0.1628</v>
          </cell>
          <cell r="E60">
            <v>0.46689999999999998</v>
          </cell>
          <cell r="F60">
            <v>4.3144999999999998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0.20400000000000001</v>
          </cell>
          <cell r="E61">
            <v>9.0700000000000003E-2</v>
          </cell>
          <cell r="F61">
            <v>4.3144999999999998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0.20400000000000001</v>
          </cell>
          <cell r="E62">
            <v>0.27239999999999998</v>
          </cell>
          <cell r="F62">
            <v>4.3144999999999998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0.20400000000000001</v>
          </cell>
          <cell r="E63">
            <v>1.1285000000000001</v>
          </cell>
          <cell r="F63">
            <v>4.3144999999999998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0.20400000000000001</v>
          </cell>
          <cell r="E64">
            <v>-0.14700000000000024</v>
          </cell>
          <cell r="F64">
            <v>4.3144999999999998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0.18820000000000001</v>
          </cell>
          <cell r="E65">
            <v>0.30630000000000002</v>
          </cell>
          <cell r="F65">
            <v>4.5294999999999996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0.18820000000000001</v>
          </cell>
          <cell r="E66">
            <v>-0.14660000000000001</v>
          </cell>
          <cell r="F66">
            <v>4.5294999999999996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0.18820000000000001</v>
          </cell>
          <cell r="E67">
            <v>3.0286</v>
          </cell>
          <cell r="F67">
            <v>4.5294999999999996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0.24249999999999999</v>
          </cell>
          <cell r="E68">
            <v>1.2950999999999999</v>
          </cell>
          <cell r="F68">
            <v>5.8369999999999997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0.24249999999999999</v>
          </cell>
          <cell r="E69">
            <v>-3.3917999999999999</v>
          </cell>
          <cell r="F69">
            <v>5.8369999999999997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0.24249999999999999</v>
          </cell>
          <cell r="E70">
            <v>-0.91139999999999999</v>
          </cell>
          <cell r="F70">
            <v>5.8369999999999997</v>
          </cell>
        </row>
        <row r="71">
          <cell r="A71" t="str">
            <v>1999-070 N</v>
          </cell>
          <cell r="B71">
            <v>37012</v>
          </cell>
          <cell r="C71">
            <v>5.4908999999999999</v>
          </cell>
          <cell r="D71">
            <v>0.21010000000000001</v>
          </cell>
          <cell r="E71">
            <v>0.21460000000000001</v>
          </cell>
          <cell r="F71">
            <v>5.0563000000000002</v>
          </cell>
        </row>
        <row r="72">
          <cell r="A72" t="str">
            <v>1999-070 O</v>
          </cell>
          <cell r="B72">
            <v>37104</v>
          </cell>
          <cell r="C72">
            <v>3.2307999999999999</v>
          </cell>
          <cell r="D72">
            <v>0.21010000000000001</v>
          </cell>
          <cell r="E72">
            <v>-0.63959999999999995</v>
          </cell>
          <cell r="F72">
            <v>5.0563000000000002</v>
          </cell>
        </row>
        <row r="73">
          <cell r="A73" t="str">
            <v>1999-070 P</v>
          </cell>
          <cell r="B73">
            <v>37196</v>
          </cell>
          <cell r="C73">
            <v>1.9111</v>
          </cell>
          <cell r="D73">
            <v>0.21010000000000001</v>
          </cell>
          <cell r="E73">
            <v>3.15E-2</v>
          </cell>
          <cell r="F73">
            <v>5.0563000000000002</v>
          </cell>
        </row>
        <row r="74">
          <cell r="A74" t="str">
            <v>2002-00113</v>
          </cell>
          <cell r="B74">
            <v>37377</v>
          </cell>
          <cell r="C74">
            <v>1.9111</v>
          </cell>
          <cell r="D74">
            <v>0.21010000000000001</v>
          </cell>
          <cell r="E74">
            <v>3.15E-2</v>
          </cell>
          <cell r="F74">
            <v>5.0563000000000002</v>
          </cell>
        </row>
        <row r="75">
          <cell r="A75" t="str">
            <v>2002-00251</v>
          </cell>
          <cell r="B75">
            <v>37469</v>
          </cell>
          <cell r="C75">
            <v>1.9111</v>
          </cell>
          <cell r="D75">
            <v>0.21010000000000001</v>
          </cell>
          <cell r="E75">
            <v>3.15E-2</v>
          </cell>
          <cell r="F75">
            <v>5.0563000000000002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0.20069999999999999</v>
          </cell>
          <cell r="E76">
            <v>3.15E-2</v>
          </cell>
          <cell r="F76">
            <v>4.5831999999999997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  <cell r="F77">
            <v>4.7106000000000003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3.3400000000000013E-2</v>
          </cell>
          <cell r="E78">
            <v>3.15E-2</v>
          </cell>
          <cell r="F78">
            <v>4.7106000000000003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3.3400000000000013E-2</v>
          </cell>
          <cell r="E79">
            <v>3.15E-2</v>
          </cell>
          <cell r="F79">
            <v>4.7106000000000003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3.3400000000000013E-2</v>
          </cell>
          <cell r="E80">
            <v>3.15E-2</v>
          </cell>
          <cell r="F80">
            <v>4.7106000000000003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3.3400000000000013E-2</v>
          </cell>
          <cell r="E81">
            <v>3.15E-2</v>
          </cell>
          <cell r="F81">
            <v>4.6295999999999999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3.3400000000000013E-2</v>
          </cell>
          <cell r="E82">
            <v>3.15E-2</v>
          </cell>
          <cell r="F82">
            <v>4.6295999999999999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3.949999999999998E-2</v>
          </cell>
          <cell r="E83">
            <v>3.15E-2</v>
          </cell>
          <cell r="F83">
            <v>4.6387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3.949999999999998E-2</v>
          </cell>
          <cell r="E84">
            <v>3.15E-2</v>
          </cell>
          <cell r="F84">
            <v>4.6387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0.18709999999999999</v>
          </cell>
          <cell r="E85">
            <v>3.15E-2</v>
          </cell>
          <cell r="F85">
            <v>4.6387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0.18709999999999999</v>
          </cell>
          <cell r="E86">
            <v>3.15E-2</v>
          </cell>
          <cell r="F86">
            <v>4.6387</v>
          </cell>
        </row>
      </sheetData>
      <sheetData sheetId="40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0.28760000000000002</v>
          </cell>
          <cell r="E8">
            <v>8.2000000000000007E-3</v>
          </cell>
          <cell r="F8">
            <v>0.13819999999999999</v>
          </cell>
          <cell r="G8">
            <v>2.6513</v>
          </cell>
          <cell r="H8">
            <v>2.86E-2</v>
          </cell>
          <cell r="I8">
            <v>-0.12620000000000001</v>
          </cell>
          <cell r="K8">
            <v>-0.68659999999999999</v>
          </cell>
          <cell r="L8">
            <v>2.0623</v>
          </cell>
          <cell r="M8" t="str">
            <v>I</v>
          </cell>
          <cell r="N8" t="str">
            <v>I</v>
          </cell>
          <cell r="O8" t="str">
            <v>R</v>
          </cell>
          <cell r="P8" t="str">
            <v>N</v>
          </cell>
          <cell r="Q8" t="str">
            <v>R</v>
          </cell>
        </row>
        <row r="9">
          <cell r="A9" t="str">
            <v>95-010 A</v>
          </cell>
          <cell r="B9">
            <v>34999</v>
          </cell>
          <cell r="C9">
            <v>1.9764999999999999</v>
          </cell>
          <cell r="D9">
            <v>0.28760000000000002</v>
          </cell>
          <cell r="E9">
            <v>8.2000000000000007E-3</v>
          </cell>
          <cell r="F9">
            <v>0.1231</v>
          </cell>
          <cell r="G9">
            <v>3.1770999999999998</v>
          </cell>
          <cell r="H9">
            <v>-0.16750000000000001</v>
          </cell>
          <cell r="I9">
            <v>-0.12620000000000001</v>
          </cell>
          <cell r="K9">
            <v>-1.0753999999999999</v>
          </cell>
          <cell r="L9">
            <v>2.3954</v>
          </cell>
          <cell r="M9" t="str">
            <v>I</v>
          </cell>
          <cell r="N9" t="str">
            <v>R</v>
          </cell>
          <cell r="O9" t="str">
            <v>N</v>
          </cell>
          <cell r="P9" t="str">
            <v>N</v>
          </cell>
          <cell r="Q9" t="str">
            <v>R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0.28760000000000002</v>
          </cell>
          <cell r="E10">
            <v>8.2000000000000007E-3</v>
          </cell>
          <cell r="F10">
            <v>7.7499999999999999E-2</v>
          </cell>
          <cell r="G10">
            <v>2.6513</v>
          </cell>
          <cell r="H10">
            <v>-0.16750000000000001</v>
          </cell>
          <cell r="I10">
            <v>-0.21329999999999999</v>
          </cell>
          <cell r="K10">
            <v>-0.70379999999999998</v>
          </cell>
          <cell r="L10">
            <v>2.3283</v>
          </cell>
          <cell r="M10" t="str">
            <v>R</v>
          </cell>
          <cell r="N10" t="str">
            <v>N</v>
          </cell>
          <cell r="O10" t="str">
            <v>R</v>
          </cell>
          <cell r="P10" t="str">
            <v>N</v>
          </cell>
          <cell r="Q10" t="str">
            <v>I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0.28760000000000002</v>
          </cell>
          <cell r="E11">
            <v>8.2000000000000007E-3</v>
          </cell>
          <cell r="F11">
            <v>7.46E-2</v>
          </cell>
          <cell r="G11">
            <v>2.6513</v>
          </cell>
          <cell r="H11">
            <v>-0.16750000000000001</v>
          </cell>
          <cell r="I11">
            <v>-0.11310000000000001</v>
          </cell>
          <cell r="K11">
            <v>-0.53109999999999968</v>
          </cell>
          <cell r="L11">
            <v>2.4008000000000003</v>
          </cell>
          <cell r="M11" t="str">
            <v>I</v>
          </cell>
          <cell r="N11" t="str">
            <v>N</v>
          </cell>
          <cell r="O11" t="str">
            <v>I</v>
          </cell>
          <cell r="P11" t="str">
            <v>N</v>
          </cell>
          <cell r="Q11" t="str">
            <v>I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0.28410000000000002</v>
          </cell>
          <cell r="E12">
            <v>8.2000000000000007E-3</v>
          </cell>
          <cell r="F12">
            <v>7.46E-2</v>
          </cell>
          <cell r="G12">
            <v>2.6513</v>
          </cell>
          <cell r="H12">
            <v>-0.16750000000000001</v>
          </cell>
          <cell r="I12">
            <v>-0.11310000000000001</v>
          </cell>
          <cell r="K12">
            <v>-0.38690000000000008</v>
          </cell>
          <cell r="L12">
            <v>2.5449999999999999</v>
          </cell>
          <cell r="M12" t="str">
            <v>I</v>
          </cell>
          <cell r="N12" t="str">
            <v>N</v>
          </cell>
          <cell r="O12" t="str">
            <v>N</v>
          </cell>
          <cell r="P12" t="str">
            <v>N</v>
          </cell>
          <cell r="Q12" t="str">
            <v>I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0.28820000000000001</v>
          </cell>
          <cell r="E13">
            <v>0</v>
          </cell>
          <cell r="F13">
            <v>6.3200000000000006E-2</v>
          </cell>
          <cell r="G13">
            <v>2.6513</v>
          </cell>
          <cell r="H13">
            <v>-0.16750000000000001</v>
          </cell>
          <cell r="I13">
            <v>-7.6800000000000007E-2</v>
          </cell>
          <cell r="K13">
            <v>-3.5499999999999921E-2</v>
          </cell>
          <cell r="L13">
            <v>2.8601000000000001</v>
          </cell>
          <cell r="M13" t="str">
            <v>I</v>
          </cell>
          <cell r="N13" t="str">
            <v>N</v>
          </cell>
          <cell r="O13" t="str">
            <v>I</v>
          </cell>
          <cell r="P13" t="str">
            <v>N</v>
          </cell>
          <cell r="Q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0.28870000000000001</v>
          </cell>
          <cell r="E14">
            <v>0</v>
          </cell>
          <cell r="F14">
            <v>6.3200000000000006E-2</v>
          </cell>
          <cell r="G14">
            <v>2.6513</v>
          </cell>
          <cell r="H14">
            <v>-0.16750000000000001</v>
          </cell>
          <cell r="I14">
            <v>-7.6800000000000007E-2</v>
          </cell>
          <cell r="K14">
            <v>-0.33379999999999971</v>
          </cell>
          <cell r="L14">
            <v>2.5618000000000003</v>
          </cell>
          <cell r="M14" t="str">
            <v>R</v>
          </cell>
          <cell r="N14" t="str">
            <v>N</v>
          </cell>
          <cell r="O14" t="str">
            <v>N</v>
          </cell>
          <cell r="P14" t="str">
            <v>N</v>
          </cell>
          <cell r="Q14" t="str">
            <v>R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0.27360000000000001</v>
          </cell>
          <cell r="E15">
            <v>0</v>
          </cell>
          <cell r="F15">
            <v>6.6400000000000001E-2</v>
          </cell>
          <cell r="G15">
            <v>2.6513</v>
          </cell>
          <cell r="H15">
            <v>-0.121</v>
          </cell>
          <cell r="I15">
            <v>-6.6900000000000001E-2</v>
          </cell>
          <cell r="K15">
            <v>0.42430000000000007</v>
          </cell>
          <cell r="L15">
            <v>3.2635000000000001</v>
          </cell>
          <cell r="M15" t="str">
            <v>I</v>
          </cell>
          <cell r="N15" t="str">
            <v>I</v>
          </cell>
          <cell r="O15" t="str">
            <v>I</v>
          </cell>
          <cell r="P15" t="str">
            <v>N</v>
          </cell>
          <cell r="Q15" t="str">
            <v>I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0.2432</v>
          </cell>
          <cell r="E16">
            <v>0</v>
          </cell>
          <cell r="F16">
            <v>6.6400000000000001E-2</v>
          </cell>
          <cell r="G16">
            <v>2.6513</v>
          </cell>
          <cell r="H16">
            <v>-0.121</v>
          </cell>
          <cell r="I16">
            <v>-6.6900000000000001E-2</v>
          </cell>
          <cell r="K16">
            <v>0.69199999999999973</v>
          </cell>
          <cell r="L16">
            <v>3.5311999999999997</v>
          </cell>
          <cell r="M16" t="str">
            <v>I</v>
          </cell>
          <cell r="N16" t="str">
            <v>N</v>
          </cell>
          <cell r="O16" t="str">
            <v>N</v>
          </cell>
          <cell r="P16" t="str">
            <v>N</v>
          </cell>
          <cell r="Q16" t="str">
            <v>I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0.22789999999999999</v>
          </cell>
          <cell r="E17">
            <v>0</v>
          </cell>
          <cell r="F17">
            <v>4.2099999999999999E-2</v>
          </cell>
          <cell r="G17">
            <v>2.6513</v>
          </cell>
          <cell r="H17">
            <v>-0.121</v>
          </cell>
          <cell r="I17">
            <v>-9.8000000000000004E-2</v>
          </cell>
          <cell r="K17">
            <v>0.14370000000000024</v>
          </cell>
          <cell r="L17">
            <v>3.0140000000000002</v>
          </cell>
          <cell r="M17" t="str">
            <v>R</v>
          </cell>
          <cell r="N17" t="str">
            <v>N</v>
          </cell>
          <cell r="O17" t="str">
            <v>R</v>
          </cell>
          <cell r="P17" t="str">
            <v>N</v>
          </cell>
          <cell r="Q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0.2266</v>
          </cell>
          <cell r="E18">
            <v>0</v>
          </cell>
          <cell r="F18">
            <v>4.3499999999999997E-2</v>
          </cell>
          <cell r="G18">
            <v>2.6513</v>
          </cell>
          <cell r="H18">
            <v>-0.121</v>
          </cell>
          <cell r="I18">
            <v>-4.4599999999999994E-2</v>
          </cell>
          <cell r="K18">
            <v>0.10399999999999962</v>
          </cell>
          <cell r="L18">
            <v>2.9208999999999996</v>
          </cell>
          <cell r="M18" t="str">
            <v>R</v>
          </cell>
          <cell r="N18" t="str">
            <v>N</v>
          </cell>
          <cell r="O18" t="str">
            <v>I</v>
          </cell>
          <cell r="P18" t="str">
            <v>N</v>
          </cell>
          <cell r="Q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0.22600000000000001</v>
          </cell>
          <cell r="E19">
            <v>0</v>
          </cell>
          <cell r="F19">
            <v>4.3499999999999997E-2</v>
          </cell>
          <cell r="G19">
            <v>2.6513</v>
          </cell>
          <cell r="H19">
            <v>-0.121</v>
          </cell>
          <cell r="I19">
            <v>-4.4599999999999994E-2</v>
          </cell>
          <cell r="K19">
            <v>0.31280000000000002</v>
          </cell>
          <cell r="L19">
            <v>3.1296999999999997</v>
          </cell>
          <cell r="M19" t="str">
            <v>I</v>
          </cell>
          <cell r="N19" t="str">
            <v>N</v>
          </cell>
          <cell r="O19" t="str">
            <v>N</v>
          </cell>
          <cell r="P19" t="str">
            <v>N</v>
          </cell>
          <cell r="Q19" t="str">
            <v>I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0.23350000000000001</v>
          </cell>
          <cell r="E20">
            <v>0</v>
          </cell>
          <cell r="F20">
            <v>4.7500000000000001E-2</v>
          </cell>
          <cell r="G20">
            <v>2.6513</v>
          </cell>
          <cell r="H20">
            <v>-0.121</v>
          </cell>
          <cell r="I20">
            <v>-3.5399999999999994E-2</v>
          </cell>
          <cell r="K20">
            <v>-5.0299999999999997E-2</v>
          </cell>
          <cell r="L20">
            <v>2.7573999999999996</v>
          </cell>
          <cell r="M20" t="str">
            <v>R</v>
          </cell>
          <cell r="N20" t="str">
            <v>N</v>
          </cell>
          <cell r="O20" t="str">
            <v>I</v>
          </cell>
          <cell r="P20" t="str">
            <v>N</v>
          </cell>
          <cell r="Q20" t="str">
            <v>R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0.2336</v>
          </cell>
          <cell r="E21">
            <v>0</v>
          </cell>
          <cell r="F21">
            <v>4.99E-2</v>
          </cell>
          <cell r="G21">
            <v>2.6513</v>
          </cell>
          <cell r="H21">
            <v>-3.3999999999999998E-3</v>
          </cell>
          <cell r="I21">
            <v>-3.5400000000000001E-2</v>
          </cell>
          <cell r="K21">
            <v>-2.7900000000000001E-2</v>
          </cell>
          <cell r="L21">
            <v>2.6621999999999999</v>
          </cell>
          <cell r="M21" t="str">
            <v>R</v>
          </cell>
          <cell r="N21" t="str">
            <v>I</v>
          </cell>
          <cell r="O21" t="str">
            <v>N</v>
          </cell>
          <cell r="P21" t="str">
            <v>N</v>
          </cell>
          <cell r="Q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0.22359999999999999</v>
          </cell>
          <cell r="E22">
            <v>0</v>
          </cell>
          <cell r="F22">
            <v>4.9799999999999997E-2</v>
          </cell>
          <cell r="G22">
            <v>2.6513</v>
          </cell>
          <cell r="H22">
            <v>-3.3999999999999998E-3</v>
          </cell>
          <cell r="I22">
            <v>-2.8799999999999999E-2</v>
          </cell>
          <cell r="K22">
            <v>1.8499999999999999E-2</v>
          </cell>
          <cell r="L22">
            <v>2.7019999999999995</v>
          </cell>
          <cell r="M22" t="str">
            <v>I</v>
          </cell>
          <cell r="N22" t="str">
            <v>N</v>
          </cell>
          <cell r="O22" t="str">
            <v>I</v>
          </cell>
          <cell r="P22" t="str">
            <v>N</v>
          </cell>
          <cell r="Q22" t="str">
            <v>I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0.21629999999999999</v>
          </cell>
          <cell r="E23">
            <v>0</v>
          </cell>
          <cell r="F23">
            <v>4.9799999999999997E-2</v>
          </cell>
          <cell r="G23">
            <v>2.6513</v>
          </cell>
          <cell r="H23">
            <v>-3.3999999999999998E-3</v>
          </cell>
          <cell r="I23">
            <v>-2.6599999999999999E-2</v>
          </cell>
          <cell r="K23">
            <v>0.41329999999999978</v>
          </cell>
          <cell r="L23">
            <v>3.0945999999999998</v>
          </cell>
          <cell r="M23" t="str">
            <v>I</v>
          </cell>
          <cell r="N23" t="str">
            <v>N</v>
          </cell>
          <cell r="O23" t="str">
            <v>I</v>
          </cell>
          <cell r="P23" t="str">
            <v>N</v>
          </cell>
          <cell r="Q23" t="str">
            <v>I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0.21629999999999999</v>
          </cell>
          <cell r="E24">
            <v>0</v>
          </cell>
          <cell r="F24">
            <v>6.1899999999999997E-2</v>
          </cell>
          <cell r="G24">
            <v>2.6513</v>
          </cell>
          <cell r="H24">
            <v>-3.3999999999999998E-3</v>
          </cell>
          <cell r="I24">
            <v>-2.6599999999999999E-2</v>
          </cell>
          <cell r="K24">
            <v>0.72919999999999985</v>
          </cell>
          <cell r="L24">
            <v>3.4104999999999999</v>
          </cell>
          <cell r="M24" t="str">
            <v>I</v>
          </cell>
          <cell r="N24" t="str">
            <v>N</v>
          </cell>
          <cell r="O24" t="str">
            <v>N</v>
          </cell>
          <cell r="P24" t="str">
            <v>N</v>
          </cell>
          <cell r="Q24" t="str">
            <v>I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0.21629999999999999</v>
          </cell>
          <cell r="E25">
            <v>0</v>
          </cell>
          <cell r="F25">
            <v>6.1800000000000001E-2</v>
          </cell>
          <cell r="G25">
            <v>2.6513</v>
          </cell>
          <cell r="H25">
            <v>-3.3999999999999998E-3</v>
          </cell>
          <cell r="I25">
            <v>-2.6599999999999999E-2</v>
          </cell>
          <cell r="K25">
            <v>0.78399999999999959</v>
          </cell>
          <cell r="L25">
            <v>3.4652999999999996</v>
          </cell>
          <cell r="M25" t="str">
            <v>I</v>
          </cell>
          <cell r="N25" t="str">
            <v>N</v>
          </cell>
          <cell r="O25" t="str">
            <v>N</v>
          </cell>
          <cell r="P25" t="str">
            <v>N</v>
          </cell>
          <cell r="Q25" t="str">
            <v>I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0.21640000000000001</v>
          </cell>
          <cell r="E26">
            <v>0</v>
          </cell>
          <cell r="F26">
            <v>6.1800000000000001E-2</v>
          </cell>
          <cell r="G26">
            <v>2.6513</v>
          </cell>
          <cell r="H26">
            <v>-3.3999999999999998E-3</v>
          </cell>
          <cell r="I26">
            <v>-2.6599999999999999E-2</v>
          </cell>
          <cell r="K26">
            <v>0.3409000000000002</v>
          </cell>
          <cell r="L26">
            <v>3.0222000000000002</v>
          </cell>
          <cell r="M26" t="str">
            <v>R</v>
          </cell>
          <cell r="N26" t="str">
            <v>N</v>
          </cell>
          <cell r="O26" t="str">
            <v>N</v>
          </cell>
          <cell r="P26" t="str">
            <v>N</v>
          </cell>
          <cell r="Q26" t="str">
            <v>R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0.2122</v>
          </cell>
          <cell r="E27">
            <v>0</v>
          </cell>
          <cell r="F27">
            <v>6.1800000000000001E-2</v>
          </cell>
          <cell r="G27">
            <v>2.6513</v>
          </cell>
          <cell r="H27">
            <v>9.3799999999999994E-2</v>
          </cell>
          <cell r="I27">
            <v>-2.6599999999999999E-2</v>
          </cell>
          <cell r="K27">
            <v>-0.15849999999999981</v>
          </cell>
          <cell r="L27">
            <v>2.4256000000000002</v>
          </cell>
          <cell r="M27" t="str">
            <v>R</v>
          </cell>
          <cell r="N27" t="str">
            <v>I</v>
          </cell>
          <cell r="O27" t="str">
            <v>N</v>
          </cell>
          <cell r="P27" t="str">
            <v>N</v>
          </cell>
          <cell r="Q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0.2122</v>
          </cell>
          <cell r="E28">
            <v>0</v>
          </cell>
          <cell r="F28">
            <v>6.1800000000000001E-2</v>
          </cell>
          <cell r="G28">
            <v>2.6513</v>
          </cell>
          <cell r="H28">
            <v>9.3799999999999994E-2</v>
          </cell>
          <cell r="I28">
            <v>-2.6599999999999999E-2</v>
          </cell>
          <cell r="K28">
            <v>-0.32819999999999999</v>
          </cell>
          <cell r="L28">
            <v>2.2559</v>
          </cell>
          <cell r="M28" t="str">
            <v>R</v>
          </cell>
          <cell r="N28" t="str">
            <v>N</v>
          </cell>
          <cell r="O28" t="str">
            <v>N</v>
          </cell>
          <cell r="P28" t="str">
            <v>N</v>
          </cell>
          <cell r="Q28" t="str">
            <v>R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0.22550000000000001</v>
          </cell>
          <cell r="E29">
            <v>0</v>
          </cell>
          <cell r="F29">
            <v>5.2900000000000003E-2</v>
          </cell>
          <cell r="G29">
            <v>2.6513</v>
          </cell>
          <cell r="H29">
            <v>9.3799999999999994E-2</v>
          </cell>
          <cell r="I29">
            <v>-1.1799999999999998E-2</v>
          </cell>
          <cell r="K29">
            <v>-2.350000000000016E-2</v>
          </cell>
          <cell r="L29">
            <v>2.5457999999999998</v>
          </cell>
          <cell r="M29" t="str">
            <v>I</v>
          </cell>
          <cell r="N29" t="str">
            <v>N</v>
          </cell>
          <cell r="O29" t="str">
            <v>I</v>
          </cell>
          <cell r="P29" t="str">
            <v>N</v>
          </cell>
          <cell r="Q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0.22550000000000001</v>
          </cell>
          <cell r="E30">
            <v>0</v>
          </cell>
          <cell r="F30">
            <v>5.2900000000000003E-2</v>
          </cell>
          <cell r="G30">
            <v>2.6513</v>
          </cell>
          <cell r="H30">
            <v>9.3799999999999994E-2</v>
          </cell>
          <cell r="I30">
            <v>-0.01</v>
          </cell>
          <cell r="K30">
            <v>0.1341</v>
          </cell>
          <cell r="L30">
            <v>2.7016</v>
          </cell>
          <cell r="M30" t="str">
            <v>I</v>
          </cell>
          <cell r="N30" t="str">
            <v>N</v>
          </cell>
          <cell r="O30" t="str">
            <v>I</v>
          </cell>
          <cell r="P30" t="str">
            <v>N</v>
          </cell>
          <cell r="Q30" t="str">
            <v>I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0.2631</v>
          </cell>
          <cell r="E31">
            <v>0</v>
          </cell>
          <cell r="F31">
            <v>5.1999999999999998E-2</v>
          </cell>
          <cell r="G31">
            <v>2.6513</v>
          </cell>
          <cell r="H31">
            <v>9.3799999999999994E-2</v>
          </cell>
          <cell r="I31">
            <v>-0.01</v>
          </cell>
          <cell r="K31">
            <v>0.38239999999999996</v>
          </cell>
          <cell r="L31">
            <v>2.9499</v>
          </cell>
          <cell r="M31" t="str">
            <v>I</v>
          </cell>
          <cell r="N31" t="str">
            <v>N</v>
          </cell>
          <cell r="O31" t="str">
            <v>N</v>
          </cell>
          <cell r="P31" t="str">
            <v>N</v>
          </cell>
          <cell r="Q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0.2225</v>
          </cell>
          <cell r="E32">
            <v>0</v>
          </cell>
          <cell r="F32">
            <v>5.1999999999999998E-2</v>
          </cell>
          <cell r="G32">
            <v>2.6513</v>
          </cell>
          <cell r="H32">
            <v>9.3799999999999994E-2</v>
          </cell>
          <cell r="I32">
            <v>-0.01</v>
          </cell>
          <cell r="K32">
            <v>0.32480000000000009</v>
          </cell>
          <cell r="L32">
            <v>2.8923000000000001</v>
          </cell>
          <cell r="M32" t="str">
            <v>R</v>
          </cell>
          <cell r="N32" t="str">
            <v>N</v>
          </cell>
          <cell r="O32" t="str">
            <v>N</v>
          </cell>
          <cell r="P32" t="str">
            <v>N</v>
          </cell>
          <cell r="Q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0.2225</v>
          </cell>
          <cell r="E33">
            <v>0</v>
          </cell>
          <cell r="F33">
            <v>5.9200000000000003E-2</v>
          </cell>
          <cell r="G33">
            <v>2.6513</v>
          </cell>
          <cell r="H33">
            <v>0.1211</v>
          </cell>
          <cell r="I33">
            <v>-0.01</v>
          </cell>
          <cell r="K33">
            <v>0.55450000000000044</v>
          </cell>
          <cell r="L33">
            <v>3.0947000000000005</v>
          </cell>
          <cell r="M33" t="str">
            <v>I</v>
          </cell>
          <cell r="N33" t="str">
            <v>I</v>
          </cell>
          <cell r="O33" t="str">
            <v>N</v>
          </cell>
          <cell r="P33" t="str">
            <v>N</v>
          </cell>
          <cell r="Q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0.2225</v>
          </cell>
          <cell r="E34">
            <v>0</v>
          </cell>
          <cell r="F34">
            <v>5.9200000000000003E-2</v>
          </cell>
          <cell r="G34">
            <v>2.6513</v>
          </cell>
          <cell r="H34">
            <v>0.1211</v>
          </cell>
          <cell r="I34">
            <v>-1.66E-2</v>
          </cell>
          <cell r="K34">
            <v>1.6850999999999996</v>
          </cell>
          <cell r="L34">
            <v>4.2318999999999996</v>
          </cell>
          <cell r="M34" t="str">
            <v>I</v>
          </cell>
          <cell r="N34" t="str">
            <v>N</v>
          </cell>
          <cell r="O34" t="str">
            <v>R</v>
          </cell>
          <cell r="P34" t="str">
            <v>N</v>
          </cell>
          <cell r="Q34" t="str">
            <v>I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0.2631</v>
          </cell>
          <cell r="E35">
            <v>0</v>
          </cell>
          <cell r="F35">
            <v>5.9200000000000003E-2</v>
          </cell>
          <cell r="G35">
            <v>2.6513</v>
          </cell>
          <cell r="H35">
            <v>0.1211</v>
          </cell>
          <cell r="I35">
            <v>-1.66E-2</v>
          </cell>
          <cell r="K35">
            <v>1.7152999999999994</v>
          </cell>
          <cell r="L35">
            <v>4.2620999999999993</v>
          </cell>
          <cell r="M35" t="str">
            <v>I</v>
          </cell>
          <cell r="N35" t="str">
            <v>N</v>
          </cell>
          <cell r="O35" t="str">
            <v>N</v>
          </cell>
          <cell r="P35" t="str">
            <v>N</v>
          </cell>
          <cell r="Q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0.2631</v>
          </cell>
          <cell r="E36">
            <v>0</v>
          </cell>
          <cell r="F36">
            <v>5.9200000000000003E-2</v>
          </cell>
          <cell r="G36">
            <v>2.6513</v>
          </cell>
          <cell r="H36">
            <v>0.1211</v>
          </cell>
          <cell r="I36">
            <v>-1.66E-2</v>
          </cell>
          <cell r="K36">
            <v>0.8593000000000004</v>
          </cell>
          <cell r="L36">
            <v>3.4061000000000003</v>
          </cell>
          <cell r="M36" t="str">
            <v>R</v>
          </cell>
          <cell r="N36" t="str">
            <v>N</v>
          </cell>
          <cell r="O36" t="str">
            <v>N</v>
          </cell>
          <cell r="P36" t="str">
            <v>N</v>
          </cell>
          <cell r="Q36" t="str">
            <v>R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0.2631</v>
          </cell>
          <cell r="E37">
            <v>0</v>
          </cell>
          <cell r="F37">
            <v>5.9200000000000003E-2</v>
          </cell>
          <cell r="G37">
            <v>2.6513</v>
          </cell>
          <cell r="H37">
            <v>0.1211</v>
          </cell>
          <cell r="I37">
            <v>-1.8200000000000001E-2</v>
          </cell>
          <cell r="K37">
            <v>0.41730000000000045</v>
          </cell>
          <cell r="L37">
            <v>2.9657000000000004</v>
          </cell>
          <cell r="M37" t="str">
            <v>R</v>
          </cell>
          <cell r="N37" t="str">
            <v>N</v>
          </cell>
          <cell r="O37" t="str">
            <v>R</v>
          </cell>
          <cell r="P37" t="str">
            <v>N</v>
          </cell>
          <cell r="Q37" t="str">
            <v>R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0.23119999999999999</v>
          </cell>
          <cell r="E38">
            <v>0</v>
          </cell>
          <cell r="F38">
            <v>3.09E-2</v>
          </cell>
          <cell r="G38">
            <v>2.6513</v>
          </cell>
          <cell r="H38">
            <v>0.1211</v>
          </cell>
          <cell r="I38">
            <v>-1.8200000000000001E-2</v>
          </cell>
          <cell r="K38">
            <v>0.19569999999999999</v>
          </cell>
          <cell r="L38">
            <v>2.7441</v>
          </cell>
          <cell r="M38" t="str">
            <v>R</v>
          </cell>
          <cell r="N38" t="str">
            <v>N</v>
          </cell>
          <cell r="O38" t="str">
            <v>N</v>
          </cell>
          <cell r="P38" t="str">
            <v>N</v>
          </cell>
          <cell r="Q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0.21690000000000001</v>
          </cell>
          <cell r="E39">
            <v>0</v>
          </cell>
          <cell r="F39">
            <v>1.8599999999999998E-2</v>
          </cell>
          <cell r="G39">
            <v>2.6513</v>
          </cell>
          <cell r="H39">
            <v>-0.1147</v>
          </cell>
          <cell r="I39">
            <v>-1.8200000000000001E-2</v>
          </cell>
          <cell r="K39">
            <v>1.1100000000000138E-2</v>
          </cell>
          <cell r="L39">
            <v>2.7953000000000001</v>
          </cell>
          <cell r="M39" t="str">
            <v>I</v>
          </cell>
          <cell r="N39" t="str">
            <v>R</v>
          </cell>
          <cell r="O39" t="str">
            <v>N</v>
          </cell>
          <cell r="P39" t="str">
            <v>N</v>
          </cell>
          <cell r="Q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0.21690000000000001</v>
          </cell>
          <cell r="E40">
            <v>0</v>
          </cell>
          <cell r="F40">
            <v>1.8599999999999998E-2</v>
          </cell>
          <cell r="G40">
            <v>2.6513</v>
          </cell>
          <cell r="H40">
            <v>-0.1147</v>
          </cell>
          <cell r="I40">
            <v>-1.8200000000000001E-2</v>
          </cell>
          <cell r="K40">
            <v>0.1839000000000002</v>
          </cell>
          <cell r="L40">
            <v>2.9681000000000002</v>
          </cell>
          <cell r="M40" t="str">
            <v>I</v>
          </cell>
          <cell r="N40" t="str">
            <v>N</v>
          </cell>
          <cell r="O40" t="str">
            <v>N</v>
          </cell>
          <cell r="P40" t="str">
            <v>N</v>
          </cell>
          <cell r="Q40" t="str">
            <v>I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0.21690000000000001</v>
          </cell>
          <cell r="E41">
            <v>0</v>
          </cell>
          <cell r="F41">
            <v>1.8599999999999998E-2</v>
          </cell>
          <cell r="G41">
            <v>2.6513</v>
          </cell>
          <cell r="H41">
            <v>-0.1147</v>
          </cell>
          <cell r="I41">
            <v>-1.9E-3</v>
          </cell>
          <cell r="K41">
            <v>0.3622999999999999</v>
          </cell>
          <cell r="L41">
            <v>3.1301999999999999</v>
          </cell>
          <cell r="M41" t="str">
            <v>I</v>
          </cell>
          <cell r="N41" t="str">
            <v>N</v>
          </cell>
          <cell r="O41" t="str">
            <v>I</v>
          </cell>
          <cell r="P41" t="str">
            <v>N</v>
          </cell>
          <cell r="Q41" t="str">
            <v>I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0.21690000000000001</v>
          </cell>
          <cell r="E42">
            <v>0</v>
          </cell>
          <cell r="F42">
            <v>1.8599999999999998E-2</v>
          </cell>
          <cell r="G42">
            <v>2.6513</v>
          </cell>
          <cell r="H42">
            <v>-0.1147</v>
          </cell>
          <cell r="I42">
            <v>-8.8999999999999999E-3</v>
          </cell>
          <cell r="K42">
            <v>9.9199999999999885E-2</v>
          </cell>
          <cell r="L42">
            <v>2.8740999999999999</v>
          </cell>
          <cell r="M42" t="str">
            <v>R</v>
          </cell>
          <cell r="N42" t="str">
            <v>N</v>
          </cell>
          <cell r="O42" t="str">
            <v>R</v>
          </cell>
          <cell r="P42" t="str">
            <v>N</v>
          </cell>
          <cell r="Q42" t="str">
            <v>R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0.21690000000000001</v>
          </cell>
          <cell r="E43">
            <v>0</v>
          </cell>
          <cell r="F43">
            <v>1.8599999999999998E-2</v>
          </cell>
          <cell r="G43">
            <v>2.6513</v>
          </cell>
          <cell r="H43">
            <v>-0.1147</v>
          </cell>
          <cell r="I43">
            <v>-8.8999999999999999E-3</v>
          </cell>
          <cell r="K43">
            <v>0.17740000000000017</v>
          </cell>
          <cell r="L43">
            <v>2.9523000000000001</v>
          </cell>
          <cell r="M43" t="str">
            <v>I</v>
          </cell>
          <cell r="N43" t="str">
            <v>N</v>
          </cell>
          <cell r="O43" t="str">
            <v>N</v>
          </cell>
          <cell r="P43" t="str">
            <v>N</v>
          </cell>
          <cell r="Q43" t="str">
            <v>I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0.21690000000000001</v>
          </cell>
          <cell r="E44">
            <v>0</v>
          </cell>
          <cell r="F44">
            <v>1.8599999999999998E-2</v>
          </cell>
          <cell r="G44">
            <v>2.6513</v>
          </cell>
          <cell r="H44">
            <v>-0.1147</v>
          </cell>
          <cell r="I44">
            <v>-8.8999999999999999E-3</v>
          </cell>
          <cell r="K44">
            <v>-0.1391</v>
          </cell>
          <cell r="L44">
            <v>2.6358000000000001</v>
          </cell>
          <cell r="M44" t="str">
            <v>R</v>
          </cell>
          <cell r="N44" t="str">
            <v>N</v>
          </cell>
          <cell r="O44" t="str">
            <v>N</v>
          </cell>
          <cell r="P44" t="str">
            <v>N</v>
          </cell>
          <cell r="Q44" t="str">
            <v>R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0.21690000000000001</v>
          </cell>
          <cell r="E45">
            <v>0</v>
          </cell>
          <cell r="F45">
            <v>1.8599999999999998E-2</v>
          </cell>
          <cell r="G45">
            <v>2.6513</v>
          </cell>
          <cell r="H45">
            <v>-0.311</v>
          </cell>
          <cell r="I45">
            <v>-2.1899999999999999E-2</v>
          </cell>
          <cell r="K45">
            <v>-0.34919999999999973</v>
          </cell>
          <cell r="L45">
            <v>2.6350000000000002</v>
          </cell>
          <cell r="M45" t="str">
            <v>R</v>
          </cell>
          <cell r="N45" t="str">
            <v>R</v>
          </cell>
          <cell r="O45" t="str">
            <v>R</v>
          </cell>
          <cell r="P45" t="str">
            <v>N</v>
          </cell>
          <cell r="Q45" t="str">
            <v>R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0.19939999999999999</v>
          </cell>
          <cell r="E46">
            <v>0</v>
          </cell>
          <cell r="F46">
            <v>1.8599999999999998E-2</v>
          </cell>
          <cell r="G46">
            <v>2.6513</v>
          </cell>
          <cell r="H46">
            <v>-0.311</v>
          </cell>
          <cell r="I46">
            <v>-2.1899999999999999E-2</v>
          </cell>
          <cell r="K46">
            <v>-1.9299999999999873E-2</v>
          </cell>
          <cell r="L46">
            <v>2.9649000000000001</v>
          </cell>
          <cell r="M46" t="str">
            <v>I</v>
          </cell>
          <cell r="N46" t="str">
            <v>N</v>
          </cell>
          <cell r="O46" t="str">
            <v>N</v>
          </cell>
          <cell r="P46" t="str">
            <v>N</v>
          </cell>
          <cell r="Q46" t="str">
            <v>I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0.19939999999999999</v>
          </cell>
          <cell r="E47">
            <v>0</v>
          </cell>
          <cell r="F47">
            <v>1.8599999999999998E-2</v>
          </cell>
          <cell r="G47">
            <v>2.6513</v>
          </cell>
          <cell r="H47">
            <v>-0.311</v>
          </cell>
          <cell r="I47">
            <v>-2.1899999999999999E-2</v>
          </cell>
          <cell r="K47">
            <v>-0.18049999999999988</v>
          </cell>
          <cell r="L47">
            <v>2.8037000000000001</v>
          </cell>
          <cell r="M47" t="str">
            <v>R</v>
          </cell>
          <cell r="N47" t="str">
            <v>N</v>
          </cell>
          <cell r="O47" t="str">
            <v>N</v>
          </cell>
          <cell r="P47" t="str">
            <v>N</v>
          </cell>
          <cell r="Q47" t="str">
            <v>R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0.19939999999999999</v>
          </cell>
          <cell r="E48">
            <v>0</v>
          </cell>
          <cell r="F48">
            <v>1.8599999999999998E-2</v>
          </cell>
          <cell r="G48">
            <v>2.6513</v>
          </cell>
          <cell r="H48">
            <v>-0.311</v>
          </cell>
          <cell r="I48">
            <v>-2.1899999999999999E-2</v>
          </cell>
          <cell r="K48">
            <v>-0.28010000000000002</v>
          </cell>
          <cell r="L48">
            <v>2.7040999999999999</v>
          </cell>
          <cell r="M48" t="str">
            <v>R</v>
          </cell>
          <cell r="N48" t="str">
            <v>N</v>
          </cell>
          <cell r="O48" t="str">
            <v>N</v>
          </cell>
          <cell r="P48" t="str">
            <v>N</v>
          </cell>
          <cell r="Q48" t="str">
            <v>R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0.19939999999999999</v>
          </cell>
          <cell r="E49">
            <v>0</v>
          </cell>
          <cell r="F49">
            <v>1.8599999999999998E-2</v>
          </cell>
          <cell r="G49">
            <v>2.6513</v>
          </cell>
          <cell r="H49">
            <v>-0.311</v>
          </cell>
          <cell r="I49">
            <v>-2.0299999999999999E-2</v>
          </cell>
          <cell r="J49">
            <v>2.47E-2</v>
          </cell>
          <cell r="K49">
            <v>-0.64559999999999995</v>
          </cell>
          <cell r="L49">
            <v>2.3123</v>
          </cell>
          <cell r="M49" t="str">
            <v>R</v>
          </cell>
          <cell r="N49" t="str">
            <v>N</v>
          </cell>
          <cell r="O49" t="str">
            <v>I</v>
          </cell>
          <cell r="P49" t="str">
            <v>I</v>
          </cell>
          <cell r="Q49" t="str">
            <v>R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0.19939999999999999</v>
          </cell>
          <cell r="E50">
            <v>0</v>
          </cell>
          <cell r="F50">
            <v>1.8599999999999998E-2</v>
          </cell>
          <cell r="G50">
            <v>2.6513</v>
          </cell>
          <cell r="H50">
            <v>-0.311</v>
          </cell>
          <cell r="I50">
            <v>-2.0299999999999999E-2</v>
          </cell>
          <cell r="J50">
            <v>2.47E-2</v>
          </cell>
          <cell r="K50">
            <v>-0.70509999999999984</v>
          </cell>
          <cell r="L50">
            <v>2.2528000000000001</v>
          </cell>
          <cell r="M50" t="str">
            <v>R</v>
          </cell>
          <cell r="N50" t="str">
            <v>N</v>
          </cell>
          <cell r="O50" t="str">
            <v>N</v>
          </cell>
          <cell r="P50" t="str">
            <v>N</v>
          </cell>
          <cell r="Q50" t="str">
            <v>R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0.19939999999999999</v>
          </cell>
          <cell r="E51">
            <v>0</v>
          </cell>
          <cell r="F51">
            <v>1.8599999999999998E-2</v>
          </cell>
          <cell r="G51">
            <v>2.6513</v>
          </cell>
          <cell r="H51">
            <v>-0.18820000000000001</v>
          </cell>
          <cell r="I51">
            <v>-3.3000000000000002E-2</v>
          </cell>
          <cell r="J51">
            <v>2.47E-2</v>
          </cell>
          <cell r="K51">
            <v>-0.6692999999999999</v>
          </cell>
          <cell r="L51">
            <v>2.1785000000000001</v>
          </cell>
          <cell r="M51" t="str">
            <v>R</v>
          </cell>
          <cell r="N51" t="str">
            <v>I</v>
          </cell>
          <cell r="O51" t="str">
            <v>R</v>
          </cell>
          <cell r="P51" t="str">
            <v>N</v>
          </cell>
          <cell r="Q51" t="str">
            <v>I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0.19939999999999999</v>
          </cell>
          <cell r="E52">
            <v>0</v>
          </cell>
          <cell r="F52">
            <v>1.8599999999999998E-2</v>
          </cell>
          <cell r="G52">
            <v>2.6513</v>
          </cell>
          <cell r="H52">
            <v>-0.18820000000000001</v>
          </cell>
          <cell r="I52">
            <v>-3.3000000000000002E-2</v>
          </cell>
          <cell r="J52">
            <v>2.47E-2</v>
          </cell>
          <cell r="K52">
            <v>-0.76589999999999991</v>
          </cell>
          <cell r="L52">
            <v>2.0819000000000001</v>
          </cell>
          <cell r="M52" t="str">
            <v>R</v>
          </cell>
          <cell r="N52" t="str">
            <v>N</v>
          </cell>
          <cell r="O52" t="str">
            <v>N</v>
          </cell>
          <cell r="P52" t="str">
            <v>N</v>
          </cell>
          <cell r="Q52" t="str">
            <v>R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0.19939999999999999</v>
          </cell>
          <cell r="E53">
            <v>0</v>
          </cell>
          <cell r="F53">
            <v>1.8599999999999998E-2</v>
          </cell>
          <cell r="G53">
            <v>2.6513</v>
          </cell>
          <cell r="H53">
            <v>-0.18820000000000001</v>
          </cell>
          <cell r="I53">
            <v>-3.3000000000000002E-2</v>
          </cell>
          <cell r="J53">
            <v>2.47E-2</v>
          </cell>
          <cell r="K53">
            <v>-0.34240000000000015</v>
          </cell>
          <cell r="L53">
            <v>2.5053999999999998</v>
          </cell>
          <cell r="M53" t="str">
            <v>I</v>
          </cell>
          <cell r="N53" t="str">
            <v>N</v>
          </cell>
          <cell r="O53" t="str">
            <v>N</v>
          </cell>
          <cell r="P53" t="str">
            <v>N</v>
          </cell>
          <cell r="Q53" t="str">
            <v>I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0.19939999999999999</v>
          </cell>
          <cell r="E54">
            <v>0</v>
          </cell>
          <cell r="F54">
            <v>1.8599999999999998E-2</v>
          </cell>
          <cell r="G54">
            <v>2.6513</v>
          </cell>
          <cell r="H54">
            <v>-0.18820000000000001</v>
          </cell>
          <cell r="I54">
            <v>-2.5700000000000001E-2</v>
          </cell>
          <cell r="J54">
            <v>2.47E-2</v>
          </cell>
          <cell r="K54">
            <v>-1.2100000000000194E-2</v>
          </cell>
          <cell r="L54">
            <v>2.8283999999999998</v>
          </cell>
          <cell r="M54" t="str">
            <v>I</v>
          </cell>
          <cell r="N54" t="str">
            <v>N</v>
          </cell>
          <cell r="O54" t="str">
            <v>I</v>
          </cell>
          <cell r="P54" t="str">
            <v>N</v>
          </cell>
          <cell r="Q54" t="str">
            <v>I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0.19939999999999999</v>
          </cell>
          <cell r="E55">
            <v>0</v>
          </cell>
          <cell r="F55">
            <v>1.8599999999999998E-2</v>
          </cell>
          <cell r="G55">
            <v>2.6513</v>
          </cell>
          <cell r="H55">
            <v>-0.18820000000000001</v>
          </cell>
          <cell r="I55">
            <v>-2.5700000000000001E-2</v>
          </cell>
          <cell r="J55">
            <v>2.47E-2</v>
          </cell>
          <cell r="K55">
            <v>-0.22559999999999999</v>
          </cell>
          <cell r="L55">
            <v>2.6149</v>
          </cell>
          <cell r="M55" t="str">
            <v>R</v>
          </cell>
          <cell r="N55" t="str">
            <v>N</v>
          </cell>
          <cell r="O55" t="str">
            <v>N</v>
          </cell>
          <cell r="P55" t="str">
            <v>N</v>
          </cell>
          <cell r="Q55" t="str">
            <v>R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0.19939999999999999</v>
          </cell>
          <cell r="E56">
            <v>0</v>
          </cell>
          <cell r="F56">
            <v>1.8599999999999998E-2</v>
          </cell>
          <cell r="G56">
            <v>2.6513</v>
          </cell>
          <cell r="H56">
            <v>-0.18820000000000001</v>
          </cell>
          <cell r="I56">
            <v>-2.5700000000000001E-2</v>
          </cell>
          <cell r="J56">
            <v>2.47E-2</v>
          </cell>
          <cell r="K56">
            <v>-0.23629999999999993</v>
          </cell>
          <cell r="L56">
            <v>2.6042000000000001</v>
          </cell>
          <cell r="M56" t="str">
            <v>R</v>
          </cell>
          <cell r="N56" t="str">
            <v>N</v>
          </cell>
          <cell r="O56" t="str">
            <v>N</v>
          </cell>
          <cell r="P56" t="str">
            <v>N</v>
          </cell>
          <cell r="Q56" t="str">
            <v>R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0.19939999999999999</v>
          </cell>
          <cell r="E57">
            <v>0</v>
          </cell>
          <cell r="F57">
            <v>1.8599999999999998E-2</v>
          </cell>
          <cell r="G57">
            <v>2.6513</v>
          </cell>
          <cell r="H57">
            <v>-0.22389999999999999</v>
          </cell>
          <cell r="I57">
            <v>-1.4999999999999999E-2</v>
          </cell>
          <cell r="J57">
            <v>2.47E-2</v>
          </cell>
          <cell r="K57">
            <v>1.5400000000000025E-2</v>
          </cell>
          <cell r="L57">
            <v>2.8809</v>
          </cell>
          <cell r="M57" t="str">
            <v>I</v>
          </cell>
          <cell r="N57" t="str">
            <v>R</v>
          </cell>
          <cell r="O57" t="str">
            <v>I</v>
          </cell>
          <cell r="P57" t="str">
            <v>N</v>
          </cell>
          <cell r="Q57" t="str">
            <v>I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0.20130000000000001</v>
          </cell>
          <cell r="E58">
            <v>0</v>
          </cell>
          <cell r="F58">
            <v>3.0000000000000001E-3</v>
          </cell>
          <cell r="G58">
            <v>2.6513</v>
          </cell>
          <cell r="H58">
            <v>-0.22389999999999999</v>
          </cell>
          <cell r="I58">
            <v>-1.4999999999999999E-2</v>
          </cell>
          <cell r="J58">
            <v>2.47E-2</v>
          </cell>
          <cell r="K58">
            <v>0.24159999999999998</v>
          </cell>
          <cell r="L58">
            <v>3.1071</v>
          </cell>
          <cell r="M58" t="str">
            <v>I</v>
          </cell>
          <cell r="N58" t="str">
            <v>N</v>
          </cell>
          <cell r="O58" t="str">
            <v>N</v>
          </cell>
          <cell r="P58" t="str">
            <v>N</v>
          </cell>
          <cell r="Q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0.2001</v>
          </cell>
          <cell r="E59">
            <v>0</v>
          </cell>
          <cell r="F59">
            <v>3.0000000000000001E-3</v>
          </cell>
          <cell r="G59">
            <v>2.6513</v>
          </cell>
          <cell r="H59">
            <v>-0.22389999999999999</v>
          </cell>
          <cell r="I59">
            <v>-1.4999999999999999E-2</v>
          </cell>
          <cell r="J59">
            <v>2.47E-2</v>
          </cell>
          <cell r="K59">
            <v>0.27770000000000022</v>
          </cell>
          <cell r="L59">
            <v>3.1432000000000002</v>
          </cell>
          <cell r="M59" t="str">
            <v>I</v>
          </cell>
          <cell r="N59" t="str">
            <v>N</v>
          </cell>
          <cell r="O59" t="str">
            <v>N</v>
          </cell>
          <cell r="P59" t="str">
            <v>N</v>
          </cell>
          <cell r="Q59" t="str">
            <v>I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0.2001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-1.78E-2</v>
          </cell>
          <cell r="J60">
            <v>2.47E-2</v>
          </cell>
          <cell r="K60">
            <v>2.4432999999999998</v>
          </cell>
          <cell r="L60">
            <v>2.6602999999999999</v>
          </cell>
          <cell r="M60" t="str">
            <v>R</v>
          </cell>
          <cell r="N60" t="str">
            <v>N</v>
          </cell>
          <cell r="O60" t="str">
            <v>R</v>
          </cell>
          <cell r="P60" t="str">
            <v>N</v>
          </cell>
          <cell r="Q60" t="str">
            <v>I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0.20100000000000001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-1.78E-2</v>
          </cell>
          <cell r="J61">
            <v>9.3399999999999997E-2</v>
          </cell>
          <cell r="K61">
            <v>2.5894000000000004</v>
          </cell>
          <cell r="L61">
            <v>2.7377000000000002</v>
          </cell>
          <cell r="M61" t="str">
            <v>I</v>
          </cell>
          <cell r="N61" t="str">
            <v>N</v>
          </cell>
          <cell r="O61" t="str">
            <v>N</v>
          </cell>
          <cell r="P61" t="str">
            <v>I</v>
          </cell>
          <cell r="Q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0.20100000000000001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2.8260000000000001</v>
          </cell>
          <cell r="L62">
            <v>2.7377000000000002</v>
          </cell>
          <cell r="M62" t="str">
            <v>N</v>
          </cell>
          <cell r="N62" t="str">
            <v>I</v>
          </cell>
          <cell r="O62" t="str">
            <v>I</v>
          </cell>
          <cell r="P62" t="str">
            <v>N</v>
          </cell>
          <cell r="Q62" t="str">
            <v>I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0.20100000000000001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3.1173999999999999</v>
          </cell>
          <cell r="L63">
            <v>2.7789000000000001</v>
          </cell>
          <cell r="M63" t="str">
            <v>I</v>
          </cell>
          <cell r="N63" t="str">
            <v>I</v>
          </cell>
          <cell r="O63" t="str">
            <v>N</v>
          </cell>
          <cell r="P63" t="str">
            <v>N</v>
          </cell>
          <cell r="Q63" t="str">
            <v>I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0.20100000000000001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3.7172999999999998</v>
          </cell>
          <cell r="L64">
            <v>3.3788</v>
          </cell>
          <cell r="M64" t="str">
            <v>I</v>
          </cell>
          <cell r="N64" t="str">
            <v>N</v>
          </cell>
          <cell r="O64" t="str">
            <v>N</v>
          </cell>
          <cell r="P64" t="str">
            <v>N</v>
          </cell>
          <cell r="Q64" t="str">
            <v>I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0.20100000000000001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5.1387999999999998</v>
          </cell>
          <cell r="L65">
            <v>4.8119999999999994</v>
          </cell>
          <cell r="M65" t="str">
            <v>I</v>
          </cell>
          <cell r="N65" t="str">
            <v>N</v>
          </cell>
          <cell r="O65" t="str">
            <v>R</v>
          </cell>
          <cell r="P65" t="str">
            <v>N</v>
          </cell>
          <cell r="Q65" t="str">
            <v>I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0.20100000000000001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5.7653999999999996</v>
          </cell>
          <cell r="L66">
            <v>5.4363000000000001</v>
          </cell>
          <cell r="M66" t="str">
            <v>I</v>
          </cell>
          <cell r="N66" t="str">
            <v>N</v>
          </cell>
          <cell r="O66" t="str">
            <v>I</v>
          </cell>
          <cell r="P66" t="str">
            <v>N</v>
          </cell>
          <cell r="Q66" t="str">
            <v>I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0.18820000000000001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6.9780000000000006</v>
          </cell>
          <cell r="L67">
            <v>5.7647000000000004</v>
          </cell>
          <cell r="M67" t="str">
            <v>I</v>
          </cell>
          <cell r="N67" t="str">
            <v>I</v>
          </cell>
          <cell r="O67" t="str">
            <v>N</v>
          </cell>
          <cell r="P67" t="str">
            <v>N</v>
          </cell>
          <cell r="Q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0.24249999999999999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8.3855000000000004</v>
          </cell>
          <cell r="L68">
            <v>7.2025999999999994</v>
          </cell>
          <cell r="M68" t="str">
            <v>I</v>
          </cell>
          <cell r="N68" t="str">
            <v>N</v>
          </cell>
          <cell r="O68" t="str">
            <v>I</v>
          </cell>
          <cell r="P68" t="str">
            <v>R</v>
          </cell>
          <cell r="Q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0.24249999999999999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7.4883999999999995</v>
          </cell>
          <cell r="L69">
            <v>6.3054999999999994</v>
          </cell>
          <cell r="M69" t="str">
            <v>R</v>
          </cell>
          <cell r="N69" t="str">
            <v>N</v>
          </cell>
          <cell r="O69" t="str">
            <v>N</v>
          </cell>
          <cell r="P69" t="str">
            <v>N</v>
          </cell>
          <cell r="Q69" t="str">
            <v>R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0.24249999999999999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7.4345999999999997</v>
          </cell>
          <cell r="L70">
            <v>6.2516999999999996</v>
          </cell>
          <cell r="M70" t="str">
            <v>R</v>
          </cell>
          <cell r="N70" t="str">
            <v>N</v>
          </cell>
          <cell r="O70" t="str">
            <v>N</v>
          </cell>
          <cell r="P70" t="str">
            <v>N</v>
          </cell>
          <cell r="Q70" t="str">
            <v>R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0.21010000000000001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7.4924999999999997</v>
          </cell>
          <cell r="L71">
            <v>6.0228999999999999</v>
          </cell>
          <cell r="M71" t="str">
            <v>R</v>
          </cell>
          <cell r="N71" t="str">
            <v>I</v>
          </cell>
          <cell r="O71" t="str">
            <v>R</v>
          </cell>
          <cell r="P71" t="str">
            <v>N</v>
          </cell>
          <cell r="Q71" t="str">
            <v>I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0.21010000000000001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7.3507999999999996</v>
          </cell>
          <cell r="L72">
            <v>5.8811999999999998</v>
          </cell>
          <cell r="M72" t="str">
            <v>R</v>
          </cell>
          <cell r="N72" t="str">
            <v>N</v>
          </cell>
          <cell r="O72" t="str">
            <v>N</v>
          </cell>
          <cell r="P72" t="str">
            <v>N</v>
          </cell>
          <cell r="Q72" t="str">
            <v>R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0.21010000000000001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6.5973999999999995</v>
          </cell>
          <cell r="L73">
            <v>5.1277999999999997</v>
          </cell>
          <cell r="M73" t="str">
            <v>R</v>
          </cell>
          <cell r="N73" t="str">
            <v>N</v>
          </cell>
          <cell r="O73" t="str">
            <v>N</v>
          </cell>
          <cell r="P73" t="str">
            <v>N</v>
          </cell>
          <cell r="Q73" t="str">
            <v>R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0.21010000000000001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6.0127999999999995</v>
          </cell>
          <cell r="L74">
            <v>4.5314999999999994</v>
          </cell>
          <cell r="M74" t="str">
            <v>R</v>
          </cell>
          <cell r="N74" t="str">
            <v>N</v>
          </cell>
          <cell r="O74" t="str">
            <v>I</v>
          </cell>
          <cell r="P74" t="str">
            <v>N</v>
          </cell>
          <cell r="Q74" t="str">
            <v>R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0.21010000000000001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4.0555000000000003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0.21010000000000001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3.6103000000000001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0.21010000000000001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3.5815999999999999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0.21010000000000001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-3.8E-3</v>
          </cell>
          <cell r="J78">
            <v>2.3699999999999999E-2</v>
          </cell>
          <cell r="K78">
            <v>3.5712000000000002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0.19040000000000001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-4.0999999999999995E-2</v>
          </cell>
          <cell r="J79">
            <v>2.3699999999999999E-2</v>
          </cell>
          <cell r="K79">
            <v>4.1805000000000003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0.19040000000000001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-4.0999999999999995E-2</v>
          </cell>
          <cell r="J80">
            <v>7.4700000000000003E-2</v>
          </cell>
          <cell r="K80">
            <v>4.5057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0.19040000000000001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-4.0999999999999995E-2</v>
          </cell>
          <cell r="J81">
            <v>7.4700000000000003E-2</v>
          </cell>
          <cell r="K81">
            <v>7.0023000000000009</v>
          </cell>
        </row>
        <row r="82">
          <cell r="A82" t="str">
            <v>2003-00126</v>
          </cell>
          <cell r="B82" t="str">
            <v>05/01/03</v>
          </cell>
          <cell r="C82">
            <v>5.5705</v>
          </cell>
          <cell r="D82">
            <v>0.19040000000000001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-4.0999999999999995E-2</v>
          </cell>
          <cell r="J82">
            <v>7.4700000000000003E-2</v>
          </cell>
          <cell r="K82">
            <v>6.0110000000000001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0.18709999999999999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-3.9099999999999996E-2</v>
          </cell>
          <cell r="J83">
            <v>7.4700000000000003E-2</v>
          </cell>
          <cell r="K83">
            <v>7.0276999999999994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0.18709999999999999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6.4588999999999999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0.18709999999999999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6.7250999999999994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0.18709999999999999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6.4629000000000003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0.18709999999999999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-5.3999999999999994E-3</v>
          </cell>
          <cell r="J87">
            <v>6.1199999999999997E-2</v>
          </cell>
          <cell r="K87">
            <v>7.4008000000000003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0.18640000000000001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7.3296999999999999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0.18640000000000001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7.3354999999999997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0.18640000000000001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8.6425000000000001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0.18640000000000001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8.6110000000000007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0.18640000000000001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10.547900000000002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0.18640000000000001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10.6008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0.2195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11.331300000000001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0.18390000000000001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8.4754000000000005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0.18390000000000001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7.8447000000000005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0.18390000000000001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7.9135999999999997</v>
          </cell>
        </row>
      </sheetData>
      <sheetData sheetId="41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0.37959999999999999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0.36449999999999999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0.3342</v>
          </cell>
          <cell r="E10">
            <v>3.2500000000000001E-2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0.22819999999999999</v>
          </cell>
          <cell r="E11">
            <v>0.19769999999999999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0.3276</v>
          </cell>
          <cell r="E12">
            <v>1.29E-2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0.31209999999999999</v>
          </cell>
          <cell r="E13">
            <v>3.8999999999999998E-3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0.33699999999999997</v>
          </cell>
          <cell r="E14">
            <v>7.6999999999998181E-3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0.33270000000000005</v>
          </cell>
          <cell r="E15">
            <v>5.0399999999999778E-2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0.30230000000000001</v>
          </cell>
          <cell r="E16">
            <v>2.12E-2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0.245</v>
          </cell>
          <cell r="E17">
            <v>-3.0199999999999783E-2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0.2445</v>
          </cell>
          <cell r="E18">
            <v>-1.8000000000002458E-3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0.24390000000000001</v>
          </cell>
          <cell r="E19">
            <v>0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0.26250000000000001</v>
          </cell>
          <cell r="E20">
            <v>3.4000000000000252E-2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0.26500000000000001</v>
          </cell>
          <cell r="E21">
            <v>-0.23839999999999995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0.25490000000000002</v>
          </cell>
          <cell r="E22">
            <v>3.7000000000000002E-3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0.24779999999999999</v>
          </cell>
          <cell r="E23">
            <v>-1.6000000000000014E-2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0.25990000000000002</v>
          </cell>
          <cell r="E24">
            <v>1.000000000000334E-3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0.25979999999999998</v>
          </cell>
          <cell r="E25">
            <v>9.9000000000000199E-3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0.25990000000000002</v>
          </cell>
          <cell r="E26">
            <v>-5.3900000000000059E-2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0.25570000000000004</v>
          </cell>
          <cell r="E27">
            <v>-1.4100000000000001E-2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0.25570000000000004</v>
          </cell>
          <cell r="E28">
            <v>-0.12110000000000021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0.27779999999999999</v>
          </cell>
          <cell r="E29">
            <v>0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0.26489999999999997</v>
          </cell>
          <cell r="E30">
            <v>8.1000000000002181E-3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0.30159999999999998</v>
          </cell>
          <cell r="E31">
            <v>-9.800000000000253E-3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0.26100000000000001</v>
          </cell>
          <cell r="E32">
            <v>2.2499999999999999E-2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0.26819999999999999</v>
          </cell>
          <cell r="E33">
            <v>5.4000000000002935E-3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0.26819999999999999</v>
          </cell>
          <cell r="E34">
            <v>-0.10470000000000024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0.30880000000000002</v>
          </cell>
          <cell r="E35">
            <v>0.115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0.30880000000000002</v>
          </cell>
          <cell r="E36">
            <v>-4.469999999999974E-2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0.30880000000000002</v>
          </cell>
          <cell r="E37">
            <v>-6.7799999999999638E-2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0.24859999999999999</v>
          </cell>
          <cell r="E38">
            <v>-0.15920000000000023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0.222</v>
          </cell>
          <cell r="E39">
            <v>0.10379999999999967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0.222</v>
          </cell>
          <cell r="E40">
            <v>5.259999999999998E-2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0.23550000000000001</v>
          </cell>
          <cell r="E41">
            <v>-1.3700000000000045E-2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0.23470000000000002</v>
          </cell>
          <cell r="E42">
            <v>1.4300000000000423E-2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0.23470000000000002</v>
          </cell>
          <cell r="E43">
            <v>-3.0899999999999928E-2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0.23470000000000002</v>
          </cell>
          <cell r="E44">
            <v>0.70840000000000014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0.23470000000000002</v>
          </cell>
          <cell r="E45">
            <v>-9.199999999999986E-2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0.2172</v>
          </cell>
          <cell r="E46">
            <v>0.1694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0.2172</v>
          </cell>
          <cell r="E47">
            <v>0.15110000000000001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0.2172</v>
          </cell>
          <cell r="E48">
            <v>-0.18730000000000002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0.2172</v>
          </cell>
          <cell r="E49">
            <v>-0.1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0.2172</v>
          </cell>
          <cell r="E50">
            <v>3.15E-2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0.2172</v>
          </cell>
          <cell r="E51">
            <v>-0.1608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0.20619999999999999</v>
          </cell>
          <cell r="E52">
            <v>0.27210000000000001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0.20619999999999999</v>
          </cell>
          <cell r="E53">
            <v>0.34399999999999997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0.20699999999999999</v>
          </cell>
          <cell r="E54">
            <v>-4.5100000000000001E-2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0.20699999999999999</v>
          </cell>
          <cell r="E55">
            <v>-5.2900000000000003E-2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0.20699999999999999</v>
          </cell>
          <cell r="E56">
            <v>0.51049999999999995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0.20699999999999999</v>
          </cell>
          <cell r="E57">
            <v>0.67230000000000001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0.1933</v>
          </cell>
          <cell r="E58">
            <v>-9.98E-2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0.19209999999999999</v>
          </cell>
          <cell r="E59">
            <v>-9.98E-2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0.193</v>
          </cell>
          <cell r="E60">
            <v>0.46689999999999998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0.20400000000000001</v>
          </cell>
          <cell r="E61">
            <v>9.0700000000000003E-2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0.20400000000000001</v>
          </cell>
          <cell r="E62">
            <v>0.27239999999999998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0.20400000000000001</v>
          </cell>
          <cell r="E63">
            <v>1.1285000000000001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0.20400000000000001</v>
          </cell>
          <cell r="E64">
            <v>-0.14700000000000024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0.18820000000000001</v>
          </cell>
          <cell r="E65">
            <v>0.30630000000000002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0.18820000000000001</v>
          </cell>
          <cell r="E66">
            <v>-0.14660000000000001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0.18820000000000001</v>
          </cell>
          <cell r="E67">
            <v>3.0286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0.24249999999999999</v>
          </cell>
          <cell r="E68">
            <v>1.2950999999999999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0.24249999999999999</v>
          </cell>
          <cell r="E69">
            <v>-3.3917999999999999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0.24249999999999999</v>
          </cell>
          <cell r="E70">
            <v>-0.91139999999999999</v>
          </cell>
        </row>
        <row r="71">
          <cell r="A71" t="str">
            <v>1999-070 N</v>
          </cell>
          <cell r="B71">
            <v>37012</v>
          </cell>
          <cell r="C71">
            <v>5.4908999999999999</v>
          </cell>
          <cell r="D71">
            <v>0.21010000000000001</v>
          </cell>
          <cell r="E71">
            <v>0.21460000000000001</v>
          </cell>
        </row>
        <row r="72">
          <cell r="A72" t="str">
            <v>1999-070 O</v>
          </cell>
          <cell r="B72">
            <v>37104</v>
          </cell>
          <cell r="C72">
            <v>3.2080000000000002</v>
          </cell>
          <cell r="D72">
            <v>0.21010000000000001</v>
          </cell>
          <cell r="E72">
            <v>-0.63959999999999995</v>
          </cell>
        </row>
        <row r="73">
          <cell r="A73" t="str">
            <v>1999-070 P</v>
          </cell>
          <cell r="B73">
            <v>37196</v>
          </cell>
          <cell r="C73">
            <v>1.9111</v>
          </cell>
          <cell r="D73">
            <v>0.21010000000000001</v>
          </cell>
          <cell r="E73">
            <v>3.15E-2</v>
          </cell>
        </row>
        <row r="74">
          <cell r="A74" t="str">
            <v>2002-00113</v>
          </cell>
          <cell r="B74">
            <v>37288</v>
          </cell>
          <cell r="C74">
            <v>1.9111</v>
          </cell>
          <cell r="D74">
            <v>0.21010000000000001</v>
          </cell>
          <cell r="E74">
            <v>3.15E-2</v>
          </cell>
        </row>
        <row r="75">
          <cell r="A75" t="str">
            <v>2002-00251</v>
          </cell>
          <cell r="B75">
            <v>37377</v>
          </cell>
          <cell r="C75">
            <v>1.9111</v>
          </cell>
          <cell r="D75">
            <v>0.21010000000000001</v>
          </cell>
          <cell r="E75">
            <v>3.15E-2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0.20830000000000001</v>
          </cell>
          <cell r="E76">
            <v>3.15E-2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0.15930000000000002</v>
          </cell>
          <cell r="E78">
            <v>3.15E-2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0.15930000000000002</v>
          </cell>
          <cell r="E79">
            <v>3.15E-2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0.15930000000000002</v>
          </cell>
          <cell r="E80">
            <v>3.15E-2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0.15930000000000002</v>
          </cell>
          <cell r="E81">
            <v>3.15E-2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0.15930000000000002</v>
          </cell>
          <cell r="E82">
            <v>3.15E-2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0.1578</v>
          </cell>
          <cell r="E83">
            <v>3.15E-2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0.1578</v>
          </cell>
          <cell r="E84">
            <v>3.15E-2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0.18709999999999999</v>
          </cell>
          <cell r="E85">
            <v>3.15E-2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0.18709999999999999</v>
          </cell>
          <cell r="E86">
            <v>3.15E-2</v>
          </cell>
        </row>
      </sheetData>
      <sheetData sheetId="42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Non-Commodity</v>
          </cell>
        </row>
        <row r="8">
          <cell r="A8" t="str">
            <v>95-010</v>
          </cell>
          <cell r="B8">
            <v>34943</v>
          </cell>
          <cell r="C8">
            <v>1.0213000000000001</v>
          </cell>
          <cell r="D8">
            <v>8.2000000000000007E-3</v>
          </cell>
          <cell r="E8">
            <v>0.13819999999999999</v>
          </cell>
          <cell r="F8">
            <v>-0.191</v>
          </cell>
          <cell r="G8">
            <v>0.9766999999999999</v>
          </cell>
        </row>
        <row r="9">
          <cell r="A9" t="str">
            <v>95-010 A</v>
          </cell>
          <cell r="B9">
            <v>34999</v>
          </cell>
          <cell r="C9">
            <v>1.0213000000000001</v>
          </cell>
          <cell r="D9">
            <v>8.2000000000000007E-3</v>
          </cell>
          <cell r="E9">
            <v>0.1231</v>
          </cell>
          <cell r="F9">
            <v>-0.191</v>
          </cell>
          <cell r="G9">
            <v>0.96160000000000001</v>
          </cell>
        </row>
        <row r="10">
          <cell r="A10" t="str">
            <v>95-010 B</v>
          </cell>
          <cell r="B10">
            <v>35004</v>
          </cell>
          <cell r="C10">
            <v>1.0213000000000001</v>
          </cell>
          <cell r="D10">
            <v>8.2000000000000007E-3</v>
          </cell>
          <cell r="E10">
            <v>7.7499999999999999E-2</v>
          </cell>
          <cell r="F10">
            <v>-0.14150000000000001</v>
          </cell>
          <cell r="G10">
            <v>0.96550000000000002</v>
          </cell>
        </row>
        <row r="11">
          <cell r="A11" t="str">
            <v>95-010 C</v>
          </cell>
          <cell r="B11">
            <v>35034</v>
          </cell>
          <cell r="C11">
            <v>1.0213000000000001</v>
          </cell>
          <cell r="D11">
            <v>8.2000000000000007E-3</v>
          </cell>
          <cell r="E11">
            <v>7.46E-2</v>
          </cell>
          <cell r="F11">
            <v>-0.14219999999999999</v>
          </cell>
          <cell r="G11">
            <v>0.96190000000000009</v>
          </cell>
        </row>
        <row r="12">
          <cell r="A12" t="str">
            <v>95-010 D</v>
          </cell>
          <cell r="B12">
            <v>35065</v>
          </cell>
          <cell r="C12">
            <v>1.0088999999999999</v>
          </cell>
          <cell r="D12">
            <v>8.2000000000000007E-3</v>
          </cell>
          <cell r="E12">
            <v>7.46E-2</v>
          </cell>
          <cell r="F12">
            <v>-0.14219999999999999</v>
          </cell>
          <cell r="G12">
            <v>0.9494999999999999</v>
          </cell>
        </row>
        <row r="13">
          <cell r="A13" t="str">
            <v>95-010 E</v>
          </cell>
          <cell r="B13">
            <v>35096</v>
          </cell>
          <cell r="C13">
            <v>1.0424</v>
          </cell>
          <cell r="D13">
            <v>0</v>
          </cell>
          <cell r="E13">
            <v>6.3200000000000006E-2</v>
          </cell>
          <cell r="F13">
            <v>-0.14219999999999999</v>
          </cell>
          <cell r="G13">
            <v>0.96339999999999992</v>
          </cell>
        </row>
        <row r="14">
          <cell r="A14" t="str">
            <v>95-010 F</v>
          </cell>
          <cell r="B14">
            <v>35125</v>
          </cell>
          <cell r="C14">
            <v>1.0442</v>
          </cell>
          <cell r="D14">
            <v>0</v>
          </cell>
          <cell r="E14">
            <v>6.3200000000000006E-2</v>
          </cell>
          <cell r="F14">
            <v>-6.3E-2</v>
          </cell>
          <cell r="G14">
            <v>1.0444</v>
          </cell>
        </row>
        <row r="15">
          <cell r="A15" t="str">
            <v>95-010 G</v>
          </cell>
          <cell r="B15">
            <v>35156</v>
          </cell>
          <cell r="C15">
            <v>1.0227999999999999</v>
          </cell>
          <cell r="D15">
            <v>0</v>
          </cell>
          <cell r="E15">
            <v>6.6400000000000001E-2</v>
          </cell>
          <cell r="F15">
            <v>-3.09E-2</v>
          </cell>
          <cell r="G15">
            <v>1.0583</v>
          </cell>
        </row>
        <row r="16">
          <cell r="A16" t="str">
            <v>95-010 H</v>
          </cell>
          <cell r="B16">
            <v>35186</v>
          </cell>
          <cell r="C16">
            <v>0.9073</v>
          </cell>
          <cell r="D16">
            <v>0</v>
          </cell>
          <cell r="E16">
            <v>6.6400000000000001E-2</v>
          </cell>
          <cell r="F16">
            <v>-3.09E-2</v>
          </cell>
          <cell r="G16">
            <v>0.94279999999999997</v>
          </cell>
        </row>
        <row r="17">
          <cell r="A17" t="str">
            <v>95-010 I</v>
          </cell>
          <cell r="B17">
            <v>35217</v>
          </cell>
          <cell r="C17">
            <v>0.86250000000000004</v>
          </cell>
          <cell r="D17">
            <v>0</v>
          </cell>
          <cell r="E17">
            <v>4.2099999999999999E-2</v>
          </cell>
          <cell r="F17">
            <v>-9.5899999999999999E-2</v>
          </cell>
          <cell r="G17">
            <v>0.80870000000000009</v>
          </cell>
        </row>
        <row r="18">
          <cell r="A18" t="str">
            <v>95-010 J</v>
          </cell>
          <cell r="B18">
            <v>35247</v>
          </cell>
          <cell r="C18">
            <v>0.85740000000000005</v>
          </cell>
          <cell r="D18">
            <v>0</v>
          </cell>
          <cell r="E18">
            <v>4.3499999999999997E-2</v>
          </cell>
          <cell r="F18">
            <v>-9.8199999999999996E-2</v>
          </cell>
          <cell r="G18">
            <v>0.80270000000000008</v>
          </cell>
        </row>
        <row r="19">
          <cell r="A19" t="str">
            <v>95-010 K</v>
          </cell>
          <cell r="B19">
            <v>35278</v>
          </cell>
          <cell r="C19">
            <v>0.85519999999999996</v>
          </cell>
          <cell r="D19">
            <v>0</v>
          </cell>
          <cell r="E19">
            <v>4.3499999999999997E-2</v>
          </cell>
          <cell r="F19">
            <v>-9.8199999999999996E-2</v>
          </cell>
          <cell r="G19">
            <v>0.80049999999999999</v>
          </cell>
        </row>
        <row r="20">
          <cell r="A20" t="str">
            <v>95-010 L</v>
          </cell>
          <cell r="B20">
            <v>35309</v>
          </cell>
          <cell r="C20">
            <v>0.88370000000000004</v>
          </cell>
          <cell r="D20">
            <v>0</v>
          </cell>
          <cell r="E20">
            <v>4.7500000000000001E-2</v>
          </cell>
          <cell r="F20">
            <v>-6.8000000000000005E-2</v>
          </cell>
          <cell r="G20">
            <v>0.86319999999999997</v>
          </cell>
        </row>
        <row r="21">
          <cell r="A21" t="str">
            <v>95-010 M</v>
          </cell>
          <cell r="B21">
            <v>35339</v>
          </cell>
          <cell r="C21">
            <v>0.87540000000000007</v>
          </cell>
          <cell r="D21">
            <v>0</v>
          </cell>
          <cell r="E21">
            <v>4.99E-2</v>
          </cell>
          <cell r="F21">
            <v>-6.8000000000000005E-2</v>
          </cell>
          <cell r="G21">
            <v>0.85729999999999995</v>
          </cell>
        </row>
        <row r="22">
          <cell r="A22" t="str">
            <v>95-010 N</v>
          </cell>
          <cell r="B22">
            <v>35370</v>
          </cell>
          <cell r="C22">
            <v>0.83779999999999999</v>
          </cell>
          <cell r="D22">
            <v>0</v>
          </cell>
          <cell r="E22">
            <v>4.9799999999999997E-2</v>
          </cell>
          <cell r="F22">
            <v>-6.8000000000000005E-2</v>
          </cell>
          <cell r="G22">
            <v>0.8196</v>
          </cell>
        </row>
        <row r="23">
          <cell r="A23" t="str">
            <v>95-010 O</v>
          </cell>
          <cell r="B23">
            <v>35400</v>
          </cell>
          <cell r="C23">
            <v>0.81059999999999999</v>
          </cell>
          <cell r="D23">
            <v>0</v>
          </cell>
          <cell r="E23">
            <v>4.9799999999999997E-2</v>
          </cell>
          <cell r="F23">
            <v>-6.7299999999999999E-2</v>
          </cell>
          <cell r="G23">
            <v>0.79309999999999992</v>
          </cell>
        </row>
        <row r="24">
          <cell r="A24" t="str">
            <v>95-010 P</v>
          </cell>
          <cell r="B24">
            <v>35431</v>
          </cell>
          <cell r="C24">
            <v>0.81059999999999999</v>
          </cell>
          <cell r="D24">
            <v>0</v>
          </cell>
          <cell r="E24">
            <v>6.1899999999999997E-2</v>
          </cell>
          <cell r="F24">
            <v>-6.7299999999999999E-2</v>
          </cell>
          <cell r="G24">
            <v>0.80519999999999992</v>
          </cell>
        </row>
        <row r="25">
          <cell r="A25" t="str">
            <v>95-010 Q</v>
          </cell>
          <cell r="B25">
            <v>35462</v>
          </cell>
          <cell r="C25">
            <v>0.81059999999999999</v>
          </cell>
          <cell r="D25">
            <v>0</v>
          </cell>
          <cell r="E25">
            <v>6.1800000000000001E-2</v>
          </cell>
          <cell r="F25">
            <v>-6.7299999999999999E-2</v>
          </cell>
          <cell r="G25">
            <v>0.80510000000000004</v>
          </cell>
        </row>
        <row r="26">
          <cell r="A26" t="str">
            <v>95-010 R</v>
          </cell>
          <cell r="B26">
            <v>35490</v>
          </cell>
          <cell r="C26">
            <v>0.81090000000000007</v>
          </cell>
          <cell r="D26">
            <v>0</v>
          </cell>
          <cell r="E26">
            <v>6.1800000000000001E-2</v>
          </cell>
          <cell r="F26">
            <v>-6.7299999999999999E-2</v>
          </cell>
          <cell r="G26">
            <v>0.8054</v>
          </cell>
        </row>
        <row r="27">
          <cell r="A27" t="str">
            <v>95-010 S</v>
          </cell>
          <cell r="B27">
            <v>35521</v>
          </cell>
          <cell r="C27">
            <v>0.79519999999999991</v>
          </cell>
          <cell r="D27">
            <v>0</v>
          </cell>
          <cell r="E27">
            <v>6.1800000000000001E-2</v>
          </cell>
          <cell r="F27">
            <v>-6.7299999999999999E-2</v>
          </cell>
          <cell r="G27">
            <v>0.78969999999999985</v>
          </cell>
        </row>
        <row r="28">
          <cell r="A28" t="str">
            <v>95-010 T</v>
          </cell>
          <cell r="B28">
            <v>35551</v>
          </cell>
          <cell r="C28">
            <v>0.79519999999999991</v>
          </cell>
          <cell r="D28">
            <v>0</v>
          </cell>
          <cell r="E28">
            <v>6.1800000000000001E-2</v>
          </cell>
          <cell r="F28">
            <v>-6.7299999999999999E-2</v>
          </cell>
          <cell r="G28">
            <v>0.78969999999999996</v>
          </cell>
        </row>
        <row r="29">
          <cell r="A29" t="str">
            <v>95-010 U</v>
          </cell>
          <cell r="B29">
            <v>35582</v>
          </cell>
          <cell r="C29">
            <v>0.84510000000000007</v>
          </cell>
          <cell r="D29">
            <v>0</v>
          </cell>
          <cell r="E29">
            <v>5.2900000000000003E-2</v>
          </cell>
          <cell r="F29">
            <v>-2.3E-3</v>
          </cell>
          <cell r="G29">
            <v>0.89570000000000016</v>
          </cell>
        </row>
        <row r="30">
          <cell r="A30" t="str">
            <v>95-010 V</v>
          </cell>
          <cell r="B30">
            <v>35612</v>
          </cell>
          <cell r="C30">
            <v>0.84510000000000007</v>
          </cell>
          <cell r="D30">
            <v>0</v>
          </cell>
          <cell r="E30">
            <v>5.2900000000000003E-2</v>
          </cell>
          <cell r="F30">
            <v>-4.8800000000000003E-2</v>
          </cell>
          <cell r="G30">
            <v>0.84920000000000018</v>
          </cell>
        </row>
        <row r="31">
          <cell r="A31" t="str">
            <v>95-010 W</v>
          </cell>
          <cell r="B31">
            <v>35643</v>
          </cell>
          <cell r="C31">
            <v>0.98599999999999999</v>
          </cell>
          <cell r="D31">
            <v>0</v>
          </cell>
          <cell r="E31">
            <v>5.1999999999999998E-2</v>
          </cell>
          <cell r="F31">
            <v>-4.8800000000000003E-2</v>
          </cell>
          <cell r="G31">
            <v>0.98920000000000008</v>
          </cell>
        </row>
        <row r="32">
          <cell r="A32" t="str">
            <v>95-010 X</v>
          </cell>
          <cell r="B32">
            <v>35674</v>
          </cell>
          <cell r="C32">
            <v>0.83379999999999999</v>
          </cell>
          <cell r="D32">
            <v>0</v>
          </cell>
          <cell r="E32">
            <v>5.1999999999999998E-2</v>
          </cell>
          <cell r="F32">
            <v>-4.8800000000000003E-2</v>
          </cell>
          <cell r="G32">
            <v>0.83700000000000008</v>
          </cell>
        </row>
        <row r="33">
          <cell r="A33" t="str">
            <v>95-010 Y</v>
          </cell>
          <cell r="B33">
            <v>35704</v>
          </cell>
          <cell r="C33">
            <v>0.84150000000000003</v>
          </cell>
          <cell r="D33">
            <v>0</v>
          </cell>
          <cell r="E33">
            <v>5.9200000000000003E-2</v>
          </cell>
          <cell r="F33">
            <v>-4.8800000000000003E-2</v>
          </cell>
          <cell r="G33">
            <v>0.8519000000000001</v>
          </cell>
        </row>
        <row r="34">
          <cell r="A34" t="str">
            <v>95-010 Z</v>
          </cell>
          <cell r="B34">
            <v>35735</v>
          </cell>
          <cell r="C34">
            <v>0.84150000000000003</v>
          </cell>
          <cell r="D34">
            <v>0</v>
          </cell>
          <cell r="E34">
            <v>5.9200000000000003E-2</v>
          </cell>
          <cell r="F34">
            <v>-4.8800000000000003E-2</v>
          </cell>
          <cell r="G34">
            <v>0.8519000000000001</v>
          </cell>
        </row>
        <row r="35">
          <cell r="A35" t="str">
            <v>95-010 AA</v>
          </cell>
          <cell r="B35">
            <v>35765</v>
          </cell>
          <cell r="C35">
            <v>0.99509999999999998</v>
          </cell>
          <cell r="D35">
            <v>0</v>
          </cell>
          <cell r="E35">
            <v>5.9200000000000003E-2</v>
          </cell>
          <cell r="F35">
            <v>-4.8800000000000003E-2</v>
          </cell>
          <cell r="G35">
            <v>1.0055000000000001</v>
          </cell>
        </row>
        <row r="36">
          <cell r="A36" t="str">
            <v>95-010 BB</v>
          </cell>
          <cell r="B36">
            <v>35796</v>
          </cell>
          <cell r="C36">
            <v>0.99509999999999998</v>
          </cell>
          <cell r="D36">
            <v>0</v>
          </cell>
          <cell r="E36">
            <v>5.9200000000000003E-2</v>
          </cell>
          <cell r="F36">
            <v>-4.8800000000000003E-2</v>
          </cell>
          <cell r="G36">
            <v>1.0055000000000001</v>
          </cell>
        </row>
        <row r="37">
          <cell r="A37" t="str">
            <v>95-010 CC</v>
          </cell>
          <cell r="B37">
            <v>35827</v>
          </cell>
          <cell r="C37">
            <v>0.99509999999999998</v>
          </cell>
          <cell r="D37">
            <v>0</v>
          </cell>
          <cell r="E37">
            <v>5.9200000000000003E-2</v>
          </cell>
          <cell r="F37">
            <v>-4.8800000000000003E-2</v>
          </cell>
          <cell r="G37">
            <v>1.0055000000000001</v>
          </cell>
        </row>
        <row r="38">
          <cell r="A38" t="str">
            <v>95-010 DD</v>
          </cell>
          <cell r="B38">
            <v>35855</v>
          </cell>
          <cell r="C38">
            <v>0.87449999999999994</v>
          </cell>
          <cell r="D38">
            <v>0</v>
          </cell>
          <cell r="E38">
            <v>3.09E-2</v>
          </cell>
          <cell r="F38">
            <v>-4.8800000000000003E-2</v>
          </cell>
          <cell r="G38">
            <v>0.85660000000000003</v>
          </cell>
        </row>
        <row r="39">
          <cell r="A39" t="str">
            <v>95-010 EE</v>
          </cell>
          <cell r="B39">
            <v>35886</v>
          </cell>
          <cell r="C39">
            <v>0.82040000000000002</v>
          </cell>
          <cell r="D39">
            <v>0</v>
          </cell>
          <cell r="E39">
            <v>1.8599999999999998E-2</v>
          </cell>
          <cell r="F39">
            <v>-4.8800000000000003E-2</v>
          </cell>
          <cell r="G39">
            <v>0.79020000000000001</v>
          </cell>
        </row>
        <row r="40">
          <cell r="A40" t="str">
            <v>95-010 FF</v>
          </cell>
          <cell r="B40">
            <v>35916</v>
          </cell>
          <cell r="C40">
            <v>0.82040000000000002</v>
          </cell>
          <cell r="D40">
            <v>0</v>
          </cell>
          <cell r="E40">
            <v>1.8599999999999998E-2</v>
          </cell>
          <cell r="F40">
            <v>-4.8800000000000003E-2</v>
          </cell>
          <cell r="G40">
            <v>0.79020000000000001</v>
          </cell>
        </row>
        <row r="41">
          <cell r="A41" t="str">
            <v>95-010 GG</v>
          </cell>
          <cell r="B41">
            <v>35947</v>
          </cell>
          <cell r="C41">
            <v>0.82040000000000002</v>
          </cell>
          <cell r="D41">
            <v>0</v>
          </cell>
          <cell r="E41">
            <v>1.8599999999999998E-2</v>
          </cell>
          <cell r="F41">
            <v>0</v>
          </cell>
          <cell r="G41">
            <v>0.83899999999999997</v>
          </cell>
        </row>
        <row r="42">
          <cell r="A42" t="str">
            <v>95-010 HH</v>
          </cell>
          <cell r="B42">
            <v>35977</v>
          </cell>
          <cell r="C42">
            <v>0.82040000000000002</v>
          </cell>
          <cell r="D42">
            <v>0</v>
          </cell>
          <cell r="E42">
            <v>1.8599999999999998E-2</v>
          </cell>
          <cell r="F42">
            <v>-2.9999999999999996E-3</v>
          </cell>
          <cell r="G42">
            <v>0.83599999999999997</v>
          </cell>
        </row>
        <row r="43">
          <cell r="A43" t="str">
            <v>95-010 II</v>
          </cell>
          <cell r="B43">
            <v>36008</v>
          </cell>
          <cell r="C43">
            <v>0.82040000000000002</v>
          </cell>
          <cell r="D43">
            <v>0</v>
          </cell>
          <cell r="E43">
            <v>1.8599999999999998E-2</v>
          </cell>
          <cell r="F43">
            <v>-2.9999999999999996E-3</v>
          </cell>
          <cell r="G43">
            <v>0.83599999999999997</v>
          </cell>
        </row>
        <row r="44">
          <cell r="A44" t="str">
            <v>95-010 JJ</v>
          </cell>
          <cell r="B44">
            <v>36039</v>
          </cell>
          <cell r="C44">
            <v>0.82040000000000002</v>
          </cell>
          <cell r="D44">
            <v>0</v>
          </cell>
          <cell r="E44">
            <v>1.8599999999999998E-2</v>
          </cell>
          <cell r="F44">
            <v>-2.9999999999999996E-3</v>
          </cell>
          <cell r="G44">
            <v>0.83599999999999997</v>
          </cell>
        </row>
        <row r="45">
          <cell r="A45" t="str">
            <v>95-010 KK</v>
          </cell>
          <cell r="B45">
            <v>36069</v>
          </cell>
          <cell r="C45">
            <v>0.82040000000000002</v>
          </cell>
          <cell r="D45">
            <v>0</v>
          </cell>
          <cell r="E45">
            <v>1.8599999999999998E-2</v>
          </cell>
          <cell r="F45">
            <v>-2.9999999999999996E-3</v>
          </cell>
          <cell r="G45">
            <v>0.83599999999999997</v>
          </cell>
        </row>
        <row r="46">
          <cell r="A46" t="str">
            <v>95-010 LL</v>
          </cell>
          <cell r="B46">
            <v>36100</v>
          </cell>
          <cell r="C46">
            <v>0.75429999999999997</v>
          </cell>
          <cell r="D46">
            <v>0</v>
          </cell>
          <cell r="E46">
            <v>1.8599999999999998E-2</v>
          </cell>
          <cell r="F46">
            <v>-2.9999999999999996E-3</v>
          </cell>
          <cell r="G46">
            <v>0.76989999999999992</v>
          </cell>
        </row>
        <row r="47">
          <cell r="A47" t="str">
            <v>95-010 MM</v>
          </cell>
          <cell r="B47">
            <v>36130</v>
          </cell>
          <cell r="C47">
            <v>0.75429999999999997</v>
          </cell>
          <cell r="D47">
            <v>0</v>
          </cell>
          <cell r="E47">
            <v>1.8599999999999998E-2</v>
          </cell>
          <cell r="F47">
            <v>-2.9999999999999996E-3</v>
          </cell>
          <cell r="G47">
            <v>0.76989999999999992</v>
          </cell>
        </row>
        <row r="48">
          <cell r="A48" t="str">
            <v>95-010 NN</v>
          </cell>
          <cell r="B48">
            <v>36161</v>
          </cell>
          <cell r="C48">
            <v>0.75429999999999997</v>
          </cell>
          <cell r="D48">
            <v>0</v>
          </cell>
          <cell r="E48">
            <v>1.8599999999999998E-2</v>
          </cell>
          <cell r="F48">
            <v>-2.9999999999999996E-3</v>
          </cell>
          <cell r="G48">
            <v>0.76989999999999992</v>
          </cell>
        </row>
        <row r="49">
          <cell r="A49" t="str">
            <v>95-010 OO</v>
          </cell>
          <cell r="B49">
            <v>36192</v>
          </cell>
          <cell r="C49">
            <v>0.75429999999999997</v>
          </cell>
          <cell r="D49">
            <v>0</v>
          </cell>
          <cell r="E49">
            <v>1.8599999999999998E-2</v>
          </cell>
          <cell r="F49">
            <v>-2.9999999999999996E-3</v>
          </cell>
          <cell r="G49">
            <v>0.76989999999999992</v>
          </cell>
        </row>
        <row r="50">
          <cell r="A50" t="str">
            <v>95-010 PP</v>
          </cell>
          <cell r="B50">
            <v>36220</v>
          </cell>
          <cell r="C50">
            <v>0.75429999999999997</v>
          </cell>
          <cell r="D50">
            <v>0</v>
          </cell>
          <cell r="E50">
            <v>1.8599999999999998E-2</v>
          </cell>
          <cell r="F50">
            <v>-2.9999999999999996E-3</v>
          </cell>
          <cell r="G50">
            <v>0.76989999999999992</v>
          </cell>
        </row>
        <row r="51">
          <cell r="A51" t="str">
            <v>95-010 QQ</v>
          </cell>
          <cell r="B51">
            <v>36251</v>
          </cell>
          <cell r="C51">
            <v>0.75429999999999997</v>
          </cell>
          <cell r="D51">
            <v>0</v>
          </cell>
          <cell r="E51">
            <v>1.8599999999999998E-2</v>
          </cell>
          <cell r="F51">
            <v>-4.4200000000000003E-2</v>
          </cell>
          <cell r="G51">
            <v>0.7286999999999999</v>
          </cell>
        </row>
        <row r="52">
          <cell r="A52" t="str">
            <v>95-010 RR</v>
          </cell>
          <cell r="B52">
            <v>36281</v>
          </cell>
          <cell r="C52">
            <v>0.75429999999999997</v>
          </cell>
          <cell r="D52">
            <v>0</v>
          </cell>
          <cell r="E52">
            <v>1.8599999999999998E-2</v>
          </cell>
          <cell r="F52">
            <v>-4.4200000000000003E-2</v>
          </cell>
          <cell r="G52">
            <v>0.7286999999999999</v>
          </cell>
        </row>
        <row r="53">
          <cell r="A53" t="str">
            <v>95-010 SS</v>
          </cell>
          <cell r="B53">
            <v>36312</v>
          </cell>
          <cell r="C53">
            <v>0.75429999999999997</v>
          </cell>
          <cell r="D53">
            <v>0</v>
          </cell>
          <cell r="E53">
            <v>1.8599999999999998E-2</v>
          </cell>
          <cell r="F53">
            <v>-4.4200000000000003E-2</v>
          </cell>
          <cell r="G53">
            <v>0.7286999999999999</v>
          </cell>
        </row>
        <row r="54">
          <cell r="A54" t="str">
            <v>95-010 TT</v>
          </cell>
          <cell r="B54">
            <v>36342</v>
          </cell>
          <cell r="C54">
            <v>0.75429999999999997</v>
          </cell>
          <cell r="D54">
            <v>0</v>
          </cell>
          <cell r="E54">
            <v>1.8599999999999998E-2</v>
          </cell>
          <cell r="F54">
            <v>-4.1200000000000001E-2</v>
          </cell>
          <cell r="G54">
            <v>0.73169999999999991</v>
          </cell>
        </row>
        <row r="55">
          <cell r="A55" t="str">
            <v>95-010 UU</v>
          </cell>
          <cell r="B55">
            <v>36373</v>
          </cell>
          <cell r="C55">
            <v>0.75429999999999997</v>
          </cell>
          <cell r="D55">
            <v>0</v>
          </cell>
          <cell r="E55">
            <v>1.8599999999999998E-2</v>
          </cell>
          <cell r="F55">
            <v>-4.1200000000000001E-2</v>
          </cell>
          <cell r="G55">
            <v>0.73169999999999991</v>
          </cell>
        </row>
        <row r="56">
          <cell r="A56" t="str">
            <v>95-010 VV</v>
          </cell>
          <cell r="B56">
            <v>36404</v>
          </cell>
          <cell r="C56">
            <v>0.75429999999999997</v>
          </cell>
          <cell r="D56">
            <v>0</v>
          </cell>
          <cell r="E56">
            <v>1.8599999999999998E-2</v>
          </cell>
          <cell r="F56">
            <v>-4.1200000000000001E-2</v>
          </cell>
          <cell r="G56">
            <v>0.73169999999999991</v>
          </cell>
        </row>
        <row r="57">
          <cell r="A57" t="str">
            <v>95-010 WW</v>
          </cell>
          <cell r="B57">
            <v>36434</v>
          </cell>
          <cell r="C57">
            <v>0.75429999999999997</v>
          </cell>
          <cell r="D57">
            <v>0</v>
          </cell>
          <cell r="E57">
            <v>1.8599999999999998E-2</v>
          </cell>
          <cell r="F57">
            <v>-4.1200000000000001E-2</v>
          </cell>
          <cell r="G57">
            <v>0.73169999999999991</v>
          </cell>
        </row>
        <row r="58">
          <cell r="A58" t="str">
            <v>95-010 XX</v>
          </cell>
          <cell r="B58">
            <v>36465</v>
          </cell>
          <cell r="C58">
            <v>0.76140000000000008</v>
          </cell>
          <cell r="D58">
            <v>0</v>
          </cell>
          <cell r="E58">
            <v>3.0000000000000001E-3</v>
          </cell>
          <cell r="F58">
            <v>-4.1200000000000001E-2</v>
          </cell>
          <cell r="G58">
            <v>0.72320000000000007</v>
          </cell>
        </row>
        <row r="59">
          <cell r="A59" t="str">
            <v>95-010 YY</v>
          </cell>
          <cell r="B59">
            <v>36495</v>
          </cell>
          <cell r="C59">
            <v>0.75679999999999992</v>
          </cell>
          <cell r="D59">
            <v>0</v>
          </cell>
          <cell r="E59">
            <v>3.0000000000000001E-3</v>
          </cell>
          <cell r="F59">
            <v>-4.1200000000000001E-2</v>
          </cell>
          <cell r="G59">
            <v>0.71859999999999991</v>
          </cell>
        </row>
        <row r="60">
          <cell r="A60" t="str">
            <v>99-070</v>
          </cell>
          <cell r="B60">
            <v>36526</v>
          </cell>
          <cell r="C60">
            <v>0.75679999999999992</v>
          </cell>
          <cell r="D60">
            <v>0</v>
          </cell>
          <cell r="E60">
            <v>3.0000000000000001E-3</v>
          </cell>
          <cell r="F60">
            <v>-4.1200000000000001E-2</v>
          </cell>
          <cell r="G60">
            <v>0.71859999999999991</v>
          </cell>
        </row>
        <row r="61">
          <cell r="A61" t="str">
            <v>99-070 A</v>
          </cell>
          <cell r="B61">
            <v>36557</v>
          </cell>
          <cell r="C61">
            <v>0.76029999999999998</v>
          </cell>
          <cell r="D61">
            <v>0</v>
          </cell>
          <cell r="E61">
            <v>3.0000000000000001E-3</v>
          </cell>
          <cell r="F61">
            <v>-4.1200000000000001E-2</v>
          </cell>
          <cell r="G61">
            <v>0.72209999999999996</v>
          </cell>
        </row>
        <row r="62">
          <cell r="A62" t="str">
            <v>1999-070 B</v>
          </cell>
          <cell r="B62">
            <v>36617</v>
          </cell>
          <cell r="C62">
            <v>0.76029999999999998</v>
          </cell>
          <cell r="D62">
            <v>0</v>
          </cell>
          <cell r="E62">
            <v>3.0000000000000001E-3</v>
          </cell>
          <cell r="F62">
            <v>0</v>
          </cell>
          <cell r="G62">
            <v>0.76329999999999998</v>
          </cell>
        </row>
        <row r="63">
          <cell r="A63" t="str">
            <v>1999-070 C</v>
          </cell>
          <cell r="B63">
            <v>36647</v>
          </cell>
          <cell r="C63">
            <v>0.76029999999999998</v>
          </cell>
          <cell r="D63">
            <v>0</v>
          </cell>
          <cell r="E63">
            <v>3.0000000000000001E-3</v>
          </cell>
          <cell r="F63">
            <v>0</v>
          </cell>
          <cell r="G63">
            <v>0.76329999999999998</v>
          </cell>
        </row>
        <row r="64">
          <cell r="A64" t="str">
            <v>1999-070 D</v>
          </cell>
          <cell r="B64">
            <v>36708</v>
          </cell>
          <cell r="C64">
            <v>0.76029999999999998</v>
          </cell>
          <cell r="D64">
            <v>0</v>
          </cell>
          <cell r="E64">
            <v>3.0000000000000001E-3</v>
          </cell>
          <cell r="F64">
            <v>0</v>
          </cell>
          <cell r="G64">
            <v>0.76329999999999998</v>
          </cell>
        </row>
        <row r="65">
          <cell r="A65" t="str">
            <v>1999-070 E</v>
          </cell>
          <cell r="B65">
            <v>36739</v>
          </cell>
          <cell r="C65">
            <v>0.76029999999999998</v>
          </cell>
          <cell r="D65">
            <v>0</v>
          </cell>
          <cell r="E65">
            <v>3.0000000000000001E-3</v>
          </cell>
          <cell r="F65">
            <v>0</v>
          </cell>
          <cell r="G65">
            <v>0.76329999999999998</v>
          </cell>
        </row>
        <row r="66">
          <cell r="A66" t="str">
            <v>1999-070 F</v>
          </cell>
          <cell r="B66">
            <v>36800</v>
          </cell>
          <cell r="C66">
            <v>0.76029999999999998</v>
          </cell>
          <cell r="D66">
            <v>0</v>
          </cell>
          <cell r="E66">
            <v>3.0000000000000001E-3</v>
          </cell>
          <cell r="F66">
            <v>0</v>
          </cell>
          <cell r="G66">
            <v>0.76329999999999998</v>
          </cell>
        </row>
        <row r="67">
          <cell r="A67" t="str">
            <v>1999-070 G</v>
          </cell>
          <cell r="B67">
            <v>36831</v>
          </cell>
          <cell r="C67">
            <v>0.9506</v>
          </cell>
          <cell r="D67">
            <v>0</v>
          </cell>
          <cell r="E67">
            <v>0</v>
          </cell>
          <cell r="F67">
            <v>0</v>
          </cell>
          <cell r="G67">
            <v>0.9506</v>
          </cell>
        </row>
        <row r="68">
          <cell r="A68" t="str">
            <v>1999-070 H</v>
          </cell>
          <cell r="B68">
            <v>36923</v>
          </cell>
          <cell r="C68">
            <v>1.2250000000000001</v>
          </cell>
          <cell r="D68">
            <v>0</v>
          </cell>
          <cell r="E68">
            <v>0</v>
          </cell>
          <cell r="F68">
            <v>0</v>
          </cell>
          <cell r="G68">
            <v>1.2250000000000001</v>
          </cell>
        </row>
        <row r="69">
          <cell r="A69" t="str">
            <v>1999-070 I</v>
          </cell>
          <cell r="B69">
            <v>36951</v>
          </cell>
          <cell r="C69">
            <v>1.2250000000000001</v>
          </cell>
          <cell r="D69">
            <v>0</v>
          </cell>
          <cell r="E69">
            <v>0</v>
          </cell>
          <cell r="F69">
            <v>0</v>
          </cell>
          <cell r="G69">
            <v>1.2250000000000001</v>
          </cell>
        </row>
        <row r="70">
          <cell r="A70" t="str">
            <v>1999-070 J</v>
          </cell>
          <cell r="B70">
            <v>36982</v>
          </cell>
          <cell r="C70">
            <v>1.2250000000000001</v>
          </cell>
          <cell r="D70">
            <v>0</v>
          </cell>
          <cell r="E70">
            <v>0</v>
          </cell>
          <cell r="F70">
            <v>0</v>
          </cell>
          <cell r="G70">
            <v>1.2250000000000001</v>
          </cell>
        </row>
        <row r="71">
          <cell r="A71" t="str">
            <v>1999-070 K</v>
          </cell>
          <cell r="B71">
            <v>37012</v>
          </cell>
          <cell r="C71">
            <v>1.0611999999999999</v>
          </cell>
          <cell r="D71">
            <v>0</v>
          </cell>
          <cell r="E71">
            <v>0</v>
          </cell>
          <cell r="F71">
            <v>0</v>
          </cell>
          <cell r="G71">
            <v>1.0611999999999999</v>
          </cell>
        </row>
        <row r="72">
          <cell r="A72" t="str">
            <v>1999-070 L</v>
          </cell>
          <cell r="B72">
            <v>37043</v>
          </cell>
          <cell r="C72">
            <v>1.0611999999999999</v>
          </cell>
          <cell r="D72">
            <v>0</v>
          </cell>
          <cell r="E72">
            <v>0</v>
          </cell>
          <cell r="F72">
            <v>0</v>
          </cell>
          <cell r="G72">
            <v>1.0611999999999999</v>
          </cell>
        </row>
        <row r="73">
          <cell r="A73" t="str">
            <v>1999-070 M</v>
          </cell>
          <cell r="B73">
            <v>37073</v>
          </cell>
          <cell r="C73">
            <v>1.0611999999999999</v>
          </cell>
          <cell r="D73">
            <v>0</v>
          </cell>
          <cell r="E73">
            <v>0</v>
          </cell>
          <cell r="F73">
            <v>0</v>
          </cell>
          <cell r="G73">
            <v>1.0611999999999999</v>
          </cell>
        </row>
        <row r="74">
          <cell r="A74" t="str">
            <v>1999-070 N</v>
          </cell>
          <cell r="B74">
            <v>37104</v>
          </cell>
          <cell r="C74">
            <v>1.0611999999999999</v>
          </cell>
          <cell r="D74">
            <v>0</v>
          </cell>
          <cell r="E74">
            <v>0</v>
          </cell>
          <cell r="F74">
            <v>0</v>
          </cell>
          <cell r="G74">
            <v>1.0611999999999999</v>
          </cell>
        </row>
        <row r="75">
          <cell r="A75" t="str">
            <v>1999-070 O</v>
          </cell>
          <cell r="B75">
            <v>37196</v>
          </cell>
          <cell r="C75">
            <v>1.0611999999999999</v>
          </cell>
          <cell r="D75">
            <v>0</v>
          </cell>
          <cell r="E75">
            <v>0</v>
          </cell>
          <cell r="F75">
            <v>0</v>
          </cell>
          <cell r="G75">
            <v>1.0611999999999999</v>
          </cell>
        </row>
        <row r="76">
          <cell r="A76" t="str">
            <v>1999-070 P</v>
          </cell>
          <cell r="B76">
            <v>37288</v>
          </cell>
          <cell r="C76">
            <v>1.0611999999999999</v>
          </cell>
          <cell r="D76">
            <v>0</v>
          </cell>
          <cell r="E76">
            <v>0</v>
          </cell>
          <cell r="F76">
            <v>0</v>
          </cell>
          <cell r="G76">
            <v>1.0611999999999999</v>
          </cell>
        </row>
        <row r="77">
          <cell r="A77" t="str">
            <v>2002-00113</v>
          </cell>
          <cell r="B77">
            <v>37377</v>
          </cell>
          <cell r="C77">
            <v>1.0611999999999999</v>
          </cell>
          <cell r="D77">
            <v>0</v>
          </cell>
          <cell r="E77">
            <v>0</v>
          </cell>
          <cell r="F77">
            <v>0</v>
          </cell>
          <cell r="G77">
            <v>1.0611999999999999</v>
          </cell>
        </row>
        <row r="78">
          <cell r="A78" t="str">
            <v>2002-00251</v>
          </cell>
          <cell r="B78">
            <v>37469</v>
          </cell>
          <cell r="C78">
            <v>1.0611999999999999</v>
          </cell>
          <cell r="D78">
            <v>0</v>
          </cell>
          <cell r="E78">
            <v>0</v>
          </cell>
          <cell r="F78">
            <v>-9.4000000000000004E-3</v>
          </cell>
          <cell r="G78">
            <v>1.0518000000000001</v>
          </cell>
        </row>
        <row r="79">
          <cell r="A79" t="str">
            <v>2002-00359</v>
          </cell>
          <cell r="B79">
            <v>37561</v>
          </cell>
          <cell r="C79">
            <v>0.96189999999999998</v>
          </cell>
          <cell r="D79">
            <v>0</v>
          </cell>
          <cell r="E79">
            <v>0</v>
          </cell>
          <cell r="F79">
            <v>-0.157</v>
          </cell>
          <cell r="G79">
            <v>0.80489999999999995</v>
          </cell>
        </row>
        <row r="80">
          <cell r="A80" t="str">
            <v>2003-00002</v>
          </cell>
          <cell r="B80">
            <v>37653</v>
          </cell>
          <cell r="C80">
            <v>1.0845</v>
          </cell>
          <cell r="D80">
            <v>0</v>
          </cell>
          <cell r="E80">
            <v>0</v>
          </cell>
          <cell r="F80">
            <v>-0.157</v>
          </cell>
          <cell r="G80">
            <v>0.92749999999999999</v>
          </cell>
        </row>
        <row r="81">
          <cell r="A81" t="str">
            <v>2003-00083</v>
          </cell>
          <cell r="B81">
            <v>37713</v>
          </cell>
          <cell r="C81">
            <v>1.0845</v>
          </cell>
          <cell r="D81">
            <v>0</v>
          </cell>
          <cell r="E81">
            <v>0</v>
          </cell>
          <cell r="F81">
            <v>-0.157</v>
          </cell>
          <cell r="G81">
            <v>0.92749999999999999</v>
          </cell>
        </row>
        <row r="82">
          <cell r="A82" t="str">
            <v>2003-00126</v>
          </cell>
          <cell r="B82">
            <v>37742</v>
          </cell>
          <cell r="C82">
            <v>1.0845</v>
          </cell>
          <cell r="D82">
            <v>0</v>
          </cell>
          <cell r="E82">
            <v>0</v>
          </cell>
          <cell r="F82">
            <v>-0.157</v>
          </cell>
          <cell r="G82">
            <v>0.92749999999999999</v>
          </cell>
        </row>
        <row r="83">
          <cell r="A83" t="str">
            <v>2003-00258</v>
          </cell>
          <cell r="B83">
            <v>37834</v>
          </cell>
          <cell r="C83">
            <v>1.0658000000000001</v>
          </cell>
          <cell r="D83">
            <v>0</v>
          </cell>
          <cell r="E83">
            <v>0</v>
          </cell>
          <cell r="F83">
            <v>-0.14760000000000001</v>
          </cell>
          <cell r="G83">
            <v>0.91820000000000013</v>
          </cell>
        </row>
        <row r="84">
          <cell r="A84" t="str">
            <v>2003-00377</v>
          </cell>
          <cell r="B84">
            <v>37926</v>
          </cell>
          <cell r="C84">
            <v>1.0759000000000001</v>
          </cell>
          <cell r="D84">
            <v>0</v>
          </cell>
          <cell r="E84">
            <v>0</v>
          </cell>
          <cell r="F84">
            <v>-0.14760000000000001</v>
          </cell>
          <cell r="G84">
            <v>0.92830000000000001</v>
          </cell>
        </row>
        <row r="85">
          <cell r="A85" t="str">
            <v>2003-00504</v>
          </cell>
          <cell r="B85">
            <v>38018</v>
          </cell>
          <cell r="C85">
            <v>1.0759000000000001</v>
          </cell>
          <cell r="D85">
            <v>0</v>
          </cell>
          <cell r="E85">
            <v>0</v>
          </cell>
          <cell r="F85">
            <v>0</v>
          </cell>
          <cell r="G85">
            <v>1.0759000000000001</v>
          </cell>
        </row>
        <row r="86">
          <cell r="A86" t="str">
            <v>2004-00122</v>
          </cell>
          <cell r="B86">
            <v>38108</v>
          </cell>
          <cell r="C86">
            <v>1.0759000000000001</v>
          </cell>
          <cell r="D86">
            <v>0</v>
          </cell>
          <cell r="E86">
            <v>0</v>
          </cell>
          <cell r="F86">
            <v>0</v>
          </cell>
          <cell r="G86">
            <v>1.0759000000000001</v>
          </cell>
        </row>
        <row r="87">
          <cell r="A87" t="str">
            <v>2004-00269</v>
          </cell>
          <cell r="B87">
            <v>38200</v>
          </cell>
          <cell r="C87">
            <v>1.0759000000000001</v>
          </cell>
          <cell r="D87">
            <v>0</v>
          </cell>
          <cell r="E87">
            <v>0</v>
          </cell>
          <cell r="F87">
            <v>0</v>
          </cell>
          <cell r="G87">
            <v>1.0759000000000001</v>
          </cell>
        </row>
        <row r="88">
          <cell r="A88" t="str">
            <v>2004-00398</v>
          </cell>
          <cell r="B88">
            <v>38292</v>
          </cell>
          <cell r="C88">
            <v>1.0718000000000001</v>
          </cell>
          <cell r="D88">
            <v>0</v>
          </cell>
          <cell r="E88">
            <v>0</v>
          </cell>
          <cell r="F88">
            <v>0</v>
          </cell>
          <cell r="G88">
            <v>1.0718000000000001</v>
          </cell>
        </row>
        <row r="89">
          <cell r="A89" t="str">
            <v>2005-00013</v>
          </cell>
          <cell r="B89">
            <v>38384</v>
          </cell>
          <cell r="C89">
            <v>1.0718000000000001</v>
          </cell>
          <cell r="D89">
            <v>0</v>
          </cell>
          <cell r="E89">
            <v>0</v>
          </cell>
          <cell r="F89">
            <v>0</v>
          </cell>
          <cell r="G89">
            <v>1.0718000000000001</v>
          </cell>
        </row>
        <row r="90">
          <cell r="A90" t="str">
            <v>2005-00139</v>
          </cell>
          <cell r="B90">
            <v>38473</v>
          </cell>
          <cell r="C90">
            <v>1.0718000000000001</v>
          </cell>
          <cell r="D90">
            <v>0</v>
          </cell>
          <cell r="E90">
            <v>0</v>
          </cell>
          <cell r="F90">
            <v>0</v>
          </cell>
          <cell r="G90">
            <v>1.0718000000000001</v>
          </cell>
        </row>
        <row r="91">
          <cell r="A91" t="str">
            <v>2005-00271</v>
          </cell>
          <cell r="B91">
            <v>38565</v>
          </cell>
          <cell r="C91">
            <v>1.0718000000000001</v>
          </cell>
          <cell r="D91">
            <v>0</v>
          </cell>
          <cell r="E91">
            <v>0</v>
          </cell>
          <cell r="F91">
            <v>0</v>
          </cell>
          <cell r="G91">
            <v>1.0718000000000001</v>
          </cell>
        </row>
        <row r="92">
          <cell r="A92" t="str">
            <v>2005-00354</v>
          </cell>
          <cell r="B92">
            <v>38626</v>
          </cell>
          <cell r="C92">
            <v>1.0718000000000001</v>
          </cell>
          <cell r="D92">
            <v>0</v>
          </cell>
          <cell r="E92">
            <v>0</v>
          </cell>
          <cell r="F92">
            <v>0</v>
          </cell>
          <cell r="G92">
            <v>1.0718000000000001</v>
          </cell>
        </row>
        <row r="93">
          <cell r="A93" t="str">
            <v>2005-00399</v>
          </cell>
          <cell r="B93">
            <v>38657</v>
          </cell>
          <cell r="C93">
            <v>1.0718000000000001</v>
          </cell>
          <cell r="D93">
            <v>0</v>
          </cell>
          <cell r="E93">
            <v>0</v>
          </cell>
          <cell r="F93">
            <v>0</v>
          </cell>
          <cell r="G93">
            <v>1.0718000000000001</v>
          </cell>
        </row>
        <row r="94">
          <cell r="A94" t="str">
            <v>2005-00552</v>
          </cell>
          <cell r="B94">
            <v>2224</v>
          </cell>
          <cell r="C94">
            <v>1.2622</v>
          </cell>
          <cell r="D94">
            <v>0</v>
          </cell>
          <cell r="E94">
            <v>0</v>
          </cell>
          <cell r="F94">
            <v>0</v>
          </cell>
          <cell r="G94">
            <v>1.2622</v>
          </cell>
        </row>
        <row r="95">
          <cell r="A95" t="str">
            <v>2006-00135</v>
          </cell>
          <cell r="B95">
            <v>2313</v>
          </cell>
          <cell r="C95">
            <v>1.0571999999999999</v>
          </cell>
          <cell r="D95">
            <v>0</v>
          </cell>
          <cell r="E95">
            <v>0</v>
          </cell>
          <cell r="F95">
            <v>0</v>
          </cell>
          <cell r="G95">
            <v>1.0571999999999999</v>
          </cell>
        </row>
        <row r="96">
          <cell r="A96" t="str">
            <v>2006-00324</v>
          </cell>
          <cell r="B96">
            <v>38930</v>
          </cell>
          <cell r="C96">
            <v>1.0571999999999999</v>
          </cell>
          <cell r="D96">
            <v>0</v>
          </cell>
          <cell r="E96">
            <v>0</v>
          </cell>
          <cell r="F96">
            <v>0</v>
          </cell>
          <cell r="G96">
            <v>1.0571999999999999</v>
          </cell>
        </row>
        <row r="97">
          <cell r="A97" t="str">
            <v>2006-00428</v>
          </cell>
          <cell r="B97">
            <v>39022</v>
          </cell>
          <cell r="C97">
            <v>1.0571999999999999</v>
          </cell>
          <cell r="D97">
            <v>0</v>
          </cell>
          <cell r="E97">
            <v>0</v>
          </cell>
          <cell r="F97">
            <v>0</v>
          </cell>
          <cell r="G97">
            <v>1.0571999999999999</v>
          </cell>
        </row>
      </sheetData>
      <sheetData sheetId="43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</v>
          </cell>
          <cell r="H7" t="str">
            <v>HLF</v>
          </cell>
        </row>
        <row r="8">
          <cell r="A8" t="str">
            <v>95-010</v>
          </cell>
          <cell r="B8">
            <v>34943</v>
          </cell>
          <cell r="C8">
            <v>0.28760000000000002</v>
          </cell>
          <cell r="D8">
            <v>8.2000000000000007E-3</v>
          </cell>
          <cell r="E8">
            <v>0.13819999999999999</v>
          </cell>
          <cell r="F8">
            <v>-0.191</v>
          </cell>
          <cell r="G8">
            <v>0.24299999999999999</v>
          </cell>
          <cell r="H8">
            <v>5.5145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  <cell r="F9" t="str">
            <v>NA</v>
          </cell>
          <cell r="G9" t="str">
            <v>NA</v>
          </cell>
          <cell r="H9" t="str">
            <v>NA</v>
          </cell>
        </row>
        <row r="10">
          <cell r="A10" t="str">
            <v>95-010 B</v>
          </cell>
          <cell r="B10">
            <v>35004</v>
          </cell>
          <cell r="C10">
            <v>0.28760000000000002</v>
          </cell>
          <cell r="D10">
            <v>8.2000000000000007E-3</v>
          </cell>
          <cell r="E10">
            <v>7.7499999999999999E-2</v>
          </cell>
          <cell r="F10">
            <v>-0.14150000000000001</v>
          </cell>
          <cell r="G10">
            <v>0.23180000000000001</v>
          </cell>
          <cell r="H10">
            <v>5.6445999999999996</v>
          </cell>
        </row>
        <row r="11">
          <cell r="A11" t="str">
            <v>95-010 C</v>
          </cell>
          <cell r="B11">
            <v>35034</v>
          </cell>
          <cell r="C11">
            <v>0.28760000000000002</v>
          </cell>
          <cell r="D11">
            <v>8.2000000000000007E-3</v>
          </cell>
          <cell r="E11">
            <v>7.46E-2</v>
          </cell>
          <cell r="F11">
            <v>-0.14219999999999999</v>
          </cell>
          <cell r="G11">
            <v>0.22820000000000001</v>
          </cell>
          <cell r="H11">
            <v>5.6445999999999996</v>
          </cell>
        </row>
        <row r="12">
          <cell r="A12" t="str">
            <v>95-010 D</v>
          </cell>
          <cell r="B12">
            <v>35065</v>
          </cell>
          <cell r="C12">
            <v>0.28760000000000002</v>
          </cell>
          <cell r="D12">
            <v>8.2000000000000007E-3</v>
          </cell>
          <cell r="E12">
            <v>7.46E-2</v>
          </cell>
          <cell r="F12">
            <v>-0.14219999999999999</v>
          </cell>
          <cell r="G12">
            <v>0.22820000000000001</v>
          </cell>
          <cell r="H12">
            <v>5.6445999999999996</v>
          </cell>
        </row>
        <row r="13">
          <cell r="A13" t="str">
            <v>95-010 E</v>
          </cell>
          <cell r="B13">
            <v>35096</v>
          </cell>
          <cell r="C13">
            <v>0.28820000000000001</v>
          </cell>
          <cell r="D13">
            <v>0</v>
          </cell>
          <cell r="E13">
            <v>6.3200000000000006E-2</v>
          </cell>
          <cell r="F13">
            <v>-0.14219999999999999</v>
          </cell>
          <cell r="G13">
            <v>0.20920000000000005</v>
          </cell>
          <cell r="H13">
            <v>5.6570999999999998</v>
          </cell>
        </row>
        <row r="14">
          <cell r="A14" t="str">
            <v>95-010 F</v>
          </cell>
          <cell r="B14">
            <v>35125</v>
          </cell>
          <cell r="C14">
            <v>0.28870000000000001</v>
          </cell>
          <cell r="D14">
            <v>0</v>
          </cell>
          <cell r="E14">
            <v>6.3200000000000006E-2</v>
          </cell>
          <cell r="F14">
            <v>-6.3E-2</v>
          </cell>
          <cell r="G14">
            <v>0.28889999999999999</v>
          </cell>
          <cell r="H14">
            <v>5.6666999999999996</v>
          </cell>
        </row>
        <row r="15">
          <cell r="A15" t="str">
            <v>95-010 G</v>
          </cell>
          <cell r="B15">
            <v>35156</v>
          </cell>
          <cell r="C15">
            <v>0.27360000000000001</v>
          </cell>
          <cell r="D15">
            <v>0</v>
          </cell>
          <cell r="E15">
            <v>6.6400000000000001E-2</v>
          </cell>
          <cell r="F15">
            <v>-3.09E-2</v>
          </cell>
          <cell r="G15">
            <v>0.30910000000000004</v>
          </cell>
          <cell r="H15">
            <v>5.5183</v>
          </cell>
        </row>
        <row r="16">
          <cell r="A16" t="str">
            <v>95-010 H</v>
          </cell>
          <cell r="B16">
            <v>35186</v>
          </cell>
          <cell r="C16">
            <v>0.2432</v>
          </cell>
          <cell r="D16">
            <v>0</v>
          </cell>
          <cell r="E16">
            <v>6.6400000000000001E-2</v>
          </cell>
          <cell r="F16">
            <v>-3.09E-2</v>
          </cell>
          <cell r="G16">
            <v>0.2787</v>
          </cell>
          <cell r="H16">
            <v>4.9048999999999996</v>
          </cell>
        </row>
        <row r="17">
          <cell r="A17" t="str">
            <v>95-010 I</v>
          </cell>
          <cell r="B17">
            <v>35217</v>
          </cell>
          <cell r="C17">
            <v>0.22789999999999999</v>
          </cell>
          <cell r="D17">
            <v>0</v>
          </cell>
          <cell r="E17">
            <v>4.2099999999999999E-2</v>
          </cell>
          <cell r="F17">
            <v>-9.5899999999999999E-2</v>
          </cell>
          <cell r="G17">
            <v>0.17410000000000003</v>
          </cell>
          <cell r="H17">
            <v>4.5968999999999998</v>
          </cell>
        </row>
        <row r="18">
          <cell r="A18" t="str">
            <v>95-010 J</v>
          </cell>
          <cell r="B18">
            <v>35247</v>
          </cell>
          <cell r="C18">
            <v>0.2266</v>
          </cell>
          <cell r="D18">
            <v>0</v>
          </cell>
          <cell r="E18">
            <v>4.3499999999999997E-2</v>
          </cell>
          <cell r="F18">
            <v>-9.8199999999999996E-2</v>
          </cell>
          <cell r="G18">
            <v>0.1719</v>
          </cell>
          <cell r="H18">
            <v>4.5693999999999999</v>
          </cell>
        </row>
        <row r="19">
          <cell r="A19" t="str">
            <v>95-010 K</v>
          </cell>
          <cell r="B19">
            <v>35278</v>
          </cell>
          <cell r="C19">
            <v>0.22600000000000001</v>
          </cell>
          <cell r="D19">
            <v>0</v>
          </cell>
          <cell r="E19">
            <v>4.3499999999999997E-2</v>
          </cell>
          <cell r="F19">
            <v>-9.8199999999999996E-2</v>
          </cell>
          <cell r="G19">
            <v>0.17130000000000001</v>
          </cell>
          <cell r="H19">
            <v>4.5575000000000001</v>
          </cell>
        </row>
        <row r="20">
          <cell r="A20" t="str">
            <v>95-010 L</v>
          </cell>
          <cell r="B20">
            <v>35309</v>
          </cell>
          <cell r="C20">
            <v>0.23350000000000001</v>
          </cell>
          <cell r="D20">
            <v>0</v>
          </cell>
          <cell r="E20">
            <v>4.7500000000000001E-2</v>
          </cell>
          <cell r="F20">
            <v>-6.8000000000000005E-2</v>
          </cell>
          <cell r="G20">
            <v>0.21300000000000002</v>
          </cell>
          <cell r="H20">
            <v>4.7096</v>
          </cell>
        </row>
        <row r="21">
          <cell r="A21" t="str">
            <v>95-010 M</v>
          </cell>
          <cell r="B21">
            <v>35339</v>
          </cell>
          <cell r="C21">
            <v>0.2336</v>
          </cell>
          <cell r="D21">
            <v>0</v>
          </cell>
          <cell r="E21">
            <v>4.99E-2</v>
          </cell>
          <cell r="F21">
            <v>-6.8000000000000005E-2</v>
          </cell>
          <cell r="G21">
            <v>0.21549999999999997</v>
          </cell>
          <cell r="H21">
            <v>4.7243000000000004</v>
          </cell>
        </row>
        <row r="22">
          <cell r="A22" t="str">
            <v>95-010 N</v>
          </cell>
          <cell r="B22">
            <v>35370</v>
          </cell>
          <cell r="C22">
            <v>0.22359999999999999</v>
          </cell>
          <cell r="D22">
            <v>0</v>
          </cell>
          <cell r="E22">
            <v>4.9799999999999997E-2</v>
          </cell>
          <cell r="F22">
            <v>-6.8000000000000005E-2</v>
          </cell>
          <cell r="G22">
            <v>0.2054</v>
          </cell>
          <cell r="H22">
            <v>4.5213999999999999</v>
          </cell>
        </row>
        <row r="23">
          <cell r="A23" t="str">
            <v>95-010 O</v>
          </cell>
          <cell r="B23">
            <v>35400</v>
          </cell>
          <cell r="C23">
            <v>0.21629999999999999</v>
          </cell>
          <cell r="D23">
            <v>0</v>
          </cell>
          <cell r="E23">
            <v>4.9799999999999997E-2</v>
          </cell>
          <cell r="F23">
            <v>-6.7299999999999999E-2</v>
          </cell>
          <cell r="G23">
            <v>0.1988</v>
          </cell>
          <cell r="H23">
            <v>4.375</v>
          </cell>
        </row>
        <row r="24">
          <cell r="A24" t="str">
            <v>95-010 P</v>
          </cell>
          <cell r="B24">
            <v>35431</v>
          </cell>
          <cell r="C24">
            <v>0.21629999999999999</v>
          </cell>
          <cell r="D24">
            <v>0</v>
          </cell>
          <cell r="E24">
            <v>6.1899999999999997E-2</v>
          </cell>
          <cell r="F24">
            <v>-6.7299999999999999E-2</v>
          </cell>
          <cell r="G24">
            <v>0.2109</v>
          </cell>
          <cell r="H24">
            <v>4.375</v>
          </cell>
        </row>
        <row r="25">
          <cell r="A25" t="str">
            <v>95-010 Q</v>
          </cell>
          <cell r="B25">
            <v>35462</v>
          </cell>
          <cell r="C25">
            <v>0.21629999999999999</v>
          </cell>
          <cell r="D25">
            <v>0</v>
          </cell>
          <cell r="E25">
            <v>6.1800000000000001E-2</v>
          </cell>
          <cell r="F25">
            <v>-6.7299999999999999E-2</v>
          </cell>
          <cell r="G25">
            <v>0.21079999999999999</v>
          </cell>
          <cell r="H25">
            <v>4.375</v>
          </cell>
        </row>
        <row r="26">
          <cell r="A26" t="str">
            <v>95-010 R</v>
          </cell>
          <cell r="B26">
            <v>35490</v>
          </cell>
          <cell r="C26">
            <v>0.21640000000000001</v>
          </cell>
          <cell r="D26">
            <v>0</v>
          </cell>
          <cell r="E26">
            <v>6.1800000000000001E-2</v>
          </cell>
          <cell r="F26">
            <v>-6.7299999999999999E-2</v>
          </cell>
          <cell r="G26">
            <v>0.2109</v>
          </cell>
          <cell r="H26">
            <v>4.3760000000000003</v>
          </cell>
        </row>
        <row r="27">
          <cell r="A27" t="str">
            <v>95-010 S</v>
          </cell>
          <cell r="B27">
            <v>35521</v>
          </cell>
          <cell r="C27">
            <v>0.2122</v>
          </cell>
          <cell r="D27">
            <v>0</v>
          </cell>
          <cell r="E27">
            <v>6.1800000000000001E-2</v>
          </cell>
          <cell r="F27">
            <v>-6.7299999999999999E-2</v>
          </cell>
          <cell r="G27">
            <v>0.20670000000000002</v>
          </cell>
          <cell r="H27">
            <v>4.2912999999999997</v>
          </cell>
        </row>
        <row r="28">
          <cell r="A28" t="str">
            <v>95-010 T</v>
          </cell>
          <cell r="B28">
            <v>35551</v>
          </cell>
          <cell r="C28">
            <v>0.2122</v>
          </cell>
          <cell r="D28">
            <v>0</v>
          </cell>
          <cell r="E28">
            <v>6.1800000000000001E-2</v>
          </cell>
          <cell r="F28">
            <v>-6.7299999999999999E-2</v>
          </cell>
          <cell r="G28">
            <v>0.20669999999999999</v>
          </cell>
          <cell r="H28">
            <v>4.2912999999999997</v>
          </cell>
        </row>
        <row r="29">
          <cell r="A29" t="str">
            <v>95-010 U</v>
          </cell>
          <cell r="B29">
            <v>35582</v>
          </cell>
          <cell r="C29">
            <v>0.22550000000000001</v>
          </cell>
          <cell r="D29">
            <v>0</v>
          </cell>
          <cell r="E29">
            <v>5.2900000000000003E-2</v>
          </cell>
          <cell r="F29">
            <v>-2.3E-3</v>
          </cell>
          <cell r="G29">
            <v>0.27609999999999996</v>
          </cell>
          <cell r="H29">
            <v>4.5613000000000001</v>
          </cell>
        </row>
        <row r="30">
          <cell r="A30" t="str">
            <v>95-010 V</v>
          </cell>
          <cell r="B30">
            <v>35612</v>
          </cell>
          <cell r="C30">
            <v>0.22550000000000001</v>
          </cell>
          <cell r="D30">
            <v>0</v>
          </cell>
          <cell r="E30">
            <v>5.2900000000000003E-2</v>
          </cell>
          <cell r="F30">
            <v>-4.8800000000000003E-2</v>
          </cell>
          <cell r="G30">
            <v>0.22959999999999997</v>
          </cell>
          <cell r="H30">
            <v>4.5613000000000001</v>
          </cell>
        </row>
        <row r="31">
          <cell r="A31" t="str">
            <v>95-010 W</v>
          </cell>
          <cell r="B31">
            <v>35643</v>
          </cell>
          <cell r="C31">
            <v>0.2631</v>
          </cell>
          <cell r="D31">
            <v>0</v>
          </cell>
          <cell r="E31">
            <v>5.1999999999999998E-2</v>
          </cell>
          <cell r="F31">
            <v>-4.8800000000000003E-2</v>
          </cell>
          <cell r="G31">
            <v>0.26629999999999998</v>
          </cell>
          <cell r="H31">
            <v>5.3216000000000001</v>
          </cell>
        </row>
        <row r="32">
          <cell r="A32" t="str">
            <v>95-010 X</v>
          </cell>
          <cell r="B32">
            <v>35674</v>
          </cell>
          <cell r="C32">
            <v>0.2225</v>
          </cell>
          <cell r="D32">
            <v>0</v>
          </cell>
          <cell r="E32">
            <v>5.1999999999999998E-2</v>
          </cell>
          <cell r="F32">
            <v>-4.8800000000000003E-2</v>
          </cell>
          <cell r="G32">
            <v>0.22570000000000001</v>
          </cell>
          <cell r="H32">
            <v>4.5003000000000002</v>
          </cell>
        </row>
        <row r="33">
          <cell r="A33" t="str">
            <v>95-010 Y</v>
          </cell>
          <cell r="B33">
            <v>35704</v>
          </cell>
          <cell r="C33">
            <v>0.2225</v>
          </cell>
          <cell r="D33">
            <v>0</v>
          </cell>
          <cell r="E33">
            <v>5.9200000000000003E-2</v>
          </cell>
          <cell r="F33">
            <v>-4.8800000000000003E-2</v>
          </cell>
          <cell r="G33">
            <v>0.2329</v>
          </cell>
          <cell r="H33">
            <v>4.7756999999999996</v>
          </cell>
        </row>
        <row r="34">
          <cell r="A34" t="str">
            <v>95-010 Z</v>
          </cell>
          <cell r="B34">
            <v>35735</v>
          </cell>
          <cell r="C34">
            <v>0.2225</v>
          </cell>
          <cell r="D34">
            <v>0</v>
          </cell>
          <cell r="E34">
            <v>5.9200000000000003E-2</v>
          </cell>
          <cell r="F34">
            <v>-4.8800000000000003E-2</v>
          </cell>
          <cell r="G34">
            <v>0.2329</v>
          </cell>
          <cell r="H34">
            <v>4.7756999999999996</v>
          </cell>
        </row>
        <row r="35">
          <cell r="A35" t="str">
            <v>95-010 AA</v>
          </cell>
          <cell r="B35">
            <v>35765</v>
          </cell>
          <cell r="C35">
            <v>0.2631</v>
          </cell>
          <cell r="D35">
            <v>0</v>
          </cell>
          <cell r="E35">
            <v>5.9200000000000003E-2</v>
          </cell>
          <cell r="F35">
            <v>-4.8800000000000003E-2</v>
          </cell>
          <cell r="G35">
            <v>0.27350000000000002</v>
          </cell>
          <cell r="H35">
            <v>5.6473000000000004</v>
          </cell>
        </row>
        <row r="36">
          <cell r="A36" t="str">
            <v>95-010 BB</v>
          </cell>
          <cell r="B36">
            <v>35796</v>
          </cell>
          <cell r="C36">
            <v>0.2631</v>
          </cell>
          <cell r="D36">
            <v>0</v>
          </cell>
          <cell r="E36">
            <v>5.9200000000000003E-2</v>
          </cell>
          <cell r="F36">
            <v>-4.8800000000000003E-2</v>
          </cell>
          <cell r="G36">
            <v>0.27350000000000002</v>
          </cell>
          <cell r="H36">
            <v>5.6473000000000004</v>
          </cell>
        </row>
        <row r="37">
          <cell r="A37" t="str">
            <v>95-010 CC</v>
          </cell>
          <cell r="B37">
            <v>35827</v>
          </cell>
          <cell r="C37">
            <v>0.2631</v>
          </cell>
          <cell r="D37">
            <v>0</v>
          </cell>
          <cell r="E37">
            <v>5.9200000000000003E-2</v>
          </cell>
          <cell r="F37">
            <v>-4.8800000000000003E-2</v>
          </cell>
          <cell r="G37">
            <v>0.27350000000000002</v>
          </cell>
          <cell r="H37">
            <v>5.6473000000000004</v>
          </cell>
        </row>
        <row r="38">
          <cell r="A38" t="str">
            <v>95-010 DD</v>
          </cell>
          <cell r="B38">
            <v>35855</v>
          </cell>
          <cell r="C38">
            <v>0.23119999999999999</v>
          </cell>
          <cell r="D38">
            <v>0</v>
          </cell>
          <cell r="E38">
            <v>3.09E-2</v>
          </cell>
          <cell r="F38">
            <v>-4.8800000000000003E-2</v>
          </cell>
          <cell r="G38">
            <v>0.21329999999999999</v>
          </cell>
          <cell r="H38">
            <v>4.9629000000000003</v>
          </cell>
        </row>
        <row r="39">
          <cell r="A39" t="str">
            <v>95-010 EE</v>
          </cell>
          <cell r="B39">
            <v>35886</v>
          </cell>
          <cell r="C39">
            <v>0.21690000000000001</v>
          </cell>
          <cell r="D39">
            <v>0</v>
          </cell>
          <cell r="E39">
            <v>1.8599999999999998E-2</v>
          </cell>
          <cell r="F39">
            <v>-4.8800000000000003E-2</v>
          </cell>
          <cell r="G39">
            <v>0.1867</v>
          </cell>
          <cell r="H39">
            <v>4.6555999999999997</v>
          </cell>
        </row>
        <row r="40">
          <cell r="A40" t="str">
            <v>95-010 FF</v>
          </cell>
          <cell r="B40">
            <v>35916</v>
          </cell>
          <cell r="C40">
            <v>0.21690000000000001</v>
          </cell>
          <cell r="D40">
            <v>0</v>
          </cell>
          <cell r="E40">
            <v>1.8599999999999998E-2</v>
          </cell>
          <cell r="F40">
            <v>-4.8800000000000003E-2</v>
          </cell>
          <cell r="G40">
            <v>0.1867</v>
          </cell>
          <cell r="H40">
            <v>4.6555999999999997</v>
          </cell>
        </row>
        <row r="41">
          <cell r="A41" t="str">
            <v>95-010 GG</v>
          </cell>
          <cell r="B41">
            <v>35947</v>
          </cell>
          <cell r="C41">
            <v>0.21690000000000001</v>
          </cell>
          <cell r="D41">
            <v>0</v>
          </cell>
          <cell r="E41">
            <v>1.8599999999999998E-2</v>
          </cell>
          <cell r="F41">
            <v>0</v>
          </cell>
          <cell r="G41">
            <v>0.23550000000000001</v>
          </cell>
          <cell r="H41">
            <v>4.6555999999999997</v>
          </cell>
        </row>
        <row r="42">
          <cell r="A42" t="str">
            <v>95-010 HH</v>
          </cell>
          <cell r="B42">
            <v>35977</v>
          </cell>
          <cell r="C42">
            <v>0.21690000000000001</v>
          </cell>
          <cell r="D42">
            <v>0</v>
          </cell>
          <cell r="E42">
            <v>1.8599999999999998E-2</v>
          </cell>
          <cell r="F42">
            <v>-2.9999999999999996E-3</v>
          </cell>
          <cell r="G42">
            <v>0.23250000000000001</v>
          </cell>
          <cell r="H42">
            <v>4.6555999999999997</v>
          </cell>
        </row>
        <row r="43">
          <cell r="A43" t="str">
            <v>95-010 II</v>
          </cell>
          <cell r="B43">
            <v>36008</v>
          </cell>
          <cell r="C43">
            <v>0.21690000000000001</v>
          </cell>
          <cell r="D43">
            <v>0</v>
          </cell>
          <cell r="E43">
            <v>1.8599999999999998E-2</v>
          </cell>
          <cell r="F43">
            <v>-2.9999999999999996E-3</v>
          </cell>
          <cell r="G43">
            <v>0.23250000000000001</v>
          </cell>
          <cell r="H43">
            <v>4.6555999999999997</v>
          </cell>
        </row>
        <row r="44">
          <cell r="A44" t="str">
            <v>95-010 JJ</v>
          </cell>
          <cell r="B44">
            <v>36039</v>
          </cell>
          <cell r="C44">
            <v>0.21690000000000001</v>
          </cell>
          <cell r="D44">
            <v>0</v>
          </cell>
          <cell r="E44">
            <v>1.8599999999999998E-2</v>
          </cell>
          <cell r="F44">
            <v>-2.9999999999999996E-3</v>
          </cell>
          <cell r="G44">
            <v>0.23250000000000001</v>
          </cell>
          <cell r="H44">
            <v>4.6555999999999997</v>
          </cell>
        </row>
        <row r="45">
          <cell r="A45" t="str">
            <v>95-010 KK</v>
          </cell>
          <cell r="B45">
            <v>36069</v>
          </cell>
          <cell r="C45">
            <v>0.21690000000000001</v>
          </cell>
          <cell r="D45">
            <v>0</v>
          </cell>
          <cell r="E45">
            <v>1.8599999999999998E-2</v>
          </cell>
          <cell r="F45">
            <v>-2.9999999999999996E-3</v>
          </cell>
          <cell r="G45">
            <v>0.23250000000000001</v>
          </cell>
          <cell r="H45">
            <v>4.6555999999999997</v>
          </cell>
        </row>
        <row r="46">
          <cell r="A46" t="str">
            <v>95-010 LL</v>
          </cell>
          <cell r="B46">
            <v>36100</v>
          </cell>
          <cell r="C46">
            <v>0.19939999999999999</v>
          </cell>
          <cell r="D46">
            <v>0</v>
          </cell>
          <cell r="E46">
            <v>1.8599999999999998E-2</v>
          </cell>
          <cell r="F46">
            <v>-2.9999999999999996E-3</v>
          </cell>
          <cell r="G46">
            <v>0.215</v>
          </cell>
          <cell r="H46">
            <v>4.2808999999999999</v>
          </cell>
        </row>
        <row r="47">
          <cell r="A47" t="str">
            <v>95-010 MM</v>
          </cell>
          <cell r="B47">
            <v>36130</v>
          </cell>
          <cell r="C47">
            <v>0.19939999999999999</v>
          </cell>
          <cell r="D47">
            <v>0</v>
          </cell>
          <cell r="E47">
            <v>1.8599999999999998E-2</v>
          </cell>
          <cell r="F47">
            <v>-2.9999999999999996E-3</v>
          </cell>
          <cell r="G47">
            <v>0.215</v>
          </cell>
          <cell r="H47">
            <v>4.2808999999999999</v>
          </cell>
        </row>
        <row r="48">
          <cell r="A48" t="str">
            <v>95-010 NN</v>
          </cell>
          <cell r="B48">
            <v>36161</v>
          </cell>
          <cell r="C48">
            <v>0.19939999999999999</v>
          </cell>
          <cell r="D48">
            <v>0</v>
          </cell>
          <cell r="E48">
            <v>1.8599999999999998E-2</v>
          </cell>
          <cell r="F48">
            <v>-2.9999999999999996E-3</v>
          </cell>
          <cell r="G48">
            <v>0.215</v>
          </cell>
          <cell r="H48">
            <v>4.2808999999999999</v>
          </cell>
        </row>
        <row r="49">
          <cell r="A49" t="str">
            <v>95-010 OO</v>
          </cell>
          <cell r="B49">
            <v>36192</v>
          </cell>
          <cell r="C49">
            <v>0.19939999999999999</v>
          </cell>
          <cell r="D49">
            <v>0</v>
          </cell>
          <cell r="E49">
            <v>1.8599999999999998E-2</v>
          </cell>
          <cell r="F49">
            <v>-2.9999999999999996E-3</v>
          </cell>
          <cell r="G49">
            <v>0.215</v>
          </cell>
          <cell r="H49">
            <v>4.2808999999999999</v>
          </cell>
        </row>
        <row r="50">
          <cell r="A50" t="str">
            <v>95-010 PP</v>
          </cell>
          <cell r="B50">
            <v>36220</v>
          </cell>
          <cell r="C50">
            <v>0.19939999999999999</v>
          </cell>
          <cell r="D50">
            <v>0</v>
          </cell>
          <cell r="E50">
            <v>1.8599999999999998E-2</v>
          </cell>
          <cell r="F50">
            <v>-2.9999999999999996E-3</v>
          </cell>
          <cell r="G50">
            <v>0.215</v>
          </cell>
          <cell r="H50">
            <v>4.2808999999999999</v>
          </cell>
        </row>
        <row r="51">
          <cell r="A51" t="str">
            <v>95-010 QQ</v>
          </cell>
          <cell r="B51">
            <v>36251</v>
          </cell>
          <cell r="C51">
            <v>0.19939999999999999</v>
          </cell>
          <cell r="D51">
            <v>0</v>
          </cell>
          <cell r="E51">
            <v>1.8599999999999998E-2</v>
          </cell>
          <cell r="F51">
            <v>-4.4200000000000003E-2</v>
          </cell>
          <cell r="G51">
            <v>0.17380000000000001</v>
          </cell>
          <cell r="H51">
            <v>4.2808999999999999</v>
          </cell>
        </row>
        <row r="52">
          <cell r="A52" t="str">
            <v>95-010 RR</v>
          </cell>
          <cell r="B52">
            <v>36281</v>
          </cell>
          <cell r="C52">
            <v>0.19939999999999999</v>
          </cell>
          <cell r="D52">
            <v>0</v>
          </cell>
          <cell r="E52">
            <v>1.8599999999999998E-2</v>
          </cell>
          <cell r="F52">
            <v>-4.4200000000000003E-2</v>
          </cell>
          <cell r="G52">
            <v>0.17380000000000001</v>
          </cell>
          <cell r="H52">
            <v>4.2808999999999999</v>
          </cell>
        </row>
        <row r="53">
          <cell r="A53" t="str">
            <v>95-010 SS</v>
          </cell>
          <cell r="B53">
            <v>36312</v>
          </cell>
          <cell r="C53">
            <v>0.19939999999999999</v>
          </cell>
          <cell r="D53">
            <v>0</v>
          </cell>
          <cell r="E53">
            <v>1.8599999999999998E-2</v>
          </cell>
          <cell r="F53">
            <v>-4.4200000000000003E-2</v>
          </cell>
          <cell r="G53">
            <v>0.17380000000000001</v>
          </cell>
          <cell r="H53">
            <v>4.2808999999999999</v>
          </cell>
        </row>
        <row r="54">
          <cell r="A54" t="str">
            <v>95-010 TT</v>
          </cell>
          <cell r="B54">
            <v>36342</v>
          </cell>
          <cell r="C54">
            <v>0.19939999999999999</v>
          </cell>
          <cell r="D54">
            <v>0</v>
          </cell>
          <cell r="E54">
            <v>1.8599999999999998E-2</v>
          </cell>
          <cell r="F54">
            <v>-4.1200000000000001E-2</v>
          </cell>
          <cell r="G54">
            <v>0.17680000000000001</v>
          </cell>
          <cell r="H54">
            <v>4.2808999999999999</v>
          </cell>
        </row>
        <row r="55">
          <cell r="A55" t="str">
            <v>95-010 UU</v>
          </cell>
          <cell r="B55">
            <v>36373</v>
          </cell>
          <cell r="C55">
            <v>0.19939999999999999</v>
          </cell>
          <cell r="D55">
            <v>0</v>
          </cell>
          <cell r="E55">
            <v>1.8599999999999998E-2</v>
          </cell>
          <cell r="F55">
            <v>-4.1200000000000001E-2</v>
          </cell>
          <cell r="G55">
            <v>0.17680000000000001</v>
          </cell>
          <cell r="H55">
            <v>4.2808999999999999</v>
          </cell>
        </row>
        <row r="56">
          <cell r="A56" t="str">
            <v>95-010 VV</v>
          </cell>
          <cell r="B56">
            <v>36404</v>
          </cell>
          <cell r="C56">
            <v>0.19939999999999999</v>
          </cell>
          <cell r="D56">
            <v>0</v>
          </cell>
          <cell r="E56">
            <v>1.8599999999999998E-2</v>
          </cell>
          <cell r="F56">
            <v>-4.1200000000000001E-2</v>
          </cell>
          <cell r="G56">
            <v>0.17680000000000001</v>
          </cell>
          <cell r="H56">
            <v>4.2808999999999999</v>
          </cell>
        </row>
        <row r="57">
          <cell r="A57" t="str">
            <v>95-010 WW</v>
          </cell>
          <cell r="B57">
            <v>36434</v>
          </cell>
          <cell r="C57">
            <v>0.19939999999999999</v>
          </cell>
          <cell r="D57">
            <v>0</v>
          </cell>
          <cell r="E57">
            <v>1.8599999999999998E-2</v>
          </cell>
          <cell r="F57">
            <v>-4.1200000000000001E-2</v>
          </cell>
          <cell r="G57">
            <v>0.17680000000000001</v>
          </cell>
          <cell r="H57">
            <v>4.2808999999999999</v>
          </cell>
        </row>
        <row r="58">
          <cell r="A58" t="str">
            <v>95-010 XX</v>
          </cell>
          <cell r="B58">
            <v>36465</v>
          </cell>
          <cell r="C58">
            <v>0.20130000000000001</v>
          </cell>
          <cell r="D58">
            <v>0</v>
          </cell>
          <cell r="E58">
            <v>3.0000000000000001E-3</v>
          </cell>
          <cell r="F58">
            <v>-4.1200000000000001E-2</v>
          </cell>
          <cell r="G58">
            <v>0.16310000000000002</v>
          </cell>
          <cell r="H58">
            <v>4.3211000000000004</v>
          </cell>
        </row>
        <row r="59">
          <cell r="A59" t="str">
            <v>95-010 YY</v>
          </cell>
          <cell r="B59">
            <v>36495</v>
          </cell>
          <cell r="C59">
            <v>0.2001</v>
          </cell>
          <cell r="D59">
            <v>0</v>
          </cell>
          <cell r="E59">
            <v>3.0000000000000001E-3</v>
          </cell>
          <cell r="F59">
            <v>-4.1200000000000001E-2</v>
          </cell>
          <cell r="G59">
            <v>0.16189999999999999</v>
          </cell>
          <cell r="H59">
            <v>4.2945000000000002</v>
          </cell>
        </row>
        <row r="60">
          <cell r="A60" t="str">
            <v>99-070</v>
          </cell>
          <cell r="B60">
            <v>36526</v>
          </cell>
          <cell r="C60">
            <v>0.2001</v>
          </cell>
          <cell r="D60">
            <v>0</v>
          </cell>
          <cell r="E60">
            <v>3.0000000000000001E-3</v>
          </cell>
          <cell r="F60">
            <v>-4.1200000000000001E-2</v>
          </cell>
          <cell r="G60">
            <v>0.16189999999999999</v>
          </cell>
          <cell r="H60">
            <v>4.2945000000000002</v>
          </cell>
        </row>
        <row r="61">
          <cell r="A61" t="str">
            <v>99-070 A</v>
          </cell>
          <cell r="B61">
            <v>36557</v>
          </cell>
          <cell r="C61">
            <v>0.20100000000000001</v>
          </cell>
          <cell r="D61">
            <v>0</v>
          </cell>
          <cell r="E61">
            <v>3.0000000000000001E-3</v>
          </cell>
          <cell r="F61">
            <v>-4.1200000000000001E-2</v>
          </cell>
          <cell r="G61">
            <v>0.1628</v>
          </cell>
          <cell r="H61">
            <v>4.3144999999999998</v>
          </cell>
        </row>
        <row r="62">
          <cell r="A62" t="str">
            <v>1999-070 B</v>
          </cell>
          <cell r="B62">
            <v>36617</v>
          </cell>
          <cell r="C62">
            <v>0.20100000000000001</v>
          </cell>
          <cell r="D62">
            <v>0</v>
          </cell>
          <cell r="E62">
            <v>3.0000000000000001E-3</v>
          </cell>
          <cell r="F62">
            <v>0</v>
          </cell>
          <cell r="G62">
            <v>0.20400000000000001</v>
          </cell>
          <cell r="H62">
            <v>4.3144999999999998</v>
          </cell>
        </row>
        <row r="63">
          <cell r="A63" t="str">
            <v>1999-070 C</v>
          </cell>
          <cell r="B63">
            <v>36647</v>
          </cell>
          <cell r="C63">
            <v>0.20100000000000001</v>
          </cell>
          <cell r="D63">
            <v>0</v>
          </cell>
          <cell r="E63">
            <v>3.0000000000000001E-3</v>
          </cell>
          <cell r="F63">
            <v>0</v>
          </cell>
          <cell r="G63">
            <v>0.20400000000000001</v>
          </cell>
          <cell r="H63">
            <v>4.3144999999999998</v>
          </cell>
        </row>
        <row r="64">
          <cell r="A64" t="str">
            <v>1999-070 D</v>
          </cell>
          <cell r="B64">
            <v>36708</v>
          </cell>
          <cell r="C64">
            <v>0.20100000000000001</v>
          </cell>
          <cell r="D64">
            <v>0</v>
          </cell>
          <cell r="E64">
            <v>3.0000000000000001E-3</v>
          </cell>
          <cell r="F64">
            <v>0</v>
          </cell>
          <cell r="G64">
            <v>0.20400000000000001</v>
          </cell>
          <cell r="H64">
            <v>4.3144999999999998</v>
          </cell>
        </row>
        <row r="65">
          <cell r="A65" t="str">
            <v>1999-070 E</v>
          </cell>
          <cell r="B65">
            <v>36739</v>
          </cell>
          <cell r="C65">
            <v>0.20100000000000001</v>
          </cell>
          <cell r="D65">
            <v>0</v>
          </cell>
          <cell r="E65">
            <v>3.0000000000000001E-3</v>
          </cell>
          <cell r="F65">
            <v>0</v>
          </cell>
          <cell r="G65">
            <v>0.20400000000000001</v>
          </cell>
          <cell r="H65">
            <v>4.3144999999999998</v>
          </cell>
        </row>
        <row r="66">
          <cell r="A66" t="str">
            <v>1999-070 F</v>
          </cell>
          <cell r="B66">
            <v>36800</v>
          </cell>
          <cell r="C66">
            <v>0.20100000000000001</v>
          </cell>
          <cell r="D66">
            <v>0</v>
          </cell>
          <cell r="E66">
            <v>3.0000000000000001E-3</v>
          </cell>
          <cell r="F66">
            <v>0</v>
          </cell>
          <cell r="G66">
            <v>0.20400000000000001</v>
          </cell>
          <cell r="H66">
            <v>4.3144999999999998</v>
          </cell>
        </row>
        <row r="67">
          <cell r="A67" t="str">
            <v>1999-070 G</v>
          </cell>
          <cell r="B67">
            <v>36831</v>
          </cell>
          <cell r="C67">
            <v>0.18820000000000001</v>
          </cell>
          <cell r="D67">
            <v>0</v>
          </cell>
          <cell r="E67">
            <v>0</v>
          </cell>
          <cell r="F67">
            <v>0</v>
          </cell>
          <cell r="G67">
            <v>0.18820000000000001</v>
          </cell>
          <cell r="H67">
            <v>4.5294999999999996</v>
          </cell>
        </row>
        <row r="68">
          <cell r="A68" t="str">
            <v>1999-070 H</v>
          </cell>
          <cell r="B68">
            <v>36923</v>
          </cell>
          <cell r="C68">
            <v>0.24249999999999999</v>
          </cell>
          <cell r="D68">
            <v>0</v>
          </cell>
          <cell r="E68">
            <v>0</v>
          </cell>
          <cell r="F68">
            <v>0</v>
          </cell>
          <cell r="G68">
            <v>0.24249999999999999</v>
          </cell>
          <cell r="H68">
            <v>5.8369999999999997</v>
          </cell>
        </row>
        <row r="69">
          <cell r="A69" t="str">
            <v>1999-070 I</v>
          </cell>
          <cell r="B69">
            <v>36951</v>
          </cell>
          <cell r="C69">
            <v>0.24249999999999999</v>
          </cell>
          <cell r="D69">
            <v>0</v>
          </cell>
          <cell r="E69">
            <v>0</v>
          </cell>
          <cell r="F69">
            <v>0</v>
          </cell>
          <cell r="G69">
            <v>0.24249999999999999</v>
          </cell>
          <cell r="H69">
            <v>5.8369999999999997</v>
          </cell>
        </row>
        <row r="70">
          <cell r="A70" t="str">
            <v>1999-070 J</v>
          </cell>
          <cell r="B70">
            <v>36982</v>
          </cell>
          <cell r="C70">
            <v>0.24249999999999999</v>
          </cell>
          <cell r="D70">
            <v>0</v>
          </cell>
          <cell r="E70">
            <v>0</v>
          </cell>
          <cell r="F70">
            <v>0</v>
          </cell>
          <cell r="G70">
            <v>0.24249999999999999</v>
          </cell>
          <cell r="H70">
            <v>5.8369999999999997</v>
          </cell>
        </row>
        <row r="71">
          <cell r="A71" t="str">
            <v>1999-070 K</v>
          </cell>
          <cell r="B71">
            <v>37012</v>
          </cell>
          <cell r="C71">
            <v>0.21010000000000001</v>
          </cell>
          <cell r="D71">
            <v>0</v>
          </cell>
          <cell r="E71">
            <v>0</v>
          </cell>
          <cell r="F71">
            <v>0</v>
          </cell>
          <cell r="G71">
            <v>0.21010000000000001</v>
          </cell>
          <cell r="H71">
            <v>5.0563000000000002</v>
          </cell>
        </row>
        <row r="72">
          <cell r="A72" t="str">
            <v>1999-070 L</v>
          </cell>
          <cell r="B72">
            <v>37043</v>
          </cell>
          <cell r="C72">
            <v>0.21010000000000001</v>
          </cell>
          <cell r="D72">
            <v>0</v>
          </cell>
          <cell r="E72">
            <v>0</v>
          </cell>
          <cell r="F72">
            <v>0</v>
          </cell>
          <cell r="G72">
            <v>0.21010000000000001</v>
          </cell>
          <cell r="H72">
            <v>5.0563000000000002</v>
          </cell>
        </row>
        <row r="73">
          <cell r="A73" t="str">
            <v>1999-070 M</v>
          </cell>
          <cell r="B73">
            <v>37073</v>
          </cell>
          <cell r="C73">
            <v>0.21010000000000001</v>
          </cell>
          <cell r="D73">
            <v>0</v>
          </cell>
          <cell r="E73">
            <v>0</v>
          </cell>
          <cell r="F73">
            <v>0</v>
          </cell>
          <cell r="G73">
            <v>0.21010000000000001</v>
          </cell>
          <cell r="H73">
            <v>5.0563000000000002</v>
          </cell>
        </row>
        <row r="74">
          <cell r="A74" t="str">
            <v>1999-070 N</v>
          </cell>
          <cell r="B74">
            <v>37104</v>
          </cell>
          <cell r="C74">
            <v>0.21010000000000001</v>
          </cell>
          <cell r="D74">
            <v>0</v>
          </cell>
          <cell r="E74">
            <v>0</v>
          </cell>
          <cell r="F74">
            <v>0</v>
          </cell>
          <cell r="G74">
            <v>0.21010000000000001</v>
          </cell>
          <cell r="H74">
            <v>5.0563000000000002</v>
          </cell>
        </row>
        <row r="75">
          <cell r="A75" t="str">
            <v>1999-070 O</v>
          </cell>
          <cell r="B75">
            <v>37196</v>
          </cell>
          <cell r="C75">
            <v>0.21010000000000001</v>
          </cell>
          <cell r="D75">
            <v>0</v>
          </cell>
          <cell r="E75">
            <v>0</v>
          </cell>
          <cell r="F75">
            <v>0</v>
          </cell>
          <cell r="G75">
            <v>0.21010000000000001</v>
          </cell>
          <cell r="H75">
            <v>5.0563000000000002</v>
          </cell>
        </row>
        <row r="76">
          <cell r="A76" t="str">
            <v>1999-070 P</v>
          </cell>
          <cell r="B76">
            <v>37288</v>
          </cell>
          <cell r="C76">
            <v>0.21010000000000001</v>
          </cell>
          <cell r="D76">
            <v>0</v>
          </cell>
          <cell r="E76">
            <v>0</v>
          </cell>
          <cell r="F76">
            <v>0</v>
          </cell>
          <cell r="G76">
            <v>0.21010000000000001</v>
          </cell>
          <cell r="H76">
            <v>5.0563000000000002</v>
          </cell>
        </row>
        <row r="77">
          <cell r="A77" t="str">
            <v>2002-00113</v>
          </cell>
          <cell r="B77">
            <v>37377</v>
          </cell>
          <cell r="C77">
            <v>0.21010000000000001</v>
          </cell>
          <cell r="D77">
            <v>0</v>
          </cell>
          <cell r="E77">
            <v>0</v>
          </cell>
          <cell r="F77">
            <v>0</v>
          </cell>
          <cell r="G77">
            <v>0.21010000000000001</v>
          </cell>
          <cell r="H77">
            <v>5.0563000000000002</v>
          </cell>
        </row>
        <row r="78">
          <cell r="A78" t="str">
            <v>2002-00251</v>
          </cell>
          <cell r="B78">
            <v>37469</v>
          </cell>
          <cell r="C78">
            <v>0.21010000000000001</v>
          </cell>
          <cell r="D78">
            <v>0</v>
          </cell>
          <cell r="E78">
            <v>0</v>
          </cell>
          <cell r="F78">
            <v>-9.4000000000000004E-3</v>
          </cell>
          <cell r="G78">
            <v>0.20069999999999999</v>
          </cell>
          <cell r="H78">
            <v>5.0563000000000002</v>
          </cell>
        </row>
        <row r="79">
          <cell r="A79" t="str">
            <v>2002-00359</v>
          </cell>
          <cell r="B79">
            <v>37561</v>
          </cell>
          <cell r="C79">
            <v>0.19040000000000001</v>
          </cell>
          <cell r="D79">
            <v>0</v>
          </cell>
          <cell r="E79">
            <v>0</v>
          </cell>
          <cell r="F79">
            <v>-0.157</v>
          </cell>
          <cell r="G79">
            <v>3.3400000000000013E-2</v>
          </cell>
          <cell r="H79">
            <v>4.5831999999999997</v>
          </cell>
        </row>
        <row r="80">
          <cell r="A80" t="str">
            <v>2003-00002</v>
          </cell>
          <cell r="B80">
            <v>37653</v>
          </cell>
          <cell r="C80">
            <v>0.19040000000000001</v>
          </cell>
          <cell r="D80">
            <v>0</v>
          </cell>
          <cell r="E80">
            <v>0</v>
          </cell>
          <cell r="F80">
            <v>-0.157</v>
          </cell>
          <cell r="G80">
            <v>3.3400000000000013E-2</v>
          </cell>
          <cell r="H80">
            <v>4.7106000000000003</v>
          </cell>
        </row>
        <row r="81">
          <cell r="A81" t="str">
            <v>2003-00083</v>
          </cell>
          <cell r="B81">
            <v>37713</v>
          </cell>
          <cell r="C81">
            <v>0.19040000000000001</v>
          </cell>
          <cell r="D81">
            <v>0</v>
          </cell>
          <cell r="E81">
            <v>0</v>
          </cell>
          <cell r="F81">
            <v>-0.157</v>
          </cell>
          <cell r="G81">
            <v>3.3400000000000013E-2</v>
          </cell>
          <cell r="H81">
            <v>4.7106000000000003</v>
          </cell>
        </row>
        <row r="82">
          <cell r="A82" t="str">
            <v>2003-00126</v>
          </cell>
          <cell r="B82">
            <v>37742</v>
          </cell>
          <cell r="C82">
            <v>0.19040000000000001</v>
          </cell>
          <cell r="D82">
            <v>0</v>
          </cell>
          <cell r="E82">
            <v>0</v>
          </cell>
          <cell r="F82">
            <v>-0.157</v>
          </cell>
          <cell r="G82">
            <v>3.3400000000000013E-2</v>
          </cell>
          <cell r="H82">
            <v>4.7106000000000003</v>
          </cell>
        </row>
        <row r="83">
          <cell r="A83" t="str">
            <v>2003-00258</v>
          </cell>
          <cell r="B83">
            <v>37834</v>
          </cell>
          <cell r="C83">
            <v>0.18709999999999999</v>
          </cell>
          <cell r="D83">
            <v>0</v>
          </cell>
          <cell r="E83">
            <v>0</v>
          </cell>
          <cell r="F83">
            <v>-0.14760000000000001</v>
          </cell>
          <cell r="G83">
            <v>3.949999999999998E-2</v>
          </cell>
          <cell r="H83">
            <v>4.6295999999999999</v>
          </cell>
        </row>
        <row r="84">
          <cell r="A84" t="str">
            <v>2003-00377</v>
          </cell>
          <cell r="B84">
            <v>37926</v>
          </cell>
          <cell r="C84">
            <v>0.18709999999999999</v>
          </cell>
          <cell r="D84">
            <v>0</v>
          </cell>
          <cell r="E84">
            <v>0</v>
          </cell>
          <cell r="F84">
            <v>-0.14760000000000001</v>
          </cell>
          <cell r="G84">
            <v>3.949999999999998E-2</v>
          </cell>
          <cell r="H84">
            <v>4.6387</v>
          </cell>
        </row>
        <row r="85">
          <cell r="A85" t="str">
            <v>2003-00504</v>
          </cell>
          <cell r="B85">
            <v>38018</v>
          </cell>
          <cell r="C85">
            <v>0.18709999999999999</v>
          </cell>
          <cell r="D85">
            <v>0</v>
          </cell>
          <cell r="E85">
            <v>0</v>
          </cell>
          <cell r="F85">
            <v>0</v>
          </cell>
          <cell r="G85">
            <v>0.18709999999999999</v>
          </cell>
          <cell r="H85">
            <v>4.6387</v>
          </cell>
        </row>
        <row r="86">
          <cell r="A86" t="str">
            <v>2004-00122</v>
          </cell>
          <cell r="B86">
            <v>38108</v>
          </cell>
          <cell r="C86">
            <v>0.18709999999999999</v>
          </cell>
          <cell r="D86">
            <v>0</v>
          </cell>
          <cell r="E86">
            <v>0</v>
          </cell>
          <cell r="F86">
            <v>0</v>
          </cell>
          <cell r="G86">
            <v>0.18709999999999999</v>
          </cell>
          <cell r="H86">
            <v>4.6387</v>
          </cell>
        </row>
        <row r="87">
          <cell r="A87" t="str">
            <v>2004-00269</v>
          </cell>
          <cell r="B87">
            <v>38200</v>
          </cell>
          <cell r="C87">
            <v>0.18709999999999999</v>
          </cell>
          <cell r="D87">
            <v>0</v>
          </cell>
          <cell r="E87">
            <v>0</v>
          </cell>
          <cell r="F87">
            <v>0</v>
          </cell>
          <cell r="G87">
            <v>0.18709999999999999</v>
          </cell>
          <cell r="H87">
            <v>4.6387</v>
          </cell>
        </row>
        <row r="88">
          <cell r="A88" t="str">
            <v>2004-00398</v>
          </cell>
          <cell r="B88">
            <v>38292</v>
          </cell>
          <cell r="C88">
            <v>0.18640000000000001</v>
          </cell>
          <cell r="D88">
            <v>0</v>
          </cell>
          <cell r="E88">
            <v>0</v>
          </cell>
          <cell r="F88">
            <v>0</v>
          </cell>
          <cell r="G88">
            <v>0.18640000000000001</v>
          </cell>
          <cell r="H88">
            <v>4.6207000000000003</v>
          </cell>
        </row>
        <row r="89">
          <cell r="A89" t="str">
            <v>2005-00013</v>
          </cell>
          <cell r="B89">
            <v>38384</v>
          </cell>
          <cell r="C89">
            <v>0.18640000000000001</v>
          </cell>
          <cell r="D89">
            <v>0</v>
          </cell>
          <cell r="E89">
            <v>0</v>
          </cell>
          <cell r="F89">
            <v>0</v>
          </cell>
          <cell r="G89">
            <v>0.18640000000000001</v>
          </cell>
          <cell r="H89">
            <v>4.6207000000000003</v>
          </cell>
        </row>
        <row r="90">
          <cell r="A90" t="str">
            <v>2005-00139</v>
          </cell>
          <cell r="B90">
            <v>38473</v>
          </cell>
          <cell r="C90">
            <v>0.18640000000000001</v>
          </cell>
          <cell r="D90">
            <v>0</v>
          </cell>
          <cell r="E90">
            <v>0</v>
          </cell>
          <cell r="F90">
            <v>0</v>
          </cell>
          <cell r="G90">
            <v>0.18640000000000001</v>
          </cell>
          <cell r="H90">
            <v>4.6207000000000003</v>
          </cell>
        </row>
        <row r="91">
          <cell r="A91" t="str">
            <v>2005-00271</v>
          </cell>
          <cell r="B91">
            <v>38565</v>
          </cell>
          <cell r="C91">
            <v>0.18640000000000001</v>
          </cell>
          <cell r="D91">
            <v>0</v>
          </cell>
          <cell r="E91">
            <v>0</v>
          </cell>
          <cell r="F91">
            <v>0</v>
          </cell>
          <cell r="G91">
            <v>0.18640000000000001</v>
          </cell>
          <cell r="H91">
            <v>4.6207000000000003</v>
          </cell>
        </row>
        <row r="92">
          <cell r="A92" t="str">
            <v>2005-00354</v>
          </cell>
          <cell r="B92">
            <v>38626</v>
          </cell>
          <cell r="C92">
            <v>0.18640000000000001</v>
          </cell>
          <cell r="D92">
            <v>0</v>
          </cell>
          <cell r="E92">
            <v>0</v>
          </cell>
          <cell r="F92">
            <v>0</v>
          </cell>
          <cell r="G92">
            <v>0.18640000000000001</v>
          </cell>
          <cell r="H92">
            <v>4.6207000000000003</v>
          </cell>
        </row>
        <row r="93">
          <cell r="A93" t="str">
            <v>2005-00399</v>
          </cell>
          <cell r="B93">
            <v>38657</v>
          </cell>
          <cell r="C93">
            <v>0.18640000000000001</v>
          </cell>
          <cell r="D93">
            <v>0</v>
          </cell>
          <cell r="E93">
            <v>0</v>
          </cell>
          <cell r="F93">
            <v>0</v>
          </cell>
          <cell r="G93">
            <v>0.18640000000000001</v>
          </cell>
          <cell r="H93">
            <v>4.6207000000000003</v>
          </cell>
        </row>
        <row r="94">
          <cell r="A94" t="str">
            <v>2005-00552</v>
          </cell>
          <cell r="B94">
            <v>2224</v>
          </cell>
          <cell r="C94">
            <v>0.2195</v>
          </cell>
          <cell r="D94">
            <v>0</v>
          </cell>
          <cell r="E94">
            <v>0</v>
          </cell>
          <cell r="F94">
            <v>0</v>
          </cell>
          <cell r="G94">
            <v>0.2195</v>
          </cell>
          <cell r="H94">
            <v>4.6207000000000003</v>
          </cell>
        </row>
        <row r="95">
          <cell r="A95" t="str">
            <v>2006-00135</v>
          </cell>
          <cell r="B95">
            <v>2313</v>
          </cell>
          <cell r="C95">
            <v>0.18390000000000001</v>
          </cell>
          <cell r="D95">
            <v>0</v>
          </cell>
          <cell r="E95">
            <v>0</v>
          </cell>
          <cell r="F95">
            <v>0</v>
          </cell>
          <cell r="G95">
            <v>0.18390000000000001</v>
          </cell>
          <cell r="H95">
            <v>4.5575999999999999</v>
          </cell>
        </row>
        <row r="96">
          <cell r="A96" t="str">
            <v>2006-00324</v>
          </cell>
          <cell r="B96">
            <v>38930</v>
          </cell>
          <cell r="C96">
            <v>0.18390000000000001</v>
          </cell>
          <cell r="D96">
            <v>0</v>
          </cell>
          <cell r="E96">
            <v>0</v>
          </cell>
          <cell r="F96">
            <v>0</v>
          </cell>
          <cell r="G96">
            <v>0.18390000000000001</v>
          </cell>
          <cell r="H96">
            <v>4.5575999999999999</v>
          </cell>
        </row>
        <row r="97">
          <cell r="A97" t="str">
            <v>2006-00428</v>
          </cell>
          <cell r="B97">
            <v>39022</v>
          </cell>
          <cell r="C97">
            <v>0.18390000000000001</v>
          </cell>
          <cell r="D97">
            <v>0</v>
          </cell>
          <cell r="E97">
            <v>0</v>
          </cell>
          <cell r="F97">
            <v>0</v>
          </cell>
          <cell r="G97">
            <v>0.18390000000000001</v>
          </cell>
          <cell r="H97">
            <v>4.5575999999999999</v>
          </cell>
        </row>
      </sheetData>
      <sheetData sheetId="44">
        <row r="7">
          <cell r="A7" t="str">
            <v>Case No.</v>
          </cell>
          <cell r="B7" t="str">
            <v>Effective</v>
          </cell>
          <cell r="C7" t="str">
            <v>TOP</v>
          </cell>
          <cell r="D7" t="str">
            <v>RF</v>
          </cell>
          <cell r="E7" t="str">
            <v>Non-Com</v>
          </cell>
        </row>
        <row r="8">
          <cell r="A8" t="str">
            <v>95-010</v>
          </cell>
          <cell r="B8">
            <v>34943</v>
          </cell>
          <cell r="C8">
            <v>8.2000000000000007E-3</v>
          </cell>
          <cell r="D8">
            <v>-1.5300000000000001E-2</v>
          </cell>
          <cell r="E8">
            <v>-7.1000000000000004E-3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</row>
        <row r="10">
          <cell r="A10" t="str">
            <v>95-010 B</v>
          </cell>
          <cell r="B10">
            <v>35004</v>
          </cell>
          <cell r="C10">
            <v>8.2000000000000007E-3</v>
          </cell>
          <cell r="D10">
            <v>0</v>
          </cell>
          <cell r="E10">
            <v>8.2000000000000007E-3</v>
          </cell>
        </row>
        <row r="11">
          <cell r="A11" t="str">
            <v>95-010 C</v>
          </cell>
          <cell r="B11">
            <v>35034</v>
          </cell>
          <cell r="C11">
            <v>8.2000000000000007E-3</v>
          </cell>
          <cell r="D11">
            <v>0</v>
          </cell>
          <cell r="E11">
            <v>8.2000000000000007E-3</v>
          </cell>
        </row>
        <row r="12">
          <cell r="A12" t="str">
            <v>95-010 D</v>
          </cell>
          <cell r="B12">
            <v>35065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95-010 E</v>
          </cell>
          <cell r="B13">
            <v>35096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95-010 F</v>
          </cell>
          <cell r="B14">
            <v>35125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95-010 G</v>
          </cell>
          <cell r="B15">
            <v>35156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95-010 H</v>
          </cell>
          <cell r="B16">
            <v>35186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95-010 I</v>
          </cell>
          <cell r="B17">
            <v>35217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95-010 J</v>
          </cell>
          <cell r="B18">
            <v>35247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95-010 K</v>
          </cell>
          <cell r="B19">
            <v>35278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95-010 L</v>
          </cell>
          <cell r="B20">
            <v>35309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>95-010 M</v>
          </cell>
          <cell r="B21">
            <v>35339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>95-010 N</v>
          </cell>
          <cell r="B22">
            <v>35370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95-010 O</v>
          </cell>
          <cell r="B23">
            <v>35400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>95-010 P</v>
          </cell>
          <cell r="B24">
            <v>35431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95-010 Q</v>
          </cell>
          <cell r="B25">
            <v>35462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95-010 R</v>
          </cell>
          <cell r="B26">
            <v>35490</v>
          </cell>
          <cell r="C26">
            <v>0</v>
          </cell>
          <cell r="D26">
            <v>0</v>
          </cell>
          <cell r="E26">
            <v>0</v>
          </cell>
        </row>
        <row r="27">
          <cell r="A27" t="str">
            <v>95-010 S</v>
          </cell>
          <cell r="B27">
            <v>35521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>95-010 T</v>
          </cell>
          <cell r="B28">
            <v>35551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>95-010 U</v>
          </cell>
          <cell r="B29">
            <v>35582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>95-010 V</v>
          </cell>
          <cell r="B30">
            <v>35612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95-010 W</v>
          </cell>
          <cell r="B31">
            <v>35643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95-010 X</v>
          </cell>
          <cell r="B32">
            <v>35674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>95-010 Y</v>
          </cell>
          <cell r="B33">
            <v>35704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>95-010 Z</v>
          </cell>
          <cell r="B34">
            <v>35735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>95-010 AA</v>
          </cell>
          <cell r="B35">
            <v>35765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>95-010 BB</v>
          </cell>
          <cell r="B36">
            <v>35796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>95-010 CC</v>
          </cell>
          <cell r="B37">
            <v>35827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95-010 DD</v>
          </cell>
          <cell r="B38">
            <v>35855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95-010 EE</v>
          </cell>
          <cell r="B39">
            <v>35886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>95-010 FF</v>
          </cell>
          <cell r="B40">
            <v>35916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95-010 GG</v>
          </cell>
          <cell r="B41">
            <v>35947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95-010 HH</v>
          </cell>
          <cell r="B42">
            <v>35977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95-010 II</v>
          </cell>
          <cell r="B43">
            <v>36008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95-010 JJ</v>
          </cell>
          <cell r="B44">
            <v>36039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95-010 KK</v>
          </cell>
          <cell r="B45">
            <v>36069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95-010 LL</v>
          </cell>
          <cell r="B46">
            <v>36100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95-010 MM</v>
          </cell>
          <cell r="B47">
            <v>36130</v>
          </cell>
          <cell r="C47">
            <v>0</v>
          </cell>
          <cell r="D47">
            <v>0</v>
          </cell>
          <cell r="E47">
            <v>0</v>
          </cell>
        </row>
        <row r="48">
          <cell r="A48" t="str">
            <v>95-010 NN</v>
          </cell>
          <cell r="B48">
            <v>36161</v>
          </cell>
          <cell r="C48">
            <v>0</v>
          </cell>
          <cell r="D48">
            <v>0</v>
          </cell>
          <cell r="E48">
            <v>0</v>
          </cell>
        </row>
        <row r="49">
          <cell r="A49" t="str">
            <v>95-010 OO</v>
          </cell>
          <cell r="B49">
            <v>36192</v>
          </cell>
          <cell r="C49">
            <v>0</v>
          </cell>
          <cell r="D49">
            <v>0</v>
          </cell>
          <cell r="E49">
            <v>0</v>
          </cell>
        </row>
        <row r="50">
          <cell r="A50" t="str">
            <v>95-010 PP</v>
          </cell>
          <cell r="B50">
            <v>36220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>95-010 QQ</v>
          </cell>
          <cell r="B51">
            <v>36251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>95-010 RR</v>
          </cell>
          <cell r="B52">
            <v>36281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95-010 SS</v>
          </cell>
          <cell r="B53">
            <v>36312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95-010 TT</v>
          </cell>
          <cell r="B54">
            <v>36342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95-010 UU</v>
          </cell>
          <cell r="B55">
            <v>36373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95-010 VV</v>
          </cell>
          <cell r="B56">
            <v>36404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95-010 WW</v>
          </cell>
          <cell r="B57">
            <v>36434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95-010 XX</v>
          </cell>
          <cell r="B58">
            <v>36465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95-010 YY</v>
          </cell>
          <cell r="B59">
            <v>36495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99-070</v>
          </cell>
          <cell r="B60">
            <v>36526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99-070 A</v>
          </cell>
          <cell r="B61">
            <v>36557</v>
          </cell>
          <cell r="C61">
            <v>0</v>
          </cell>
          <cell r="D61">
            <v>0</v>
          </cell>
          <cell r="E61">
            <v>0</v>
          </cell>
        </row>
        <row r="62">
          <cell r="A62" t="str">
            <v>1999-070 B</v>
          </cell>
          <cell r="B62">
            <v>36617</v>
          </cell>
          <cell r="C62">
            <v>0</v>
          </cell>
          <cell r="D62">
            <v>0</v>
          </cell>
          <cell r="E62">
            <v>0</v>
          </cell>
        </row>
        <row r="63">
          <cell r="A63" t="str">
            <v>1999-070 C</v>
          </cell>
          <cell r="B63">
            <v>36647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1999-070 D</v>
          </cell>
          <cell r="B64">
            <v>36708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1999-070 E</v>
          </cell>
          <cell r="B65">
            <v>36739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1999-070 F</v>
          </cell>
          <cell r="B66">
            <v>36800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1999-070 G</v>
          </cell>
          <cell r="B67">
            <v>36831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1999-070 H</v>
          </cell>
          <cell r="B68">
            <v>36923</v>
          </cell>
          <cell r="C68">
            <v>0</v>
          </cell>
          <cell r="D68">
            <v>0</v>
          </cell>
          <cell r="E68">
            <v>0</v>
          </cell>
        </row>
        <row r="69">
          <cell r="A69" t="str">
            <v>1999-070 I</v>
          </cell>
          <cell r="B69">
            <v>36951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1999-070 J</v>
          </cell>
          <cell r="B70">
            <v>36982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1999-070 K</v>
          </cell>
          <cell r="B71">
            <v>37012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1999-070 L</v>
          </cell>
          <cell r="B72">
            <v>37043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1999-070 M</v>
          </cell>
          <cell r="B73">
            <v>37073</v>
          </cell>
          <cell r="C73">
            <v>0</v>
          </cell>
          <cell r="D73">
            <v>0</v>
          </cell>
          <cell r="E73">
            <v>0</v>
          </cell>
        </row>
        <row r="74">
          <cell r="A74" t="str">
            <v>1999-070 N</v>
          </cell>
          <cell r="B74">
            <v>37104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1999-070 O</v>
          </cell>
          <cell r="B75">
            <v>37196</v>
          </cell>
          <cell r="C75">
            <v>0</v>
          </cell>
          <cell r="D75">
            <v>0</v>
          </cell>
          <cell r="E75">
            <v>0</v>
          </cell>
        </row>
        <row r="76">
          <cell r="A76" t="str">
            <v>1999-070 P</v>
          </cell>
          <cell r="B76">
            <v>37288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2002-00113</v>
          </cell>
          <cell r="B77">
            <v>37377</v>
          </cell>
          <cell r="C77">
            <v>0</v>
          </cell>
          <cell r="D77">
            <v>0</v>
          </cell>
          <cell r="E77">
            <v>0</v>
          </cell>
        </row>
        <row r="78">
          <cell r="A78" t="str">
            <v>2002-00251</v>
          </cell>
          <cell r="B78">
            <v>37469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2002-00359</v>
          </cell>
          <cell r="B79">
            <v>37561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2003-00002</v>
          </cell>
          <cell r="B80">
            <v>37653</v>
          </cell>
          <cell r="C80">
            <v>0</v>
          </cell>
          <cell r="D80">
            <v>0</v>
          </cell>
          <cell r="E80">
            <v>0</v>
          </cell>
        </row>
        <row r="81">
          <cell r="A81" t="str">
            <v>2003-00083</v>
          </cell>
          <cell r="B81">
            <v>37713</v>
          </cell>
          <cell r="C81">
            <v>0</v>
          </cell>
          <cell r="D81">
            <v>0</v>
          </cell>
          <cell r="E81">
            <v>0</v>
          </cell>
        </row>
        <row r="82">
          <cell r="A82" t="str">
            <v>2003-00126</v>
          </cell>
          <cell r="B82" t="str">
            <v>05/01/03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2003-00258</v>
          </cell>
          <cell r="B83">
            <v>37834</v>
          </cell>
          <cell r="C83">
            <v>0</v>
          </cell>
          <cell r="D83">
            <v>0</v>
          </cell>
          <cell r="E83">
            <v>0</v>
          </cell>
        </row>
        <row r="84">
          <cell r="A84" t="str">
            <v>2003-00377</v>
          </cell>
          <cell r="B84">
            <v>37926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2003-00504</v>
          </cell>
          <cell r="B85">
            <v>38018</v>
          </cell>
          <cell r="C85">
            <v>0</v>
          </cell>
          <cell r="D85">
            <v>0</v>
          </cell>
          <cell r="E85">
            <v>0</v>
          </cell>
        </row>
        <row r="86">
          <cell r="A86" t="str">
            <v>2004-00122</v>
          </cell>
          <cell r="B86">
            <v>38108</v>
          </cell>
          <cell r="C86">
            <v>0</v>
          </cell>
          <cell r="D86">
            <v>0</v>
          </cell>
          <cell r="E86">
            <v>0</v>
          </cell>
        </row>
        <row r="87">
          <cell r="A87" t="str">
            <v>2004-00269</v>
          </cell>
          <cell r="B87">
            <v>38200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2004-00398</v>
          </cell>
          <cell r="B88">
            <v>38384</v>
          </cell>
          <cell r="C88">
            <v>0</v>
          </cell>
          <cell r="D88">
            <v>0</v>
          </cell>
          <cell r="E88">
            <v>0</v>
          </cell>
        </row>
        <row r="89">
          <cell r="A89" t="str">
            <v>2005-00013</v>
          </cell>
          <cell r="B89">
            <v>38384</v>
          </cell>
          <cell r="C89">
            <v>0</v>
          </cell>
          <cell r="D89">
            <v>0</v>
          </cell>
          <cell r="E89">
            <v>0</v>
          </cell>
        </row>
        <row r="90">
          <cell r="A90" t="str">
            <v>2005-00139</v>
          </cell>
          <cell r="B90">
            <v>38473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2005-00271</v>
          </cell>
          <cell r="B91">
            <v>38565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2005-00354</v>
          </cell>
          <cell r="B92">
            <v>38626</v>
          </cell>
          <cell r="C92">
            <v>0</v>
          </cell>
          <cell r="D92">
            <v>0</v>
          </cell>
          <cell r="E92">
            <v>0</v>
          </cell>
        </row>
        <row r="93">
          <cell r="A93" t="str">
            <v>2005-00399</v>
          </cell>
          <cell r="B93">
            <v>2132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2005-00552</v>
          </cell>
          <cell r="B94">
            <v>2224</v>
          </cell>
          <cell r="C94">
            <v>0</v>
          </cell>
          <cell r="D94">
            <v>0</v>
          </cell>
          <cell r="E94">
            <v>0</v>
          </cell>
        </row>
        <row r="95">
          <cell r="A95" t="str">
            <v>2006-00135</v>
          </cell>
          <cell r="B95">
            <v>2313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2006-00324</v>
          </cell>
          <cell r="B96">
            <v>2313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2006-00428</v>
          </cell>
          <cell r="B97">
            <v>2497</v>
          </cell>
          <cell r="C97">
            <v>0</v>
          </cell>
          <cell r="D97">
            <v>0</v>
          </cell>
          <cell r="E97">
            <v>0</v>
          </cell>
        </row>
      </sheetData>
      <sheetData sheetId="45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</v>
          </cell>
        </row>
        <row r="8">
          <cell r="A8" t="str">
            <v>95-010</v>
          </cell>
          <cell r="B8">
            <v>34943</v>
          </cell>
          <cell r="C8">
            <v>0.28760000000000002</v>
          </cell>
          <cell r="D8">
            <v>8.2000000000000007E-3</v>
          </cell>
          <cell r="E8">
            <v>0.13819999999999999</v>
          </cell>
          <cell r="F8">
            <v>-5.4400000000000004E-2</v>
          </cell>
          <cell r="G8">
            <v>0.37959999999999999</v>
          </cell>
        </row>
        <row r="9">
          <cell r="A9" t="str">
            <v>95-010 A</v>
          </cell>
          <cell r="B9">
            <v>34999</v>
          </cell>
          <cell r="C9">
            <v>0.28760000000000002</v>
          </cell>
          <cell r="D9">
            <v>8.2000000000000007E-3</v>
          </cell>
          <cell r="E9">
            <v>0.1231</v>
          </cell>
          <cell r="F9">
            <v>-5.4400000000000004E-2</v>
          </cell>
          <cell r="G9">
            <v>0.36449999999999999</v>
          </cell>
        </row>
        <row r="10">
          <cell r="A10" t="str">
            <v>95-010 B</v>
          </cell>
          <cell r="B10">
            <v>35004</v>
          </cell>
          <cell r="C10">
            <v>0.28760000000000002</v>
          </cell>
          <cell r="D10">
            <v>8.2000000000000007E-3</v>
          </cell>
          <cell r="E10">
            <v>7.7499999999999999E-2</v>
          </cell>
          <cell r="F10">
            <v>-3.9100000000000003E-2</v>
          </cell>
          <cell r="G10">
            <v>0.3342</v>
          </cell>
        </row>
        <row r="11">
          <cell r="A11" t="str">
            <v>95-010 C</v>
          </cell>
          <cell r="B11">
            <v>35034</v>
          </cell>
          <cell r="C11">
            <v>0.28760000000000002</v>
          </cell>
          <cell r="D11">
            <v>8.2000000000000007E-3</v>
          </cell>
          <cell r="E11">
            <v>7.46E-2</v>
          </cell>
          <cell r="F11">
            <v>-3.9300000000000002E-2</v>
          </cell>
          <cell r="G11">
            <v>0.33110000000000001</v>
          </cell>
        </row>
        <row r="12">
          <cell r="A12" t="str">
            <v>95-010 D</v>
          </cell>
          <cell r="B12">
            <v>35065</v>
          </cell>
          <cell r="C12">
            <v>0.28410000000000002</v>
          </cell>
          <cell r="D12">
            <v>8.2000000000000007E-3</v>
          </cell>
          <cell r="E12">
            <v>7.46E-2</v>
          </cell>
          <cell r="F12">
            <v>-3.9300000000000002E-2</v>
          </cell>
          <cell r="G12">
            <v>0.3276</v>
          </cell>
        </row>
        <row r="13">
          <cell r="A13" t="str">
            <v>95-010 E</v>
          </cell>
          <cell r="B13">
            <v>35096</v>
          </cell>
          <cell r="C13">
            <v>0.28820000000000001</v>
          </cell>
          <cell r="D13">
            <v>0</v>
          </cell>
          <cell r="E13">
            <v>6.3200000000000006E-2</v>
          </cell>
          <cell r="F13">
            <v>-3.9300000000000002E-2</v>
          </cell>
          <cell r="G13">
            <v>0.31210000000000004</v>
          </cell>
        </row>
        <row r="14">
          <cell r="A14" t="str">
            <v>95-010 F</v>
          </cell>
          <cell r="B14">
            <v>35125</v>
          </cell>
          <cell r="C14">
            <v>0.28870000000000001</v>
          </cell>
          <cell r="D14">
            <v>0</v>
          </cell>
          <cell r="E14">
            <v>6.3200000000000006E-2</v>
          </cell>
          <cell r="F14">
            <v>-1.49E-2</v>
          </cell>
          <cell r="G14">
            <v>0.33699999999999997</v>
          </cell>
        </row>
        <row r="15">
          <cell r="A15" t="str">
            <v>95-010 G</v>
          </cell>
          <cell r="B15">
            <v>35156</v>
          </cell>
          <cell r="C15">
            <v>0.27360000000000001</v>
          </cell>
          <cell r="D15">
            <v>0</v>
          </cell>
          <cell r="E15">
            <v>6.6400000000000001E-2</v>
          </cell>
          <cell r="F15">
            <v>-7.3000000000000001E-3</v>
          </cell>
          <cell r="G15">
            <v>0.33270000000000005</v>
          </cell>
        </row>
        <row r="16">
          <cell r="A16" t="str">
            <v>95-010 H</v>
          </cell>
          <cell r="B16">
            <v>35186</v>
          </cell>
          <cell r="C16">
            <v>0.2432</v>
          </cell>
          <cell r="D16">
            <v>0</v>
          </cell>
          <cell r="E16">
            <v>6.6400000000000001E-2</v>
          </cell>
          <cell r="F16">
            <v>-7.3000000000000001E-3</v>
          </cell>
          <cell r="G16">
            <v>0.30230000000000001</v>
          </cell>
        </row>
        <row r="17">
          <cell r="A17" t="str">
            <v>95-010 I</v>
          </cell>
          <cell r="B17">
            <v>35217</v>
          </cell>
          <cell r="C17">
            <v>0.22789999999999999</v>
          </cell>
          <cell r="D17">
            <v>0</v>
          </cell>
          <cell r="E17">
            <v>4.2099999999999999E-2</v>
          </cell>
          <cell r="F17">
            <v>-2.5000000000000001E-2</v>
          </cell>
          <cell r="G17">
            <v>0.245</v>
          </cell>
        </row>
        <row r="18">
          <cell r="A18" t="str">
            <v>95-010 J</v>
          </cell>
          <cell r="B18">
            <v>35247</v>
          </cell>
          <cell r="C18">
            <v>0.2266</v>
          </cell>
          <cell r="D18">
            <v>0</v>
          </cell>
          <cell r="E18">
            <v>4.3499999999999997E-2</v>
          </cell>
          <cell r="F18">
            <v>-2.5600000000000001E-2</v>
          </cell>
          <cell r="G18">
            <v>0.2445</v>
          </cell>
        </row>
        <row r="19">
          <cell r="A19" t="str">
            <v>95-010 K</v>
          </cell>
          <cell r="B19">
            <v>35278</v>
          </cell>
          <cell r="C19">
            <v>0.22600000000000001</v>
          </cell>
          <cell r="D19">
            <v>0</v>
          </cell>
          <cell r="E19">
            <v>4.3499999999999997E-2</v>
          </cell>
          <cell r="F19">
            <v>-2.5600000000000001E-2</v>
          </cell>
          <cell r="G19">
            <v>0.24390000000000001</v>
          </cell>
        </row>
        <row r="20">
          <cell r="A20" t="str">
            <v>95-010 L</v>
          </cell>
          <cell r="B20">
            <v>35309</v>
          </cell>
          <cell r="C20">
            <v>0.23350000000000001</v>
          </cell>
          <cell r="D20">
            <v>0</v>
          </cell>
          <cell r="E20">
            <v>4.7500000000000001E-2</v>
          </cell>
          <cell r="F20">
            <v>-1.8499999999999999E-2</v>
          </cell>
          <cell r="G20">
            <v>0.26250000000000001</v>
          </cell>
        </row>
        <row r="21">
          <cell r="A21" t="str">
            <v>95-010 M</v>
          </cell>
          <cell r="B21">
            <v>35339</v>
          </cell>
          <cell r="C21">
            <v>0.2336</v>
          </cell>
          <cell r="D21">
            <v>0</v>
          </cell>
          <cell r="E21">
            <v>4.99E-2</v>
          </cell>
          <cell r="F21">
            <v>-1.8499999999999999E-2</v>
          </cell>
          <cell r="G21">
            <v>0.26500000000000001</v>
          </cell>
        </row>
        <row r="22">
          <cell r="A22" t="str">
            <v>95-010 N</v>
          </cell>
          <cell r="B22">
            <v>35370</v>
          </cell>
          <cell r="C22">
            <v>0.22359999999999999</v>
          </cell>
          <cell r="D22">
            <v>0</v>
          </cell>
          <cell r="E22">
            <v>4.9799999999999997E-2</v>
          </cell>
          <cell r="F22">
            <v>-1.8499999999999999E-2</v>
          </cell>
          <cell r="G22">
            <v>0.25490000000000002</v>
          </cell>
        </row>
        <row r="23">
          <cell r="A23" t="str">
            <v>95-010 O</v>
          </cell>
          <cell r="B23">
            <v>35400</v>
          </cell>
          <cell r="C23">
            <v>0.21629999999999999</v>
          </cell>
          <cell r="D23">
            <v>0</v>
          </cell>
          <cell r="E23">
            <v>4.9799999999999997E-2</v>
          </cell>
          <cell r="F23">
            <v>-1.83E-2</v>
          </cell>
          <cell r="G23">
            <v>0.24779999999999999</v>
          </cell>
        </row>
        <row r="24">
          <cell r="A24" t="str">
            <v>95-010 P</v>
          </cell>
          <cell r="B24">
            <v>35431</v>
          </cell>
          <cell r="C24">
            <v>0.21629999999999999</v>
          </cell>
          <cell r="D24">
            <v>0</v>
          </cell>
          <cell r="E24">
            <v>6.1899999999999997E-2</v>
          </cell>
          <cell r="F24">
            <v>-1.83E-2</v>
          </cell>
          <cell r="G24">
            <v>0.25990000000000002</v>
          </cell>
        </row>
        <row r="25">
          <cell r="A25" t="str">
            <v>95-010 Q</v>
          </cell>
          <cell r="B25">
            <v>35462</v>
          </cell>
          <cell r="C25">
            <v>0.21629999999999999</v>
          </cell>
          <cell r="D25">
            <v>0</v>
          </cell>
          <cell r="E25">
            <v>6.1800000000000001E-2</v>
          </cell>
          <cell r="F25">
            <v>-1.83E-2</v>
          </cell>
          <cell r="G25">
            <v>0.25979999999999998</v>
          </cell>
        </row>
        <row r="26">
          <cell r="A26" t="str">
            <v>95-010 R</v>
          </cell>
          <cell r="B26">
            <v>35490</v>
          </cell>
          <cell r="C26">
            <v>0.21640000000000001</v>
          </cell>
          <cell r="D26">
            <v>0</v>
          </cell>
          <cell r="E26">
            <v>6.1800000000000001E-2</v>
          </cell>
          <cell r="F26">
            <v>-1.83E-2</v>
          </cell>
          <cell r="G26">
            <v>0.25990000000000002</v>
          </cell>
        </row>
        <row r="27">
          <cell r="A27" t="str">
            <v>95-010 S</v>
          </cell>
          <cell r="B27">
            <v>35521</v>
          </cell>
          <cell r="C27">
            <v>0.2122</v>
          </cell>
          <cell r="D27">
            <v>0</v>
          </cell>
          <cell r="E27">
            <v>6.1800000000000001E-2</v>
          </cell>
          <cell r="F27">
            <v>-1.83E-2</v>
          </cell>
          <cell r="G27">
            <v>0.25570000000000004</v>
          </cell>
        </row>
        <row r="28">
          <cell r="A28" t="str">
            <v>95-010 T</v>
          </cell>
          <cell r="B28">
            <v>35551</v>
          </cell>
          <cell r="C28">
            <v>0.2122</v>
          </cell>
          <cell r="D28">
            <v>0</v>
          </cell>
          <cell r="E28">
            <v>6.1800000000000001E-2</v>
          </cell>
          <cell r="F28">
            <v>-1.83E-2</v>
          </cell>
          <cell r="G28">
            <v>0.25570000000000004</v>
          </cell>
        </row>
        <row r="29">
          <cell r="A29" t="str">
            <v>95-010 U</v>
          </cell>
          <cell r="B29">
            <v>35582</v>
          </cell>
          <cell r="C29">
            <v>0.22550000000000001</v>
          </cell>
          <cell r="D29">
            <v>0</v>
          </cell>
          <cell r="E29">
            <v>5.2900000000000003E-2</v>
          </cell>
          <cell r="F29">
            <v>-5.9999999999999995E-4</v>
          </cell>
          <cell r="G29">
            <v>0.27779999999999999</v>
          </cell>
        </row>
        <row r="30">
          <cell r="A30" t="str">
            <v>95-010 V</v>
          </cell>
          <cell r="B30">
            <v>35612</v>
          </cell>
          <cell r="C30">
            <v>0.22550000000000001</v>
          </cell>
          <cell r="D30">
            <v>0</v>
          </cell>
          <cell r="E30">
            <v>5.2900000000000003E-2</v>
          </cell>
          <cell r="F30">
            <v>-1.35E-2</v>
          </cell>
          <cell r="G30">
            <v>0.26489999999999997</v>
          </cell>
        </row>
        <row r="31">
          <cell r="A31" t="str">
            <v>95-010 W</v>
          </cell>
          <cell r="B31">
            <v>35643</v>
          </cell>
          <cell r="C31">
            <v>0.2631</v>
          </cell>
          <cell r="D31">
            <v>0</v>
          </cell>
          <cell r="E31">
            <v>5.1999999999999998E-2</v>
          </cell>
          <cell r="F31">
            <v>-1.35E-2</v>
          </cell>
          <cell r="G31">
            <v>0.30159999999999998</v>
          </cell>
        </row>
        <row r="32">
          <cell r="A32" t="str">
            <v>95-010 X</v>
          </cell>
          <cell r="B32">
            <v>35674</v>
          </cell>
          <cell r="C32">
            <v>0.2225</v>
          </cell>
          <cell r="D32">
            <v>0</v>
          </cell>
          <cell r="E32">
            <v>5.1999999999999998E-2</v>
          </cell>
          <cell r="F32">
            <v>-1.35E-2</v>
          </cell>
          <cell r="G32">
            <v>0.26100000000000001</v>
          </cell>
        </row>
        <row r="33">
          <cell r="A33" t="str">
            <v>95-010 Y</v>
          </cell>
          <cell r="B33">
            <v>35704</v>
          </cell>
          <cell r="C33">
            <v>0.2225</v>
          </cell>
          <cell r="D33">
            <v>0</v>
          </cell>
          <cell r="E33">
            <v>5.9200000000000003E-2</v>
          </cell>
          <cell r="F33">
            <v>-1.35E-2</v>
          </cell>
          <cell r="G33">
            <v>0.26819999999999999</v>
          </cell>
        </row>
        <row r="34">
          <cell r="A34" t="str">
            <v>95-010 Z</v>
          </cell>
          <cell r="B34">
            <v>35735</v>
          </cell>
          <cell r="C34">
            <v>0.2225</v>
          </cell>
          <cell r="D34">
            <v>0</v>
          </cell>
          <cell r="E34">
            <v>5.9200000000000003E-2</v>
          </cell>
          <cell r="F34">
            <v>-1.35E-2</v>
          </cell>
          <cell r="G34">
            <v>0.26819999999999999</v>
          </cell>
        </row>
        <row r="35">
          <cell r="A35" t="str">
            <v>95-010 AA</v>
          </cell>
          <cell r="B35">
            <v>35765</v>
          </cell>
          <cell r="C35">
            <v>0.2631</v>
          </cell>
          <cell r="D35">
            <v>0</v>
          </cell>
          <cell r="E35">
            <v>5.9200000000000003E-2</v>
          </cell>
          <cell r="F35">
            <v>-1.35E-2</v>
          </cell>
          <cell r="G35">
            <v>0.30880000000000002</v>
          </cell>
        </row>
        <row r="36">
          <cell r="A36" t="str">
            <v>95-010 BB</v>
          </cell>
          <cell r="B36">
            <v>35796</v>
          </cell>
          <cell r="C36">
            <v>0.2631</v>
          </cell>
          <cell r="D36">
            <v>0</v>
          </cell>
          <cell r="E36">
            <v>5.9200000000000003E-2</v>
          </cell>
          <cell r="F36">
            <v>-1.35E-2</v>
          </cell>
          <cell r="G36">
            <v>0.30880000000000002</v>
          </cell>
        </row>
        <row r="37">
          <cell r="A37" t="str">
            <v>95-010 CC</v>
          </cell>
          <cell r="B37">
            <v>35827</v>
          </cell>
          <cell r="C37">
            <v>0.2631</v>
          </cell>
          <cell r="D37">
            <v>0</v>
          </cell>
          <cell r="E37">
            <v>5.9200000000000003E-2</v>
          </cell>
          <cell r="F37">
            <v>-1.35E-2</v>
          </cell>
          <cell r="G37">
            <v>0.30880000000000002</v>
          </cell>
        </row>
        <row r="38">
          <cell r="A38" t="str">
            <v>95-010 DD</v>
          </cell>
          <cell r="B38">
            <v>35855</v>
          </cell>
          <cell r="C38">
            <v>0.23119999999999999</v>
          </cell>
          <cell r="D38">
            <v>0</v>
          </cell>
          <cell r="E38">
            <v>3.09E-2</v>
          </cell>
          <cell r="F38">
            <v>-1.35E-2</v>
          </cell>
          <cell r="G38">
            <v>0.24859999999999999</v>
          </cell>
        </row>
        <row r="39">
          <cell r="A39" t="str">
            <v>95-010 EE</v>
          </cell>
          <cell r="B39">
            <v>35886</v>
          </cell>
          <cell r="C39">
            <v>0.21690000000000001</v>
          </cell>
          <cell r="D39">
            <v>0</v>
          </cell>
          <cell r="E39">
            <v>1.8599999999999998E-2</v>
          </cell>
          <cell r="F39">
            <v>-1.35E-2</v>
          </cell>
          <cell r="G39">
            <v>0.222</v>
          </cell>
        </row>
        <row r="40">
          <cell r="A40" t="str">
            <v>95-010 FF</v>
          </cell>
          <cell r="B40">
            <v>35916</v>
          </cell>
          <cell r="C40">
            <v>0.21690000000000001</v>
          </cell>
          <cell r="D40">
            <v>0</v>
          </cell>
          <cell r="E40">
            <v>1.8599999999999998E-2</v>
          </cell>
          <cell r="F40">
            <v>-1.35E-2</v>
          </cell>
          <cell r="G40">
            <v>0.222</v>
          </cell>
        </row>
        <row r="41">
          <cell r="A41" t="str">
            <v>95-010 GG</v>
          </cell>
          <cell r="B41">
            <v>35947</v>
          </cell>
          <cell r="C41">
            <v>0.21690000000000001</v>
          </cell>
          <cell r="D41">
            <v>0</v>
          </cell>
          <cell r="E41">
            <v>1.8599999999999998E-2</v>
          </cell>
          <cell r="F41">
            <v>0</v>
          </cell>
          <cell r="G41">
            <v>0.23550000000000001</v>
          </cell>
        </row>
        <row r="42">
          <cell r="A42" t="str">
            <v>95-010 HH</v>
          </cell>
          <cell r="B42">
            <v>35977</v>
          </cell>
          <cell r="C42">
            <v>0.21690000000000001</v>
          </cell>
          <cell r="D42">
            <v>0</v>
          </cell>
          <cell r="E42">
            <v>1.8599999999999998E-2</v>
          </cell>
          <cell r="F42">
            <v>-8.0000000000000004E-4</v>
          </cell>
          <cell r="G42">
            <v>0.23470000000000002</v>
          </cell>
        </row>
        <row r="43">
          <cell r="A43" t="str">
            <v>95-010 II</v>
          </cell>
          <cell r="B43">
            <v>36008</v>
          </cell>
          <cell r="C43">
            <v>0.21690000000000001</v>
          </cell>
          <cell r="D43">
            <v>0</v>
          </cell>
          <cell r="E43">
            <v>1.8599999999999998E-2</v>
          </cell>
          <cell r="F43">
            <v>-8.0000000000000004E-4</v>
          </cell>
          <cell r="G43">
            <v>0.23470000000000002</v>
          </cell>
        </row>
        <row r="44">
          <cell r="A44" t="str">
            <v>95-010 JJ</v>
          </cell>
          <cell r="B44">
            <v>36039</v>
          </cell>
          <cell r="C44">
            <v>0.21690000000000001</v>
          </cell>
          <cell r="D44">
            <v>0</v>
          </cell>
          <cell r="E44">
            <v>1.8599999999999998E-2</v>
          </cell>
          <cell r="F44">
            <v>-8.0000000000000004E-4</v>
          </cell>
          <cell r="G44">
            <v>0.23470000000000002</v>
          </cell>
        </row>
        <row r="45">
          <cell r="A45" t="str">
            <v>95-010 KK</v>
          </cell>
          <cell r="B45">
            <v>36069</v>
          </cell>
          <cell r="C45">
            <v>0.21690000000000001</v>
          </cell>
          <cell r="D45">
            <v>0</v>
          </cell>
          <cell r="E45">
            <v>1.8599999999999998E-2</v>
          </cell>
          <cell r="F45">
            <v>-8.0000000000000004E-4</v>
          </cell>
          <cell r="G45">
            <v>0.23470000000000002</v>
          </cell>
        </row>
        <row r="46">
          <cell r="A46" t="str">
            <v>95-010 LL</v>
          </cell>
          <cell r="B46">
            <v>36100</v>
          </cell>
          <cell r="C46">
            <v>0.19939999999999999</v>
          </cell>
          <cell r="D46">
            <v>0</v>
          </cell>
          <cell r="E46">
            <v>1.8599999999999998E-2</v>
          </cell>
          <cell r="F46">
            <v>-8.0000000000000004E-4</v>
          </cell>
          <cell r="G46">
            <v>0.2172</v>
          </cell>
        </row>
        <row r="47">
          <cell r="A47" t="str">
            <v>95-010 MM</v>
          </cell>
          <cell r="B47">
            <v>36130</v>
          </cell>
          <cell r="C47">
            <v>0.19939999999999999</v>
          </cell>
          <cell r="D47">
            <v>0</v>
          </cell>
          <cell r="E47">
            <v>1.8599999999999998E-2</v>
          </cell>
          <cell r="F47">
            <v>-8.0000000000000004E-4</v>
          </cell>
          <cell r="G47">
            <v>0.2172</v>
          </cell>
        </row>
        <row r="48">
          <cell r="A48" t="str">
            <v>95-010 NN</v>
          </cell>
          <cell r="B48">
            <v>36161</v>
          </cell>
          <cell r="C48">
            <v>0.19939999999999999</v>
          </cell>
          <cell r="D48">
            <v>0</v>
          </cell>
          <cell r="E48">
            <v>1.8599999999999998E-2</v>
          </cell>
          <cell r="F48">
            <v>-8.0000000000000004E-4</v>
          </cell>
          <cell r="G48">
            <v>0.2172</v>
          </cell>
        </row>
        <row r="49">
          <cell r="A49" t="str">
            <v>95-010 OO</v>
          </cell>
          <cell r="B49">
            <v>36192</v>
          </cell>
          <cell r="C49">
            <v>0.19939999999999999</v>
          </cell>
          <cell r="D49">
            <v>0</v>
          </cell>
          <cell r="E49">
            <v>1.8599999999999998E-2</v>
          </cell>
          <cell r="F49">
            <v>-8.0000000000000004E-4</v>
          </cell>
          <cell r="G49">
            <v>0.2172</v>
          </cell>
        </row>
        <row r="50">
          <cell r="A50" t="str">
            <v>95-010 PP</v>
          </cell>
          <cell r="B50">
            <v>36220</v>
          </cell>
          <cell r="C50">
            <v>0.19939999999999999</v>
          </cell>
          <cell r="D50">
            <v>0</v>
          </cell>
          <cell r="E50">
            <v>1.8599999999999998E-2</v>
          </cell>
          <cell r="F50">
            <v>-8.0000000000000004E-4</v>
          </cell>
          <cell r="G50">
            <v>0.2172</v>
          </cell>
        </row>
        <row r="51">
          <cell r="A51" t="str">
            <v>95-010 QQ</v>
          </cell>
          <cell r="B51">
            <v>36251</v>
          </cell>
          <cell r="C51">
            <v>0.19939999999999999</v>
          </cell>
          <cell r="D51">
            <v>0</v>
          </cell>
          <cell r="E51">
            <v>1.8599999999999998E-2</v>
          </cell>
          <cell r="F51">
            <v>-1.1800000000000001E-2</v>
          </cell>
          <cell r="G51">
            <v>0.20619999999999999</v>
          </cell>
        </row>
        <row r="52">
          <cell r="A52" t="str">
            <v>95-010 RR</v>
          </cell>
          <cell r="B52">
            <v>36281</v>
          </cell>
          <cell r="C52">
            <v>0.19939999999999999</v>
          </cell>
          <cell r="D52">
            <v>0</v>
          </cell>
          <cell r="E52">
            <v>1.8599999999999998E-2</v>
          </cell>
          <cell r="F52">
            <v>-1.1800000000000001E-2</v>
          </cell>
          <cell r="G52">
            <v>0.20619999999999999</v>
          </cell>
        </row>
        <row r="53">
          <cell r="A53" t="str">
            <v>95-010 SS</v>
          </cell>
          <cell r="B53">
            <v>36312</v>
          </cell>
          <cell r="C53">
            <v>0.19939999999999999</v>
          </cell>
          <cell r="D53">
            <v>0</v>
          </cell>
          <cell r="E53">
            <v>1.8599999999999998E-2</v>
          </cell>
          <cell r="F53">
            <v>-1.1800000000000001E-2</v>
          </cell>
          <cell r="G53">
            <v>0.20619999999999999</v>
          </cell>
        </row>
        <row r="54">
          <cell r="A54" t="str">
            <v>95-010 TT</v>
          </cell>
          <cell r="B54">
            <v>36342</v>
          </cell>
          <cell r="C54">
            <v>0.19939999999999999</v>
          </cell>
          <cell r="D54">
            <v>0</v>
          </cell>
          <cell r="E54">
            <v>1.8599999999999998E-2</v>
          </cell>
          <cell r="F54">
            <v>-1.1000000000000001E-2</v>
          </cell>
          <cell r="G54">
            <v>0.20699999999999999</v>
          </cell>
        </row>
        <row r="55">
          <cell r="A55" t="str">
            <v>95-010 UU</v>
          </cell>
          <cell r="B55">
            <v>36373</v>
          </cell>
          <cell r="C55">
            <v>0.19939999999999999</v>
          </cell>
          <cell r="D55">
            <v>0</v>
          </cell>
          <cell r="E55">
            <v>1.8599999999999998E-2</v>
          </cell>
          <cell r="F55">
            <v>-1.1000000000000001E-2</v>
          </cell>
          <cell r="G55">
            <v>0.20699999999999999</v>
          </cell>
        </row>
        <row r="56">
          <cell r="A56" t="str">
            <v>95-010 VV</v>
          </cell>
          <cell r="B56">
            <v>36404</v>
          </cell>
          <cell r="C56">
            <v>0.19939999999999999</v>
          </cell>
          <cell r="D56">
            <v>0</v>
          </cell>
          <cell r="E56">
            <v>1.8599999999999998E-2</v>
          </cell>
          <cell r="F56">
            <v>-1.1000000000000001E-2</v>
          </cell>
          <cell r="G56">
            <v>0.20699999999999999</v>
          </cell>
        </row>
        <row r="57">
          <cell r="A57" t="str">
            <v>95-010 WW</v>
          </cell>
          <cell r="B57">
            <v>36434</v>
          </cell>
          <cell r="C57">
            <v>0.19939999999999999</v>
          </cell>
          <cell r="D57">
            <v>0</v>
          </cell>
          <cell r="E57">
            <v>1.8599999999999998E-2</v>
          </cell>
          <cell r="F57">
            <v>-1.1000000000000001E-2</v>
          </cell>
          <cell r="G57">
            <v>0.20699999999999999</v>
          </cell>
        </row>
        <row r="58">
          <cell r="A58" t="str">
            <v>95-010 XX</v>
          </cell>
          <cell r="B58">
            <v>36465</v>
          </cell>
          <cell r="C58">
            <v>0.20130000000000001</v>
          </cell>
          <cell r="D58">
            <v>0</v>
          </cell>
          <cell r="E58">
            <v>3.0000000000000001E-3</v>
          </cell>
          <cell r="F58">
            <v>-1.1000000000000001E-2</v>
          </cell>
          <cell r="G58">
            <v>0.1933</v>
          </cell>
        </row>
        <row r="59">
          <cell r="A59" t="str">
            <v>95-010 YY</v>
          </cell>
          <cell r="B59">
            <v>36495</v>
          </cell>
          <cell r="C59">
            <v>0.2001</v>
          </cell>
          <cell r="D59">
            <v>0</v>
          </cell>
          <cell r="E59">
            <v>3.0000000000000001E-3</v>
          </cell>
          <cell r="F59">
            <v>-1.1000000000000001E-2</v>
          </cell>
          <cell r="G59">
            <v>0.19209999999999999</v>
          </cell>
        </row>
        <row r="60">
          <cell r="A60" t="str">
            <v>99-070</v>
          </cell>
          <cell r="B60">
            <v>36526</v>
          </cell>
          <cell r="C60">
            <v>0.2001</v>
          </cell>
          <cell r="D60">
            <v>0</v>
          </cell>
          <cell r="E60">
            <v>3.0000000000000001E-3</v>
          </cell>
          <cell r="F60">
            <v>-1.1000000000000001E-2</v>
          </cell>
          <cell r="G60">
            <v>0.19209999999999999</v>
          </cell>
        </row>
        <row r="61">
          <cell r="A61" t="str">
            <v>99-070 A</v>
          </cell>
          <cell r="B61">
            <v>36557</v>
          </cell>
          <cell r="C61">
            <v>0.20100000000000001</v>
          </cell>
          <cell r="D61">
            <v>0</v>
          </cell>
          <cell r="E61">
            <v>3.0000000000000001E-3</v>
          </cell>
          <cell r="F61">
            <v>-1.1000000000000001E-2</v>
          </cell>
          <cell r="G61">
            <v>0.193</v>
          </cell>
        </row>
        <row r="62">
          <cell r="A62" t="str">
            <v>1999-070 B</v>
          </cell>
          <cell r="B62">
            <v>36617</v>
          </cell>
          <cell r="C62">
            <v>0.20100000000000001</v>
          </cell>
          <cell r="D62">
            <v>0</v>
          </cell>
          <cell r="E62">
            <v>3.0000000000000001E-3</v>
          </cell>
          <cell r="F62">
            <v>0</v>
          </cell>
          <cell r="G62">
            <v>0.20400000000000001</v>
          </cell>
        </row>
        <row r="63">
          <cell r="A63" t="str">
            <v>1999-070 C</v>
          </cell>
          <cell r="B63">
            <v>36647</v>
          </cell>
          <cell r="C63">
            <v>0.20100000000000001</v>
          </cell>
          <cell r="D63">
            <v>0</v>
          </cell>
          <cell r="E63">
            <v>3.0000000000000001E-3</v>
          </cell>
          <cell r="F63">
            <v>0</v>
          </cell>
          <cell r="G63">
            <v>0.20400000000000001</v>
          </cell>
        </row>
        <row r="64">
          <cell r="A64" t="str">
            <v>1999-070 D</v>
          </cell>
          <cell r="B64">
            <v>36708</v>
          </cell>
          <cell r="C64">
            <v>0.20100000000000001</v>
          </cell>
          <cell r="D64">
            <v>0</v>
          </cell>
          <cell r="E64">
            <v>3.0000000000000001E-3</v>
          </cell>
          <cell r="F64">
            <v>0</v>
          </cell>
          <cell r="G64">
            <v>0.20400000000000001</v>
          </cell>
        </row>
        <row r="65">
          <cell r="A65" t="str">
            <v>1999-070 E</v>
          </cell>
          <cell r="B65">
            <v>36739</v>
          </cell>
          <cell r="C65">
            <v>0.20100000000000001</v>
          </cell>
          <cell r="D65">
            <v>0</v>
          </cell>
          <cell r="E65">
            <v>3.0000000000000001E-3</v>
          </cell>
          <cell r="F65">
            <v>0</v>
          </cell>
          <cell r="G65">
            <v>0.20400000000000001</v>
          </cell>
        </row>
        <row r="66">
          <cell r="A66" t="str">
            <v>1999-070 F</v>
          </cell>
          <cell r="B66">
            <v>36800</v>
          </cell>
          <cell r="C66">
            <v>0.20100000000000001</v>
          </cell>
          <cell r="D66">
            <v>0</v>
          </cell>
          <cell r="E66">
            <v>3.0000000000000001E-3</v>
          </cell>
          <cell r="F66">
            <v>0</v>
          </cell>
          <cell r="G66">
            <v>0.20400000000000001</v>
          </cell>
        </row>
        <row r="67">
          <cell r="A67" t="str">
            <v>1999-070 G</v>
          </cell>
          <cell r="B67">
            <v>36831</v>
          </cell>
          <cell r="C67">
            <v>0.18820000000000001</v>
          </cell>
          <cell r="D67">
            <v>0</v>
          </cell>
          <cell r="E67">
            <v>0</v>
          </cell>
          <cell r="F67">
            <v>0</v>
          </cell>
          <cell r="G67">
            <v>0.18820000000000001</v>
          </cell>
        </row>
        <row r="68">
          <cell r="A68" t="str">
            <v>1999-070 H</v>
          </cell>
          <cell r="B68">
            <v>36923</v>
          </cell>
          <cell r="C68">
            <v>0.24249999999999999</v>
          </cell>
          <cell r="D68">
            <v>0</v>
          </cell>
          <cell r="E68">
            <v>0</v>
          </cell>
          <cell r="F68">
            <v>0</v>
          </cell>
          <cell r="G68">
            <v>0.24249999999999999</v>
          </cell>
        </row>
        <row r="69">
          <cell r="A69" t="str">
            <v>1999-070 I</v>
          </cell>
          <cell r="B69">
            <v>36951</v>
          </cell>
          <cell r="C69">
            <v>0.24249999999999999</v>
          </cell>
          <cell r="D69">
            <v>0</v>
          </cell>
          <cell r="E69">
            <v>0</v>
          </cell>
          <cell r="F69">
            <v>0</v>
          </cell>
          <cell r="G69">
            <v>0.24249999999999999</v>
          </cell>
        </row>
        <row r="70">
          <cell r="A70" t="str">
            <v>1999-070 J</v>
          </cell>
          <cell r="B70">
            <v>36982</v>
          </cell>
          <cell r="C70">
            <v>0.24249999999999999</v>
          </cell>
          <cell r="D70">
            <v>0</v>
          </cell>
          <cell r="E70">
            <v>0</v>
          </cell>
          <cell r="F70">
            <v>0</v>
          </cell>
          <cell r="G70">
            <v>0.24249999999999999</v>
          </cell>
        </row>
        <row r="71">
          <cell r="A71" t="str">
            <v>1999-070 K</v>
          </cell>
          <cell r="B71">
            <v>37012</v>
          </cell>
          <cell r="C71">
            <v>0.21010000000000001</v>
          </cell>
          <cell r="D71">
            <v>0</v>
          </cell>
          <cell r="E71">
            <v>0</v>
          </cell>
          <cell r="F71">
            <v>0</v>
          </cell>
          <cell r="G71">
            <v>0.21010000000000001</v>
          </cell>
        </row>
        <row r="72">
          <cell r="A72" t="str">
            <v>1999-070 L</v>
          </cell>
          <cell r="B72">
            <v>37043</v>
          </cell>
          <cell r="C72">
            <v>0.21010000000000001</v>
          </cell>
          <cell r="D72">
            <v>0</v>
          </cell>
          <cell r="E72">
            <v>0</v>
          </cell>
          <cell r="F72">
            <v>0</v>
          </cell>
          <cell r="G72">
            <v>0.21010000000000001</v>
          </cell>
        </row>
        <row r="73">
          <cell r="A73" t="str">
            <v>1999-070 M</v>
          </cell>
          <cell r="B73">
            <v>37073</v>
          </cell>
          <cell r="C73">
            <v>0.21010000000000001</v>
          </cell>
          <cell r="D73">
            <v>0</v>
          </cell>
          <cell r="E73">
            <v>0</v>
          </cell>
          <cell r="F73">
            <v>0</v>
          </cell>
          <cell r="G73">
            <v>0.21010000000000001</v>
          </cell>
        </row>
        <row r="74">
          <cell r="A74" t="str">
            <v>1999-070 N</v>
          </cell>
          <cell r="B74">
            <v>37104</v>
          </cell>
          <cell r="C74">
            <v>0.21010000000000001</v>
          </cell>
          <cell r="D74">
            <v>0</v>
          </cell>
          <cell r="E74">
            <v>0</v>
          </cell>
          <cell r="F74">
            <v>0</v>
          </cell>
          <cell r="G74">
            <v>0.21010000000000001</v>
          </cell>
        </row>
        <row r="75">
          <cell r="A75" t="str">
            <v>1999-070 O</v>
          </cell>
          <cell r="B75">
            <v>37196</v>
          </cell>
          <cell r="C75">
            <v>0.21010000000000001</v>
          </cell>
          <cell r="D75">
            <v>0</v>
          </cell>
          <cell r="E75">
            <v>0</v>
          </cell>
          <cell r="F75">
            <v>0</v>
          </cell>
          <cell r="G75">
            <v>0.21010000000000001</v>
          </cell>
        </row>
        <row r="76">
          <cell r="A76" t="str">
            <v>1999-070 P</v>
          </cell>
          <cell r="B76">
            <v>37288</v>
          </cell>
          <cell r="C76">
            <v>0.21010000000000001</v>
          </cell>
          <cell r="D76">
            <v>0</v>
          </cell>
          <cell r="E76">
            <v>0</v>
          </cell>
          <cell r="F76">
            <v>0</v>
          </cell>
          <cell r="G76">
            <v>0.21010000000000001</v>
          </cell>
        </row>
        <row r="77">
          <cell r="A77" t="str">
            <v>2002-00113</v>
          </cell>
          <cell r="B77">
            <v>37377</v>
          </cell>
          <cell r="C77">
            <v>0.21010000000000001</v>
          </cell>
          <cell r="D77">
            <v>0</v>
          </cell>
          <cell r="E77">
            <v>0</v>
          </cell>
          <cell r="F77">
            <v>0</v>
          </cell>
          <cell r="G77">
            <v>0.21010000000000001</v>
          </cell>
        </row>
        <row r="78">
          <cell r="A78" t="str">
            <v>2002-00251</v>
          </cell>
          <cell r="B78">
            <v>37469</v>
          </cell>
          <cell r="C78">
            <v>0.21010000000000001</v>
          </cell>
          <cell r="D78">
            <v>0</v>
          </cell>
          <cell r="E78">
            <v>0</v>
          </cell>
          <cell r="F78">
            <v>-1.8E-3</v>
          </cell>
          <cell r="G78">
            <v>0.20830000000000001</v>
          </cell>
        </row>
        <row r="79">
          <cell r="A79" t="str">
            <v>2002-00359</v>
          </cell>
          <cell r="B79">
            <v>37561</v>
          </cell>
          <cell r="C79">
            <v>0.19040000000000001</v>
          </cell>
          <cell r="D79">
            <v>0</v>
          </cell>
          <cell r="E79">
            <v>0</v>
          </cell>
          <cell r="F79">
            <v>-3.1099999999999999E-2</v>
          </cell>
          <cell r="G79">
            <v>0.15930000000000002</v>
          </cell>
        </row>
        <row r="80">
          <cell r="A80" t="str">
            <v>2003-00002</v>
          </cell>
          <cell r="B80">
            <v>37653</v>
          </cell>
          <cell r="C80">
            <v>0.19040000000000001</v>
          </cell>
          <cell r="D80">
            <v>0</v>
          </cell>
          <cell r="E80">
            <v>0</v>
          </cell>
          <cell r="F80">
            <v>-3.1099999999999999E-2</v>
          </cell>
          <cell r="G80">
            <v>0.15930000000000002</v>
          </cell>
        </row>
        <row r="81">
          <cell r="A81" t="str">
            <v>2003-00083</v>
          </cell>
          <cell r="B81">
            <v>37713</v>
          </cell>
          <cell r="C81">
            <v>0.19040000000000001</v>
          </cell>
          <cell r="D81">
            <v>0</v>
          </cell>
          <cell r="E81">
            <v>0</v>
          </cell>
          <cell r="F81">
            <v>-3.1099999999999999E-2</v>
          </cell>
          <cell r="G81">
            <v>0.15930000000000002</v>
          </cell>
        </row>
        <row r="82">
          <cell r="A82" t="str">
            <v>2003-00126</v>
          </cell>
          <cell r="B82">
            <v>37742</v>
          </cell>
          <cell r="C82">
            <v>0.19040000000000001</v>
          </cell>
          <cell r="D82">
            <v>0</v>
          </cell>
          <cell r="E82">
            <v>0</v>
          </cell>
          <cell r="F82">
            <v>-3.1099999999999999E-2</v>
          </cell>
          <cell r="G82">
            <v>0.15930000000000002</v>
          </cell>
        </row>
        <row r="83">
          <cell r="A83" t="str">
            <v>2003-00258</v>
          </cell>
          <cell r="B83">
            <v>37834</v>
          </cell>
          <cell r="C83">
            <v>0.18709999999999999</v>
          </cell>
          <cell r="D83">
            <v>0</v>
          </cell>
          <cell r="E83">
            <v>0</v>
          </cell>
          <cell r="F83">
            <v>-2.93E-2</v>
          </cell>
          <cell r="G83">
            <v>0.1578</v>
          </cell>
        </row>
        <row r="84">
          <cell r="A84" t="str">
            <v>2003-00377</v>
          </cell>
          <cell r="B84">
            <v>37926</v>
          </cell>
          <cell r="C84">
            <v>0.18709999999999999</v>
          </cell>
          <cell r="D84">
            <v>0</v>
          </cell>
          <cell r="E84">
            <v>0</v>
          </cell>
          <cell r="F84">
            <v>-2.93E-2</v>
          </cell>
          <cell r="G84">
            <v>0.1578</v>
          </cell>
        </row>
        <row r="85">
          <cell r="A85" t="str">
            <v>2003-00504</v>
          </cell>
          <cell r="B85">
            <v>38018</v>
          </cell>
          <cell r="C85">
            <v>0.18709999999999999</v>
          </cell>
          <cell r="D85">
            <v>0</v>
          </cell>
          <cell r="E85">
            <v>0</v>
          </cell>
          <cell r="F85">
            <v>0</v>
          </cell>
          <cell r="G85">
            <v>0.18709999999999999</v>
          </cell>
        </row>
        <row r="86">
          <cell r="A86" t="str">
            <v>2004-00122</v>
          </cell>
          <cell r="B86">
            <v>38108</v>
          </cell>
          <cell r="C86">
            <v>0.18709999999999999</v>
          </cell>
          <cell r="D86">
            <v>0</v>
          </cell>
          <cell r="E86">
            <v>0</v>
          </cell>
          <cell r="F86">
            <v>0</v>
          </cell>
          <cell r="G86">
            <v>0.18709999999999999</v>
          </cell>
        </row>
        <row r="87">
          <cell r="A87" t="str">
            <v>2004-00269</v>
          </cell>
          <cell r="B87">
            <v>38200</v>
          </cell>
          <cell r="C87">
            <v>0.18709999999999999</v>
          </cell>
          <cell r="D87">
            <v>0</v>
          </cell>
          <cell r="E87">
            <v>0</v>
          </cell>
          <cell r="F87">
            <v>0</v>
          </cell>
          <cell r="G87">
            <v>0.18709999999999999</v>
          </cell>
        </row>
        <row r="88">
          <cell r="A88" t="str">
            <v>2004-00398</v>
          </cell>
          <cell r="B88">
            <v>38292</v>
          </cell>
          <cell r="C88">
            <v>0.18640000000000001</v>
          </cell>
          <cell r="D88">
            <v>0</v>
          </cell>
          <cell r="E88">
            <v>0</v>
          </cell>
          <cell r="F88">
            <v>0</v>
          </cell>
          <cell r="G88">
            <v>0.18640000000000001</v>
          </cell>
        </row>
        <row r="89">
          <cell r="A89" t="str">
            <v>2005-00013</v>
          </cell>
          <cell r="B89">
            <v>38384</v>
          </cell>
          <cell r="C89">
            <v>0.18640000000000001</v>
          </cell>
          <cell r="D89">
            <v>0</v>
          </cell>
          <cell r="E89">
            <v>0</v>
          </cell>
          <cell r="F89">
            <v>0</v>
          </cell>
          <cell r="G89">
            <v>0.18640000000000001</v>
          </cell>
        </row>
        <row r="90">
          <cell r="A90" t="str">
            <v>2005-00139</v>
          </cell>
          <cell r="B90">
            <v>38473</v>
          </cell>
          <cell r="C90">
            <v>0.18640000000000001</v>
          </cell>
          <cell r="D90">
            <v>0</v>
          </cell>
          <cell r="E90">
            <v>0</v>
          </cell>
          <cell r="F90">
            <v>0</v>
          </cell>
          <cell r="G90">
            <v>0.18640000000000001</v>
          </cell>
        </row>
        <row r="91">
          <cell r="A91" t="str">
            <v>2005-00271</v>
          </cell>
          <cell r="B91">
            <v>38565</v>
          </cell>
          <cell r="C91">
            <v>0.18640000000000001</v>
          </cell>
          <cell r="D91">
            <v>0</v>
          </cell>
          <cell r="E91">
            <v>0</v>
          </cell>
          <cell r="F91">
            <v>0</v>
          </cell>
          <cell r="G91">
            <v>0.18640000000000001</v>
          </cell>
        </row>
        <row r="92">
          <cell r="A92" t="str">
            <v>2005-00354</v>
          </cell>
          <cell r="B92">
            <v>38626</v>
          </cell>
          <cell r="C92">
            <v>0.18640000000000001</v>
          </cell>
          <cell r="D92">
            <v>0</v>
          </cell>
          <cell r="E92">
            <v>0</v>
          </cell>
          <cell r="F92">
            <v>0</v>
          </cell>
          <cell r="G92">
            <v>0.18640000000000001</v>
          </cell>
        </row>
        <row r="93">
          <cell r="A93" t="str">
            <v>2005-00399</v>
          </cell>
          <cell r="B93">
            <v>38657</v>
          </cell>
          <cell r="C93">
            <v>0.18640000000000001</v>
          </cell>
          <cell r="D93">
            <v>0</v>
          </cell>
          <cell r="E93">
            <v>0</v>
          </cell>
          <cell r="F93">
            <v>0</v>
          </cell>
          <cell r="G93">
            <v>0.18640000000000001</v>
          </cell>
        </row>
        <row r="94">
          <cell r="A94" t="str">
            <v>2005-00552</v>
          </cell>
          <cell r="B94">
            <v>38749</v>
          </cell>
          <cell r="C94">
            <v>0.2195</v>
          </cell>
          <cell r="D94">
            <v>0</v>
          </cell>
          <cell r="E94">
            <v>0</v>
          </cell>
          <cell r="F94">
            <v>0</v>
          </cell>
          <cell r="G94">
            <v>0.2195</v>
          </cell>
        </row>
        <row r="95">
          <cell r="A95" t="str">
            <v>2006-00135</v>
          </cell>
          <cell r="B95">
            <v>38838</v>
          </cell>
          <cell r="C95">
            <v>0.18390000000000001</v>
          </cell>
          <cell r="D95">
            <v>0</v>
          </cell>
          <cell r="E95">
            <v>0</v>
          </cell>
          <cell r="F95">
            <v>0</v>
          </cell>
          <cell r="G95">
            <v>0.18390000000000001</v>
          </cell>
        </row>
        <row r="96">
          <cell r="A96" t="str">
            <v>2006-00324</v>
          </cell>
          <cell r="B96">
            <v>38930</v>
          </cell>
          <cell r="C96">
            <v>0.18390000000000001</v>
          </cell>
          <cell r="D96">
            <v>0</v>
          </cell>
          <cell r="E96">
            <v>0</v>
          </cell>
          <cell r="F96">
            <v>0</v>
          </cell>
          <cell r="G96">
            <v>0.18390000000000001</v>
          </cell>
        </row>
        <row r="97">
          <cell r="A97" t="str">
            <v>2006-00428</v>
          </cell>
          <cell r="B97">
            <v>39022</v>
          </cell>
          <cell r="C97">
            <v>0.18390000000000001</v>
          </cell>
          <cell r="D97">
            <v>0</v>
          </cell>
          <cell r="E97">
            <v>0</v>
          </cell>
          <cell r="F97">
            <v>0</v>
          </cell>
          <cell r="G97">
            <v>0.18390000000000001</v>
          </cell>
        </row>
      </sheetData>
      <sheetData sheetId="46">
        <row r="7">
          <cell r="A7" t="str">
            <v>Case No.</v>
          </cell>
          <cell r="B7" t="str">
            <v>Effective</v>
          </cell>
          <cell r="C7" t="str">
            <v>TOP</v>
          </cell>
          <cell r="D7" t="str">
            <v>RF</v>
          </cell>
          <cell r="E7" t="str">
            <v>Non-Com</v>
          </cell>
        </row>
        <row r="8">
          <cell r="A8" t="str">
            <v>95-010</v>
          </cell>
          <cell r="B8">
            <v>34943</v>
          </cell>
          <cell r="C8">
            <v>8.2000000000000007E-3</v>
          </cell>
          <cell r="D8">
            <v>-1.5300000000000001E-2</v>
          </cell>
          <cell r="E8">
            <v>-7.1000000000000004E-3</v>
          </cell>
        </row>
        <row r="9">
          <cell r="A9" t="str">
            <v>95-010 A</v>
          </cell>
          <cell r="B9">
            <v>34999</v>
          </cell>
          <cell r="C9">
            <v>8.2000000000000007E-3</v>
          </cell>
          <cell r="D9">
            <v>-1.5300000000000001E-2</v>
          </cell>
          <cell r="E9">
            <v>-7.1000000000000004E-3</v>
          </cell>
        </row>
        <row r="10">
          <cell r="A10" t="str">
            <v>95-010 B</v>
          </cell>
          <cell r="B10">
            <v>35004</v>
          </cell>
          <cell r="C10">
            <v>8.2000000000000007E-3</v>
          </cell>
          <cell r="D10">
            <v>0</v>
          </cell>
          <cell r="E10">
            <v>8.2000000000000007E-3</v>
          </cell>
        </row>
        <row r="11">
          <cell r="A11" t="str">
            <v>95-010 C</v>
          </cell>
          <cell r="B11">
            <v>35034</v>
          </cell>
          <cell r="C11">
            <v>8.2000000000000007E-3</v>
          </cell>
          <cell r="D11">
            <v>0</v>
          </cell>
          <cell r="E11">
            <v>8.2000000000000007E-3</v>
          </cell>
        </row>
        <row r="12">
          <cell r="A12" t="str">
            <v>95-010 D</v>
          </cell>
          <cell r="B12">
            <v>35065</v>
          </cell>
          <cell r="C12">
            <v>8.2000000000000007E-3</v>
          </cell>
          <cell r="D12">
            <v>0</v>
          </cell>
          <cell r="E12">
            <v>8.2000000000000007E-3</v>
          </cell>
        </row>
        <row r="13">
          <cell r="A13" t="str">
            <v>95-010 E</v>
          </cell>
          <cell r="B13">
            <v>35096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95-010 F</v>
          </cell>
          <cell r="B14">
            <v>35125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95-010 G</v>
          </cell>
          <cell r="B15">
            <v>35156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95-010 H</v>
          </cell>
          <cell r="B16">
            <v>35186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95-010 I</v>
          </cell>
          <cell r="B17">
            <v>35217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95-010 J</v>
          </cell>
          <cell r="B18">
            <v>35247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95-010 K</v>
          </cell>
          <cell r="B19">
            <v>35278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95-010 L</v>
          </cell>
          <cell r="B20">
            <v>35309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>95-010 M</v>
          </cell>
          <cell r="B21">
            <v>35339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>95-010 N</v>
          </cell>
          <cell r="B22">
            <v>35370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95-010 O</v>
          </cell>
          <cell r="B23">
            <v>35400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>95-010 P</v>
          </cell>
          <cell r="B24">
            <v>35431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95-010 Q</v>
          </cell>
          <cell r="B25">
            <v>35462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95-010 R</v>
          </cell>
          <cell r="B26">
            <v>35490</v>
          </cell>
          <cell r="C26">
            <v>0</v>
          </cell>
          <cell r="D26">
            <v>0</v>
          </cell>
          <cell r="E26">
            <v>0</v>
          </cell>
        </row>
        <row r="27">
          <cell r="A27" t="str">
            <v>95-010 S</v>
          </cell>
          <cell r="B27">
            <v>35521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>95-010 T</v>
          </cell>
          <cell r="B28">
            <v>35551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>95-010 U</v>
          </cell>
          <cell r="B29">
            <v>35582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>95-010 V</v>
          </cell>
          <cell r="B30">
            <v>35612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95-010 W</v>
          </cell>
          <cell r="B31">
            <v>35643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95-010 X</v>
          </cell>
          <cell r="B32">
            <v>35674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>95-010 Y</v>
          </cell>
          <cell r="B33">
            <v>35704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>95-010 Z</v>
          </cell>
          <cell r="B34">
            <v>35735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>95-010 AA</v>
          </cell>
          <cell r="B35">
            <v>35765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>95-010 BB</v>
          </cell>
          <cell r="B36">
            <v>35796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>95-010 CC</v>
          </cell>
          <cell r="B37">
            <v>35827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95-010 DD</v>
          </cell>
          <cell r="B38">
            <v>35855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95-010 EE</v>
          </cell>
          <cell r="B39">
            <v>35886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>95-010 FF</v>
          </cell>
          <cell r="B40">
            <v>35916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95-010 GG</v>
          </cell>
          <cell r="B41">
            <v>35947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95-010 HH</v>
          </cell>
          <cell r="B42">
            <v>35977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95-010 II</v>
          </cell>
          <cell r="B43">
            <v>36008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95-010 JJ</v>
          </cell>
          <cell r="B44">
            <v>36039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95-010 KK</v>
          </cell>
          <cell r="B45">
            <v>36069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95-010 LL</v>
          </cell>
          <cell r="B46">
            <v>36100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95-010 MM</v>
          </cell>
          <cell r="B47">
            <v>36130</v>
          </cell>
          <cell r="C47">
            <v>0</v>
          </cell>
          <cell r="D47">
            <v>0</v>
          </cell>
          <cell r="E47">
            <v>0</v>
          </cell>
        </row>
        <row r="48">
          <cell r="A48" t="str">
            <v>95-010 NN</v>
          </cell>
          <cell r="B48">
            <v>36161</v>
          </cell>
          <cell r="C48">
            <v>0</v>
          </cell>
          <cell r="D48">
            <v>0</v>
          </cell>
          <cell r="E48">
            <v>0</v>
          </cell>
        </row>
        <row r="49">
          <cell r="A49" t="str">
            <v>95-010 OO</v>
          </cell>
          <cell r="B49">
            <v>36192</v>
          </cell>
          <cell r="C49">
            <v>0</v>
          </cell>
          <cell r="D49">
            <v>0</v>
          </cell>
          <cell r="E49">
            <v>0</v>
          </cell>
        </row>
        <row r="50">
          <cell r="A50" t="str">
            <v>95-010 PP</v>
          </cell>
          <cell r="B50">
            <v>36220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>95-010 QQ</v>
          </cell>
          <cell r="B51">
            <v>36251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>95-010 RR</v>
          </cell>
          <cell r="B52">
            <v>36281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95-010 SS</v>
          </cell>
          <cell r="B53">
            <v>36312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95-010 TT</v>
          </cell>
          <cell r="B54">
            <v>36342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95-010 UU</v>
          </cell>
          <cell r="B55">
            <v>36373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95-010 VV</v>
          </cell>
          <cell r="B56">
            <v>36404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95-010 WW</v>
          </cell>
          <cell r="B57">
            <v>36434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95-010 XX</v>
          </cell>
          <cell r="B58">
            <v>36465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95-010 YY</v>
          </cell>
          <cell r="B59">
            <v>36495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99-070</v>
          </cell>
          <cell r="B60">
            <v>36526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99-070 A</v>
          </cell>
          <cell r="B61">
            <v>36557</v>
          </cell>
          <cell r="C61">
            <v>0</v>
          </cell>
          <cell r="D61">
            <v>0</v>
          </cell>
          <cell r="E61">
            <v>0</v>
          </cell>
        </row>
        <row r="62">
          <cell r="A62" t="str">
            <v>1999-070 B</v>
          </cell>
          <cell r="B62">
            <v>36617</v>
          </cell>
          <cell r="C62">
            <v>0</v>
          </cell>
          <cell r="D62">
            <v>0</v>
          </cell>
          <cell r="E62">
            <v>0</v>
          </cell>
        </row>
        <row r="63">
          <cell r="A63" t="str">
            <v>1999-070 C</v>
          </cell>
          <cell r="B63">
            <v>36647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1999-070 D</v>
          </cell>
          <cell r="B64">
            <v>36708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1999-070 E</v>
          </cell>
          <cell r="B65">
            <v>36739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1999-070 F</v>
          </cell>
          <cell r="B66">
            <v>36800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1999-070 G</v>
          </cell>
          <cell r="B67">
            <v>36831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1999-070 H</v>
          </cell>
          <cell r="B68">
            <v>36923</v>
          </cell>
          <cell r="C68">
            <v>0</v>
          </cell>
          <cell r="D68">
            <v>0</v>
          </cell>
          <cell r="E68">
            <v>0</v>
          </cell>
        </row>
        <row r="69">
          <cell r="A69" t="str">
            <v>1999-070 I</v>
          </cell>
          <cell r="B69">
            <v>36951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1999-070 J</v>
          </cell>
          <cell r="B70">
            <v>36982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1999-070 K</v>
          </cell>
          <cell r="B71">
            <v>37012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1999-070 L</v>
          </cell>
          <cell r="B72">
            <v>37043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1999-070 M</v>
          </cell>
          <cell r="B73">
            <v>37073</v>
          </cell>
          <cell r="C73">
            <v>0</v>
          </cell>
          <cell r="D73">
            <v>0</v>
          </cell>
          <cell r="E73">
            <v>0</v>
          </cell>
        </row>
        <row r="74">
          <cell r="A74" t="str">
            <v>1999-070 N</v>
          </cell>
          <cell r="B74">
            <v>37104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1999-070 O</v>
          </cell>
          <cell r="B75">
            <v>37196</v>
          </cell>
          <cell r="C75">
            <v>0</v>
          </cell>
          <cell r="D75">
            <v>0</v>
          </cell>
          <cell r="E75">
            <v>0</v>
          </cell>
        </row>
        <row r="76">
          <cell r="A76" t="str">
            <v>1999-070 P</v>
          </cell>
          <cell r="B76">
            <v>37288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2002-00113</v>
          </cell>
          <cell r="B77">
            <v>37377</v>
          </cell>
          <cell r="C77">
            <v>0</v>
          </cell>
          <cell r="D77">
            <v>0</v>
          </cell>
          <cell r="E77">
            <v>0</v>
          </cell>
        </row>
        <row r="78">
          <cell r="A78" t="str">
            <v>2002-00251</v>
          </cell>
          <cell r="B78">
            <v>37469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2002-00359</v>
          </cell>
          <cell r="B79">
            <v>37561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2003-00002</v>
          </cell>
          <cell r="B80">
            <v>37653</v>
          </cell>
          <cell r="C80">
            <v>0</v>
          </cell>
          <cell r="D80">
            <v>0</v>
          </cell>
          <cell r="E80">
            <v>0</v>
          </cell>
        </row>
        <row r="81">
          <cell r="A81" t="str">
            <v>2003-00083</v>
          </cell>
          <cell r="B81">
            <v>37713</v>
          </cell>
          <cell r="C81">
            <v>0</v>
          </cell>
          <cell r="D81">
            <v>0</v>
          </cell>
          <cell r="E81">
            <v>0</v>
          </cell>
        </row>
        <row r="82">
          <cell r="A82" t="str">
            <v>2003-00126</v>
          </cell>
          <cell r="B82" t="str">
            <v>05/01/03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2003-00258</v>
          </cell>
          <cell r="B83">
            <v>37834</v>
          </cell>
          <cell r="C83">
            <v>0</v>
          </cell>
          <cell r="D83">
            <v>0</v>
          </cell>
          <cell r="E83">
            <v>0</v>
          </cell>
        </row>
        <row r="84">
          <cell r="A84" t="str">
            <v>2003-00377</v>
          </cell>
          <cell r="B84">
            <v>37926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2003-00504</v>
          </cell>
          <cell r="B85">
            <v>38018</v>
          </cell>
          <cell r="C85">
            <v>0</v>
          </cell>
          <cell r="D85">
            <v>0</v>
          </cell>
          <cell r="E85">
            <v>0</v>
          </cell>
        </row>
        <row r="86">
          <cell r="A86" t="str">
            <v>2004-00122</v>
          </cell>
          <cell r="B86">
            <v>38108</v>
          </cell>
          <cell r="C86">
            <v>0</v>
          </cell>
          <cell r="D86">
            <v>0</v>
          </cell>
          <cell r="E86">
            <v>0</v>
          </cell>
        </row>
        <row r="87">
          <cell r="A87" t="str">
            <v>2004-00269</v>
          </cell>
          <cell r="B87">
            <v>38200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2004-00398</v>
          </cell>
          <cell r="B88">
            <v>38384</v>
          </cell>
          <cell r="C88">
            <v>0</v>
          </cell>
          <cell r="D88">
            <v>0</v>
          </cell>
          <cell r="E88">
            <v>0</v>
          </cell>
        </row>
        <row r="89">
          <cell r="A89" t="str">
            <v>2005-00013</v>
          </cell>
          <cell r="B89">
            <v>38384</v>
          </cell>
          <cell r="C89">
            <v>0</v>
          </cell>
          <cell r="D89">
            <v>0</v>
          </cell>
          <cell r="E89">
            <v>0</v>
          </cell>
        </row>
        <row r="90">
          <cell r="A90" t="str">
            <v>2005-00139</v>
          </cell>
          <cell r="B90">
            <v>38473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2005-00271</v>
          </cell>
          <cell r="B91">
            <v>38565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2005-00354</v>
          </cell>
          <cell r="B92">
            <v>38626</v>
          </cell>
          <cell r="C92">
            <v>0</v>
          </cell>
          <cell r="D92">
            <v>0</v>
          </cell>
          <cell r="E92">
            <v>0</v>
          </cell>
        </row>
        <row r="93">
          <cell r="A93" t="str">
            <v>2005-00399</v>
          </cell>
          <cell r="B93">
            <v>38657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2005-00552</v>
          </cell>
          <cell r="B94">
            <v>38749</v>
          </cell>
          <cell r="C94">
            <v>0</v>
          </cell>
          <cell r="D94">
            <v>0</v>
          </cell>
          <cell r="E94">
            <v>0</v>
          </cell>
        </row>
        <row r="95">
          <cell r="A95" t="str">
            <v>2006-00135</v>
          </cell>
          <cell r="B95">
            <v>38838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2006-00324</v>
          </cell>
          <cell r="B96">
            <v>38838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2006-00428</v>
          </cell>
          <cell r="B97">
            <v>39022</v>
          </cell>
          <cell r="C97">
            <v>0</v>
          </cell>
          <cell r="D97">
            <v>0</v>
          </cell>
          <cell r="E97">
            <v>0</v>
          </cell>
        </row>
      </sheetData>
      <sheetData sheetId="47"/>
      <sheetData sheetId="48">
        <row r="8">
          <cell r="A8" t="str">
            <v>92-558 J</v>
          </cell>
          <cell r="B8">
            <v>34639</v>
          </cell>
          <cell r="C8">
            <v>-4.9500000000000002E-2</v>
          </cell>
          <cell r="D8">
            <v>-4.9500000000000002E-2</v>
          </cell>
          <cell r="E8">
            <v>-1.5300000000000001E-2</v>
          </cell>
          <cell r="K8" t="str">
            <v>92-558 J</v>
          </cell>
        </row>
        <row r="9">
          <cell r="A9" t="str">
            <v>92-558 K</v>
          </cell>
          <cell r="B9">
            <v>34669</v>
          </cell>
          <cell r="C9">
            <v>0</v>
          </cell>
          <cell r="D9">
            <v>0</v>
          </cell>
          <cell r="E9">
            <v>0</v>
          </cell>
          <cell r="K9" t="str">
            <v>92-558 K</v>
          </cell>
        </row>
        <row r="10">
          <cell r="A10" t="str">
            <v>92-558 L</v>
          </cell>
          <cell r="B10">
            <v>34700</v>
          </cell>
          <cell r="C10">
            <v>0</v>
          </cell>
          <cell r="D10">
            <v>0</v>
          </cell>
          <cell r="E10">
            <v>0</v>
          </cell>
          <cell r="K10" t="str">
            <v>92-558 L</v>
          </cell>
        </row>
        <row r="11">
          <cell r="A11" t="str">
            <v>92-558 M</v>
          </cell>
          <cell r="B11">
            <v>34731</v>
          </cell>
          <cell r="C11">
            <v>-9.11E-2</v>
          </cell>
          <cell r="D11">
            <v>-9.11E-2</v>
          </cell>
          <cell r="E11">
            <v>-3.6299999999999999E-2</v>
          </cell>
          <cell r="K11" t="str">
            <v>92-558 M</v>
          </cell>
        </row>
        <row r="12">
          <cell r="A12" t="str">
            <v>92-558 N</v>
          </cell>
          <cell r="B12">
            <v>34759</v>
          </cell>
          <cell r="C12">
            <v>0</v>
          </cell>
          <cell r="D12">
            <v>0</v>
          </cell>
          <cell r="E12">
            <v>0</v>
          </cell>
          <cell r="K12" t="str">
            <v>92-558 N</v>
          </cell>
        </row>
        <row r="13">
          <cell r="A13" t="str">
            <v>92-558 O</v>
          </cell>
          <cell r="B13">
            <v>34790</v>
          </cell>
          <cell r="C13">
            <v>-3.44E-2</v>
          </cell>
          <cell r="D13">
            <v>-3.44E-2</v>
          </cell>
          <cell r="E13">
            <v>-9.9000000000000008E-3</v>
          </cell>
          <cell r="K13" t="str">
            <v>92-558 O</v>
          </cell>
        </row>
        <row r="14">
          <cell r="A14" t="str">
            <v>92-558 P</v>
          </cell>
          <cell r="B14">
            <v>34820</v>
          </cell>
          <cell r="C14">
            <v>0</v>
          </cell>
          <cell r="D14">
            <v>0</v>
          </cell>
          <cell r="E14">
            <v>0</v>
          </cell>
          <cell r="K14" t="str">
            <v>92-558 P</v>
          </cell>
        </row>
        <row r="15">
          <cell r="A15" t="str">
            <v>92-558 Q</v>
          </cell>
          <cell r="B15">
            <v>34851</v>
          </cell>
          <cell r="C15">
            <v>0</v>
          </cell>
          <cell r="D15">
            <v>0</v>
          </cell>
          <cell r="E15">
            <v>0</v>
          </cell>
          <cell r="K15" t="str">
            <v>92-558 Q</v>
          </cell>
        </row>
        <row r="16">
          <cell r="A16" t="str">
            <v>92-558 R</v>
          </cell>
          <cell r="B16">
            <v>34881</v>
          </cell>
          <cell r="C16">
            <v>-5.5500000000000001E-2</v>
          </cell>
          <cell r="D16">
            <v>-5.5500000000000001E-2</v>
          </cell>
          <cell r="E16">
            <v>-5.5500000000000001E-2</v>
          </cell>
          <cell r="K16" t="str">
            <v>92-558 R</v>
          </cell>
        </row>
        <row r="17">
          <cell r="A17" t="str">
            <v>92-558 S</v>
          </cell>
          <cell r="B17">
            <v>34912</v>
          </cell>
          <cell r="C17">
            <v>0</v>
          </cell>
          <cell r="D17">
            <v>0</v>
          </cell>
          <cell r="E17">
            <v>0</v>
          </cell>
          <cell r="K17" t="str">
            <v>92-558 S</v>
          </cell>
        </row>
        <row r="18">
          <cell r="A18" t="str">
            <v>95-010</v>
          </cell>
          <cell r="B18">
            <v>34943</v>
          </cell>
          <cell r="C18">
            <v>-3.2300000000000002E-2</v>
          </cell>
          <cell r="D18">
            <v>-3.2300000000000002E-2</v>
          </cell>
          <cell r="E18">
            <v>-9.1999999999999998E-3</v>
          </cell>
          <cell r="K18" t="str">
            <v>95-010</v>
          </cell>
        </row>
        <row r="19">
          <cell r="A19" t="str">
            <v>95-010 A</v>
          </cell>
          <cell r="B19">
            <v>34999</v>
          </cell>
          <cell r="C19">
            <v>0</v>
          </cell>
          <cell r="D19">
            <v>0</v>
          </cell>
          <cell r="E19">
            <v>0</v>
          </cell>
          <cell r="G19">
            <v>-0.26279999999999998</v>
          </cell>
          <cell r="H19">
            <v>-0.26279999999999998</v>
          </cell>
          <cell r="I19">
            <v>-0.12619999999999998</v>
          </cell>
          <cell r="K19" t="str">
            <v>95-010 A</v>
          </cell>
        </row>
        <row r="20">
          <cell r="A20" t="str">
            <v>95-010 B</v>
          </cell>
          <cell r="B20">
            <v>35004</v>
          </cell>
          <cell r="C20">
            <v>0</v>
          </cell>
          <cell r="D20">
            <v>0</v>
          </cell>
          <cell r="E20">
            <v>0</v>
          </cell>
          <cell r="G20">
            <v>-0.21329999999999999</v>
          </cell>
          <cell r="H20">
            <v>-0.21329999999999999</v>
          </cell>
          <cell r="I20">
            <v>-0.1109</v>
          </cell>
          <cell r="K20" t="str">
            <v>95-010 B</v>
          </cell>
        </row>
        <row r="21">
          <cell r="A21" t="str">
            <v>95-010 C</v>
          </cell>
          <cell r="B21">
            <v>35034</v>
          </cell>
          <cell r="C21">
            <v>-2.7000000000000001E-3</v>
          </cell>
          <cell r="D21">
            <v>-2.7000000000000001E-3</v>
          </cell>
          <cell r="E21">
            <v>-2.2000000000000001E-3</v>
          </cell>
          <cell r="G21">
            <v>-0.216</v>
          </cell>
          <cell r="H21">
            <v>-0.216</v>
          </cell>
          <cell r="I21">
            <v>-0.11309999999999999</v>
          </cell>
          <cell r="K21" t="str">
            <v>95-010 C</v>
          </cell>
        </row>
        <row r="22">
          <cell r="A22" t="str">
            <v>95-010 D</v>
          </cell>
          <cell r="B22">
            <v>35065</v>
          </cell>
          <cell r="C22">
            <v>0</v>
          </cell>
          <cell r="D22">
            <v>0</v>
          </cell>
          <cell r="E22">
            <v>0</v>
          </cell>
          <cell r="G22">
            <v>-0.216</v>
          </cell>
          <cell r="H22">
            <v>-0.216</v>
          </cell>
          <cell r="I22">
            <v>-0.11309999999999999</v>
          </cell>
          <cell r="K22" t="str">
            <v>95-010 D</v>
          </cell>
        </row>
        <row r="23">
          <cell r="A23" t="str">
            <v>95-010 E</v>
          </cell>
          <cell r="B23">
            <v>35096</v>
          </cell>
          <cell r="C23">
            <v>0</v>
          </cell>
          <cell r="D23">
            <v>0</v>
          </cell>
          <cell r="E23">
            <v>0</v>
          </cell>
          <cell r="G23">
            <v>-0.1249</v>
          </cell>
          <cell r="H23">
            <v>-0.1249</v>
          </cell>
          <cell r="I23">
            <v>-7.6799999999999993E-2</v>
          </cell>
          <cell r="K23" t="str">
            <v>95-010 E</v>
          </cell>
        </row>
        <row r="24">
          <cell r="A24" t="str">
            <v>95-010 F</v>
          </cell>
          <cell r="B24">
            <v>35125</v>
          </cell>
          <cell r="C24">
            <v>0</v>
          </cell>
          <cell r="D24">
            <v>0</v>
          </cell>
          <cell r="E24">
            <v>0</v>
          </cell>
          <cell r="G24">
            <v>-0.1249</v>
          </cell>
          <cell r="H24">
            <v>-0.1249</v>
          </cell>
          <cell r="I24">
            <v>-7.6799999999999993E-2</v>
          </cell>
          <cell r="K24" t="str">
            <v>95-010 F</v>
          </cell>
        </row>
        <row r="25">
          <cell r="A25" t="str">
            <v>95-010 G</v>
          </cell>
          <cell r="B25">
            <v>35156</v>
          </cell>
          <cell r="C25">
            <v>0</v>
          </cell>
          <cell r="D25">
            <v>0</v>
          </cell>
          <cell r="E25">
            <v>0</v>
          </cell>
          <cell r="G25">
            <v>-9.0499999999999997E-2</v>
          </cell>
          <cell r="H25">
            <v>-9.0499999999999997E-2</v>
          </cell>
          <cell r="I25">
            <v>-6.6900000000000001E-2</v>
          </cell>
          <cell r="K25" t="str">
            <v>95-010 G</v>
          </cell>
        </row>
        <row r="26">
          <cell r="A26" t="str">
            <v>95-010 H</v>
          </cell>
          <cell r="B26">
            <v>35186</v>
          </cell>
          <cell r="C26">
            <v>0</v>
          </cell>
          <cell r="D26">
            <v>0</v>
          </cell>
          <cell r="E26">
            <v>0</v>
          </cell>
          <cell r="G26">
            <v>-9.0499999999999997E-2</v>
          </cell>
          <cell r="H26">
            <v>-9.0499999999999997E-2</v>
          </cell>
          <cell r="I26">
            <v>-6.6900000000000001E-2</v>
          </cell>
          <cell r="K26" t="str">
            <v>95-010 H</v>
          </cell>
        </row>
        <row r="27">
          <cell r="A27" t="str">
            <v>95-010 I</v>
          </cell>
          <cell r="B27">
            <v>35217</v>
          </cell>
          <cell r="C27">
            <v>-7.8399999999999997E-2</v>
          </cell>
          <cell r="D27">
            <v>-7.8399999999999997E-2</v>
          </cell>
          <cell r="E27">
            <v>-3.1099999999999999E-2</v>
          </cell>
          <cell r="G27">
            <v>-0.16889999999999999</v>
          </cell>
          <cell r="H27">
            <v>-0.16889999999999999</v>
          </cell>
          <cell r="I27">
            <v>-9.8000000000000004E-2</v>
          </cell>
          <cell r="K27" t="str">
            <v>95-010 I</v>
          </cell>
        </row>
        <row r="28">
          <cell r="A28" t="str">
            <v>95-010 J</v>
          </cell>
          <cell r="B28">
            <v>35247</v>
          </cell>
          <cell r="C28">
            <v>-3.8E-3</v>
          </cell>
          <cell r="D28">
            <v>-3.8E-3</v>
          </cell>
          <cell r="E28">
            <v>-2.0999999999999999E-3</v>
          </cell>
          <cell r="G28">
            <v>-0.1172</v>
          </cell>
          <cell r="H28">
            <v>-0.1172</v>
          </cell>
          <cell r="I28">
            <v>-4.4599999999999994E-2</v>
          </cell>
          <cell r="K28" t="str">
            <v>95-010 J</v>
          </cell>
        </row>
        <row r="29">
          <cell r="A29" t="str">
            <v>95-010 K</v>
          </cell>
          <cell r="B29">
            <v>35278</v>
          </cell>
          <cell r="C29">
            <v>0</v>
          </cell>
          <cell r="D29">
            <v>0</v>
          </cell>
          <cell r="E29">
            <v>0</v>
          </cell>
          <cell r="G29">
            <v>-0.1172</v>
          </cell>
          <cell r="H29">
            <v>-0.1172</v>
          </cell>
          <cell r="I29">
            <v>-4.4599999999999994E-2</v>
          </cell>
          <cell r="K29" t="str">
            <v>95-010 K</v>
          </cell>
        </row>
        <row r="30">
          <cell r="A30" t="str">
            <v>95-010 L</v>
          </cell>
          <cell r="B30">
            <v>35309</v>
          </cell>
          <cell r="C30">
            <v>0</v>
          </cell>
          <cell r="D30">
            <v>0</v>
          </cell>
          <cell r="E30">
            <v>0</v>
          </cell>
          <cell r="G30">
            <v>-8.4899999999999989E-2</v>
          </cell>
          <cell r="H30">
            <v>-8.4899999999999989E-2</v>
          </cell>
          <cell r="I30">
            <v>-3.5399999999999994E-2</v>
          </cell>
          <cell r="K30" t="str">
            <v>95-010 L</v>
          </cell>
        </row>
        <row r="31">
          <cell r="A31" t="str">
            <v>95-010 M</v>
          </cell>
          <cell r="B31">
            <v>35339</v>
          </cell>
          <cell r="C31">
            <v>0</v>
          </cell>
          <cell r="D31">
            <v>0</v>
          </cell>
          <cell r="E31">
            <v>0</v>
          </cell>
          <cell r="G31">
            <v>-8.4899999999999989E-2</v>
          </cell>
          <cell r="H31">
            <v>-8.4899999999999989E-2</v>
          </cell>
          <cell r="I31">
            <v>-3.5399999999999994E-2</v>
          </cell>
          <cell r="K31" t="str">
            <v>95-010 M</v>
          </cell>
        </row>
        <row r="32">
          <cell r="A32" t="str">
            <v>95-010 N</v>
          </cell>
          <cell r="B32">
            <v>35370</v>
          </cell>
          <cell r="C32">
            <v>6.6E-3</v>
          </cell>
          <cell r="D32">
            <v>6.6E-3</v>
          </cell>
          <cell r="E32">
            <v>6.6E-3</v>
          </cell>
          <cell r="G32">
            <v>-7.8299999999999995E-2</v>
          </cell>
          <cell r="H32">
            <v>-7.8299999999999995E-2</v>
          </cell>
          <cell r="I32">
            <v>-2.8799999999999992E-2</v>
          </cell>
          <cell r="K32" t="str">
            <v>95-010 N</v>
          </cell>
        </row>
        <row r="33">
          <cell r="A33" t="str">
            <v>95-010 O</v>
          </cell>
          <cell r="B33">
            <v>35400</v>
          </cell>
          <cell r="C33">
            <v>0</v>
          </cell>
          <cell r="D33">
            <v>0</v>
          </cell>
          <cell r="E33">
            <v>0</v>
          </cell>
          <cell r="G33">
            <v>-7.5600000000000001E-2</v>
          </cell>
          <cell r="H33">
            <v>-7.5600000000000001E-2</v>
          </cell>
          <cell r="I33">
            <v>-2.6599999999999999E-2</v>
          </cell>
          <cell r="K33" t="str">
            <v>95-010 O</v>
          </cell>
        </row>
        <row r="34">
          <cell r="A34" t="str">
            <v>95-010 P</v>
          </cell>
          <cell r="B34">
            <v>35431</v>
          </cell>
          <cell r="C34">
            <v>0</v>
          </cell>
          <cell r="D34">
            <v>0</v>
          </cell>
          <cell r="E34">
            <v>0</v>
          </cell>
          <cell r="G34">
            <v>-7.5600000000000001E-2</v>
          </cell>
          <cell r="H34">
            <v>-7.5600000000000001E-2</v>
          </cell>
          <cell r="I34">
            <v>-2.6599999999999999E-2</v>
          </cell>
          <cell r="K34" t="str">
            <v>95-010 P</v>
          </cell>
        </row>
        <row r="35">
          <cell r="A35" t="str">
            <v>95-010 Q</v>
          </cell>
          <cell r="B35">
            <v>35462</v>
          </cell>
          <cell r="C35">
            <v>0</v>
          </cell>
          <cell r="D35">
            <v>0</v>
          </cell>
          <cell r="E35">
            <v>0</v>
          </cell>
          <cell r="G35">
            <v>-7.5600000000000001E-2</v>
          </cell>
          <cell r="H35">
            <v>-7.5600000000000001E-2</v>
          </cell>
          <cell r="I35">
            <v>-2.6599999999999999E-2</v>
          </cell>
          <cell r="K35" t="str">
            <v>95-010 Q</v>
          </cell>
        </row>
        <row r="36">
          <cell r="A36" t="str">
            <v>95-010 R</v>
          </cell>
          <cell r="B36">
            <v>35490</v>
          </cell>
          <cell r="C36">
            <v>0</v>
          </cell>
          <cell r="D36">
            <v>0</v>
          </cell>
          <cell r="E36">
            <v>0</v>
          </cell>
          <cell r="G36">
            <v>-7.5600000000000001E-2</v>
          </cell>
          <cell r="H36">
            <v>-7.5600000000000001E-2</v>
          </cell>
          <cell r="I36">
            <v>-2.6599999999999999E-2</v>
          </cell>
          <cell r="K36" t="str">
            <v>95-010 R</v>
          </cell>
        </row>
        <row r="37">
          <cell r="A37" t="str">
            <v>95-010 S</v>
          </cell>
          <cell r="B37">
            <v>35521</v>
          </cell>
          <cell r="C37">
            <v>0</v>
          </cell>
          <cell r="D37">
            <v>0</v>
          </cell>
          <cell r="E37">
            <v>0</v>
          </cell>
          <cell r="G37">
            <v>-7.5600000000000001E-2</v>
          </cell>
          <cell r="H37">
            <v>-7.5600000000000001E-2</v>
          </cell>
          <cell r="I37">
            <v>-2.6599999999999999E-2</v>
          </cell>
          <cell r="K37" t="str">
            <v>95-010 S</v>
          </cell>
        </row>
        <row r="38">
          <cell r="A38" t="str">
            <v>95-010 T</v>
          </cell>
          <cell r="B38">
            <v>35551</v>
          </cell>
          <cell r="C38">
            <v>0</v>
          </cell>
          <cell r="D38">
            <v>0</v>
          </cell>
          <cell r="E38">
            <v>0</v>
          </cell>
          <cell r="G38">
            <v>-7.5600000000000001E-2</v>
          </cell>
          <cell r="H38">
            <v>-7.5600000000000001E-2</v>
          </cell>
          <cell r="I38">
            <v>-2.6599999999999999E-2</v>
          </cell>
          <cell r="K38" t="str">
            <v>95-010 T</v>
          </cell>
        </row>
        <row r="39">
          <cell r="A39" t="str">
            <v>95-010 U</v>
          </cell>
          <cell r="B39">
            <v>35582</v>
          </cell>
          <cell r="C39">
            <v>-5.1599999999999993E-2</v>
          </cell>
          <cell r="D39">
            <v>-5.1599999999999993E-2</v>
          </cell>
          <cell r="E39">
            <v>-1.6299999999999999E-2</v>
          </cell>
          <cell r="G39">
            <v>-4.8799999999999996E-2</v>
          </cell>
          <cell r="H39">
            <v>-4.8799999999999996E-2</v>
          </cell>
          <cell r="I39">
            <v>-1.1799999999999998E-2</v>
          </cell>
          <cell r="K39" t="str">
            <v>95-010 U</v>
          </cell>
        </row>
        <row r="40">
          <cell r="A40" t="str">
            <v>95-010 V</v>
          </cell>
          <cell r="B40">
            <v>35612</v>
          </cell>
          <cell r="C40">
            <v>-2.9999999999999997E-4</v>
          </cell>
          <cell r="D40">
            <v>-2.9999999999999997E-4</v>
          </cell>
          <cell r="E40">
            <v>-2.9999999999999997E-4</v>
          </cell>
          <cell r="G40">
            <v>-4.5299999999999993E-2</v>
          </cell>
          <cell r="H40">
            <v>-4.5299999999999993E-2</v>
          </cell>
          <cell r="I40">
            <v>-9.9999999999999985E-3</v>
          </cell>
          <cell r="K40" t="str">
            <v>95-010 V</v>
          </cell>
        </row>
        <row r="41">
          <cell r="A41" t="str">
            <v>95-010 W</v>
          </cell>
          <cell r="B41">
            <v>35643</v>
          </cell>
          <cell r="C41">
            <v>0</v>
          </cell>
          <cell r="D41">
            <v>0</v>
          </cell>
          <cell r="E41">
            <v>0</v>
          </cell>
          <cell r="G41">
            <v>-4.5299999999999993E-2</v>
          </cell>
          <cell r="H41">
            <v>-4.5299999999999993E-2</v>
          </cell>
          <cell r="I41">
            <v>-9.9999999999999985E-3</v>
          </cell>
          <cell r="K41" t="str">
            <v>95-010 W</v>
          </cell>
        </row>
        <row r="42">
          <cell r="A42" t="str">
            <v>95-010 X</v>
          </cell>
          <cell r="B42">
            <v>35674</v>
          </cell>
          <cell r="C42">
            <v>0</v>
          </cell>
          <cell r="D42">
            <v>0</v>
          </cell>
          <cell r="E42">
            <v>0</v>
          </cell>
          <cell r="G42">
            <v>-4.5299999999999993E-2</v>
          </cell>
          <cell r="H42">
            <v>-4.5299999999999993E-2</v>
          </cell>
          <cell r="I42">
            <v>-9.9999999999999985E-3</v>
          </cell>
          <cell r="K42" t="str">
            <v>95-010 X</v>
          </cell>
        </row>
        <row r="43">
          <cell r="A43" t="str">
            <v>95-010 Y</v>
          </cell>
          <cell r="B43">
            <v>35704</v>
          </cell>
          <cell r="C43">
            <v>0</v>
          </cell>
          <cell r="D43">
            <v>0</v>
          </cell>
          <cell r="E43">
            <v>0</v>
          </cell>
          <cell r="G43">
            <v>-4.5299999999999993E-2</v>
          </cell>
          <cell r="H43">
            <v>-4.5299999999999993E-2</v>
          </cell>
          <cell r="I43">
            <v>-9.9999999999999985E-3</v>
          </cell>
          <cell r="K43" t="str">
            <v>95-010 Y</v>
          </cell>
        </row>
        <row r="44">
          <cell r="A44" t="str">
            <v>95-010 Z</v>
          </cell>
          <cell r="B44">
            <v>35735</v>
          </cell>
          <cell r="C44">
            <v>0</v>
          </cell>
          <cell r="D44">
            <v>0</v>
          </cell>
          <cell r="E44">
            <v>0</v>
          </cell>
          <cell r="G44">
            <v>-5.1899999999999995E-2</v>
          </cell>
          <cell r="H44">
            <v>-5.1899999999999995E-2</v>
          </cell>
          <cell r="I44">
            <v>-1.66E-2</v>
          </cell>
          <cell r="K44" t="str">
            <v>95-010 Z</v>
          </cell>
        </row>
        <row r="45">
          <cell r="A45" t="str">
            <v>95-010 AA</v>
          </cell>
          <cell r="B45">
            <v>35765</v>
          </cell>
          <cell r="C45">
            <v>0</v>
          </cell>
          <cell r="D45">
            <v>0</v>
          </cell>
          <cell r="E45">
            <v>0</v>
          </cell>
          <cell r="G45">
            <v>-5.1899999999999995E-2</v>
          </cell>
          <cell r="H45">
            <v>-5.1899999999999995E-2</v>
          </cell>
          <cell r="I45">
            <v>-1.66E-2</v>
          </cell>
          <cell r="K45" t="str">
            <v>95-010 AA</v>
          </cell>
        </row>
        <row r="46">
          <cell r="A46" t="str">
            <v>95-010 BB</v>
          </cell>
          <cell r="B46">
            <v>35796</v>
          </cell>
          <cell r="C46">
            <v>0</v>
          </cell>
          <cell r="D46">
            <v>0</v>
          </cell>
          <cell r="E46">
            <v>0</v>
          </cell>
          <cell r="G46">
            <v>-5.1899999999999995E-2</v>
          </cell>
          <cell r="H46">
            <v>-5.1899999999999995E-2</v>
          </cell>
          <cell r="I46">
            <v>-1.66E-2</v>
          </cell>
          <cell r="K46" t="str">
            <v>95-010 BB</v>
          </cell>
        </row>
        <row r="47">
          <cell r="A47" t="str">
            <v>95-010 CC</v>
          </cell>
          <cell r="B47">
            <v>35827</v>
          </cell>
          <cell r="C47">
            <v>-1.6000000000000001E-3</v>
          </cell>
          <cell r="D47">
            <v>-1.6000000000000001E-3</v>
          </cell>
          <cell r="E47">
            <v>-1.6000000000000001E-3</v>
          </cell>
          <cell r="G47">
            <v>-5.3499999999999992E-2</v>
          </cell>
          <cell r="H47">
            <v>-5.3499999999999992E-2</v>
          </cell>
          <cell r="I47">
            <v>-1.8200000000000001E-2</v>
          </cell>
          <cell r="K47" t="str">
            <v>95-010 CC</v>
          </cell>
        </row>
        <row r="48">
          <cell r="A48" t="str">
            <v>95-010 DD</v>
          </cell>
          <cell r="B48">
            <v>35855</v>
          </cell>
          <cell r="C48">
            <v>0</v>
          </cell>
          <cell r="D48">
            <v>0</v>
          </cell>
          <cell r="E48">
            <v>0</v>
          </cell>
          <cell r="G48">
            <v>-5.3499999999999992E-2</v>
          </cell>
          <cell r="H48">
            <v>-5.3499999999999992E-2</v>
          </cell>
          <cell r="I48">
            <v>-1.8200000000000001E-2</v>
          </cell>
          <cell r="K48" t="str">
            <v>95-010 DD</v>
          </cell>
        </row>
        <row r="49">
          <cell r="A49" t="str">
            <v>95-010 EE</v>
          </cell>
          <cell r="B49">
            <v>35886</v>
          </cell>
          <cell r="C49">
            <v>0</v>
          </cell>
          <cell r="D49">
            <v>0</v>
          </cell>
          <cell r="E49">
            <v>0</v>
          </cell>
          <cell r="G49">
            <v>-5.3499999999999992E-2</v>
          </cell>
          <cell r="H49">
            <v>-5.3499999999999992E-2</v>
          </cell>
          <cell r="I49">
            <v>-1.8200000000000001E-2</v>
          </cell>
          <cell r="K49" t="str">
            <v>95-010 EE</v>
          </cell>
        </row>
        <row r="50">
          <cell r="A50" t="str">
            <v>95-010 FF</v>
          </cell>
          <cell r="B50">
            <v>35916</v>
          </cell>
          <cell r="C50">
            <v>0</v>
          </cell>
          <cell r="D50">
            <v>0</v>
          </cell>
          <cell r="E50">
            <v>0</v>
          </cell>
          <cell r="G50">
            <v>-5.3499999999999992E-2</v>
          </cell>
          <cell r="H50">
            <v>-5.3499999999999992E-2</v>
          </cell>
          <cell r="I50">
            <v>-1.8200000000000001E-2</v>
          </cell>
          <cell r="K50" t="str">
            <v>95-010 FF</v>
          </cell>
        </row>
        <row r="51">
          <cell r="A51" t="str">
            <v>95-010 GG</v>
          </cell>
          <cell r="B51">
            <v>35947</v>
          </cell>
          <cell r="C51">
            <v>0</v>
          </cell>
          <cell r="D51">
            <v>0</v>
          </cell>
          <cell r="E51">
            <v>0</v>
          </cell>
          <cell r="G51">
            <v>-1.9E-3</v>
          </cell>
          <cell r="H51">
            <v>-1.9E-3</v>
          </cell>
          <cell r="I51">
            <v>-1.9E-3</v>
          </cell>
          <cell r="K51" t="str">
            <v>95-010 GG</v>
          </cell>
        </row>
        <row r="52">
          <cell r="A52" t="str">
            <v>95-010 HH</v>
          </cell>
          <cell r="B52">
            <v>35977</v>
          </cell>
          <cell r="C52">
            <v>-9.4999999999999998E-3</v>
          </cell>
          <cell r="D52">
            <v>-9.4999999999999998E-3</v>
          </cell>
          <cell r="E52">
            <v>-7.3000000000000001E-3</v>
          </cell>
          <cell r="G52">
            <v>-1.11E-2</v>
          </cell>
          <cell r="H52">
            <v>-1.11E-2</v>
          </cell>
          <cell r="I52">
            <v>-8.8999999999999999E-3</v>
          </cell>
          <cell r="K52" t="str">
            <v>95-010 HH</v>
          </cell>
        </row>
        <row r="53">
          <cell r="A53" t="str">
            <v>95-010 II</v>
          </cell>
          <cell r="B53">
            <v>36008</v>
          </cell>
          <cell r="C53">
            <v>0</v>
          </cell>
          <cell r="D53">
            <v>0</v>
          </cell>
          <cell r="E53">
            <v>0</v>
          </cell>
          <cell r="G53">
            <v>-1.11E-2</v>
          </cell>
          <cell r="H53">
            <v>-1.11E-2</v>
          </cell>
          <cell r="I53">
            <v>-8.8999999999999999E-3</v>
          </cell>
          <cell r="K53" t="str">
            <v>95-010 II</v>
          </cell>
        </row>
        <row r="54">
          <cell r="A54" t="str">
            <v>95-010 JJ</v>
          </cell>
          <cell r="B54">
            <v>36039</v>
          </cell>
          <cell r="C54">
            <v>0</v>
          </cell>
          <cell r="D54">
            <v>0</v>
          </cell>
          <cell r="E54">
            <v>0</v>
          </cell>
          <cell r="G54">
            <v>-1.11E-2</v>
          </cell>
          <cell r="H54">
            <v>-1.11E-2</v>
          </cell>
          <cell r="I54">
            <v>-8.8999999999999999E-3</v>
          </cell>
          <cell r="K54" t="str">
            <v>95-010 JJ</v>
          </cell>
        </row>
        <row r="55">
          <cell r="A55" t="str">
            <v>95-010 KK</v>
          </cell>
          <cell r="B55">
            <v>36069</v>
          </cell>
          <cell r="C55">
            <v>-1.2999999999999999E-2</v>
          </cell>
          <cell r="D55">
            <v>-1.2999999999999999E-2</v>
          </cell>
          <cell r="E55">
            <v>-1.2999999999999999E-2</v>
          </cell>
          <cell r="G55">
            <v>-2.41E-2</v>
          </cell>
          <cell r="H55">
            <v>-2.41E-2</v>
          </cell>
          <cell r="I55">
            <v>-2.1899999999999999E-2</v>
          </cell>
          <cell r="K55" t="str">
            <v>95-010 KK</v>
          </cell>
        </row>
        <row r="56">
          <cell r="A56" t="str">
            <v>95-010 LL</v>
          </cell>
          <cell r="B56">
            <v>36100</v>
          </cell>
          <cell r="C56">
            <v>0</v>
          </cell>
          <cell r="D56">
            <v>0</v>
          </cell>
          <cell r="E56">
            <v>0</v>
          </cell>
          <cell r="G56">
            <v>-2.41E-2</v>
          </cell>
          <cell r="H56">
            <v>-2.41E-2</v>
          </cell>
          <cell r="I56">
            <v>-2.1899999999999999E-2</v>
          </cell>
          <cell r="K56" t="str">
            <v>95-010 LL</v>
          </cell>
        </row>
        <row r="57">
          <cell r="A57" t="str">
            <v>95-010 MM</v>
          </cell>
          <cell r="B57">
            <v>36130</v>
          </cell>
          <cell r="C57">
            <v>0</v>
          </cell>
          <cell r="D57">
            <v>0</v>
          </cell>
          <cell r="E57">
            <v>0</v>
          </cell>
          <cell r="G57">
            <v>-2.41E-2</v>
          </cell>
          <cell r="H57">
            <v>-2.41E-2</v>
          </cell>
          <cell r="I57">
            <v>-2.1899999999999999E-2</v>
          </cell>
          <cell r="K57" t="str">
            <v>95-010 MM</v>
          </cell>
        </row>
        <row r="58">
          <cell r="A58" t="str">
            <v>95-010 NN</v>
          </cell>
          <cell r="B58">
            <v>36161</v>
          </cell>
          <cell r="C58">
            <v>0</v>
          </cell>
          <cell r="D58">
            <v>0</v>
          </cell>
          <cell r="E58">
            <v>0</v>
          </cell>
          <cell r="G58">
            <v>-2.41E-2</v>
          </cell>
          <cell r="H58">
            <v>-2.41E-2</v>
          </cell>
          <cell r="I58">
            <v>-2.1899999999999999E-2</v>
          </cell>
          <cell r="K58" t="str">
            <v>95-010 NN</v>
          </cell>
        </row>
        <row r="59">
          <cell r="A59" t="str">
            <v>95-010 OO</v>
          </cell>
          <cell r="B59">
            <v>36192</v>
          </cell>
          <cell r="C59">
            <v>0</v>
          </cell>
          <cell r="D59">
            <v>0</v>
          </cell>
          <cell r="E59">
            <v>0</v>
          </cell>
          <cell r="G59">
            <v>-2.2499999999999999E-2</v>
          </cell>
          <cell r="H59">
            <v>-2.2499999999999999E-2</v>
          </cell>
          <cell r="I59">
            <v>-2.0299999999999999E-2</v>
          </cell>
          <cell r="K59" t="str">
            <v>95-010 OO</v>
          </cell>
        </row>
        <row r="60">
          <cell r="A60" t="str">
            <v>95-010 PP</v>
          </cell>
          <cell r="B60">
            <v>36220</v>
          </cell>
          <cell r="C60">
            <v>0</v>
          </cell>
          <cell r="D60">
            <v>0</v>
          </cell>
          <cell r="E60">
            <v>0</v>
          </cell>
          <cell r="G60">
            <v>-2.2499999999999999E-2</v>
          </cell>
          <cell r="H60">
            <v>-2.2499999999999999E-2</v>
          </cell>
          <cell r="I60">
            <v>-2.0299999999999999E-2</v>
          </cell>
          <cell r="K60" t="str">
            <v>95-010 PP</v>
          </cell>
        </row>
        <row r="61">
          <cell r="A61" t="str">
            <v>95-010 QQ</v>
          </cell>
          <cell r="B61">
            <v>36251</v>
          </cell>
          <cell r="C61">
            <v>-4.2900000000000001E-2</v>
          </cell>
          <cell r="D61">
            <v>-4.2900000000000001E-2</v>
          </cell>
          <cell r="E61">
            <v>-1.2700000000000001E-2</v>
          </cell>
          <cell r="G61">
            <v>-6.54E-2</v>
          </cell>
          <cell r="H61">
            <v>-6.54E-2</v>
          </cell>
          <cell r="I61">
            <v>-3.3000000000000002E-2</v>
          </cell>
          <cell r="K61" t="str">
            <v>95-010 QQ</v>
          </cell>
        </row>
        <row r="62">
          <cell r="A62" t="str">
            <v>95-010 RR</v>
          </cell>
          <cell r="B62">
            <v>36281</v>
          </cell>
          <cell r="C62">
            <v>0</v>
          </cell>
          <cell r="D62">
            <v>0</v>
          </cell>
          <cell r="E62">
            <v>0</v>
          </cell>
          <cell r="G62">
            <v>-6.54E-2</v>
          </cell>
          <cell r="H62">
            <v>-6.54E-2</v>
          </cell>
          <cell r="I62">
            <v>-3.3000000000000002E-2</v>
          </cell>
          <cell r="K62" t="str">
            <v>95-010 RR</v>
          </cell>
        </row>
        <row r="63">
          <cell r="A63" t="str">
            <v>95-010 SS</v>
          </cell>
          <cell r="B63">
            <v>36312</v>
          </cell>
          <cell r="C63">
            <v>0</v>
          </cell>
          <cell r="D63">
            <v>0</v>
          </cell>
          <cell r="E63">
            <v>0</v>
          </cell>
          <cell r="G63">
            <v>-6.54E-2</v>
          </cell>
          <cell r="H63">
            <v>-6.54E-2</v>
          </cell>
          <cell r="I63">
            <v>-3.3000000000000002E-2</v>
          </cell>
          <cell r="K63" t="str">
            <v>95-010 SS</v>
          </cell>
        </row>
        <row r="64">
          <cell r="A64" t="str">
            <v>95-010 TT</v>
          </cell>
          <cell r="B64">
            <v>36342</v>
          </cell>
          <cell r="C64">
            <v>0</v>
          </cell>
          <cell r="D64">
            <v>0</v>
          </cell>
          <cell r="E64">
            <v>0</v>
          </cell>
          <cell r="G64">
            <v>-5.5899999999999998E-2</v>
          </cell>
          <cell r="H64">
            <v>-5.5899999999999998E-2</v>
          </cell>
          <cell r="I64">
            <v>-2.5700000000000001E-2</v>
          </cell>
          <cell r="K64" t="str">
            <v>95-010 TT</v>
          </cell>
        </row>
        <row r="65">
          <cell r="A65" t="str">
            <v>95-010 UU</v>
          </cell>
          <cell r="B65">
            <v>36373</v>
          </cell>
          <cell r="C65">
            <v>0</v>
          </cell>
          <cell r="D65">
            <v>0</v>
          </cell>
          <cell r="E65">
            <v>0</v>
          </cell>
          <cell r="G65">
            <v>-5.5899999999999998E-2</v>
          </cell>
          <cell r="H65">
            <v>-5.5899999999999998E-2</v>
          </cell>
          <cell r="I65">
            <v>-2.5700000000000001E-2</v>
          </cell>
          <cell r="K65" t="str">
            <v>95-010 UU</v>
          </cell>
        </row>
        <row r="66">
          <cell r="A66" t="str">
            <v>95-010 VV</v>
          </cell>
          <cell r="B66">
            <v>36404</v>
          </cell>
          <cell r="C66">
            <v>0</v>
          </cell>
          <cell r="D66">
            <v>0</v>
          </cell>
          <cell r="E66">
            <v>0</v>
          </cell>
          <cell r="G66">
            <v>-5.5899999999999998E-2</v>
          </cell>
          <cell r="H66">
            <v>-5.5899999999999998E-2</v>
          </cell>
          <cell r="I66">
            <v>-2.5700000000000001E-2</v>
          </cell>
          <cell r="K66" t="str">
            <v>95-010 VV</v>
          </cell>
        </row>
        <row r="67">
          <cell r="A67" t="str">
            <v>95-010 WW</v>
          </cell>
          <cell r="B67">
            <v>36434</v>
          </cell>
          <cell r="C67">
            <v>-2.3E-3</v>
          </cell>
          <cell r="D67">
            <v>-2.3E-3</v>
          </cell>
          <cell r="E67">
            <v>-2.3E-3</v>
          </cell>
          <cell r="G67">
            <v>-4.5200000000000004E-2</v>
          </cell>
          <cell r="H67">
            <v>-4.5200000000000004E-2</v>
          </cell>
          <cell r="I67">
            <v>-1.5000000000000001E-2</v>
          </cell>
          <cell r="K67" t="str">
            <v>95-010 WW</v>
          </cell>
        </row>
        <row r="68">
          <cell r="A68" t="str">
            <v>95-010 XX</v>
          </cell>
          <cell r="B68">
            <v>36465</v>
          </cell>
          <cell r="C68">
            <v>0</v>
          </cell>
          <cell r="D68">
            <v>0</v>
          </cell>
          <cell r="E68">
            <v>0</v>
          </cell>
          <cell r="G68">
            <v>-4.5200000000000004E-2</v>
          </cell>
          <cell r="H68">
            <v>-4.5200000000000004E-2</v>
          </cell>
          <cell r="I68">
            <v>-1.5000000000000001E-2</v>
          </cell>
          <cell r="K68" t="str">
            <v>95-010 XX</v>
          </cell>
        </row>
        <row r="69">
          <cell r="A69" t="str">
            <v>95-010 YY</v>
          </cell>
          <cell r="B69">
            <v>36495</v>
          </cell>
          <cell r="C69">
            <v>0</v>
          </cell>
          <cell r="D69">
            <v>0</v>
          </cell>
          <cell r="E69">
            <v>0</v>
          </cell>
          <cell r="G69">
            <v>-4.5200000000000004E-2</v>
          </cell>
          <cell r="H69">
            <v>-4.5200000000000004E-2</v>
          </cell>
          <cell r="I69">
            <v>-1.5000000000000001E-2</v>
          </cell>
          <cell r="K69" t="str">
            <v>95-010 YY</v>
          </cell>
        </row>
        <row r="70">
          <cell r="A70" t="str">
            <v>99-070</v>
          </cell>
          <cell r="B70">
            <v>36526</v>
          </cell>
          <cell r="C70">
            <v>-2.8E-3</v>
          </cell>
          <cell r="D70">
            <v>-2.8E-3</v>
          </cell>
          <cell r="E70">
            <v>-2.8E-3</v>
          </cell>
          <cell r="G70">
            <v>-4.8000000000000001E-2</v>
          </cell>
          <cell r="H70">
            <v>-4.8000000000000001E-2</v>
          </cell>
          <cell r="I70">
            <v>-1.78E-2</v>
          </cell>
          <cell r="K70" t="str">
            <v>99-070</v>
          </cell>
        </row>
        <row r="71">
          <cell r="A71" t="str">
            <v>99-070 A</v>
          </cell>
          <cell r="B71">
            <v>36557</v>
          </cell>
          <cell r="C71">
            <v>0</v>
          </cell>
          <cell r="D71">
            <v>0</v>
          </cell>
          <cell r="E71">
            <v>0</v>
          </cell>
          <cell r="G71">
            <v>-4.8000000000000001E-2</v>
          </cell>
          <cell r="H71">
            <v>-4.8000000000000001E-2</v>
          </cell>
          <cell r="I71">
            <v>-1.78E-2</v>
          </cell>
          <cell r="K71" t="str">
            <v>99-070 A</v>
          </cell>
        </row>
        <row r="72">
          <cell r="A72" t="str">
            <v>99-070 A</v>
          </cell>
          <cell r="B72">
            <v>36586</v>
          </cell>
          <cell r="C72">
            <v>0</v>
          </cell>
          <cell r="D72">
            <v>0</v>
          </cell>
          <cell r="E72">
            <v>0</v>
          </cell>
          <cell r="G72">
            <v>-4.8000000000000001E-2</v>
          </cell>
          <cell r="H72">
            <v>-4.8000000000000001E-2</v>
          </cell>
          <cell r="I72">
            <v>-1.78E-2</v>
          </cell>
          <cell r="K72" t="str">
            <v>99-070 A</v>
          </cell>
        </row>
        <row r="73">
          <cell r="A73" t="str">
            <v>1999-070 B</v>
          </cell>
          <cell r="B73">
            <v>36617</v>
          </cell>
          <cell r="C73">
            <v>0</v>
          </cell>
          <cell r="D73">
            <v>0</v>
          </cell>
          <cell r="E73">
            <v>0</v>
          </cell>
          <cell r="G73">
            <v>-5.1000000000000004E-3</v>
          </cell>
          <cell r="H73">
            <v>-5.1000000000000004E-3</v>
          </cell>
          <cell r="I73">
            <v>-5.1000000000000004E-3</v>
          </cell>
          <cell r="K73" t="str">
            <v>1999-070 B</v>
          </cell>
        </row>
        <row r="74">
          <cell r="A74" t="str">
            <v>1999-070 C</v>
          </cell>
          <cell r="B74">
            <v>36647</v>
          </cell>
          <cell r="C74">
            <v>0</v>
          </cell>
          <cell r="D74">
            <v>0</v>
          </cell>
          <cell r="E74">
            <v>0</v>
          </cell>
          <cell r="G74">
            <v>-5.1000000000000004E-3</v>
          </cell>
          <cell r="H74">
            <v>-5.1000000000000004E-3</v>
          </cell>
          <cell r="I74">
            <v>-5.1000000000000004E-3</v>
          </cell>
          <cell r="K74" t="str">
            <v>1999-070 C</v>
          </cell>
        </row>
        <row r="75">
          <cell r="A75" t="str">
            <v>1999-070 C</v>
          </cell>
          <cell r="B75">
            <v>36678</v>
          </cell>
          <cell r="C75">
            <v>0</v>
          </cell>
          <cell r="D75">
            <v>0</v>
          </cell>
          <cell r="E75">
            <v>0</v>
          </cell>
          <cell r="G75">
            <v>-5.1000000000000004E-3</v>
          </cell>
          <cell r="H75">
            <v>-5.1000000000000004E-3</v>
          </cell>
          <cell r="I75">
            <v>-5.1000000000000004E-3</v>
          </cell>
          <cell r="K75" t="str">
            <v>1999-070 C</v>
          </cell>
        </row>
        <row r="76">
          <cell r="A76" t="str">
            <v>1999-070 D</v>
          </cell>
          <cell r="B76">
            <v>36708</v>
          </cell>
          <cell r="C76">
            <v>0</v>
          </cell>
          <cell r="D76">
            <v>0</v>
          </cell>
          <cell r="E76">
            <v>0</v>
          </cell>
          <cell r="G76">
            <v>-5.1000000000000004E-3</v>
          </cell>
          <cell r="H76">
            <v>-5.1000000000000004E-3</v>
          </cell>
          <cell r="I76">
            <v>-5.1000000000000004E-3</v>
          </cell>
          <cell r="K76" t="str">
            <v>1999-070 D</v>
          </cell>
        </row>
        <row r="77">
          <cell r="A77" t="str">
            <v>1999-070 E</v>
          </cell>
          <cell r="B77">
            <v>36739</v>
          </cell>
          <cell r="C77">
            <v>-1.17E-2</v>
          </cell>
          <cell r="D77">
            <v>-1.17E-2</v>
          </cell>
          <cell r="E77">
            <v>-1.17E-2</v>
          </cell>
          <cell r="G77">
            <v>-1.6800000000000002E-2</v>
          </cell>
          <cell r="H77">
            <v>-1.6800000000000002E-2</v>
          </cell>
          <cell r="I77">
            <v>-1.6800000000000002E-2</v>
          </cell>
          <cell r="K77" t="str">
            <v>1999-070 E</v>
          </cell>
        </row>
        <row r="78">
          <cell r="A78" t="str">
            <v>1999-070 E*</v>
          </cell>
          <cell r="B78">
            <v>36770</v>
          </cell>
          <cell r="C78">
            <v>0</v>
          </cell>
          <cell r="D78">
            <v>0</v>
          </cell>
          <cell r="E78">
            <v>0</v>
          </cell>
          <cell r="G78">
            <v>-1.6800000000000002E-2</v>
          </cell>
          <cell r="H78">
            <v>-1.6800000000000002E-2</v>
          </cell>
          <cell r="I78">
            <v>-1.6800000000000002E-2</v>
          </cell>
          <cell r="K78" t="str">
            <v>1999-070 E*</v>
          </cell>
        </row>
        <row r="79">
          <cell r="A79" t="str">
            <v>1999-070 F</v>
          </cell>
          <cell r="B79">
            <v>36800</v>
          </cell>
          <cell r="C79">
            <v>0</v>
          </cell>
          <cell r="D79">
            <v>0</v>
          </cell>
          <cell r="E79">
            <v>0</v>
          </cell>
          <cell r="G79">
            <v>-1.4500000000000001E-2</v>
          </cell>
          <cell r="H79">
            <v>-1.4500000000000001E-2</v>
          </cell>
          <cell r="I79">
            <v>-1.4500000000000001E-2</v>
          </cell>
          <cell r="K79" t="str">
            <v>1999-070 F</v>
          </cell>
        </row>
        <row r="80">
          <cell r="A80" t="str">
            <v>1999-070 G</v>
          </cell>
          <cell r="B80">
            <v>36831</v>
          </cell>
          <cell r="C80">
            <v>0</v>
          </cell>
          <cell r="D80">
            <v>0</v>
          </cell>
          <cell r="E80">
            <v>0</v>
          </cell>
          <cell r="G80">
            <v>-1.4500000000000001E-2</v>
          </cell>
          <cell r="H80">
            <v>-1.4500000000000001E-2</v>
          </cell>
          <cell r="I80">
            <v>-1.4500000000000001E-2</v>
          </cell>
          <cell r="K80" t="str">
            <v>1999-070 G</v>
          </cell>
        </row>
        <row r="81">
          <cell r="A81" t="str">
            <v>1999-070 G*</v>
          </cell>
          <cell r="B81">
            <v>36861</v>
          </cell>
          <cell r="C81">
            <v>0</v>
          </cell>
          <cell r="D81">
            <v>0</v>
          </cell>
          <cell r="E81">
            <v>0</v>
          </cell>
          <cell r="G81">
            <v>-1.4500000000000001E-2</v>
          </cell>
          <cell r="H81">
            <v>-1.4500000000000001E-2</v>
          </cell>
          <cell r="I81">
            <v>-1.4500000000000001E-2</v>
          </cell>
          <cell r="K81" t="str">
            <v>1999-070 G*</v>
          </cell>
        </row>
        <row r="82">
          <cell r="A82" t="str">
            <v>1999-070 G*</v>
          </cell>
          <cell r="B82">
            <v>36892</v>
          </cell>
          <cell r="C82">
            <v>0</v>
          </cell>
          <cell r="D82">
            <v>0</v>
          </cell>
          <cell r="E82">
            <v>0</v>
          </cell>
          <cell r="G82">
            <v>-1.17E-2</v>
          </cell>
          <cell r="H82">
            <v>-1.17E-2</v>
          </cell>
          <cell r="I82">
            <v>-1.17E-2</v>
          </cell>
          <cell r="K82" t="str">
            <v>1999-070 G*</v>
          </cell>
        </row>
        <row r="83">
          <cell r="A83" t="str">
            <v>1999-070 H</v>
          </cell>
          <cell r="B83">
            <v>36923</v>
          </cell>
          <cell r="C83">
            <v>0</v>
          </cell>
          <cell r="D83">
            <v>0</v>
          </cell>
          <cell r="E83">
            <v>0</v>
          </cell>
          <cell r="G83">
            <v>-1.17E-2</v>
          </cell>
          <cell r="H83">
            <v>-1.17E-2</v>
          </cell>
          <cell r="I83">
            <v>-1.17E-2</v>
          </cell>
          <cell r="K83" t="str">
            <v>1999-070 H</v>
          </cell>
        </row>
        <row r="84">
          <cell r="A84" t="str">
            <v>1999-070 I</v>
          </cell>
          <cell r="B84">
            <v>36951</v>
          </cell>
          <cell r="C84">
            <v>0</v>
          </cell>
          <cell r="D84">
            <v>0</v>
          </cell>
          <cell r="E84">
            <v>0</v>
          </cell>
          <cell r="G84">
            <v>-1.17E-2</v>
          </cell>
          <cell r="H84">
            <v>-1.17E-2</v>
          </cell>
          <cell r="I84">
            <v>-1.17E-2</v>
          </cell>
          <cell r="K84" t="str">
            <v>1999-070 I</v>
          </cell>
        </row>
        <row r="85">
          <cell r="A85" t="str">
            <v>1999-070 J</v>
          </cell>
          <cell r="B85">
            <v>36982</v>
          </cell>
          <cell r="C85">
            <v>0</v>
          </cell>
          <cell r="D85">
            <v>0</v>
          </cell>
          <cell r="E85">
            <v>0</v>
          </cell>
          <cell r="G85">
            <v>-1.17E-2</v>
          </cell>
          <cell r="H85">
            <v>-1.17E-2</v>
          </cell>
          <cell r="I85">
            <v>-1.17E-2</v>
          </cell>
          <cell r="K85" t="str">
            <v>1999-070 J</v>
          </cell>
        </row>
        <row r="86">
          <cell r="A86" t="str">
            <v>1999-070 K</v>
          </cell>
          <cell r="B86">
            <v>37012</v>
          </cell>
          <cell r="C86">
            <v>-5.0000000000000001E-4</v>
          </cell>
          <cell r="D86">
            <v>-5.0000000000000001E-4</v>
          </cell>
          <cell r="E86">
            <v>-5.0000000000000001E-4</v>
          </cell>
          <cell r="G86">
            <v>-1.2200000000000001E-2</v>
          </cell>
          <cell r="H86">
            <v>-1.2200000000000001E-2</v>
          </cell>
          <cell r="I86">
            <v>-1.2200000000000001E-2</v>
          </cell>
          <cell r="K86" t="str">
            <v>1999-070 K</v>
          </cell>
        </row>
        <row r="87">
          <cell r="A87" t="str">
            <v>1999-070 L</v>
          </cell>
          <cell r="B87">
            <v>37043</v>
          </cell>
          <cell r="C87">
            <v>0</v>
          </cell>
          <cell r="D87">
            <v>0</v>
          </cell>
          <cell r="E87">
            <v>0</v>
          </cell>
          <cell r="G87">
            <v>-1.2200000000000001E-2</v>
          </cell>
          <cell r="H87">
            <v>-1.2200000000000001E-2</v>
          </cell>
          <cell r="I87">
            <v>-1.2200000000000001E-2</v>
          </cell>
          <cell r="K87" t="str">
            <v>1999-070 L</v>
          </cell>
        </row>
        <row r="88">
          <cell r="A88" t="str">
            <v>1999-070 M</v>
          </cell>
          <cell r="B88">
            <v>37073</v>
          </cell>
          <cell r="C88">
            <v>0</v>
          </cell>
          <cell r="D88">
            <v>0</v>
          </cell>
          <cell r="E88">
            <v>0</v>
          </cell>
          <cell r="G88">
            <v>-1.2200000000000001E-2</v>
          </cell>
          <cell r="H88">
            <v>-1.2200000000000001E-2</v>
          </cell>
          <cell r="I88">
            <v>-1.2200000000000001E-2</v>
          </cell>
          <cell r="K88" t="str">
            <v>1999-070 M</v>
          </cell>
        </row>
        <row r="89">
          <cell r="A89" t="str">
            <v>1999-070 N</v>
          </cell>
          <cell r="B89">
            <v>37104</v>
          </cell>
          <cell r="C89">
            <v>0</v>
          </cell>
          <cell r="D89">
            <v>0</v>
          </cell>
          <cell r="E89">
            <v>0</v>
          </cell>
          <cell r="G89">
            <v>-5.0000000000000001E-4</v>
          </cell>
          <cell r="H89">
            <v>-5.0000000000000001E-4</v>
          </cell>
          <cell r="I89">
            <v>-5.0000000000000001E-4</v>
          </cell>
          <cell r="K89" t="str">
            <v>1999-070 N</v>
          </cell>
        </row>
        <row r="90">
          <cell r="A90" t="str">
            <v>1999-070 N*</v>
          </cell>
          <cell r="B90">
            <v>37104</v>
          </cell>
          <cell r="C90">
            <v>0</v>
          </cell>
          <cell r="D90">
            <v>0</v>
          </cell>
          <cell r="E90">
            <v>0</v>
          </cell>
          <cell r="G90">
            <v>-5.0000000000000001E-4</v>
          </cell>
          <cell r="H90">
            <v>-5.0000000000000001E-4</v>
          </cell>
          <cell r="I90">
            <v>-5.0000000000000001E-4</v>
          </cell>
          <cell r="K90" t="str">
            <v>1999-070 N*</v>
          </cell>
        </row>
        <row r="91">
          <cell r="A91" t="str">
            <v>1999-070 N*</v>
          </cell>
          <cell r="B91">
            <v>37104</v>
          </cell>
          <cell r="C91">
            <v>0</v>
          </cell>
          <cell r="D91">
            <v>0</v>
          </cell>
          <cell r="E91">
            <v>0</v>
          </cell>
          <cell r="G91">
            <v>-5.0000000000000001E-4</v>
          </cell>
          <cell r="H91">
            <v>-5.0000000000000001E-4</v>
          </cell>
          <cell r="I91">
            <v>-5.0000000000000001E-4</v>
          </cell>
          <cell r="K91" t="str">
            <v>1999-070 N*</v>
          </cell>
        </row>
        <row r="92">
          <cell r="A92" t="str">
            <v>1999-070 O</v>
          </cell>
          <cell r="B92">
            <v>37196</v>
          </cell>
          <cell r="C92">
            <v>-1.9E-3</v>
          </cell>
          <cell r="D92">
            <v>-1.9E-3</v>
          </cell>
          <cell r="E92">
            <v>-1.9E-3</v>
          </cell>
          <cell r="G92">
            <v>-2.4000000000000002E-3</v>
          </cell>
          <cell r="H92">
            <v>-2.4000000000000002E-3</v>
          </cell>
          <cell r="I92">
            <v>-2.4000000000000002E-3</v>
          </cell>
          <cell r="K92" t="str">
            <v>1999-070 O</v>
          </cell>
        </row>
        <row r="93">
          <cell r="A93" t="str">
            <v>1999-070 P</v>
          </cell>
          <cell r="B93">
            <v>37288</v>
          </cell>
          <cell r="C93">
            <v>0</v>
          </cell>
          <cell r="D93">
            <v>0</v>
          </cell>
          <cell r="E93">
            <v>0</v>
          </cell>
          <cell r="G93">
            <v>-2.4000000000000002E-3</v>
          </cell>
          <cell r="H93">
            <v>-2.4000000000000002E-3</v>
          </cell>
          <cell r="I93">
            <v>-2.4000000000000002E-3</v>
          </cell>
          <cell r="K93" t="str">
            <v>1999-070 P</v>
          </cell>
        </row>
        <row r="94">
          <cell r="A94" t="str">
            <v>2002-00113</v>
          </cell>
          <cell r="B94">
            <v>37377</v>
          </cell>
          <cell r="C94">
            <v>0</v>
          </cell>
          <cell r="D94">
            <v>0</v>
          </cell>
          <cell r="E94">
            <v>0</v>
          </cell>
          <cell r="G94">
            <v>-1.9E-3</v>
          </cell>
          <cell r="H94">
            <v>-1.9E-3</v>
          </cell>
          <cell r="I94">
            <v>-1.9E-3</v>
          </cell>
          <cell r="K94" t="str">
            <v>2002-00113</v>
          </cell>
        </row>
        <row r="95">
          <cell r="A95" t="str">
            <v>2002-00251</v>
          </cell>
          <cell r="B95">
            <v>37469</v>
          </cell>
          <cell r="C95">
            <v>-9.4999999999999998E-3</v>
          </cell>
          <cell r="D95">
            <v>-9.4999999999999998E-3</v>
          </cell>
          <cell r="E95">
            <v>-1.9E-3</v>
          </cell>
          <cell r="G95">
            <v>-1.14E-2</v>
          </cell>
          <cell r="H95">
            <v>-1.14E-2</v>
          </cell>
          <cell r="I95">
            <v>-3.8E-3</v>
          </cell>
          <cell r="K95" t="str">
            <v>2002-00251</v>
          </cell>
        </row>
        <row r="96">
          <cell r="A96" t="str">
            <v>2002-00359</v>
          </cell>
          <cell r="B96">
            <v>37561</v>
          </cell>
          <cell r="C96">
            <v>-0.15740000000000001</v>
          </cell>
          <cell r="D96">
            <v>-0.15740000000000001</v>
          </cell>
          <cell r="E96">
            <v>-3.9099999999999996E-2</v>
          </cell>
          <cell r="G96">
            <v>-0.16690000000000002</v>
          </cell>
          <cell r="H96">
            <v>-0.16690000000000002</v>
          </cell>
          <cell r="I96">
            <v>-4.0999999999999995E-2</v>
          </cell>
          <cell r="K96" t="str">
            <v>2002-00359</v>
          </cell>
        </row>
        <row r="97">
          <cell r="A97" t="str">
            <v>2003-00002</v>
          </cell>
          <cell r="B97">
            <v>37653</v>
          </cell>
          <cell r="C97">
            <v>0</v>
          </cell>
          <cell r="D97">
            <v>0</v>
          </cell>
          <cell r="E97">
            <v>0</v>
          </cell>
          <cell r="G97">
            <v>-0.16690000000000002</v>
          </cell>
          <cell r="H97">
            <v>-0.16690000000000002</v>
          </cell>
          <cell r="I97">
            <v>-4.0999999999999995E-2</v>
          </cell>
          <cell r="K97" t="str">
            <v>2003-00002</v>
          </cell>
        </row>
        <row r="98">
          <cell r="A98" t="str">
            <v>2003-00083</v>
          </cell>
          <cell r="B98">
            <v>37713</v>
          </cell>
          <cell r="C98">
            <v>0</v>
          </cell>
          <cell r="D98">
            <v>0</v>
          </cell>
          <cell r="E98">
            <v>0</v>
          </cell>
          <cell r="G98">
            <v>-0.16690000000000002</v>
          </cell>
          <cell r="H98">
            <v>-0.16690000000000002</v>
          </cell>
          <cell r="I98">
            <v>-4.0999999999999995E-2</v>
          </cell>
          <cell r="K98" t="str">
            <v>2003-00083</v>
          </cell>
        </row>
        <row r="99">
          <cell r="A99" t="str">
            <v>2003-00126</v>
          </cell>
          <cell r="B99">
            <v>37742</v>
          </cell>
          <cell r="C99">
            <v>0</v>
          </cell>
          <cell r="D99">
            <v>0</v>
          </cell>
          <cell r="E99">
            <v>0</v>
          </cell>
          <cell r="G99">
            <v>-0.16690000000000002</v>
          </cell>
          <cell r="H99">
            <v>-0.16690000000000002</v>
          </cell>
          <cell r="I99">
            <v>-4.0999999999999995E-2</v>
          </cell>
          <cell r="K99" t="str">
            <v>2003-00126</v>
          </cell>
        </row>
        <row r="100">
          <cell r="A100" t="str">
            <v>2003-00258</v>
          </cell>
          <cell r="B100">
            <v>37834</v>
          </cell>
          <cell r="C100">
            <v>0</v>
          </cell>
          <cell r="D100">
            <v>0</v>
          </cell>
          <cell r="E100">
            <v>0</v>
          </cell>
          <cell r="G100">
            <v>-0.15740000000000001</v>
          </cell>
          <cell r="H100">
            <v>-0.15740000000000001</v>
          </cell>
          <cell r="I100">
            <v>-3.9099999999999996E-2</v>
          </cell>
          <cell r="K100" t="str">
            <v>2003-00258</v>
          </cell>
        </row>
        <row r="101">
          <cell r="A101" t="str">
            <v>2003-00377</v>
          </cell>
          <cell r="B101">
            <v>37926</v>
          </cell>
          <cell r="C101">
            <v>-5.9999999999999995E-4</v>
          </cell>
          <cell r="D101">
            <v>-5.9999999999999995E-4</v>
          </cell>
          <cell r="E101">
            <v>-5.9999999999999995E-4</v>
          </cell>
          <cell r="G101">
            <v>-5.9999999999999995E-4</v>
          </cell>
          <cell r="H101">
            <v>-5.9999999999999995E-4</v>
          </cell>
          <cell r="I101">
            <v>-5.9999999999999995E-4</v>
          </cell>
          <cell r="K101" t="str">
            <v>2003-00377</v>
          </cell>
        </row>
        <row r="102">
          <cell r="A102" t="str">
            <v>2003-00504</v>
          </cell>
          <cell r="B102">
            <v>38018</v>
          </cell>
          <cell r="C102">
            <v>-5.9999999999999995E-4</v>
          </cell>
          <cell r="D102">
            <v>-5.9999999999999995E-4</v>
          </cell>
          <cell r="E102">
            <v>-5.9999999999999995E-4</v>
          </cell>
          <cell r="G102">
            <v>-5.9999999999999995E-4</v>
          </cell>
          <cell r="H102">
            <v>-5.9999999999999995E-4</v>
          </cell>
          <cell r="I102">
            <v>-5.9999999999999995E-4</v>
          </cell>
          <cell r="K102" t="str">
            <v>2003-00504</v>
          </cell>
        </row>
        <row r="103">
          <cell r="A103" t="str">
            <v>2004-00122</v>
          </cell>
          <cell r="B103">
            <v>38108</v>
          </cell>
          <cell r="C103">
            <v>-5.9999999999999995E-4</v>
          </cell>
          <cell r="D103">
            <v>-5.9999999999999995E-4</v>
          </cell>
          <cell r="E103">
            <v>-5.9999999999999995E-4</v>
          </cell>
          <cell r="G103">
            <v>-5.9999999999999995E-4</v>
          </cell>
          <cell r="H103">
            <v>-5.9999999999999995E-4</v>
          </cell>
          <cell r="I103">
            <v>-5.9999999999999995E-4</v>
          </cell>
          <cell r="K103" t="str">
            <v>2004-00122</v>
          </cell>
        </row>
        <row r="104">
          <cell r="A104" t="str">
            <v>2004-00269</v>
          </cell>
          <cell r="B104">
            <v>38200</v>
          </cell>
          <cell r="C104">
            <v>-4.7999999999999996E-3</v>
          </cell>
          <cell r="D104">
            <v>-4.7999999999999996E-3</v>
          </cell>
          <cell r="E104">
            <v>-4.7999999999999996E-3</v>
          </cell>
          <cell r="G104">
            <v>-5.3999999999999994E-3</v>
          </cell>
          <cell r="H104">
            <v>-5.3999999999999994E-3</v>
          </cell>
          <cell r="I104">
            <v>-5.3999999999999994E-3</v>
          </cell>
          <cell r="K104" t="str">
            <v>2004-00269</v>
          </cell>
        </row>
        <row r="105">
          <cell r="A105" t="str">
            <v>2005-00271</v>
          </cell>
          <cell r="B105">
            <v>38565</v>
          </cell>
          <cell r="C105">
            <v>0</v>
          </cell>
          <cell r="D105">
            <v>0</v>
          </cell>
          <cell r="E105">
            <v>0</v>
          </cell>
          <cell r="G105">
            <v>-4.7999999999999996E-3</v>
          </cell>
          <cell r="H105">
            <v>-4.7999999999999996E-3</v>
          </cell>
          <cell r="I105">
            <v>-4.7999999999999996E-3</v>
          </cell>
          <cell r="K105" t="str">
            <v>2005-00271</v>
          </cell>
        </row>
        <row r="106">
          <cell r="A106" t="str">
            <v>2005-00399</v>
          </cell>
          <cell r="B106">
            <v>38657</v>
          </cell>
          <cell r="C106">
            <v>-1.6999999999999999E-3</v>
          </cell>
          <cell r="D106">
            <v>-1.6999999999999999E-3</v>
          </cell>
          <cell r="E106">
            <v>-1.6999999999999999E-3</v>
          </cell>
          <cell r="G106">
            <v>-1.6999999999999999E-3</v>
          </cell>
          <cell r="H106">
            <v>-1.6999999999999999E-3</v>
          </cell>
          <cell r="I106">
            <v>-1.6999999999999999E-3</v>
          </cell>
          <cell r="K106" t="str">
            <v>2005-00399</v>
          </cell>
        </row>
        <row r="107">
          <cell r="A107" t="str">
            <v>2006-00428</v>
          </cell>
          <cell r="B107">
            <v>39022</v>
          </cell>
          <cell r="C107">
            <v>-5.5399999999999998E-2</v>
          </cell>
          <cell r="D107">
            <v>-5.5399999999999998E-2</v>
          </cell>
          <cell r="E107">
            <v>-5.5399999999999998E-2</v>
          </cell>
          <cell r="G107">
            <v>-5.5399999999999998E-2</v>
          </cell>
          <cell r="H107">
            <v>-5.5399999999999998E-2</v>
          </cell>
          <cell r="I107">
            <v>-5.5399999999999998E-2</v>
          </cell>
          <cell r="K107" t="str">
            <v>2006-00428</v>
          </cell>
        </row>
        <row r="108">
          <cell r="B108">
            <v>54789</v>
          </cell>
        </row>
      </sheetData>
      <sheetData sheetId="49">
        <row r="8">
          <cell r="A8" t="str">
            <v>92-558 J</v>
          </cell>
          <cell r="B8">
            <v>34639</v>
          </cell>
          <cell r="C8">
            <v>-4.9500000000000002E-2</v>
          </cell>
          <cell r="D8">
            <v>-1.5300000000000001E-2</v>
          </cell>
          <cell r="E8">
            <v>-1.5300000000000001E-2</v>
          </cell>
          <cell r="F8">
            <v>-1.5300000000000001E-2</v>
          </cell>
        </row>
        <row r="9">
          <cell r="A9" t="str">
            <v>92-558 K</v>
          </cell>
          <cell r="B9">
            <v>34669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>92-558 L</v>
          </cell>
          <cell r="B10">
            <v>34700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 t="str">
            <v>92-558 M</v>
          </cell>
          <cell r="B11">
            <v>34731</v>
          </cell>
          <cell r="C11">
            <v>-7.9200000000000007E-2</v>
          </cell>
          <cell r="D11">
            <v>-2.4400000000000002E-2</v>
          </cell>
          <cell r="E11">
            <v>0</v>
          </cell>
          <cell r="F11">
            <v>0</v>
          </cell>
        </row>
        <row r="12">
          <cell r="A12" t="str">
            <v>92-558 N</v>
          </cell>
          <cell r="B12">
            <v>34759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92-558 O</v>
          </cell>
          <cell r="B13">
            <v>34790</v>
          </cell>
          <cell r="C13">
            <v>-3.2100000000000004E-2</v>
          </cell>
          <cell r="D13">
            <v>-7.6E-3</v>
          </cell>
          <cell r="E13">
            <v>0</v>
          </cell>
          <cell r="F13">
            <v>0</v>
          </cell>
        </row>
        <row r="14">
          <cell r="A14" t="str">
            <v>92-558 P</v>
          </cell>
          <cell r="B14">
            <v>34820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92-558 Q</v>
          </cell>
          <cell r="B15">
            <v>34851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92-558 R</v>
          </cell>
          <cell r="B16">
            <v>34881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92-558 S</v>
          </cell>
          <cell r="B17">
            <v>34912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95-010 A</v>
          </cell>
          <cell r="B18">
            <v>34943</v>
          </cell>
          <cell r="C18">
            <v>-3.0200000000000001E-2</v>
          </cell>
          <cell r="D18">
            <v>-7.1000000000000004E-3</v>
          </cell>
          <cell r="E18">
            <v>0</v>
          </cell>
          <cell r="F18">
            <v>0</v>
          </cell>
        </row>
        <row r="19">
          <cell r="A19" t="str">
            <v>95-010</v>
          </cell>
          <cell r="B19">
            <v>34999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-0.191</v>
          </cell>
          <cell r="I19">
            <v>-5.4400000000000004E-2</v>
          </cell>
          <cell r="J19">
            <v>-1.5300000000000001E-2</v>
          </cell>
          <cell r="K19">
            <v>-1.5300000000000001E-2</v>
          </cell>
        </row>
        <row r="20">
          <cell r="A20" t="str">
            <v>95-010 B</v>
          </cell>
          <cell r="B20">
            <v>35004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-0.14150000000000001</v>
          </cell>
          <cell r="I20">
            <v>-3.9100000000000003E-2</v>
          </cell>
          <cell r="J20">
            <v>0</v>
          </cell>
          <cell r="K20">
            <v>0</v>
          </cell>
        </row>
        <row r="21">
          <cell r="A21" t="str">
            <v>95-010 C</v>
          </cell>
          <cell r="B21">
            <v>35034</v>
          </cell>
          <cell r="C21">
            <v>-6.9999999999999999E-4</v>
          </cell>
          <cell r="D21">
            <v>-2.0000000000000001E-4</v>
          </cell>
          <cell r="E21">
            <v>0</v>
          </cell>
          <cell r="F21">
            <v>0</v>
          </cell>
          <cell r="H21">
            <v>-0.14220000000000002</v>
          </cell>
          <cell r="I21">
            <v>-3.9300000000000002E-2</v>
          </cell>
          <cell r="J21">
            <v>0</v>
          </cell>
          <cell r="K21">
            <v>0</v>
          </cell>
        </row>
        <row r="22">
          <cell r="A22" t="str">
            <v>95-010 D</v>
          </cell>
          <cell r="B22">
            <v>35065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-0.14220000000000002</v>
          </cell>
          <cell r="I22">
            <v>-3.9300000000000002E-2</v>
          </cell>
          <cell r="J22">
            <v>0</v>
          </cell>
          <cell r="K22">
            <v>0</v>
          </cell>
        </row>
        <row r="23">
          <cell r="A23" t="str">
            <v>95-010 E</v>
          </cell>
          <cell r="B23">
            <v>35096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-6.3000000000000014E-2</v>
          </cell>
          <cell r="I23">
            <v>-1.4900000000000002E-2</v>
          </cell>
          <cell r="J23">
            <v>0</v>
          </cell>
          <cell r="K23">
            <v>0</v>
          </cell>
        </row>
        <row r="24">
          <cell r="A24" t="str">
            <v>95-010 F</v>
          </cell>
          <cell r="B24">
            <v>35125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-6.3000000000000014E-2</v>
          </cell>
          <cell r="I24">
            <v>-1.4900000000000002E-2</v>
          </cell>
          <cell r="J24">
            <v>0</v>
          </cell>
          <cell r="K24">
            <v>0</v>
          </cell>
        </row>
        <row r="25">
          <cell r="A25" t="str">
            <v>95-010 G</v>
          </cell>
          <cell r="B25">
            <v>35156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-3.09E-2</v>
          </cell>
          <cell r="I25">
            <v>-7.3000000000000001E-3</v>
          </cell>
          <cell r="J25">
            <v>0</v>
          </cell>
          <cell r="K25">
            <v>0</v>
          </cell>
        </row>
        <row r="26">
          <cell r="A26" t="str">
            <v>95-010 H</v>
          </cell>
          <cell r="B26">
            <v>35186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H26">
            <v>-3.09E-2</v>
          </cell>
          <cell r="I26">
            <v>-7.3000000000000001E-3</v>
          </cell>
          <cell r="J26">
            <v>0</v>
          </cell>
          <cell r="K26">
            <v>0</v>
          </cell>
        </row>
        <row r="27">
          <cell r="A27" t="str">
            <v>95-010 I</v>
          </cell>
          <cell r="B27">
            <v>35217</v>
          </cell>
          <cell r="C27">
            <v>-6.5000000000000002E-2</v>
          </cell>
          <cell r="D27">
            <v>-1.77E-2</v>
          </cell>
          <cell r="E27">
            <v>0</v>
          </cell>
          <cell r="F27">
            <v>0</v>
          </cell>
          <cell r="H27">
            <v>-9.5899999999999999E-2</v>
          </cell>
          <cell r="I27">
            <v>-2.5000000000000001E-2</v>
          </cell>
          <cell r="J27">
            <v>0</v>
          </cell>
          <cell r="K27">
            <v>0</v>
          </cell>
        </row>
        <row r="28">
          <cell r="A28" t="str">
            <v>95-010 J</v>
          </cell>
          <cell r="B28">
            <v>35247</v>
          </cell>
          <cell r="C28">
            <v>-2.3E-3</v>
          </cell>
          <cell r="D28">
            <v>-5.9999999999999995E-4</v>
          </cell>
          <cell r="E28">
            <v>0</v>
          </cell>
          <cell r="F28">
            <v>0</v>
          </cell>
          <cell r="H28">
            <v>-9.8199999999999996E-2</v>
          </cell>
          <cell r="I28">
            <v>-2.5600000000000001E-2</v>
          </cell>
          <cell r="J28">
            <v>0</v>
          </cell>
          <cell r="K28">
            <v>0</v>
          </cell>
        </row>
        <row r="29">
          <cell r="A29" t="str">
            <v>95-010 K</v>
          </cell>
          <cell r="B29">
            <v>35278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-9.8199999999999996E-2</v>
          </cell>
          <cell r="I29">
            <v>-2.5600000000000001E-2</v>
          </cell>
          <cell r="J29">
            <v>0</v>
          </cell>
          <cell r="K29">
            <v>0</v>
          </cell>
        </row>
        <row r="30">
          <cell r="A30" t="str">
            <v>95-010 L</v>
          </cell>
          <cell r="B30">
            <v>35309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H30">
            <v>-6.8000000000000005E-2</v>
          </cell>
          <cell r="I30">
            <v>-1.8499999999999999E-2</v>
          </cell>
          <cell r="J30">
            <v>0</v>
          </cell>
          <cell r="K30">
            <v>0</v>
          </cell>
        </row>
        <row r="31">
          <cell r="A31" t="str">
            <v>95-010 M</v>
          </cell>
          <cell r="B31">
            <v>35339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-6.8000000000000005E-2</v>
          </cell>
          <cell r="I31">
            <v>-1.8499999999999999E-2</v>
          </cell>
          <cell r="J31">
            <v>0</v>
          </cell>
          <cell r="K31">
            <v>0</v>
          </cell>
        </row>
        <row r="32">
          <cell r="A32" t="str">
            <v>95-010 N</v>
          </cell>
          <cell r="B32">
            <v>35370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-6.8000000000000005E-2</v>
          </cell>
          <cell r="I32">
            <v>-1.8499999999999999E-2</v>
          </cell>
          <cell r="J32">
            <v>0</v>
          </cell>
          <cell r="K32">
            <v>0</v>
          </cell>
        </row>
        <row r="33">
          <cell r="A33" t="str">
            <v>95-010 O</v>
          </cell>
          <cell r="B33">
            <v>35400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H33">
            <v>-6.7299999999999999E-2</v>
          </cell>
          <cell r="I33">
            <v>-1.83E-2</v>
          </cell>
          <cell r="J33">
            <v>0</v>
          </cell>
          <cell r="K33">
            <v>0</v>
          </cell>
        </row>
        <row r="34">
          <cell r="A34" t="str">
            <v>95-010 P</v>
          </cell>
          <cell r="B34">
            <v>35431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-6.7299999999999999E-2</v>
          </cell>
          <cell r="I34">
            <v>-1.83E-2</v>
          </cell>
          <cell r="J34">
            <v>0</v>
          </cell>
          <cell r="K34">
            <v>0</v>
          </cell>
        </row>
        <row r="35">
          <cell r="A35" t="str">
            <v>95-010 Q</v>
          </cell>
          <cell r="B35">
            <v>35462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-6.7299999999999999E-2</v>
          </cell>
          <cell r="I35">
            <v>-1.83E-2</v>
          </cell>
          <cell r="J35">
            <v>0</v>
          </cell>
          <cell r="K35">
            <v>0</v>
          </cell>
        </row>
        <row r="36">
          <cell r="A36" t="str">
            <v>95-010 R</v>
          </cell>
          <cell r="B36">
            <v>35490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-6.7299999999999999E-2</v>
          </cell>
          <cell r="I36">
            <v>-1.83E-2</v>
          </cell>
          <cell r="J36">
            <v>0</v>
          </cell>
          <cell r="K36">
            <v>0</v>
          </cell>
        </row>
        <row r="37">
          <cell r="A37" t="str">
            <v>95-010 S</v>
          </cell>
          <cell r="B37">
            <v>35521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H37">
            <v>-6.7299999999999999E-2</v>
          </cell>
          <cell r="I37">
            <v>-1.83E-2</v>
          </cell>
          <cell r="J37">
            <v>0</v>
          </cell>
          <cell r="K37">
            <v>0</v>
          </cell>
        </row>
        <row r="38">
          <cell r="A38" t="str">
            <v>95-010 T</v>
          </cell>
          <cell r="B38">
            <v>35551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H38">
            <v>-6.7299999999999999E-2</v>
          </cell>
          <cell r="I38">
            <v>-1.83E-2</v>
          </cell>
          <cell r="J38">
            <v>0</v>
          </cell>
          <cell r="K38">
            <v>0</v>
          </cell>
        </row>
        <row r="39">
          <cell r="A39" t="str">
            <v>95-010 U</v>
          </cell>
          <cell r="B39">
            <v>35582</v>
          </cell>
          <cell r="C39">
            <v>-4.8800000000000003E-2</v>
          </cell>
          <cell r="D39">
            <v>-1.35E-2</v>
          </cell>
          <cell r="E39">
            <v>0</v>
          </cell>
          <cell r="F39">
            <v>0</v>
          </cell>
          <cell r="H39">
            <v>-5.1100000000000007E-2</v>
          </cell>
          <cell r="I39">
            <v>-1.41E-2</v>
          </cell>
          <cell r="J39">
            <v>0</v>
          </cell>
          <cell r="K39">
            <v>0</v>
          </cell>
        </row>
        <row r="40">
          <cell r="A40" t="str">
            <v>95-010 V</v>
          </cell>
          <cell r="B40">
            <v>35612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-4.8800000000000003E-2</v>
          </cell>
          <cell r="I40">
            <v>-1.35E-2</v>
          </cell>
          <cell r="J40">
            <v>0</v>
          </cell>
          <cell r="K40">
            <v>0</v>
          </cell>
        </row>
        <row r="41">
          <cell r="A41" t="str">
            <v>95-010 W</v>
          </cell>
          <cell r="B41">
            <v>35643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-4.8800000000000003E-2</v>
          </cell>
          <cell r="I41">
            <v>-1.35E-2</v>
          </cell>
          <cell r="J41">
            <v>0</v>
          </cell>
          <cell r="K41">
            <v>0</v>
          </cell>
        </row>
        <row r="42">
          <cell r="A42" t="str">
            <v>95-010 X</v>
          </cell>
          <cell r="B42">
            <v>35674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-4.8800000000000003E-2</v>
          </cell>
          <cell r="I42">
            <v>-1.35E-2</v>
          </cell>
          <cell r="J42">
            <v>0</v>
          </cell>
          <cell r="K42">
            <v>0</v>
          </cell>
        </row>
        <row r="43">
          <cell r="A43" t="str">
            <v>95-010 Y</v>
          </cell>
          <cell r="B43">
            <v>35704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>
            <v>-4.8800000000000003E-2</v>
          </cell>
          <cell r="I43">
            <v>-1.35E-2</v>
          </cell>
          <cell r="J43">
            <v>0</v>
          </cell>
          <cell r="K43">
            <v>0</v>
          </cell>
        </row>
        <row r="44">
          <cell r="A44" t="str">
            <v>95-010 Z</v>
          </cell>
          <cell r="B44">
            <v>35735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-4.8800000000000003E-2</v>
          </cell>
          <cell r="I44">
            <v>-1.35E-2</v>
          </cell>
          <cell r="J44">
            <v>0</v>
          </cell>
          <cell r="K44">
            <v>0</v>
          </cell>
        </row>
        <row r="45">
          <cell r="A45" t="str">
            <v>95-010 AA</v>
          </cell>
          <cell r="B45">
            <v>35765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-4.8800000000000003E-2</v>
          </cell>
          <cell r="I45">
            <v>-1.35E-2</v>
          </cell>
          <cell r="J45">
            <v>0</v>
          </cell>
          <cell r="K45">
            <v>0</v>
          </cell>
        </row>
        <row r="46">
          <cell r="A46" t="str">
            <v>95-010 BB</v>
          </cell>
          <cell r="B46">
            <v>35796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-4.8800000000000003E-2</v>
          </cell>
          <cell r="I46">
            <v>-1.35E-2</v>
          </cell>
          <cell r="J46">
            <v>0</v>
          </cell>
          <cell r="K46">
            <v>0</v>
          </cell>
        </row>
        <row r="47">
          <cell r="A47" t="str">
            <v>95-010 CC</v>
          </cell>
          <cell r="B47">
            <v>35827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-4.8800000000000003E-2</v>
          </cell>
          <cell r="I47">
            <v>-1.35E-2</v>
          </cell>
          <cell r="J47">
            <v>0</v>
          </cell>
          <cell r="K47">
            <v>0</v>
          </cell>
        </row>
        <row r="48">
          <cell r="A48" t="str">
            <v>95-010 DD</v>
          </cell>
          <cell r="B48">
            <v>35855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-4.8800000000000003E-2</v>
          </cell>
          <cell r="I48">
            <v>-1.35E-2</v>
          </cell>
          <cell r="J48">
            <v>0</v>
          </cell>
          <cell r="K48">
            <v>0</v>
          </cell>
        </row>
        <row r="49">
          <cell r="A49" t="str">
            <v>95-010 EE</v>
          </cell>
          <cell r="B49">
            <v>35886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H49">
            <v>-4.8800000000000003E-2</v>
          </cell>
          <cell r="I49">
            <v>-1.35E-2</v>
          </cell>
          <cell r="J49">
            <v>0</v>
          </cell>
          <cell r="K49">
            <v>0</v>
          </cell>
        </row>
        <row r="50">
          <cell r="A50" t="str">
            <v>95-010 FF</v>
          </cell>
          <cell r="B50">
            <v>35916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H50">
            <v>-4.8800000000000003E-2</v>
          </cell>
          <cell r="I50">
            <v>-1.35E-2</v>
          </cell>
          <cell r="J50">
            <v>0</v>
          </cell>
          <cell r="K50">
            <v>0</v>
          </cell>
        </row>
        <row r="51">
          <cell r="A51" t="str">
            <v>95-010 GG</v>
          </cell>
          <cell r="B51">
            <v>35947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 t="str">
            <v>95-010 HH</v>
          </cell>
          <cell r="B52">
            <v>35977</v>
          </cell>
          <cell r="C52">
            <v>-2.9999999999999996E-3</v>
          </cell>
          <cell r="D52">
            <v>-8.0000000000000004E-4</v>
          </cell>
          <cell r="E52">
            <v>0</v>
          </cell>
          <cell r="F52">
            <v>0</v>
          </cell>
          <cell r="H52">
            <v>-2.9999999999999996E-3</v>
          </cell>
          <cell r="I52">
            <v>-8.0000000000000004E-4</v>
          </cell>
          <cell r="J52">
            <v>0</v>
          </cell>
          <cell r="K52">
            <v>0</v>
          </cell>
        </row>
        <row r="53">
          <cell r="A53" t="str">
            <v>95-010 II</v>
          </cell>
          <cell r="B53">
            <v>36008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H53">
            <v>-2.9999999999999996E-3</v>
          </cell>
          <cell r="I53">
            <v>-8.0000000000000004E-4</v>
          </cell>
          <cell r="J53">
            <v>0</v>
          </cell>
          <cell r="K53">
            <v>0</v>
          </cell>
        </row>
        <row r="54">
          <cell r="A54" t="str">
            <v>95-010 JJ</v>
          </cell>
          <cell r="B54">
            <v>36039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H54">
            <v>-2.9999999999999996E-3</v>
          </cell>
          <cell r="I54">
            <v>-8.0000000000000004E-4</v>
          </cell>
          <cell r="J54">
            <v>0</v>
          </cell>
          <cell r="K54">
            <v>0</v>
          </cell>
        </row>
        <row r="55">
          <cell r="A55" t="str">
            <v>95-010 KK</v>
          </cell>
          <cell r="B55">
            <v>36069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H55">
            <v>-2.9999999999999996E-3</v>
          </cell>
          <cell r="I55">
            <v>-8.0000000000000004E-4</v>
          </cell>
          <cell r="J55">
            <v>0</v>
          </cell>
          <cell r="K55">
            <v>0</v>
          </cell>
        </row>
        <row r="56">
          <cell r="A56" t="str">
            <v>95-010 LL</v>
          </cell>
          <cell r="B56">
            <v>36100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H56">
            <v>-2.9999999999999996E-3</v>
          </cell>
          <cell r="I56">
            <v>-8.0000000000000004E-4</v>
          </cell>
          <cell r="J56">
            <v>0</v>
          </cell>
          <cell r="K56">
            <v>0</v>
          </cell>
        </row>
        <row r="57">
          <cell r="A57" t="str">
            <v>95-010 MM</v>
          </cell>
          <cell r="B57">
            <v>36130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H57">
            <v>-2.9999999999999996E-3</v>
          </cell>
          <cell r="I57">
            <v>-8.0000000000000004E-4</v>
          </cell>
          <cell r="J57">
            <v>0</v>
          </cell>
          <cell r="K57">
            <v>0</v>
          </cell>
        </row>
        <row r="58">
          <cell r="A58" t="str">
            <v>95-010 NN</v>
          </cell>
          <cell r="B58">
            <v>36161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H58">
            <v>-2.9999999999999996E-3</v>
          </cell>
          <cell r="I58">
            <v>-8.0000000000000004E-4</v>
          </cell>
          <cell r="J58">
            <v>0</v>
          </cell>
          <cell r="K58">
            <v>0</v>
          </cell>
        </row>
        <row r="59">
          <cell r="A59" t="str">
            <v>95-010 OO</v>
          </cell>
          <cell r="B59">
            <v>36192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H59">
            <v>-2.9999999999999996E-3</v>
          </cell>
          <cell r="I59">
            <v>-8.0000000000000004E-4</v>
          </cell>
          <cell r="J59">
            <v>0</v>
          </cell>
          <cell r="K59">
            <v>0</v>
          </cell>
        </row>
        <row r="60">
          <cell r="A60" t="str">
            <v>95-010 PP</v>
          </cell>
          <cell r="B60">
            <v>36220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H60">
            <v>-2.9999999999999996E-3</v>
          </cell>
          <cell r="I60">
            <v>-8.0000000000000004E-4</v>
          </cell>
          <cell r="J60">
            <v>0</v>
          </cell>
          <cell r="K60">
            <v>0</v>
          </cell>
        </row>
        <row r="61">
          <cell r="A61" t="str">
            <v>95-010 QQ</v>
          </cell>
          <cell r="B61">
            <v>36251</v>
          </cell>
          <cell r="C61">
            <v>-4.1200000000000001E-2</v>
          </cell>
          <cell r="D61">
            <v>-1.1000000000000001E-2</v>
          </cell>
          <cell r="E61">
            <v>0</v>
          </cell>
          <cell r="F61">
            <v>0</v>
          </cell>
          <cell r="H61">
            <v>-4.4200000000000003E-2</v>
          </cell>
          <cell r="I61">
            <v>-1.1800000000000001E-2</v>
          </cell>
          <cell r="J61">
            <v>0</v>
          </cell>
          <cell r="K61">
            <v>0</v>
          </cell>
        </row>
        <row r="62">
          <cell r="A62" t="str">
            <v>95-010 RR</v>
          </cell>
          <cell r="B62">
            <v>36281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H62">
            <v>-4.4200000000000003E-2</v>
          </cell>
          <cell r="I62">
            <v>-1.1800000000000001E-2</v>
          </cell>
          <cell r="J62">
            <v>0</v>
          </cell>
          <cell r="K62">
            <v>0</v>
          </cell>
        </row>
        <row r="63">
          <cell r="A63" t="str">
            <v>95-010 SS</v>
          </cell>
          <cell r="B63">
            <v>36312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H63">
            <v>-4.4200000000000003E-2</v>
          </cell>
          <cell r="I63">
            <v>-1.1800000000000001E-2</v>
          </cell>
          <cell r="J63">
            <v>0</v>
          </cell>
          <cell r="K63">
            <v>0</v>
          </cell>
        </row>
        <row r="64">
          <cell r="A64" t="str">
            <v>95-010 TT</v>
          </cell>
          <cell r="B64">
            <v>36342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H64">
            <v>-4.1200000000000001E-2</v>
          </cell>
          <cell r="I64">
            <v>-1.1000000000000001E-2</v>
          </cell>
          <cell r="J64">
            <v>0</v>
          </cell>
          <cell r="K64">
            <v>0</v>
          </cell>
        </row>
        <row r="65">
          <cell r="A65" t="str">
            <v>95-010 UU</v>
          </cell>
          <cell r="B65">
            <v>36373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H65">
            <v>-4.1200000000000001E-2</v>
          </cell>
          <cell r="I65">
            <v>-1.1000000000000001E-2</v>
          </cell>
          <cell r="J65">
            <v>0</v>
          </cell>
          <cell r="K65">
            <v>0</v>
          </cell>
        </row>
        <row r="66">
          <cell r="A66" t="str">
            <v>95-010 VV</v>
          </cell>
          <cell r="B66">
            <v>36404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H66">
            <v>-4.1200000000000001E-2</v>
          </cell>
          <cell r="I66">
            <v>-1.1000000000000001E-2</v>
          </cell>
          <cell r="J66">
            <v>0</v>
          </cell>
          <cell r="K66">
            <v>0</v>
          </cell>
        </row>
        <row r="67">
          <cell r="A67" t="str">
            <v>95-010 WW</v>
          </cell>
          <cell r="B67">
            <v>36434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H67">
            <v>-4.1200000000000001E-2</v>
          </cell>
          <cell r="I67">
            <v>-1.1000000000000001E-2</v>
          </cell>
          <cell r="J67">
            <v>0</v>
          </cell>
          <cell r="K67">
            <v>0</v>
          </cell>
        </row>
        <row r="68">
          <cell r="A68" t="str">
            <v>95-010 XX</v>
          </cell>
          <cell r="B68">
            <v>36465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H68">
            <v>-4.1200000000000001E-2</v>
          </cell>
          <cell r="I68">
            <v>-1.1000000000000001E-2</v>
          </cell>
          <cell r="J68">
            <v>0</v>
          </cell>
          <cell r="K68">
            <v>0</v>
          </cell>
        </row>
        <row r="69">
          <cell r="A69" t="str">
            <v>95-010 YY</v>
          </cell>
          <cell r="B69">
            <v>36495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H69">
            <v>-4.1200000000000001E-2</v>
          </cell>
          <cell r="I69">
            <v>-1.1000000000000001E-2</v>
          </cell>
          <cell r="J69">
            <v>0</v>
          </cell>
          <cell r="K69">
            <v>0</v>
          </cell>
        </row>
        <row r="70">
          <cell r="A70" t="str">
            <v>99-070</v>
          </cell>
          <cell r="B70">
            <v>36526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H70">
            <v>-4.1200000000000001E-2</v>
          </cell>
          <cell r="I70">
            <v>-1.1000000000000001E-2</v>
          </cell>
          <cell r="J70">
            <v>0</v>
          </cell>
          <cell r="K70">
            <v>0</v>
          </cell>
        </row>
        <row r="71">
          <cell r="A71" t="str">
            <v>99-070 A</v>
          </cell>
          <cell r="B71">
            <v>36557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H71">
            <v>-4.1200000000000001E-2</v>
          </cell>
          <cell r="I71">
            <v>-1.1000000000000001E-2</v>
          </cell>
          <cell r="J71">
            <v>0</v>
          </cell>
          <cell r="K71">
            <v>0</v>
          </cell>
        </row>
        <row r="72">
          <cell r="A72" t="str">
            <v>99-070 A</v>
          </cell>
          <cell r="B72">
            <v>36586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H72">
            <v>-4.1200000000000001E-2</v>
          </cell>
          <cell r="I72">
            <v>-1.1000000000000001E-2</v>
          </cell>
          <cell r="J72">
            <v>0</v>
          </cell>
          <cell r="K72">
            <v>0</v>
          </cell>
        </row>
        <row r="73">
          <cell r="A73" t="str">
            <v>1999-070 B</v>
          </cell>
          <cell r="B73">
            <v>36617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1999-070 C</v>
          </cell>
          <cell r="B74">
            <v>36647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1999-070 C</v>
          </cell>
          <cell r="B75">
            <v>36678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1999-070 D</v>
          </cell>
          <cell r="B76">
            <v>36708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1999-070 E</v>
          </cell>
          <cell r="B77">
            <v>36739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 t="str">
            <v>1999-070 E</v>
          </cell>
          <cell r="B78">
            <v>36770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1999-070 F</v>
          </cell>
          <cell r="B79">
            <v>36800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 t="str">
            <v>1999-070 G</v>
          </cell>
          <cell r="B80">
            <v>36831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 t="str">
            <v>1999-070 G*</v>
          </cell>
          <cell r="B81">
            <v>36861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 t="str">
            <v>1999-070 G*</v>
          </cell>
          <cell r="B82">
            <v>36892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 t="str">
            <v>1999-070 H</v>
          </cell>
          <cell r="B83">
            <v>36923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1999-070 I</v>
          </cell>
          <cell r="B84">
            <v>36951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 t="str">
            <v>1999-070 J</v>
          </cell>
          <cell r="B85">
            <v>36982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 t="str">
            <v>1999-070 K</v>
          </cell>
          <cell r="B86">
            <v>37012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 t="str">
            <v>1999-070 L</v>
          </cell>
          <cell r="B87">
            <v>37043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 t="str">
            <v>1999-070 M</v>
          </cell>
          <cell r="B88">
            <v>37073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 t="str">
            <v>1999-070 N</v>
          </cell>
          <cell r="B89">
            <v>37104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1999-070 N*</v>
          </cell>
          <cell r="B90">
            <v>37104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1999-070 N*</v>
          </cell>
          <cell r="B91">
            <v>37104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1999-070 O</v>
          </cell>
          <cell r="B92">
            <v>37196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1999-070 P</v>
          </cell>
          <cell r="B93">
            <v>37288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2002-00113</v>
          </cell>
          <cell r="B94">
            <v>37377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2002-00251</v>
          </cell>
          <cell r="B95">
            <v>37469</v>
          </cell>
          <cell r="C95">
            <v>-9.4000000000000004E-3</v>
          </cell>
          <cell r="D95">
            <v>-1.8E-3</v>
          </cell>
          <cell r="E95">
            <v>0</v>
          </cell>
          <cell r="F95">
            <v>0</v>
          </cell>
          <cell r="H95">
            <v>-9.4000000000000004E-3</v>
          </cell>
          <cell r="I95">
            <v>-1.8E-3</v>
          </cell>
          <cell r="J95">
            <v>0</v>
          </cell>
          <cell r="K95">
            <v>0</v>
          </cell>
        </row>
        <row r="96">
          <cell r="A96" t="str">
            <v>2002-00359</v>
          </cell>
          <cell r="B96">
            <v>37561</v>
          </cell>
          <cell r="C96">
            <v>-0.14760000000000001</v>
          </cell>
          <cell r="D96">
            <v>-2.93E-2</v>
          </cell>
          <cell r="E96">
            <v>0</v>
          </cell>
          <cell r="F96">
            <v>0</v>
          </cell>
          <cell r="H96">
            <v>-0.157</v>
          </cell>
          <cell r="I96">
            <v>-3.1099999999999999E-2</v>
          </cell>
          <cell r="J96">
            <v>0</v>
          </cell>
          <cell r="K96">
            <v>0</v>
          </cell>
        </row>
        <row r="97">
          <cell r="A97" t="str">
            <v>2003-00002</v>
          </cell>
          <cell r="B97">
            <v>37653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H97">
            <v>-0.157</v>
          </cell>
          <cell r="I97">
            <v>-3.1099999999999999E-2</v>
          </cell>
          <cell r="J97">
            <v>0</v>
          </cell>
          <cell r="K97">
            <v>0</v>
          </cell>
        </row>
        <row r="98">
          <cell r="A98" t="str">
            <v>2003-00083</v>
          </cell>
          <cell r="B98">
            <v>37713</v>
          </cell>
          <cell r="C98" t="e">
            <v>#REF!</v>
          </cell>
          <cell r="D98" t="e">
            <v>#REF!</v>
          </cell>
          <cell r="E98">
            <v>0</v>
          </cell>
          <cell r="F98">
            <v>0</v>
          </cell>
          <cell r="H98" t="e">
            <v>#REF!</v>
          </cell>
          <cell r="I98" t="e">
            <v>#REF!</v>
          </cell>
          <cell r="J98">
            <v>0</v>
          </cell>
          <cell r="K98">
            <v>0</v>
          </cell>
        </row>
        <row r="99">
          <cell r="A99" t="str">
            <v>2003-00126</v>
          </cell>
          <cell r="B99">
            <v>37742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H99" t="e">
            <v>#REF!</v>
          </cell>
          <cell r="I99" t="e">
            <v>#REF!</v>
          </cell>
          <cell r="J99">
            <v>0</v>
          </cell>
          <cell r="K99">
            <v>0</v>
          </cell>
        </row>
        <row r="100">
          <cell r="A100" t="str">
            <v>2003-00258</v>
          </cell>
          <cell r="B100">
            <v>37834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H100" t="e">
            <v>#REF!</v>
          </cell>
          <cell r="I100" t="e">
            <v>#REF!</v>
          </cell>
          <cell r="J100">
            <v>0</v>
          </cell>
          <cell r="K100">
            <v>0</v>
          </cell>
        </row>
        <row r="101">
          <cell r="A101" t="str">
            <v>2003-00377</v>
          </cell>
          <cell r="B101">
            <v>37926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H101" t="e">
            <v>#REF!</v>
          </cell>
          <cell r="I101" t="e">
            <v>#REF!</v>
          </cell>
          <cell r="J101">
            <v>0</v>
          </cell>
          <cell r="K101">
            <v>0</v>
          </cell>
        </row>
        <row r="102">
          <cell r="A102" t="str">
            <v>2003-00504</v>
          </cell>
          <cell r="B102">
            <v>38018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H102" t="e">
            <v>#REF!</v>
          </cell>
          <cell r="I102" t="e">
            <v>#REF!</v>
          </cell>
          <cell r="J102">
            <v>0</v>
          </cell>
          <cell r="K102">
            <v>0</v>
          </cell>
        </row>
        <row r="103">
          <cell r="A103" t="str">
            <v>2004-00122</v>
          </cell>
          <cell r="B103">
            <v>38108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2004-00269</v>
          </cell>
          <cell r="B104">
            <v>38200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2004-00399</v>
          </cell>
          <cell r="B105">
            <v>2132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2004-00552</v>
          </cell>
          <cell r="B106">
            <v>2224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2006-00428</v>
          </cell>
          <cell r="B107">
            <v>39022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>
            <v>54789</v>
          </cell>
        </row>
      </sheetData>
      <sheetData sheetId="50">
        <row r="8">
          <cell r="A8" t="str">
            <v>95-010 A</v>
          </cell>
          <cell r="B8">
            <v>34999</v>
          </cell>
          <cell r="C8">
            <v>-0.16750000000000001</v>
          </cell>
        </row>
        <row r="9">
          <cell r="A9" t="str">
            <v>95-010 B</v>
          </cell>
          <cell r="B9">
            <v>34999</v>
          </cell>
          <cell r="C9">
            <v>-0.16750000000000001</v>
          </cell>
        </row>
        <row r="10">
          <cell r="A10" t="str">
            <v>95-010 C</v>
          </cell>
          <cell r="B10">
            <v>34999</v>
          </cell>
          <cell r="C10">
            <v>-0.16750000000000001</v>
          </cell>
        </row>
        <row r="11">
          <cell r="A11" t="str">
            <v>95-010 D</v>
          </cell>
          <cell r="B11">
            <v>34999</v>
          </cell>
          <cell r="C11">
            <v>-0.16750000000000001</v>
          </cell>
        </row>
        <row r="12">
          <cell r="A12" t="str">
            <v>95-010 E</v>
          </cell>
          <cell r="B12">
            <v>34999</v>
          </cell>
          <cell r="C12">
            <v>-0.16750000000000001</v>
          </cell>
        </row>
        <row r="13">
          <cell r="A13" t="str">
            <v>95-010 F</v>
          </cell>
          <cell r="B13">
            <v>34999</v>
          </cell>
          <cell r="C13">
            <v>-0.16750000000000001</v>
          </cell>
        </row>
        <row r="14">
          <cell r="A14" t="str">
            <v>95-010 G</v>
          </cell>
          <cell r="B14">
            <v>35156</v>
          </cell>
          <cell r="C14">
            <v>-0.121</v>
          </cell>
        </row>
        <row r="15">
          <cell r="A15" t="str">
            <v>95-010 H</v>
          </cell>
          <cell r="B15">
            <v>35156</v>
          </cell>
          <cell r="C15">
            <v>-0.121</v>
          </cell>
        </row>
        <row r="16">
          <cell r="A16" t="str">
            <v>95-010 I</v>
          </cell>
          <cell r="B16">
            <v>35156</v>
          </cell>
          <cell r="C16">
            <v>-0.121</v>
          </cell>
        </row>
        <row r="17">
          <cell r="A17" t="str">
            <v>95-010 J</v>
          </cell>
          <cell r="B17">
            <v>35156</v>
          </cell>
          <cell r="C17">
            <v>-0.121</v>
          </cell>
        </row>
        <row r="18">
          <cell r="A18" t="str">
            <v>95-010 K</v>
          </cell>
          <cell r="B18">
            <v>35156</v>
          </cell>
          <cell r="C18">
            <v>-0.121</v>
          </cell>
        </row>
        <row r="19">
          <cell r="A19" t="str">
            <v>95-010 L</v>
          </cell>
          <cell r="B19">
            <v>35156</v>
          </cell>
          <cell r="C19">
            <v>-0.121</v>
          </cell>
        </row>
        <row r="20">
          <cell r="A20" t="str">
            <v>95-010 M</v>
          </cell>
          <cell r="B20">
            <v>35339</v>
          </cell>
          <cell r="C20">
            <v>-3.3999999999999998E-3</v>
          </cell>
        </row>
        <row r="21">
          <cell r="A21" t="str">
            <v>95-010 N</v>
          </cell>
          <cell r="B21">
            <v>35339</v>
          </cell>
          <cell r="C21">
            <v>-3.3999999999999998E-3</v>
          </cell>
        </row>
        <row r="22">
          <cell r="A22" t="str">
            <v>95-010 O</v>
          </cell>
          <cell r="B22">
            <v>35339</v>
          </cell>
          <cell r="C22">
            <v>-3.3999999999999998E-3</v>
          </cell>
        </row>
        <row r="23">
          <cell r="A23" t="str">
            <v>95-010 P</v>
          </cell>
          <cell r="B23">
            <v>35339</v>
          </cell>
          <cell r="C23">
            <v>-3.3999999999999998E-3</v>
          </cell>
        </row>
        <row r="24">
          <cell r="A24" t="str">
            <v>95-010 Q</v>
          </cell>
          <cell r="B24">
            <v>35339</v>
          </cell>
          <cell r="C24">
            <v>-3.3999999999999998E-3</v>
          </cell>
        </row>
        <row r="25">
          <cell r="A25" t="str">
            <v>95-010 R</v>
          </cell>
          <cell r="B25">
            <v>35339</v>
          </cell>
          <cell r="C25">
            <v>-3.3999999999999998E-3</v>
          </cell>
        </row>
        <row r="26">
          <cell r="A26" t="str">
            <v>95-010 S</v>
          </cell>
          <cell r="B26">
            <v>35521</v>
          </cell>
          <cell r="C26">
            <v>9.3799999999999994E-2</v>
          </cell>
        </row>
        <row r="27">
          <cell r="A27" t="str">
            <v>95-010 T</v>
          </cell>
          <cell r="B27">
            <v>35521</v>
          </cell>
          <cell r="C27">
            <v>9.3799999999999994E-2</v>
          </cell>
        </row>
        <row r="28">
          <cell r="A28" t="str">
            <v>95-010 U</v>
          </cell>
          <cell r="B28">
            <v>35521</v>
          </cell>
          <cell r="C28">
            <v>9.3799999999999994E-2</v>
          </cell>
        </row>
        <row r="29">
          <cell r="A29" t="str">
            <v>95-010 V</v>
          </cell>
          <cell r="B29">
            <v>35521</v>
          </cell>
          <cell r="C29">
            <v>9.3799999999999994E-2</v>
          </cell>
        </row>
        <row r="30">
          <cell r="A30" t="str">
            <v>95-010 W</v>
          </cell>
          <cell r="B30">
            <v>35521</v>
          </cell>
          <cell r="C30">
            <v>9.3799999999999994E-2</v>
          </cell>
        </row>
        <row r="31">
          <cell r="A31" t="str">
            <v>95-010 X</v>
          </cell>
          <cell r="B31">
            <v>35521</v>
          </cell>
          <cell r="C31">
            <v>9.3799999999999994E-2</v>
          </cell>
        </row>
        <row r="32">
          <cell r="A32" t="str">
            <v>95-010 Y</v>
          </cell>
          <cell r="B32">
            <v>35704</v>
          </cell>
          <cell r="C32">
            <v>0.1211</v>
          </cell>
        </row>
        <row r="33">
          <cell r="A33" t="str">
            <v>95-010 Z</v>
          </cell>
          <cell r="B33">
            <v>35704</v>
          </cell>
          <cell r="C33">
            <v>0.1211</v>
          </cell>
        </row>
        <row r="34">
          <cell r="A34" t="str">
            <v>95-010 AA</v>
          </cell>
          <cell r="B34">
            <v>35704</v>
          </cell>
          <cell r="C34">
            <v>0.1211</v>
          </cell>
        </row>
        <row r="35">
          <cell r="A35" t="str">
            <v>95-010 BB</v>
          </cell>
          <cell r="B35">
            <v>35704</v>
          </cell>
          <cell r="C35">
            <v>0.1211</v>
          </cell>
        </row>
        <row r="36">
          <cell r="A36" t="str">
            <v>95-010 CC</v>
          </cell>
          <cell r="B36">
            <v>35704</v>
          </cell>
          <cell r="C36">
            <v>0.1211</v>
          </cell>
        </row>
        <row r="37">
          <cell r="A37" t="str">
            <v>95-010 DD</v>
          </cell>
          <cell r="B37">
            <v>35704</v>
          </cell>
          <cell r="C37">
            <v>0.1211</v>
          </cell>
        </row>
        <row r="38">
          <cell r="A38" t="str">
            <v>95-010 EE</v>
          </cell>
          <cell r="B38">
            <v>35886</v>
          </cell>
          <cell r="C38">
            <v>-0.1147</v>
          </cell>
        </row>
        <row r="39">
          <cell r="A39" t="str">
            <v>95-010 FF</v>
          </cell>
          <cell r="B39">
            <v>35886</v>
          </cell>
          <cell r="C39">
            <v>-0.1147</v>
          </cell>
        </row>
        <row r="40">
          <cell r="A40" t="str">
            <v>95-010 GG</v>
          </cell>
          <cell r="B40">
            <v>35886</v>
          </cell>
          <cell r="C40">
            <v>-0.1147</v>
          </cell>
        </row>
        <row r="41">
          <cell r="A41" t="str">
            <v>95-010 HH</v>
          </cell>
          <cell r="B41">
            <v>35886</v>
          </cell>
          <cell r="C41">
            <v>-0.1147</v>
          </cell>
        </row>
        <row r="42">
          <cell r="A42" t="str">
            <v>95-010 II</v>
          </cell>
          <cell r="B42">
            <v>35886</v>
          </cell>
          <cell r="C42">
            <v>-0.1147</v>
          </cell>
        </row>
        <row r="43">
          <cell r="A43" t="str">
            <v>95-010 JJ</v>
          </cell>
          <cell r="B43">
            <v>35886</v>
          </cell>
          <cell r="C43">
            <v>-0.1147</v>
          </cell>
        </row>
        <row r="44">
          <cell r="A44" t="str">
            <v>95-010 KK</v>
          </cell>
          <cell r="B44">
            <v>36069</v>
          </cell>
          <cell r="C44">
            <v>-0.311</v>
          </cell>
        </row>
        <row r="45">
          <cell r="A45" t="str">
            <v>95-010 LL</v>
          </cell>
          <cell r="B45">
            <v>36069</v>
          </cell>
          <cell r="C45">
            <v>-0.311</v>
          </cell>
        </row>
        <row r="46">
          <cell r="A46" t="str">
            <v>95-010 MM</v>
          </cell>
          <cell r="B46">
            <v>36069</v>
          </cell>
          <cell r="C46">
            <v>-0.311</v>
          </cell>
        </row>
        <row r="47">
          <cell r="A47" t="str">
            <v>95-010 NN</v>
          </cell>
          <cell r="B47">
            <v>36069</v>
          </cell>
          <cell r="C47">
            <v>-0.311</v>
          </cell>
        </row>
        <row r="48">
          <cell r="A48" t="str">
            <v>95-010 OO</v>
          </cell>
          <cell r="B48">
            <v>36069</v>
          </cell>
          <cell r="C48">
            <v>-0.311</v>
          </cell>
        </row>
        <row r="49">
          <cell r="A49" t="str">
            <v>95-010 PP</v>
          </cell>
          <cell r="B49">
            <v>36069</v>
          </cell>
          <cell r="C49">
            <v>-0.311</v>
          </cell>
        </row>
        <row r="50">
          <cell r="A50" t="str">
            <v>95-010 QQ</v>
          </cell>
          <cell r="B50">
            <v>36251</v>
          </cell>
          <cell r="C50">
            <v>-0.18820000000000001</v>
          </cell>
        </row>
        <row r="51">
          <cell r="A51" t="str">
            <v>95-010 RR</v>
          </cell>
          <cell r="B51">
            <v>36251</v>
          </cell>
          <cell r="C51">
            <v>-0.18820000000000001</v>
          </cell>
        </row>
        <row r="52">
          <cell r="A52" t="str">
            <v>95-010 SS</v>
          </cell>
          <cell r="B52">
            <v>36251</v>
          </cell>
          <cell r="C52">
            <v>-0.18820000000000001</v>
          </cell>
        </row>
        <row r="53">
          <cell r="A53" t="str">
            <v>95-010 TT</v>
          </cell>
          <cell r="B53">
            <v>36251</v>
          </cell>
          <cell r="C53">
            <v>-0.18820000000000001</v>
          </cell>
        </row>
        <row r="54">
          <cell r="A54" t="str">
            <v>95-010 UU</v>
          </cell>
          <cell r="B54">
            <v>36251</v>
          </cell>
          <cell r="C54">
            <v>-0.18820000000000001</v>
          </cell>
        </row>
        <row r="55">
          <cell r="A55" t="str">
            <v>95-010 VV</v>
          </cell>
          <cell r="B55">
            <v>36251</v>
          </cell>
          <cell r="C55">
            <v>-0.18820000000000001</v>
          </cell>
        </row>
        <row r="56">
          <cell r="A56" t="str">
            <v>95-010 WW</v>
          </cell>
          <cell r="B56">
            <v>36434</v>
          </cell>
          <cell r="C56">
            <v>-0.22389999999999999</v>
          </cell>
        </row>
        <row r="57">
          <cell r="A57" t="str">
            <v>95-010 XX</v>
          </cell>
          <cell r="B57">
            <v>36434</v>
          </cell>
          <cell r="C57">
            <v>-0.22389999999999999</v>
          </cell>
        </row>
        <row r="58">
          <cell r="A58" t="str">
            <v>95-010 YY</v>
          </cell>
          <cell r="B58">
            <v>36434</v>
          </cell>
          <cell r="C58">
            <v>-0.22389999999999999</v>
          </cell>
        </row>
        <row r="59">
          <cell r="A59" t="str">
            <v>99-070</v>
          </cell>
          <cell r="B59">
            <v>36434</v>
          </cell>
          <cell r="C59">
            <v>-0.22389999999999999</v>
          </cell>
        </row>
        <row r="60">
          <cell r="A60" t="str">
            <v>99-070 A</v>
          </cell>
          <cell r="B60">
            <v>36434</v>
          </cell>
          <cell r="C60">
            <v>-0.22389999999999999</v>
          </cell>
        </row>
        <row r="61">
          <cell r="A61" t="str">
            <v>1999-070 B</v>
          </cell>
          <cell r="B61">
            <v>36617</v>
          </cell>
          <cell r="C61">
            <v>0</v>
          </cell>
        </row>
        <row r="62">
          <cell r="A62" t="str">
            <v>1999-070 C</v>
          </cell>
          <cell r="B62">
            <v>36647</v>
          </cell>
          <cell r="C62">
            <v>0.25019999999999998</v>
          </cell>
        </row>
        <row r="63">
          <cell r="A63" t="str">
            <v>1999-070 D</v>
          </cell>
          <cell r="B63">
            <v>36647</v>
          </cell>
          <cell r="C63">
            <v>0.25019999999999998</v>
          </cell>
        </row>
        <row r="64">
          <cell r="A64" t="str">
            <v>1999-070 E</v>
          </cell>
          <cell r="B64">
            <v>36647</v>
          </cell>
          <cell r="C64">
            <v>0.25019999999999998</v>
          </cell>
        </row>
        <row r="65">
          <cell r="A65" t="str">
            <v>1999-070 F</v>
          </cell>
          <cell r="B65">
            <v>36647</v>
          </cell>
          <cell r="C65">
            <v>0.25019999999999998</v>
          </cell>
        </row>
        <row r="66">
          <cell r="A66" t="str">
            <v>1999-070 G</v>
          </cell>
          <cell r="B66">
            <v>36831</v>
          </cell>
          <cell r="C66">
            <v>1.1344000000000001</v>
          </cell>
        </row>
        <row r="67">
          <cell r="A67" t="str">
            <v>1999-070 H</v>
          </cell>
          <cell r="B67">
            <v>36831</v>
          </cell>
          <cell r="C67">
            <v>1.1344000000000001</v>
          </cell>
        </row>
        <row r="68">
          <cell r="A68" t="str">
            <v>1999-070 I</v>
          </cell>
          <cell r="B68">
            <v>36831</v>
          </cell>
          <cell r="C68">
            <v>1.1344000000000001</v>
          </cell>
        </row>
        <row r="69">
          <cell r="A69" t="str">
            <v>1999-070 J</v>
          </cell>
          <cell r="B69">
            <v>36831</v>
          </cell>
          <cell r="C69">
            <v>1.1344000000000001</v>
          </cell>
        </row>
        <row r="70">
          <cell r="A70" t="str">
            <v>1999-070 K</v>
          </cell>
          <cell r="B70">
            <v>37012</v>
          </cell>
          <cell r="C70">
            <v>1.4216</v>
          </cell>
        </row>
        <row r="71">
          <cell r="A71" t="str">
            <v>1999-070 L</v>
          </cell>
          <cell r="B71">
            <v>37012</v>
          </cell>
          <cell r="C71">
            <v>1.4216</v>
          </cell>
        </row>
        <row r="72">
          <cell r="A72" t="str">
            <v>1999-070 M</v>
          </cell>
          <cell r="B72">
            <v>37012</v>
          </cell>
          <cell r="C72">
            <v>1.4216</v>
          </cell>
        </row>
        <row r="73">
          <cell r="A73" t="str">
            <v>1999-070 N</v>
          </cell>
          <cell r="B73">
            <v>37012</v>
          </cell>
          <cell r="C73">
            <v>1.4216</v>
          </cell>
        </row>
        <row r="74">
          <cell r="A74" t="str">
            <v>1999-070 O</v>
          </cell>
          <cell r="B74">
            <v>37196</v>
          </cell>
          <cell r="C74">
            <v>0.1522</v>
          </cell>
        </row>
        <row r="75">
          <cell r="A75" t="str">
            <v>1999-070 P</v>
          </cell>
          <cell r="B75">
            <v>37288</v>
          </cell>
          <cell r="C75">
            <v>3.8899999999999997E-2</v>
          </cell>
        </row>
        <row r="76">
          <cell r="A76" t="str">
            <v>2002-00113</v>
          </cell>
          <cell r="B76">
            <v>37377</v>
          </cell>
          <cell r="C76">
            <v>-0.2407</v>
          </cell>
        </row>
        <row r="77">
          <cell r="A77" t="str">
            <v>2002-00251</v>
          </cell>
          <cell r="B77">
            <v>37469</v>
          </cell>
          <cell r="C77">
            <v>-0.2248</v>
          </cell>
        </row>
        <row r="78">
          <cell r="A78" t="str">
            <v>2002-00359</v>
          </cell>
          <cell r="B78">
            <v>37561</v>
          </cell>
          <cell r="C78">
            <v>5.1999999999999998E-3</v>
          </cell>
        </row>
        <row r="79">
          <cell r="A79" t="str">
            <v>2003-00002</v>
          </cell>
          <cell r="B79">
            <v>37653</v>
          </cell>
          <cell r="C79">
            <v>0.1686</v>
          </cell>
        </row>
        <row r="80">
          <cell r="A80" t="str">
            <v>2003-00083</v>
          </cell>
          <cell r="B80">
            <v>37653</v>
          </cell>
          <cell r="C80">
            <v>0.1686</v>
          </cell>
        </row>
        <row r="81">
          <cell r="A81" t="str">
            <v>2003-00126</v>
          </cell>
          <cell r="B81">
            <v>37742</v>
          </cell>
          <cell r="C81">
            <v>0.21640000000000001</v>
          </cell>
        </row>
        <row r="82">
          <cell r="A82" t="str">
            <v>2003-00258</v>
          </cell>
          <cell r="B82">
            <v>37834</v>
          </cell>
          <cell r="C82">
            <v>0.45200000000000001</v>
          </cell>
        </row>
        <row r="83">
          <cell r="A83" t="str">
            <v>2003-00377</v>
          </cell>
          <cell r="B83">
            <v>37926</v>
          </cell>
          <cell r="C83">
            <v>0.54669999999999996</v>
          </cell>
        </row>
        <row r="84">
          <cell r="A84" t="str">
            <v>2003-00504</v>
          </cell>
          <cell r="B84">
            <v>38018</v>
          </cell>
          <cell r="C84">
            <v>0.5554</v>
          </cell>
        </row>
        <row r="85">
          <cell r="A85" t="str">
            <v>2004-00122</v>
          </cell>
          <cell r="B85">
            <v>38108</v>
          </cell>
          <cell r="C85">
            <v>0.14910000000000001</v>
          </cell>
        </row>
        <row r="86">
          <cell r="A86" t="str">
            <v>2004-00269</v>
          </cell>
          <cell r="B86">
            <v>38200</v>
          </cell>
          <cell r="C86">
            <v>0.1148</v>
          </cell>
        </row>
        <row r="87">
          <cell r="A87" t="str">
            <v>2004-00398</v>
          </cell>
          <cell r="B87">
            <v>38292</v>
          </cell>
          <cell r="C87">
            <v>0.2064</v>
          </cell>
        </row>
        <row r="88">
          <cell r="A88" t="str">
            <v>2005-00013</v>
          </cell>
          <cell r="B88">
            <v>38384</v>
          </cell>
          <cell r="C88">
            <v>0.3876</v>
          </cell>
        </row>
        <row r="89">
          <cell r="A89" t="str">
            <v>2005-00139</v>
          </cell>
          <cell r="B89">
            <v>38473</v>
          </cell>
          <cell r="C89">
            <v>0.34960000000000002</v>
          </cell>
        </row>
        <row r="90">
          <cell r="A90" t="str">
            <v>2005-00271</v>
          </cell>
          <cell r="B90">
            <v>38565</v>
          </cell>
          <cell r="C90">
            <v>5.7599999999999998E-2</v>
          </cell>
        </row>
        <row r="91">
          <cell r="A91" t="str">
            <v>2005-00399</v>
          </cell>
          <cell r="B91">
            <v>38657</v>
          </cell>
          <cell r="C91">
            <v>0.40460000000000002</v>
          </cell>
        </row>
        <row r="92">
          <cell r="A92" t="str">
            <v>2005-00552</v>
          </cell>
          <cell r="B92">
            <v>38749</v>
          </cell>
          <cell r="C92">
            <v>0.77170000000000005</v>
          </cell>
        </row>
        <row r="93">
          <cell r="A93" t="str">
            <v>2006-00135</v>
          </cell>
          <cell r="B93">
            <v>2313</v>
          </cell>
          <cell r="C93">
            <v>0.29880000000000001</v>
          </cell>
        </row>
        <row r="94">
          <cell r="A94" t="str">
            <v>2006-00324</v>
          </cell>
          <cell r="B94">
            <v>38930</v>
          </cell>
          <cell r="C94">
            <v>-0.1749</v>
          </cell>
        </row>
        <row r="95">
          <cell r="A95" t="str">
            <v>2006-00428</v>
          </cell>
          <cell r="B95">
            <v>39022</v>
          </cell>
          <cell r="C95">
            <v>-0.30880000000000002</v>
          </cell>
        </row>
        <row r="96">
          <cell r="A96" t="str">
            <v>2006-00000</v>
          </cell>
          <cell r="B96">
            <v>39114</v>
          </cell>
          <cell r="C96">
            <v>5.5100000000000003E-2</v>
          </cell>
        </row>
        <row r="97">
          <cell r="B97">
            <v>54789</v>
          </cell>
        </row>
      </sheetData>
      <sheetData sheetId="51">
        <row r="8">
          <cell r="A8" t="str">
            <v>95-010 OO</v>
          </cell>
          <cell r="B8">
            <v>36192</v>
          </cell>
          <cell r="C8">
            <v>2.47E-2</v>
          </cell>
        </row>
        <row r="9">
          <cell r="A9" t="str">
            <v>95-010 PP</v>
          </cell>
          <cell r="B9">
            <v>36192</v>
          </cell>
          <cell r="C9">
            <v>2.47E-2</v>
          </cell>
        </row>
        <row r="10">
          <cell r="A10" t="str">
            <v>95-010 QQ</v>
          </cell>
          <cell r="B10">
            <v>36192</v>
          </cell>
          <cell r="C10">
            <v>2.47E-2</v>
          </cell>
        </row>
        <row r="11">
          <cell r="A11" t="str">
            <v>95-010 RR</v>
          </cell>
          <cell r="B11">
            <v>36192</v>
          </cell>
          <cell r="C11">
            <v>2.47E-2</v>
          </cell>
        </row>
        <row r="12">
          <cell r="A12" t="str">
            <v>95-010 SS</v>
          </cell>
          <cell r="B12">
            <v>36192</v>
          </cell>
          <cell r="C12">
            <v>2.47E-2</v>
          </cell>
        </row>
        <row r="13">
          <cell r="A13" t="str">
            <v>95-010 TT</v>
          </cell>
          <cell r="B13">
            <v>36192</v>
          </cell>
          <cell r="C13">
            <v>2.47E-2</v>
          </cell>
        </row>
        <row r="14">
          <cell r="A14" t="str">
            <v>95-010 UU</v>
          </cell>
          <cell r="B14">
            <v>36192</v>
          </cell>
          <cell r="C14">
            <v>2.47E-2</v>
          </cell>
        </row>
        <row r="15">
          <cell r="A15" t="str">
            <v>95-010 VV</v>
          </cell>
          <cell r="B15">
            <v>36192</v>
          </cell>
          <cell r="C15">
            <v>2.47E-2</v>
          </cell>
        </row>
        <row r="16">
          <cell r="A16" t="str">
            <v>95-010 WW</v>
          </cell>
          <cell r="B16">
            <v>36192</v>
          </cell>
          <cell r="C16">
            <v>2.47E-2</v>
          </cell>
        </row>
        <row r="17">
          <cell r="A17" t="str">
            <v>95-010 XX</v>
          </cell>
          <cell r="B17">
            <v>36192</v>
          </cell>
          <cell r="C17">
            <v>2.47E-2</v>
          </cell>
        </row>
        <row r="18">
          <cell r="A18" t="str">
            <v>95-010 YY</v>
          </cell>
          <cell r="B18">
            <v>36192</v>
          </cell>
          <cell r="C18">
            <v>2.47E-2</v>
          </cell>
        </row>
        <row r="19">
          <cell r="A19" t="str">
            <v>99-070</v>
          </cell>
          <cell r="B19">
            <v>36192</v>
          </cell>
          <cell r="C19">
            <v>2.47E-2</v>
          </cell>
        </row>
        <row r="20">
          <cell r="A20" t="str">
            <v>99-070 A</v>
          </cell>
          <cell r="B20">
            <v>36557</v>
          </cell>
          <cell r="C20">
            <v>9.3399999999999997E-2</v>
          </cell>
        </row>
        <row r="21">
          <cell r="A21" t="str">
            <v>1999-070 B</v>
          </cell>
          <cell r="B21">
            <v>36557</v>
          </cell>
          <cell r="C21">
            <v>9.3399999999999997E-2</v>
          </cell>
        </row>
        <row r="22">
          <cell r="A22" t="str">
            <v>1999-070 C</v>
          </cell>
          <cell r="B22">
            <v>36557</v>
          </cell>
          <cell r="C22">
            <v>9.3399999999999997E-2</v>
          </cell>
        </row>
        <row r="23">
          <cell r="A23" t="str">
            <v>1999-070 D</v>
          </cell>
          <cell r="B23">
            <v>36557</v>
          </cell>
          <cell r="C23">
            <v>9.3399999999999997E-2</v>
          </cell>
        </row>
        <row r="24">
          <cell r="A24" t="str">
            <v>1999-070 E</v>
          </cell>
          <cell r="B24">
            <v>36557</v>
          </cell>
          <cell r="C24">
            <v>9.3399999999999997E-2</v>
          </cell>
        </row>
        <row r="25">
          <cell r="A25" t="str">
            <v>1999-070 F</v>
          </cell>
          <cell r="B25">
            <v>36557</v>
          </cell>
          <cell r="C25">
            <v>9.3399999999999997E-2</v>
          </cell>
        </row>
        <row r="26">
          <cell r="A26" t="str">
            <v>1999-070 G</v>
          </cell>
          <cell r="B26">
            <v>36557</v>
          </cell>
          <cell r="C26">
            <v>9.3399999999999997E-2</v>
          </cell>
        </row>
        <row r="27">
          <cell r="A27" t="str">
            <v>1999-070 H</v>
          </cell>
          <cell r="B27">
            <v>36923</v>
          </cell>
          <cell r="C27">
            <v>6.0199999999999997E-2</v>
          </cell>
        </row>
        <row r="28">
          <cell r="A28" t="str">
            <v>1999-070 I</v>
          </cell>
          <cell r="B28">
            <v>36923</v>
          </cell>
          <cell r="C28">
            <v>6.0199999999999997E-2</v>
          </cell>
        </row>
        <row r="29">
          <cell r="A29" t="str">
            <v>1999-070 J</v>
          </cell>
          <cell r="B29">
            <v>36923</v>
          </cell>
          <cell r="C29">
            <v>6.0199999999999997E-2</v>
          </cell>
        </row>
        <row r="30">
          <cell r="A30" t="str">
            <v>1999-070 K</v>
          </cell>
          <cell r="B30">
            <v>36923</v>
          </cell>
          <cell r="C30">
            <v>6.0199999999999997E-2</v>
          </cell>
        </row>
        <row r="31">
          <cell r="A31" t="str">
            <v>1999-070 L</v>
          </cell>
          <cell r="B31">
            <v>36923</v>
          </cell>
          <cell r="C31">
            <v>6.0199999999999997E-2</v>
          </cell>
        </row>
        <row r="32">
          <cell r="A32" t="str">
            <v>1999-070 M</v>
          </cell>
          <cell r="B32">
            <v>36923</v>
          </cell>
          <cell r="C32">
            <v>6.0199999999999997E-2</v>
          </cell>
        </row>
        <row r="33">
          <cell r="A33" t="str">
            <v>1999-070 N</v>
          </cell>
          <cell r="B33">
            <v>36923</v>
          </cell>
          <cell r="C33">
            <v>6.0199999999999997E-2</v>
          </cell>
        </row>
        <row r="34">
          <cell r="A34" t="str">
            <v>1999-070 O</v>
          </cell>
          <cell r="B34">
            <v>36923</v>
          </cell>
          <cell r="C34">
            <v>6.0199999999999997E-2</v>
          </cell>
        </row>
        <row r="35">
          <cell r="A35" t="str">
            <v>1999-070 P</v>
          </cell>
          <cell r="B35">
            <v>37288</v>
          </cell>
          <cell r="C35">
            <v>2.3699999999999999E-2</v>
          </cell>
        </row>
        <row r="36">
          <cell r="A36" t="str">
            <v>2002-00113</v>
          </cell>
          <cell r="B36">
            <v>37377</v>
          </cell>
          <cell r="C36">
            <v>2.3699999999999999E-2</v>
          </cell>
        </row>
        <row r="37">
          <cell r="A37" t="str">
            <v>2002-00251</v>
          </cell>
          <cell r="B37">
            <v>37469</v>
          </cell>
          <cell r="C37">
            <v>2.3699999999999999E-2</v>
          </cell>
        </row>
        <row r="38">
          <cell r="A38" t="str">
            <v>2002-00359</v>
          </cell>
          <cell r="B38">
            <v>37561</v>
          </cell>
          <cell r="C38">
            <v>2.3699999999999999E-2</v>
          </cell>
        </row>
        <row r="39">
          <cell r="A39" t="str">
            <v>2003-00002</v>
          </cell>
          <cell r="B39">
            <v>37653</v>
          </cell>
          <cell r="C39">
            <v>7.4700000000000003E-2</v>
          </cell>
        </row>
        <row r="40">
          <cell r="A40" t="str">
            <v>2003-00083</v>
          </cell>
          <cell r="B40">
            <v>37713</v>
          </cell>
          <cell r="C40">
            <v>7.4700000000000003E-2</v>
          </cell>
        </row>
        <row r="41">
          <cell r="A41" t="str">
            <v>2003-00126</v>
          </cell>
          <cell r="B41">
            <v>37742</v>
          </cell>
          <cell r="C41">
            <v>7.4700000000000003E-2</v>
          </cell>
        </row>
        <row r="42">
          <cell r="A42" t="str">
            <v>2003-00258</v>
          </cell>
          <cell r="B42">
            <v>37834</v>
          </cell>
          <cell r="C42">
            <v>7.4700000000000003E-2</v>
          </cell>
        </row>
        <row r="43">
          <cell r="A43" t="str">
            <v>2003-00377</v>
          </cell>
          <cell r="B43">
            <v>37926</v>
          </cell>
          <cell r="C43">
            <v>7.4700000000000003E-2</v>
          </cell>
        </row>
        <row r="44">
          <cell r="A44" t="str">
            <v>2003-00504</v>
          </cell>
          <cell r="B44">
            <v>38018</v>
          </cell>
          <cell r="C44">
            <v>6.1199999999999997E-2</v>
          </cell>
        </row>
        <row r="45">
          <cell r="A45" t="str">
            <v>2004-00122</v>
          </cell>
          <cell r="B45">
            <v>38108</v>
          </cell>
          <cell r="C45">
            <v>6.1199999999999997E-2</v>
          </cell>
        </row>
        <row r="46">
          <cell r="A46" t="str">
            <v>2004-00269</v>
          </cell>
          <cell r="B46">
            <v>38200</v>
          </cell>
          <cell r="C46">
            <v>6.1199999999999997E-2</v>
          </cell>
        </row>
        <row r="47">
          <cell r="A47" t="str">
            <v>2004-00398</v>
          </cell>
          <cell r="B47">
            <v>38292</v>
          </cell>
          <cell r="C47">
            <v>6.1199999999999997E-2</v>
          </cell>
        </row>
        <row r="48">
          <cell r="A48" t="str">
            <v>2005-00013</v>
          </cell>
          <cell r="B48">
            <v>38384</v>
          </cell>
          <cell r="C48">
            <v>4.48E-2</v>
          </cell>
        </row>
        <row r="49">
          <cell r="A49" t="str">
            <v>2005-00139</v>
          </cell>
          <cell r="B49">
            <v>38473</v>
          </cell>
          <cell r="C49">
            <v>4.48E-2</v>
          </cell>
        </row>
        <row r="50">
          <cell r="A50" t="str">
            <v>2005-00399</v>
          </cell>
          <cell r="B50">
            <v>38565</v>
          </cell>
          <cell r="C50">
            <v>4.48E-2</v>
          </cell>
        </row>
        <row r="51">
          <cell r="A51" t="str">
            <v>2005-00552</v>
          </cell>
          <cell r="B51">
            <v>38749</v>
          </cell>
          <cell r="C51">
            <v>3.9899999999999998E-2</v>
          </cell>
        </row>
        <row r="52">
          <cell r="B52">
            <v>54789</v>
          </cell>
        </row>
      </sheetData>
      <sheetData sheetId="52"/>
      <sheetData sheetId="53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5.0999999999999996</v>
          </cell>
          <cell r="E9">
            <v>13.6</v>
          </cell>
          <cell r="G9">
            <v>300</v>
          </cell>
          <cell r="H9">
            <v>4.4438000000000004</v>
          </cell>
          <cell r="I9">
            <v>14700</v>
          </cell>
          <cell r="J9">
            <v>3.9916</v>
          </cell>
          <cell r="K9">
            <v>15000</v>
          </cell>
          <cell r="L9">
            <v>3.8416000000000001</v>
          </cell>
          <cell r="N9">
            <v>3.4331</v>
          </cell>
        </row>
        <row r="10">
          <cell r="A10" t="str">
            <v>95-010+</v>
          </cell>
          <cell r="B10">
            <v>35125</v>
          </cell>
          <cell r="C10" t="str">
            <v>General Firm Sales</v>
          </cell>
          <cell r="D10">
            <v>5.0999999999999996</v>
          </cell>
          <cell r="E10">
            <v>13.6</v>
          </cell>
          <cell r="G10">
            <v>300</v>
          </cell>
          <cell r="H10">
            <v>4.4946000000000002</v>
          </cell>
          <cell r="I10">
            <v>14700</v>
          </cell>
          <cell r="J10">
            <v>3.9916</v>
          </cell>
          <cell r="K10">
            <v>15000</v>
          </cell>
          <cell r="L10">
            <v>3.8416000000000001</v>
          </cell>
          <cell r="N10">
            <v>3.4331</v>
          </cell>
        </row>
        <row r="11">
          <cell r="A11" t="str">
            <v>99-070</v>
          </cell>
          <cell r="B11">
            <v>36516</v>
          </cell>
          <cell r="C11" t="str">
            <v>General Firm Sales</v>
          </cell>
          <cell r="D11">
            <v>7.5</v>
          </cell>
          <cell r="E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  <cell r="N11">
            <v>0</v>
          </cell>
        </row>
        <row r="12">
          <cell r="B12">
            <v>43831</v>
          </cell>
        </row>
      </sheetData>
      <sheetData sheetId="54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Sales+HLF</v>
          </cell>
          <cell r="D9">
            <v>5.0999999999999996</v>
          </cell>
          <cell r="E9">
            <v>13.6</v>
          </cell>
          <cell r="G9">
            <v>300</v>
          </cell>
          <cell r="H9">
            <v>4.4438000000000004</v>
          </cell>
          <cell r="I9">
            <v>14700</v>
          </cell>
          <cell r="J9">
            <v>3.9916</v>
          </cell>
          <cell r="K9">
            <v>15000</v>
          </cell>
          <cell r="L9">
            <v>3.8416000000000001</v>
          </cell>
          <cell r="N9">
            <v>3.4331</v>
          </cell>
        </row>
        <row r="10">
          <cell r="A10" t="str">
            <v>95-010+</v>
          </cell>
          <cell r="B10">
            <v>35125</v>
          </cell>
          <cell r="C10" t="str">
            <v>General Firm Sales+HLF</v>
          </cell>
          <cell r="D10">
            <v>5.0999999999999996</v>
          </cell>
          <cell r="E10">
            <v>13.6</v>
          </cell>
          <cell r="G10">
            <v>300</v>
          </cell>
          <cell r="H10">
            <v>4.4946000000000002</v>
          </cell>
          <cell r="I10">
            <v>14700</v>
          </cell>
          <cell r="J10">
            <v>3.9916</v>
          </cell>
          <cell r="K10">
            <v>15000</v>
          </cell>
          <cell r="L10">
            <v>3.8416000000000001</v>
          </cell>
          <cell r="N10">
            <v>3.4331</v>
          </cell>
        </row>
        <row r="11">
          <cell r="A11" t="str">
            <v>99-070</v>
          </cell>
          <cell r="B11">
            <v>36516</v>
          </cell>
          <cell r="C11" t="str">
            <v>General Firm Sales+HLF</v>
          </cell>
          <cell r="D11">
            <v>7.5</v>
          </cell>
          <cell r="E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  <cell r="N11">
            <v>0</v>
          </cell>
        </row>
        <row r="12">
          <cell r="B12">
            <v>43831</v>
          </cell>
        </row>
      </sheetData>
      <sheetData sheetId="55">
        <row r="9">
          <cell r="B9">
            <v>35004</v>
          </cell>
          <cell r="C9" t="str">
            <v>Large Volume Sales (HP)</v>
          </cell>
          <cell r="D9">
            <v>13.6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B10">
            <v>35125</v>
          </cell>
          <cell r="C10" t="str">
            <v>Large Volume Sales (HP)</v>
          </cell>
          <cell r="D10">
            <v>13.6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B11">
            <v>36516</v>
          </cell>
          <cell r="C11" t="str">
            <v>Large Volume Sales (HP)</v>
          </cell>
          <cell r="D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56"/>
      <sheetData sheetId="57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Interruptible Sales</v>
          </cell>
          <cell r="D9" t="str">
            <v>NA</v>
          </cell>
          <cell r="E9">
            <v>150</v>
          </cell>
          <cell r="G9">
            <v>15000</v>
          </cell>
          <cell r="H9">
            <v>3.1448999999999998</v>
          </cell>
          <cell r="K9">
            <v>15000</v>
          </cell>
          <cell r="L9">
            <v>2.9948999999999999</v>
          </cell>
          <cell r="N9">
            <v>2.6513</v>
          </cell>
        </row>
        <row r="10">
          <cell r="A10" t="str">
            <v>99-070</v>
          </cell>
          <cell r="B10">
            <v>36516</v>
          </cell>
          <cell r="C10" t="str">
            <v>Interruptible Sales</v>
          </cell>
          <cell r="D10" t="str">
            <v>NA</v>
          </cell>
          <cell r="E10">
            <v>220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  <cell r="N10">
            <v>0</v>
          </cell>
        </row>
        <row r="11">
          <cell r="B11">
            <v>43831</v>
          </cell>
        </row>
      </sheetData>
      <sheetData sheetId="58">
        <row r="9">
          <cell r="B9">
            <v>35004</v>
          </cell>
          <cell r="C9" t="str">
            <v>Large Volume Sales</v>
          </cell>
          <cell r="E9">
            <v>150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B10">
            <v>36516</v>
          </cell>
          <cell r="C10" t="str">
            <v>Large Volume Sales</v>
          </cell>
          <cell r="E10">
            <v>220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B11">
            <v>43831</v>
          </cell>
        </row>
      </sheetData>
      <sheetData sheetId="59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Adm. Fee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Transportation</v>
          </cell>
          <cell r="D9">
            <v>13.6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Transportation</v>
          </cell>
          <cell r="D10">
            <v>13.6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Transportation</v>
          </cell>
          <cell r="D11">
            <v>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0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Adm. Fee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Transportation+HLF</v>
          </cell>
          <cell r="D9">
            <v>13.6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Transportation+HLF</v>
          </cell>
          <cell r="D10">
            <v>13.6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Transportation+HLF</v>
          </cell>
          <cell r="D11">
            <v>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1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Carriage Service</v>
          </cell>
          <cell r="D9">
            <v>150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Carriage Service</v>
          </cell>
          <cell r="D10">
            <v>150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Carriage Service</v>
          </cell>
          <cell r="D11">
            <v>220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2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150</v>
          </cell>
          <cell r="E9">
            <v>45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A10" t="str">
            <v>99-070</v>
          </cell>
          <cell r="B10">
            <v>36516</v>
          </cell>
          <cell r="C10" t="str">
            <v>General Firm Sales</v>
          </cell>
          <cell r="D10">
            <v>220</v>
          </cell>
          <cell r="E10">
            <v>50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B11">
            <v>43831</v>
          </cell>
        </row>
      </sheetData>
      <sheetData sheetId="63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150</v>
          </cell>
          <cell r="E9">
            <v>45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A10" t="str">
            <v>99-070</v>
          </cell>
          <cell r="B10">
            <v>36516</v>
          </cell>
          <cell r="C10" t="str">
            <v>General Firm Sales</v>
          </cell>
          <cell r="D10">
            <v>220</v>
          </cell>
          <cell r="E10">
            <v>50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A11" t="str">
            <v>99-070+</v>
          </cell>
          <cell r="B11">
            <v>36516</v>
          </cell>
          <cell r="C11" t="str">
            <v>General Firm Sales</v>
          </cell>
          <cell r="D11">
            <v>220</v>
          </cell>
          <cell r="E11">
            <v>50</v>
          </cell>
          <cell r="G11">
            <v>15000</v>
          </cell>
          <cell r="H11">
            <v>0.53</v>
          </cell>
          <cell r="K11">
            <v>15000</v>
          </cell>
          <cell r="L11">
            <v>0.35909999999999997</v>
          </cell>
        </row>
        <row r="12">
          <cell r="B12">
            <v>43831</v>
          </cell>
        </row>
      </sheetData>
      <sheetData sheetId="64"/>
      <sheetData sheetId="65">
        <row r="8">
          <cell r="A8" t="str">
            <v>Effective</v>
          </cell>
          <cell r="B8" t="str">
            <v>Base</v>
          </cell>
          <cell r="C8" t="str">
            <v>Surcharge</v>
          </cell>
          <cell r="D8" t="str">
            <v>TCA Adj</v>
          </cell>
          <cell r="E8" t="str">
            <v>TCA Surc</v>
          </cell>
          <cell r="F8" t="str">
            <v>ISS CR Adj</v>
          </cell>
          <cell r="G8" t="str">
            <v>Rev Cr Adj</v>
          </cell>
          <cell r="H8" t="str">
            <v>GRI</v>
          </cell>
          <cell r="I8" t="str">
            <v>Total</v>
          </cell>
          <cell r="K8" t="str">
            <v>Base</v>
          </cell>
          <cell r="L8" t="str">
            <v>Surcharge</v>
          </cell>
          <cell r="M8" t="str">
            <v>TCA Adj</v>
          </cell>
          <cell r="N8" t="str">
            <v>TCA Surc</v>
          </cell>
          <cell r="O8" t="str">
            <v>ISS CR Adj</v>
          </cell>
          <cell r="P8" t="str">
            <v>Rev Cr Adj</v>
          </cell>
          <cell r="Q8" t="str">
            <v>GRI</v>
          </cell>
          <cell r="R8" t="str">
            <v>Total</v>
          </cell>
          <cell r="T8" t="str">
            <v>Base</v>
          </cell>
          <cell r="U8" t="str">
            <v>Surcharge</v>
          </cell>
          <cell r="V8" t="str">
            <v>TCA Adj</v>
          </cell>
          <cell r="W8" t="str">
            <v>TCA Surc</v>
          </cell>
          <cell r="X8" t="str">
            <v>ISS CR Adj</v>
          </cell>
          <cell r="Y8" t="str">
            <v>Rev Cr Adj</v>
          </cell>
          <cell r="Z8" t="str">
            <v>GRI</v>
          </cell>
          <cell r="AA8" t="str">
            <v>Total</v>
          </cell>
        </row>
        <row r="9">
          <cell r="A9">
            <v>34973</v>
          </cell>
          <cell r="B9">
            <v>0.42220000000000002</v>
          </cell>
          <cell r="C9">
            <v>2.46E-2</v>
          </cell>
          <cell r="H9">
            <v>7.2000000000000007E-3</v>
          </cell>
          <cell r="I9">
            <v>0.45400000000000001</v>
          </cell>
          <cell r="K9">
            <v>0.44259999999999999</v>
          </cell>
          <cell r="L9">
            <v>2.46E-2</v>
          </cell>
          <cell r="Q9">
            <v>7.2000000000000007E-3</v>
          </cell>
          <cell r="R9">
            <v>0.47439999999999999</v>
          </cell>
          <cell r="T9">
            <v>0.49609999999999999</v>
          </cell>
          <cell r="U9">
            <v>2.46E-2</v>
          </cell>
          <cell r="Z9">
            <v>7.2000000000000007E-3</v>
          </cell>
          <cell r="AA9">
            <v>0.52789999999999992</v>
          </cell>
        </row>
        <row r="10">
          <cell r="A10">
            <v>35065</v>
          </cell>
          <cell r="B10">
            <v>0.42220000000000002</v>
          </cell>
          <cell r="C10">
            <v>1.7500000000000002E-2</v>
          </cell>
          <cell r="H10">
            <v>8.5000000000000006E-3</v>
          </cell>
          <cell r="I10">
            <v>0.44820000000000004</v>
          </cell>
          <cell r="K10">
            <v>0.44259999999999999</v>
          </cell>
          <cell r="L10">
            <v>1.7500000000000002E-2</v>
          </cell>
          <cell r="Q10">
            <v>8.5000000000000006E-3</v>
          </cell>
          <cell r="R10">
            <v>0.46860000000000002</v>
          </cell>
          <cell r="T10">
            <v>0.49609999999999999</v>
          </cell>
          <cell r="U10">
            <v>1.7500000000000002E-2</v>
          </cell>
          <cell r="Z10">
            <v>8.5000000000000006E-3</v>
          </cell>
          <cell r="AA10">
            <v>0.5220999999999999</v>
          </cell>
        </row>
        <row r="11">
          <cell r="A11">
            <v>35096</v>
          </cell>
          <cell r="B11">
            <v>0.35980000000000001</v>
          </cell>
          <cell r="C11">
            <v>1.7500000000000002E-2</v>
          </cell>
          <cell r="H11">
            <v>8.5000000000000006E-3</v>
          </cell>
          <cell r="I11">
            <v>0.38580000000000003</v>
          </cell>
          <cell r="K11">
            <v>0.3795</v>
          </cell>
          <cell r="L11">
            <v>1.7500000000000002E-2</v>
          </cell>
          <cell r="Q11">
            <v>8.5000000000000006E-3</v>
          </cell>
          <cell r="R11">
            <v>0.40550000000000003</v>
          </cell>
          <cell r="T11">
            <v>0.43209999999999998</v>
          </cell>
          <cell r="U11">
            <v>1.7500000000000002E-2</v>
          </cell>
          <cell r="Z11">
            <v>8.5000000000000006E-3</v>
          </cell>
          <cell r="AA11">
            <v>0.45810000000000001</v>
          </cell>
        </row>
        <row r="12">
          <cell r="A12">
            <v>35125</v>
          </cell>
          <cell r="B12">
            <v>0.34699999999999998</v>
          </cell>
          <cell r="C12">
            <v>1.7500000000000002E-2</v>
          </cell>
          <cell r="H12">
            <v>8.5000000000000006E-3</v>
          </cell>
          <cell r="I12">
            <v>0.373</v>
          </cell>
          <cell r="K12">
            <v>0.36670000000000003</v>
          </cell>
          <cell r="L12">
            <v>1.7500000000000002E-2</v>
          </cell>
          <cell r="Q12">
            <v>8.5000000000000006E-3</v>
          </cell>
          <cell r="R12">
            <v>0.39270000000000005</v>
          </cell>
          <cell r="T12">
            <v>0.41930000000000001</v>
          </cell>
          <cell r="U12">
            <v>1.7500000000000002E-2</v>
          </cell>
          <cell r="Z12">
            <v>8.5000000000000006E-3</v>
          </cell>
          <cell r="AA12">
            <v>0.44530000000000003</v>
          </cell>
        </row>
        <row r="13">
          <cell r="A13">
            <v>35247</v>
          </cell>
          <cell r="B13">
            <v>0.3599</v>
          </cell>
          <cell r="C13">
            <v>1.7500000000000002E-2</v>
          </cell>
          <cell r="D13">
            <v>-1.4999999999999999E-2</v>
          </cell>
          <cell r="E13">
            <v>2.2000000000000001E-3</v>
          </cell>
          <cell r="F13">
            <v>-1E-4</v>
          </cell>
          <cell r="G13">
            <v>-1.1999999999999999E-3</v>
          </cell>
          <cell r="H13">
            <v>8.5000000000000006E-3</v>
          </cell>
          <cell r="I13">
            <v>0.37180000000000002</v>
          </cell>
          <cell r="K13">
            <v>0.37959999999999999</v>
          </cell>
          <cell r="L13">
            <v>1.7500000000000002E-2</v>
          </cell>
          <cell r="M13">
            <v>-1.4999999999999999E-2</v>
          </cell>
          <cell r="N13">
            <v>2.2000000000000001E-3</v>
          </cell>
          <cell r="O13">
            <v>-1E-4</v>
          </cell>
          <cell r="P13">
            <v>-1.1999999999999999E-3</v>
          </cell>
          <cell r="Q13">
            <v>8.5000000000000006E-3</v>
          </cell>
          <cell r="R13">
            <v>0.39150000000000001</v>
          </cell>
          <cell r="T13">
            <v>0.43219999999999997</v>
          </cell>
          <cell r="U13">
            <v>1.7500000000000002E-2</v>
          </cell>
          <cell r="V13">
            <v>-1.4999999999999999E-2</v>
          </cell>
          <cell r="W13">
            <v>2.2000000000000001E-3</v>
          </cell>
          <cell r="X13">
            <v>-1E-4</v>
          </cell>
          <cell r="Y13">
            <v>-1.1999999999999999E-3</v>
          </cell>
          <cell r="Z13">
            <v>8.5000000000000006E-3</v>
          </cell>
          <cell r="AA13">
            <v>0.44409999999999999</v>
          </cell>
        </row>
        <row r="14">
          <cell r="A14">
            <v>35309</v>
          </cell>
          <cell r="B14">
            <v>0.3599</v>
          </cell>
          <cell r="C14">
            <v>1.7500000000000002E-2</v>
          </cell>
          <cell r="D14">
            <v>-1.8100000000000002E-2</v>
          </cell>
          <cell r="E14">
            <v>-9.4000000000000004E-3</v>
          </cell>
          <cell r="F14">
            <v>-1E-4</v>
          </cell>
          <cell r="G14">
            <v>-1.1999999999999999E-3</v>
          </cell>
          <cell r="H14">
            <v>8.5000000000000006E-3</v>
          </cell>
          <cell r="I14">
            <v>0.35710000000000003</v>
          </cell>
          <cell r="K14">
            <v>0.37959999999999999</v>
          </cell>
          <cell r="L14">
            <v>1.7500000000000002E-2</v>
          </cell>
          <cell r="M14">
            <v>-1.8100000000000002E-2</v>
          </cell>
          <cell r="N14">
            <v>-9.4000000000000004E-3</v>
          </cell>
          <cell r="O14">
            <v>-1E-4</v>
          </cell>
          <cell r="P14">
            <v>-1.1999999999999999E-3</v>
          </cell>
          <cell r="Q14">
            <v>8.5000000000000006E-3</v>
          </cell>
          <cell r="R14">
            <v>0.37680000000000002</v>
          </cell>
          <cell r="T14">
            <v>0.43219999999999997</v>
          </cell>
          <cell r="U14">
            <v>1.7500000000000002E-2</v>
          </cell>
          <cell r="V14">
            <v>-1.8100000000000002E-2</v>
          </cell>
          <cell r="W14">
            <v>-9.4000000000000004E-3</v>
          </cell>
          <cell r="X14">
            <v>-1E-4</v>
          </cell>
          <cell r="Y14">
            <v>-1.1999999999999999E-3</v>
          </cell>
          <cell r="Z14">
            <v>8.5000000000000006E-3</v>
          </cell>
          <cell r="AA14">
            <v>0.4294</v>
          </cell>
        </row>
        <row r="15">
          <cell r="A15">
            <v>35339</v>
          </cell>
          <cell r="B15">
            <v>0.3599</v>
          </cell>
          <cell r="C15">
            <v>1.7500000000000002E-2</v>
          </cell>
          <cell r="D15">
            <v>-1.8100000000000002E-2</v>
          </cell>
          <cell r="E15">
            <v>-9.4000000000000004E-3</v>
          </cell>
          <cell r="F15">
            <v>-1E-4</v>
          </cell>
          <cell r="G15">
            <v>-1.1999999999999999E-3</v>
          </cell>
          <cell r="H15">
            <v>8.5000000000000006E-3</v>
          </cell>
          <cell r="I15">
            <v>0.35710000000000003</v>
          </cell>
          <cell r="K15">
            <v>0.37959999999999999</v>
          </cell>
          <cell r="L15">
            <v>1.7500000000000002E-2</v>
          </cell>
          <cell r="M15">
            <v>-1.8100000000000002E-2</v>
          </cell>
          <cell r="N15">
            <v>-9.4000000000000004E-3</v>
          </cell>
          <cell r="O15">
            <v>-1E-4</v>
          </cell>
          <cell r="P15">
            <v>-1.1999999999999999E-3</v>
          </cell>
          <cell r="Q15">
            <v>8.5000000000000006E-3</v>
          </cell>
          <cell r="R15">
            <v>0.37680000000000002</v>
          </cell>
          <cell r="T15">
            <v>0.43219999999999997</v>
          </cell>
          <cell r="U15">
            <v>1.7500000000000002E-2</v>
          </cell>
          <cell r="V15">
            <v>-1.8100000000000002E-2</v>
          </cell>
          <cell r="W15">
            <v>-9.4000000000000004E-3</v>
          </cell>
          <cell r="X15">
            <v>-1E-4</v>
          </cell>
          <cell r="Y15">
            <v>-1.1999999999999999E-3</v>
          </cell>
          <cell r="Z15">
            <v>8.5000000000000006E-3</v>
          </cell>
          <cell r="AA15">
            <v>0.4294</v>
          </cell>
        </row>
        <row r="16">
          <cell r="A16">
            <v>35462</v>
          </cell>
          <cell r="B16">
            <v>0.3599</v>
          </cell>
          <cell r="C16">
            <v>1.7500000000000002E-2</v>
          </cell>
          <cell r="D16">
            <v>-1.8100000000000002E-2</v>
          </cell>
          <cell r="E16">
            <v>-9.4000000000000004E-3</v>
          </cell>
          <cell r="G16">
            <v>-1.1999999999999999E-3</v>
          </cell>
          <cell r="H16">
            <v>8.5000000000000006E-3</v>
          </cell>
          <cell r="I16">
            <v>0.35720000000000002</v>
          </cell>
          <cell r="K16">
            <v>0.37959999999999999</v>
          </cell>
          <cell r="L16">
            <v>1.7500000000000002E-2</v>
          </cell>
          <cell r="M16">
            <v>-1.8100000000000002E-2</v>
          </cell>
          <cell r="N16">
            <v>-9.4000000000000004E-3</v>
          </cell>
          <cell r="P16">
            <v>-1.1999999999999999E-3</v>
          </cell>
          <cell r="Q16">
            <v>8.5000000000000006E-3</v>
          </cell>
          <cell r="R16">
            <v>0.37690000000000001</v>
          </cell>
          <cell r="T16">
            <v>0.43219999999999997</v>
          </cell>
          <cell r="U16">
            <v>1.7500000000000002E-2</v>
          </cell>
          <cell r="V16">
            <v>-1.8100000000000002E-2</v>
          </cell>
          <cell r="W16">
            <v>-9.4000000000000004E-3</v>
          </cell>
          <cell r="Y16">
            <v>-1.1999999999999999E-3</v>
          </cell>
          <cell r="Z16">
            <v>8.5000000000000006E-3</v>
          </cell>
          <cell r="AA16">
            <v>0.42949999999999999</v>
          </cell>
        </row>
        <row r="17">
          <cell r="A17">
            <v>35490</v>
          </cell>
          <cell r="B17">
            <v>0.3599</v>
          </cell>
          <cell r="C17">
            <v>1.7500000000000002E-2</v>
          </cell>
          <cell r="D17">
            <v>-1.7999999999999999E-2</v>
          </cell>
          <cell r="E17">
            <v>3.8E-3</v>
          </cell>
          <cell r="G17">
            <v>-1.1999999999999999E-3</v>
          </cell>
          <cell r="H17">
            <v>8.5000000000000006E-3</v>
          </cell>
          <cell r="I17">
            <v>0.37050000000000005</v>
          </cell>
          <cell r="K17">
            <v>0.37959999999999999</v>
          </cell>
          <cell r="L17">
            <v>1.7500000000000002E-2</v>
          </cell>
          <cell r="M17">
            <v>-1.7999999999999999E-2</v>
          </cell>
          <cell r="N17">
            <v>3.8E-3</v>
          </cell>
          <cell r="P17">
            <v>-1.1999999999999999E-3</v>
          </cell>
          <cell r="Q17">
            <v>8.5000000000000006E-3</v>
          </cell>
          <cell r="R17">
            <v>0.39020000000000005</v>
          </cell>
          <cell r="T17">
            <v>0.43219999999999997</v>
          </cell>
          <cell r="U17">
            <v>1.7500000000000002E-2</v>
          </cell>
          <cell r="V17">
            <v>-1.7999999999999999E-2</v>
          </cell>
          <cell r="W17">
            <v>3.8E-3</v>
          </cell>
          <cell r="Y17">
            <v>-1.1999999999999999E-3</v>
          </cell>
          <cell r="Z17">
            <v>8.5000000000000006E-3</v>
          </cell>
          <cell r="AA17">
            <v>0.44280000000000003</v>
          </cell>
        </row>
        <row r="18">
          <cell r="A18">
            <v>35612</v>
          </cell>
          <cell r="B18">
            <v>0.3599</v>
          </cell>
          <cell r="C18">
            <v>1.7500000000000002E-2</v>
          </cell>
          <cell r="D18">
            <v>-1.7999999999999999E-2</v>
          </cell>
          <cell r="E18">
            <v>3.8E-3</v>
          </cell>
          <cell r="G18">
            <v>-1.1999999999999999E-3</v>
          </cell>
          <cell r="H18">
            <v>8.5000000000000006E-3</v>
          </cell>
          <cell r="I18">
            <v>0.37050000000000005</v>
          </cell>
          <cell r="K18">
            <v>0.37959999999999999</v>
          </cell>
          <cell r="L18">
            <v>1.7500000000000002E-2</v>
          </cell>
          <cell r="M18">
            <v>-1.7999999999999999E-2</v>
          </cell>
          <cell r="N18">
            <v>3.8E-3</v>
          </cell>
          <cell r="P18">
            <v>-1.1999999999999999E-3</v>
          </cell>
          <cell r="Q18">
            <v>8.5000000000000006E-3</v>
          </cell>
          <cell r="R18">
            <v>0.39020000000000005</v>
          </cell>
          <cell r="T18">
            <v>0.43219999999999997</v>
          </cell>
          <cell r="U18">
            <v>1.7500000000000002E-2</v>
          </cell>
          <cell r="V18">
            <v>-1.7999999999999999E-2</v>
          </cell>
          <cell r="W18">
            <v>3.8E-3</v>
          </cell>
          <cell r="Y18">
            <v>-1.1999999999999999E-3</v>
          </cell>
          <cell r="Z18">
            <v>8.5000000000000006E-3</v>
          </cell>
          <cell r="AA18">
            <v>0.44280000000000003</v>
          </cell>
        </row>
        <row r="19">
          <cell r="A19">
            <v>35735</v>
          </cell>
          <cell r="B19">
            <v>0.40960000000000002</v>
          </cell>
          <cell r="C19">
            <v>1.7500000000000002E-2</v>
          </cell>
          <cell r="G19">
            <v>-1.1999999999999999E-3</v>
          </cell>
          <cell r="H19">
            <v>8.5000000000000006E-3</v>
          </cell>
          <cell r="I19">
            <v>0.43440000000000006</v>
          </cell>
          <cell r="K19">
            <v>0.45710000000000001</v>
          </cell>
          <cell r="L19">
            <v>1.7500000000000002E-2</v>
          </cell>
          <cell r="P19">
            <v>-1.1999999999999999E-3</v>
          </cell>
          <cell r="Q19">
            <v>8.5000000000000006E-3</v>
          </cell>
          <cell r="R19">
            <v>0.48190000000000005</v>
          </cell>
          <cell r="T19">
            <v>0.54810000000000003</v>
          </cell>
          <cell r="U19">
            <v>1.7500000000000002E-2</v>
          </cell>
          <cell r="Y19">
            <v>-1.1999999999999999E-3</v>
          </cell>
          <cell r="Z19">
            <v>8.5000000000000006E-3</v>
          </cell>
          <cell r="AA19">
            <v>0.57289999999999996</v>
          </cell>
        </row>
        <row r="20">
          <cell r="A20">
            <v>35796</v>
          </cell>
          <cell r="B20">
            <v>0.34499999999999997</v>
          </cell>
          <cell r="C20">
            <v>0</v>
          </cell>
          <cell r="G20">
            <v>-1.1999999999999999E-3</v>
          </cell>
          <cell r="H20">
            <v>8.5000000000000006E-3</v>
          </cell>
          <cell r="I20">
            <v>0.3523</v>
          </cell>
          <cell r="K20">
            <v>0.39</v>
          </cell>
          <cell r="L20">
            <v>0</v>
          </cell>
          <cell r="P20">
            <v>-1.1999999999999999E-3</v>
          </cell>
          <cell r="Q20">
            <v>8.5000000000000006E-3</v>
          </cell>
          <cell r="R20">
            <v>0.39730000000000004</v>
          </cell>
          <cell r="T20">
            <v>0.45</v>
          </cell>
          <cell r="U20">
            <v>0</v>
          </cell>
          <cell r="Y20">
            <v>-1.1999999999999999E-3</v>
          </cell>
          <cell r="Z20">
            <v>8.5000000000000006E-3</v>
          </cell>
          <cell r="AA20">
            <v>0.45730000000000004</v>
          </cell>
        </row>
        <row r="21">
          <cell r="A21">
            <v>35827</v>
          </cell>
          <cell r="B21">
            <v>0.34499999999999997</v>
          </cell>
          <cell r="C21">
            <v>0</v>
          </cell>
          <cell r="G21">
            <v>-1.2999999999999999E-3</v>
          </cell>
          <cell r="H21">
            <v>8.5000000000000006E-3</v>
          </cell>
          <cell r="I21">
            <v>0.35219999999999996</v>
          </cell>
          <cell r="K21">
            <v>0.39</v>
          </cell>
          <cell r="L21">
            <v>0</v>
          </cell>
          <cell r="P21">
            <v>-1.2999999999999999E-3</v>
          </cell>
          <cell r="Q21">
            <v>8.5000000000000006E-3</v>
          </cell>
          <cell r="R21">
            <v>0.3972</v>
          </cell>
          <cell r="T21">
            <v>0.45</v>
          </cell>
          <cell r="U21">
            <v>0</v>
          </cell>
          <cell r="Y21">
            <v>-1.2999999999999999E-3</v>
          </cell>
          <cell r="Z21">
            <v>8.5000000000000006E-3</v>
          </cell>
          <cell r="AA21">
            <v>0.4572</v>
          </cell>
        </row>
        <row r="22">
          <cell r="A22">
            <v>35947</v>
          </cell>
          <cell r="B22">
            <v>0.32090000000000002</v>
          </cell>
          <cell r="C22">
            <v>0</v>
          </cell>
          <cell r="G22">
            <v>-1.2999999999999999E-3</v>
          </cell>
          <cell r="H22">
            <v>8.5000000000000006E-3</v>
          </cell>
          <cell r="I22">
            <v>0.3281</v>
          </cell>
          <cell r="K22">
            <v>0.35489999999999999</v>
          </cell>
          <cell r="L22">
            <v>0</v>
          </cell>
          <cell r="P22">
            <v>-1.2999999999999999E-3</v>
          </cell>
          <cell r="Q22">
            <v>8.5000000000000006E-3</v>
          </cell>
          <cell r="R22">
            <v>0.36209999999999998</v>
          </cell>
          <cell r="T22">
            <v>0.41470000000000001</v>
          </cell>
          <cell r="U22">
            <v>0</v>
          </cell>
          <cell r="Y22">
            <v>-1.2999999999999999E-3</v>
          </cell>
          <cell r="Z22">
            <v>8.5000000000000006E-3</v>
          </cell>
          <cell r="AA22">
            <v>0.4219</v>
          </cell>
        </row>
        <row r="23">
          <cell r="A23">
            <v>35977</v>
          </cell>
          <cell r="B23">
            <v>0.31580000000000003</v>
          </cell>
          <cell r="C23">
            <v>0</v>
          </cell>
          <cell r="G23">
            <v>-1E-4</v>
          </cell>
          <cell r="H23">
            <v>8.5000000000000006E-3</v>
          </cell>
          <cell r="I23">
            <v>0.32420000000000004</v>
          </cell>
          <cell r="K23">
            <v>0.3498</v>
          </cell>
          <cell r="L23">
            <v>0</v>
          </cell>
          <cell r="P23">
            <v>-1E-4</v>
          </cell>
          <cell r="Q23">
            <v>8.5000000000000006E-3</v>
          </cell>
          <cell r="R23">
            <v>0.35820000000000002</v>
          </cell>
          <cell r="T23">
            <v>0.40960000000000002</v>
          </cell>
          <cell r="U23">
            <v>0</v>
          </cell>
          <cell r="Y23">
            <v>-1E-4</v>
          </cell>
          <cell r="Z23">
            <v>8.5000000000000006E-3</v>
          </cell>
          <cell r="AA23">
            <v>0.41800000000000004</v>
          </cell>
        </row>
        <row r="24">
          <cell r="A24">
            <v>36192</v>
          </cell>
          <cell r="B24">
            <v>0.31580000000000003</v>
          </cell>
          <cell r="C24">
            <v>0</v>
          </cell>
          <cell r="G24">
            <v>-1E-3</v>
          </cell>
          <cell r="H24">
            <v>7.6E-3</v>
          </cell>
          <cell r="I24">
            <v>0.32240000000000002</v>
          </cell>
          <cell r="K24">
            <v>0.3498</v>
          </cell>
          <cell r="L24">
            <v>0</v>
          </cell>
          <cell r="P24">
            <v>-1E-3</v>
          </cell>
          <cell r="Q24">
            <v>7.6E-3</v>
          </cell>
          <cell r="R24">
            <v>0.35639999999999999</v>
          </cell>
          <cell r="T24">
            <v>0.40960000000000002</v>
          </cell>
          <cell r="U24">
            <v>0</v>
          </cell>
          <cell r="Y24">
            <v>-1E-3</v>
          </cell>
          <cell r="Z24">
            <v>7.6E-3</v>
          </cell>
          <cell r="AA24">
            <v>0.41620000000000001</v>
          </cell>
        </row>
        <row r="25">
          <cell r="A25">
            <v>36831</v>
          </cell>
          <cell r="B25">
            <v>0.31330000000000002</v>
          </cell>
          <cell r="C25">
            <v>0</v>
          </cell>
          <cell r="G25">
            <v>0</v>
          </cell>
          <cell r="H25">
            <v>6.6E-3</v>
          </cell>
          <cell r="I25">
            <v>0.31990000000000002</v>
          </cell>
          <cell r="K25">
            <v>0.3473</v>
          </cell>
          <cell r="L25">
            <v>0</v>
          </cell>
          <cell r="P25">
            <v>0</v>
          </cell>
          <cell r="Q25">
            <v>6.6E-3</v>
          </cell>
          <cell r="R25">
            <v>0.35389999999999999</v>
          </cell>
          <cell r="T25">
            <v>0.40710000000000002</v>
          </cell>
          <cell r="U25">
            <v>0</v>
          </cell>
          <cell r="Y25">
            <v>0</v>
          </cell>
          <cell r="Z25">
            <v>6.6E-3</v>
          </cell>
          <cell r="AA25">
            <v>0.41370000000000001</v>
          </cell>
        </row>
        <row r="26">
          <cell r="A26">
            <v>36923</v>
          </cell>
          <cell r="B26">
            <v>0.41560000000000002</v>
          </cell>
          <cell r="C26">
            <v>0</v>
          </cell>
          <cell r="G26">
            <v>0</v>
          </cell>
          <cell r="H26">
            <v>6.6E-3</v>
          </cell>
          <cell r="I26">
            <v>0.42220000000000002</v>
          </cell>
          <cell r="K26">
            <v>0.47170000000000001</v>
          </cell>
          <cell r="L26">
            <v>0</v>
          </cell>
          <cell r="P26">
            <v>0</v>
          </cell>
          <cell r="Q26">
            <v>6.6E-3</v>
          </cell>
          <cell r="R26">
            <v>0.4783</v>
          </cell>
          <cell r="T26">
            <v>0.55459999999999998</v>
          </cell>
          <cell r="U26">
            <v>0</v>
          </cell>
          <cell r="Y26">
            <v>0</v>
          </cell>
          <cell r="Z26">
            <v>6.6E-3</v>
          </cell>
          <cell r="AA26">
            <v>0.56120000000000003</v>
          </cell>
        </row>
        <row r="27">
          <cell r="A27">
            <v>37012</v>
          </cell>
          <cell r="B27">
            <v>0.35499999999999998</v>
          </cell>
          <cell r="C27">
            <v>0</v>
          </cell>
          <cell r="G27">
            <v>0</v>
          </cell>
          <cell r="H27">
            <v>3.0000000000000001E-3</v>
          </cell>
          <cell r="I27">
            <v>0.35799999999999998</v>
          </cell>
          <cell r="K27">
            <v>0.4</v>
          </cell>
          <cell r="L27">
            <v>0</v>
          </cell>
          <cell r="P27">
            <v>0</v>
          </cell>
          <cell r="Q27">
            <v>3.0000000000000001E-3</v>
          </cell>
          <cell r="R27">
            <v>0.40300000000000002</v>
          </cell>
          <cell r="T27">
            <v>0.47</v>
          </cell>
          <cell r="U27">
            <v>0</v>
          </cell>
          <cell r="Y27">
            <v>0</v>
          </cell>
          <cell r="Z27">
            <v>3.0000000000000001E-3</v>
          </cell>
          <cell r="AA27">
            <v>0.47299999999999998</v>
          </cell>
        </row>
        <row r="28">
          <cell r="A28">
            <v>37104</v>
          </cell>
          <cell r="B28">
            <v>0.35499999999999998</v>
          </cell>
          <cell r="C28">
            <v>0</v>
          </cell>
          <cell r="G28">
            <v>0</v>
          </cell>
          <cell r="H28">
            <v>3.0000000000000001E-3</v>
          </cell>
          <cell r="I28">
            <v>0.35799999999999998</v>
          </cell>
          <cell r="K28">
            <v>0.4</v>
          </cell>
          <cell r="L28">
            <v>0</v>
          </cell>
          <cell r="P28">
            <v>0</v>
          </cell>
          <cell r="Q28">
            <v>3.0000000000000001E-3</v>
          </cell>
          <cell r="R28">
            <v>0.40300000000000002</v>
          </cell>
          <cell r="T28">
            <v>0.47</v>
          </cell>
          <cell r="U28">
            <v>0</v>
          </cell>
          <cell r="Y28">
            <v>0</v>
          </cell>
          <cell r="Z28">
            <v>3.0000000000000001E-3</v>
          </cell>
          <cell r="AA28">
            <v>0.47299999999999998</v>
          </cell>
        </row>
        <row r="29">
          <cell r="A29">
            <v>37561</v>
          </cell>
          <cell r="B29">
            <v>0.31879999999999997</v>
          </cell>
          <cell r="H29">
            <v>2.2000000000000001E-3</v>
          </cell>
          <cell r="I29">
            <v>0.32099999999999995</v>
          </cell>
          <cell r="K29">
            <v>0.35759999999999997</v>
          </cell>
          <cell r="Q29">
            <v>2.2000000000000001E-3</v>
          </cell>
          <cell r="R29">
            <v>0.35979999999999995</v>
          </cell>
          <cell r="T29">
            <v>0.4204</v>
          </cell>
          <cell r="Z29">
            <v>2.2000000000000001E-3</v>
          </cell>
          <cell r="AA29">
            <v>0.42259999999999998</v>
          </cell>
        </row>
        <row r="30">
          <cell r="A30">
            <v>37834</v>
          </cell>
          <cell r="B30">
            <v>0.31219999999999998</v>
          </cell>
          <cell r="H30">
            <v>1.6000000000000001E-3</v>
          </cell>
          <cell r="I30">
            <v>0.31379999999999997</v>
          </cell>
          <cell r="K30">
            <v>0.35099999999999998</v>
          </cell>
          <cell r="Q30">
            <v>1.6000000000000001E-3</v>
          </cell>
          <cell r="R30">
            <v>0.35259999999999997</v>
          </cell>
          <cell r="T30">
            <v>0.4138</v>
          </cell>
          <cell r="Z30">
            <v>1.6000000000000001E-3</v>
          </cell>
          <cell r="AA30">
            <v>0.41539999999999999</v>
          </cell>
        </row>
        <row r="31">
          <cell r="A31">
            <v>38200</v>
          </cell>
          <cell r="B31">
            <v>0.31219999999999998</v>
          </cell>
          <cell r="H31">
            <v>0</v>
          </cell>
          <cell r="I31">
            <v>0.31219999999999998</v>
          </cell>
          <cell r="K31">
            <v>0.35099999999999998</v>
          </cell>
          <cell r="L31">
            <v>0</v>
          </cell>
          <cell r="Q31">
            <v>0</v>
          </cell>
          <cell r="R31">
            <v>0.35099999999999998</v>
          </cell>
          <cell r="T31">
            <v>0.4138</v>
          </cell>
          <cell r="U31">
            <v>0</v>
          </cell>
          <cell r="Z31">
            <v>0</v>
          </cell>
          <cell r="AA31">
            <v>0.4138</v>
          </cell>
        </row>
        <row r="32">
          <cell r="A32">
            <v>38384</v>
          </cell>
          <cell r="B32">
            <v>0.31219999999999998</v>
          </cell>
          <cell r="H32">
            <v>0</v>
          </cell>
          <cell r="I32">
            <v>0.31219999999999998</v>
          </cell>
          <cell r="K32">
            <v>0.35099999999999998</v>
          </cell>
          <cell r="L32">
            <v>0</v>
          </cell>
          <cell r="Q32">
            <v>0</v>
          </cell>
          <cell r="R32">
            <v>0.35099999999999998</v>
          </cell>
          <cell r="T32">
            <v>0.4138</v>
          </cell>
          <cell r="U32">
            <v>0</v>
          </cell>
          <cell r="Z32">
            <v>0</v>
          </cell>
          <cell r="AA32">
            <v>0.4138</v>
          </cell>
        </row>
        <row r="33">
          <cell r="A33">
            <v>38473</v>
          </cell>
          <cell r="B33">
            <v>0.31219999999999998</v>
          </cell>
          <cell r="H33">
            <v>0</v>
          </cell>
          <cell r="I33">
            <v>0.31219999999999998</v>
          </cell>
          <cell r="K33">
            <v>0.35099999999999998</v>
          </cell>
          <cell r="L33">
            <v>0</v>
          </cell>
          <cell r="Q33">
            <v>0</v>
          </cell>
          <cell r="R33">
            <v>0.35099999999999998</v>
          </cell>
          <cell r="T33">
            <v>0.4138</v>
          </cell>
          <cell r="U33">
            <v>0</v>
          </cell>
          <cell r="Z33">
            <v>0</v>
          </cell>
          <cell r="AA33">
            <v>0.4138</v>
          </cell>
        </row>
        <row r="34">
          <cell r="A34">
            <v>38565</v>
          </cell>
          <cell r="B34">
            <v>0.31219999999999998</v>
          </cell>
          <cell r="H34">
            <v>0</v>
          </cell>
          <cell r="I34">
            <v>0.31219999999999998</v>
          </cell>
          <cell r="K34">
            <v>0.35099999999999998</v>
          </cell>
          <cell r="L34">
            <v>0</v>
          </cell>
          <cell r="Q34">
            <v>0</v>
          </cell>
          <cell r="R34">
            <v>0.35099999999999998</v>
          </cell>
          <cell r="T34">
            <v>0.4138</v>
          </cell>
          <cell r="U34">
            <v>0</v>
          </cell>
          <cell r="Z34">
            <v>0</v>
          </cell>
          <cell r="AA34">
            <v>0.4138</v>
          </cell>
        </row>
        <row r="35">
          <cell r="A35">
            <v>38687</v>
          </cell>
          <cell r="B35">
            <v>0.37240000000000001</v>
          </cell>
          <cell r="H35">
            <v>0</v>
          </cell>
          <cell r="I35">
            <v>0.37240000000000001</v>
          </cell>
          <cell r="K35">
            <v>0.42959999999999998</v>
          </cell>
          <cell r="L35">
            <v>0</v>
          </cell>
          <cell r="Q35">
            <v>0</v>
          </cell>
          <cell r="R35">
            <v>0.42959999999999998</v>
          </cell>
          <cell r="T35">
            <v>0.49759999999999999</v>
          </cell>
          <cell r="U35">
            <v>0</v>
          </cell>
          <cell r="Z35">
            <v>0</v>
          </cell>
          <cell r="AA35">
            <v>0.49759999999999999</v>
          </cell>
        </row>
        <row r="36">
          <cell r="A36">
            <v>38838</v>
          </cell>
          <cell r="B36">
            <v>0.30880000000000002</v>
          </cell>
          <cell r="H36">
            <v>0</v>
          </cell>
          <cell r="I36">
            <v>0.30880000000000002</v>
          </cell>
          <cell r="K36">
            <v>0.3543</v>
          </cell>
          <cell r="L36">
            <v>0</v>
          </cell>
          <cell r="Q36">
            <v>0</v>
          </cell>
          <cell r="R36">
            <v>0.3543</v>
          </cell>
          <cell r="T36">
            <v>0.41899999999999998</v>
          </cell>
          <cell r="U36">
            <v>0</v>
          </cell>
          <cell r="Z36">
            <v>0</v>
          </cell>
          <cell r="AA36">
            <v>0.41899999999999998</v>
          </cell>
        </row>
        <row r="37">
          <cell r="A37">
            <v>39114</v>
          </cell>
          <cell r="B37">
            <v>0.30880000000000002</v>
          </cell>
          <cell r="H37">
            <v>0</v>
          </cell>
          <cell r="I37">
            <v>0.30880000000000002</v>
          </cell>
          <cell r="K37">
            <v>0.3543</v>
          </cell>
          <cell r="L37">
            <v>0</v>
          </cell>
          <cell r="Q37">
            <v>0</v>
          </cell>
          <cell r="R37">
            <v>0.3543</v>
          </cell>
          <cell r="T37">
            <v>0.41899999999999998</v>
          </cell>
          <cell r="U37">
            <v>0</v>
          </cell>
          <cell r="Z37">
            <v>0</v>
          </cell>
          <cell r="AA37">
            <v>0.41899999999999998</v>
          </cell>
        </row>
        <row r="38">
          <cell r="A38">
            <v>54789</v>
          </cell>
        </row>
      </sheetData>
      <sheetData sheetId="66">
        <row r="9">
          <cell r="A9">
            <v>34973</v>
          </cell>
          <cell r="B9">
            <v>3.0300000000000001E-2</v>
          </cell>
          <cell r="E9">
            <v>8.5000000000000006E-3</v>
          </cell>
          <cell r="F9">
            <v>2.1000000000000003E-3</v>
          </cell>
          <cell r="G9">
            <v>4.0899999999999999E-2</v>
          </cell>
          <cell r="I9">
            <v>3.5500000000000004E-2</v>
          </cell>
          <cell r="L9">
            <v>8.5000000000000006E-3</v>
          </cell>
          <cell r="M9">
            <v>2.1000000000000003E-3</v>
          </cell>
          <cell r="N9">
            <v>4.6100000000000002E-2</v>
          </cell>
          <cell r="P9">
            <v>3.9800000000000002E-2</v>
          </cell>
          <cell r="S9">
            <v>8.5000000000000006E-3</v>
          </cell>
          <cell r="T9">
            <v>2.1000000000000003E-3</v>
          </cell>
          <cell r="U9">
            <v>5.04E-2</v>
          </cell>
        </row>
        <row r="10">
          <cell r="A10">
            <v>35065</v>
          </cell>
          <cell r="B10">
            <v>3.0300000000000001E-2</v>
          </cell>
          <cell r="E10">
            <v>8.8000000000000005E-3</v>
          </cell>
          <cell r="F10">
            <v>2.1000000000000003E-3</v>
          </cell>
          <cell r="G10">
            <v>4.1200000000000001E-2</v>
          </cell>
          <cell r="I10">
            <v>3.5500000000000004E-2</v>
          </cell>
          <cell r="L10">
            <v>8.8000000000000005E-3</v>
          </cell>
          <cell r="M10">
            <v>2.1000000000000003E-3</v>
          </cell>
          <cell r="N10">
            <v>4.6400000000000004E-2</v>
          </cell>
          <cell r="P10">
            <v>3.9800000000000002E-2</v>
          </cell>
          <cell r="S10">
            <v>8.8000000000000005E-3</v>
          </cell>
          <cell r="T10">
            <v>2.1000000000000003E-3</v>
          </cell>
          <cell r="U10">
            <v>5.0700000000000002E-2</v>
          </cell>
        </row>
        <row r="11">
          <cell r="A11">
            <v>35096</v>
          </cell>
          <cell r="B11">
            <v>2.9600000000000001E-2</v>
          </cell>
          <cell r="E11">
            <v>8.8000000000000005E-3</v>
          </cell>
          <cell r="F11">
            <v>2.1000000000000003E-3</v>
          </cell>
          <cell r="G11">
            <v>4.0500000000000001E-2</v>
          </cell>
          <cell r="I11">
            <v>3.3599999999999998E-2</v>
          </cell>
          <cell r="L11">
            <v>8.8000000000000005E-3</v>
          </cell>
          <cell r="M11">
            <v>2.1000000000000003E-3</v>
          </cell>
          <cell r="N11">
            <v>4.4499999999999998E-2</v>
          </cell>
          <cell r="P11">
            <v>3.7699999999999997E-2</v>
          </cell>
          <cell r="S11">
            <v>8.8000000000000005E-3</v>
          </cell>
          <cell r="T11">
            <v>2.1000000000000003E-3</v>
          </cell>
          <cell r="U11">
            <v>4.8599999999999997E-2</v>
          </cell>
        </row>
        <row r="12">
          <cell r="A12">
            <v>35125</v>
          </cell>
          <cell r="B12">
            <v>2.0299999999999999E-2</v>
          </cell>
          <cell r="E12">
            <v>8.8000000000000005E-3</v>
          </cell>
          <cell r="F12">
            <v>2.0999999999999999E-3</v>
          </cell>
          <cell r="G12">
            <v>3.1200000000000002E-2</v>
          </cell>
          <cell r="I12">
            <v>2.4299999999999999E-2</v>
          </cell>
          <cell r="L12">
            <v>8.8000000000000005E-3</v>
          </cell>
          <cell r="M12">
            <v>2.0999999999999999E-3</v>
          </cell>
          <cell r="N12">
            <v>3.5199999999999995E-2</v>
          </cell>
          <cell r="P12">
            <v>2.8400000000000002E-2</v>
          </cell>
          <cell r="S12">
            <v>8.8000000000000005E-3</v>
          </cell>
          <cell r="T12">
            <v>2.0999999999999999E-3</v>
          </cell>
          <cell r="U12">
            <v>3.9300000000000002E-2</v>
          </cell>
        </row>
        <row r="13">
          <cell r="A13">
            <v>35247</v>
          </cell>
          <cell r="B13">
            <v>2.9600000000000001E-2</v>
          </cell>
          <cell r="C13">
            <v>-6.7000000000000002E-3</v>
          </cell>
          <cell r="D13">
            <v>-2.5999999999999999E-3</v>
          </cell>
          <cell r="E13">
            <v>8.8000000000000005E-3</v>
          </cell>
          <cell r="F13">
            <v>2.0999999999999999E-3</v>
          </cell>
          <cell r="G13">
            <v>3.1200000000000002E-2</v>
          </cell>
          <cell r="I13">
            <v>3.3599999999999998E-2</v>
          </cell>
          <cell r="J13">
            <v>-6.7000000000000002E-3</v>
          </cell>
          <cell r="K13">
            <v>-2.5999999999999999E-3</v>
          </cell>
          <cell r="L13">
            <v>8.8000000000000005E-3</v>
          </cell>
          <cell r="M13">
            <v>2.0999999999999999E-3</v>
          </cell>
          <cell r="N13">
            <v>3.5199999999999995E-2</v>
          </cell>
          <cell r="P13">
            <v>3.7699999999999997E-2</v>
          </cell>
          <cell r="Q13">
            <v>-6.7000000000000002E-3</v>
          </cell>
          <cell r="R13">
            <v>-2.5999999999999999E-3</v>
          </cell>
          <cell r="S13">
            <v>8.8000000000000005E-3</v>
          </cell>
          <cell r="T13">
            <v>2.0999999999999999E-3</v>
          </cell>
          <cell r="U13">
            <v>3.9299999999999995E-2</v>
          </cell>
        </row>
        <row r="14">
          <cell r="A14">
            <v>35309</v>
          </cell>
          <cell r="B14">
            <v>2.9600000000000001E-2</v>
          </cell>
          <cell r="C14">
            <v>-7.1999999999999998E-3</v>
          </cell>
          <cell r="D14">
            <v>-5.0000000000000001E-3</v>
          </cell>
          <cell r="E14">
            <v>8.8000000000000005E-3</v>
          </cell>
          <cell r="F14">
            <v>2.0999999999999999E-3</v>
          </cell>
          <cell r="G14">
            <v>2.8300000000000002E-2</v>
          </cell>
          <cell r="I14">
            <v>3.3599999999999998E-2</v>
          </cell>
          <cell r="J14">
            <v>-7.1999999999999998E-3</v>
          </cell>
          <cell r="K14">
            <v>-5.0000000000000001E-3</v>
          </cell>
          <cell r="L14">
            <v>8.8000000000000005E-3</v>
          </cell>
          <cell r="M14">
            <v>2.0999999999999999E-3</v>
          </cell>
          <cell r="N14">
            <v>3.2299999999999995E-2</v>
          </cell>
          <cell r="P14">
            <v>3.7699999999999997E-2</v>
          </cell>
          <cell r="Q14">
            <v>-7.1999999999999998E-3</v>
          </cell>
          <cell r="R14">
            <v>-5.0000000000000001E-3</v>
          </cell>
          <cell r="S14">
            <v>8.8000000000000005E-3</v>
          </cell>
          <cell r="T14">
            <v>2.0999999999999999E-3</v>
          </cell>
          <cell r="U14">
            <v>3.6399999999999995E-2</v>
          </cell>
        </row>
        <row r="15">
          <cell r="A15">
            <v>35339</v>
          </cell>
          <cell r="B15">
            <v>2.9600000000000001E-2</v>
          </cell>
          <cell r="C15">
            <v>-7.1999999999999998E-3</v>
          </cell>
          <cell r="D15">
            <v>-5.0000000000000001E-3</v>
          </cell>
          <cell r="E15">
            <v>8.8000000000000005E-3</v>
          </cell>
          <cell r="F15">
            <v>1.8E-3</v>
          </cell>
          <cell r="G15">
            <v>2.8000000000000001E-2</v>
          </cell>
          <cell r="I15">
            <v>3.3599999999999998E-2</v>
          </cell>
          <cell r="J15">
            <v>-7.1999999999999998E-3</v>
          </cell>
          <cell r="K15">
            <v>-5.0000000000000001E-3</v>
          </cell>
          <cell r="L15">
            <v>8.8000000000000005E-3</v>
          </cell>
          <cell r="M15">
            <v>1.8E-3</v>
          </cell>
          <cell r="N15">
            <v>3.2000000000000001E-2</v>
          </cell>
          <cell r="P15">
            <v>3.7699999999999997E-2</v>
          </cell>
          <cell r="Q15">
            <v>-7.1999999999999998E-3</v>
          </cell>
          <cell r="R15">
            <v>-5.0000000000000001E-3</v>
          </cell>
          <cell r="S15">
            <v>8.8000000000000005E-3</v>
          </cell>
          <cell r="T15">
            <v>1.8E-3</v>
          </cell>
          <cell r="U15">
            <v>3.61E-2</v>
          </cell>
        </row>
        <row r="16">
          <cell r="A16">
            <v>35462</v>
          </cell>
          <cell r="B16">
            <v>2.9600000000000001E-2</v>
          </cell>
          <cell r="C16">
            <v>-7.1999999999999998E-3</v>
          </cell>
          <cell r="D16">
            <v>-5.0000000000000001E-3</v>
          </cell>
          <cell r="E16">
            <v>8.8000000000000005E-3</v>
          </cell>
          <cell r="F16">
            <v>1.8E-3</v>
          </cell>
          <cell r="G16">
            <v>2.8000000000000001E-2</v>
          </cell>
          <cell r="I16">
            <v>3.3599999999999998E-2</v>
          </cell>
          <cell r="J16">
            <v>-7.1999999999999998E-3</v>
          </cell>
          <cell r="K16">
            <v>-5.0000000000000001E-3</v>
          </cell>
          <cell r="L16">
            <v>8.8000000000000005E-3</v>
          </cell>
          <cell r="M16">
            <v>1.8E-3</v>
          </cell>
          <cell r="N16">
            <v>3.2000000000000001E-2</v>
          </cell>
          <cell r="P16">
            <v>3.7699999999999997E-2</v>
          </cell>
          <cell r="Q16">
            <v>-7.1999999999999998E-3</v>
          </cell>
          <cell r="R16">
            <v>-5.0000000000000001E-3</v>
          </cell>
          <cell r="S16">
            <v>8.8000000000000005E-3</v>
          </cell>
          <cell r="T16">
            <v>1.8E-3</v>
          </cell>
          <cell r="U16">
            <v>3.61E-2</v>
          </cell>
        </row>
        <row r="17">
          <cell r="A17">
            <v>35490</v>
          </cell>
          <cell r="B17">
            <v>2.9600000000000001E-2</v>
          </cell>
          <cell r="C17">
            <v>-6.8999999999999999E-3</v>
          </cell>
          <cell r="D17">
            <v>1E-4</v>
          </cell>
          <cell r="E17">
            <v>8.8000000000000005E-3</v>
          </cell>
          <cell r="F17">
            <v>1.8E-3</v>
          </cell>
          <cell r="G17">
            <v>3.3400000000000006E-2</v>
          </cell>
          <cell r="I17">
            <v>3.3599999999999998E-2</v>
          </cell>
          <cell r="J17">
            <v>-6.8999999999999999E-3</v>
          </cell>
          <cell r="K17">
            <v>1E-4</v>
          </cell>
          <cell r="L17">
            <v>8.8000000000000005E-3</v>
          </cell>
          <cell r="M17">
            <v>1.8E-3</v>
          </cell>
          <cell r="N17">
            <v>3.7400000000000003E-2</v>
          </cell>
          <cell r="P17">
            <v>3.7699999999999997E-2</v>
          </cell>
          <cell r="Q17">
            <v>-6.8999999999999999E-3</v>
          </cell>
          <cell r="R17">
            <v>1E-4</v>
          </cell>
          <cell r="S17">
            <v>8.8000000000000005E-3</v>
          </cell>
          <cell r="T17">
            <v>1.8E-3</v>
          </cell>
          <cell r="U17">
            <v>4.1500000000000002E-2</v>
          </cell>
        </row>
        <row r="18">
          <cell r="A18">
            <v>35612</v>
          </cell>
          <cell r="B18">
            <v>2.9600000000000001E-2</v>
          </cell>
          <cell r="C18">
            <v>-6.8999999999999999E-3</v>
          </cell>
          <cell r="D18">
            <v>1E-4</v>
          </cell>
          <cell r="E18">
            <v>8.8000000000000005E-3</v>
          </cell>
          <cell r="F18">
            <v>1.8E-3</v>
          </cell>
          <cell r="G18">
            <v>3.3400000000000006E-2</v>
          </cell>
          <cell r="I18">
            <v>3.3599999999999998E-2</v>
          </cell>
          <cell r="J18">
            <v>-6.8999999999999999E-3</v>
          </cell>
          <cell r="K18">
            <v>1E-4</v>
          </cell>
          <cell r="L18">
            <v>8.8000000000000005E-3</v>
          </cell>
          <cell r="M18">
            <v>1.8E-3</v>
          </cell>
          <cell r="N18">
            <v>3.7400000000000003E-2</v>
          </cell>
          <cell r="P18">
            <v>3.7699999999999997E-2</v>
          </cell>
          <cell r="Q18">
            <v>-6.8999999999999999E-3</v>
          </cell>
          <cell r="R18">
            <v>1E-4</v>
          </cell>
          <cell r="S18">
            <v>8.8000000000000005E-3</v>
          </cell>
          <cell r="T18">
            <v>1.8E-3</v>
          </cell>
          <cell r="U18">
            <v>4.1500000000000002E-2</v>
          </cell>
        </row>
        <row r="19">
          <cell r="A19">
            <v>35704</v>
          </cell>
          <cell r="B19">
            <v>2.7400000000000001E-2</v>
          </cell>
          <cell r="E19">
            <v>8.8000000000000005E-3</v>
          </cell>
          <cell r="F19">
            <v>1.8E-3</v>
          </cell>
          <cell r="G19">
            <v>3.8000000000000006E-2</v>
          </cell>
          <cell r="I19">
            <v>3.3500000000000002E-2</v>
          </cell>
          <cell r="L19">
            <v>8.8000000000000005E-3</v>
          </cell>
          <cell r="M19">
            <v>1.8E-3</v>
          </cell>
          <cell r="N19">
            <v>4.4100000000000007E-2</v>
          </cell>
          <cell r="P19">
            <v>4.0399999999999998E-2</v>
          </cell>
          <cell r="S19">
            <v>8.8000000000000005E-3</v>
          </cell>
          <cell r="T19">
            <v>1.8E-3</v>
          </cell>
          <cell r="U19">
            <v>5.1000000000000004E-2</v>
          </cell>
        </row>
        <row r="20">
          <cell r="A20">
            <v>35796</v>
          </cell>
          <cell r="B20">
            <v>2.7400000000000001E-2</v>
          </cell>
          <cell r="E20">
            <v>8.8000000000000005E-3</v>
          </cell>
          <cell r="F20">
            <v>2.2000000000000001E-3</v>
          </cell>
          <cell r="G20">
            <v>3.8400000000000004E-2</v>
          </cell>
          <cell r="I20">
            <v>3.3500000000000002E-2</v>
          </cell>
          <cell r="L20">
            <v>8.8000000000000005E-3</v>
          </cell>
          <cell r="M20">
            <v>2.2000000000000001E-3</v>
          </cell>
          <cell r="N20">
            <v>4.4500000000000005E-2</v>
          </cell>
          <cell r="P20">
            <v>4.0300000000000002E-2</v>
          </cell>
          <cell r="S20">
            <v>8.8000000000000005E-3</v>
          </cell>
          <cell r="T20">
            <v>2.2000000000000001E-3</v>
          </cell>
          <cell r="U20">
            <v>5.1300000000000005E-2</v>
          </cell>
        </row>
        <row r="21">
          <cell r="A21">
            <v>35947</v>
          </cell>
          <cell r="B21">
            <v>2.63E-2</v>
          </cell>
          <cell r="E21">
            <v>8.8000000000000005E-3</v>
          </cell>
          <cell r="F21">
            <v>2.2000000000000001E-3</v>
          </cell>
          <cell r="G21">
            <v>3.73E-2</v>
          </cell>
          <cell r="I21">
            <v>3.1E-2</v>
          </cell>
          <cell r="L21">
            <v>8.8000000000000005E-3</v>
          </cell>
          <cell r="M21">
            <v>2.2000000000000001E-3</v>
          </cell>
          <cell r="N21">
            <v>4.2000000000000003E-2</v>
          </cell>
          <cell r="P21">
            <v>3.61E-2</v>
          </cell>
          <cell r="S21">
            <v>8.8000000000000005E-3</v>
          </cell>
          <cell r="T21">
            <v>2.2000000000000001E-3</v>
          </cell>
          <cell r="U21">
            <v>4.7100000000000003E-2</v>
          </cell>
        </row>
        <row r="22">
          <cell r="A22">
            <v>35977</v>
          </cell>
          <cell r="B22">
            <v>2.35E-2</v>
          </cell>
          <cell r="E22">
            <v>8.8000000000000005E-3</v>
          </cell>
          <cell r="F22">
            <v>2.2000000000000001E-3</v>
          </cell>
          <cell r="G22">
            <v>3.4500000000000003E-2</v>
          </cell>
          <cell r="I22">
            <v>2.8199999999999999E-2</v>
          </cell>
          <cell r="L22">
            <v>8.8000000000000005E-3</v>
          </cell>
          <cell r="M22">
            <v>2.2000000000000001E-3</v>
          </cell>
          <cell r="N22">
            <v>3.9199999999999999E-2</v>
          </cell>
          <cell r="P22">
            <v>3.3300000000000003E-2</v>
          </cell>
          <cell r="S22">
            <v>8.8000000000000005E-3</v>
          </cell>
          <cell r="T22">
            <v>2.2000000000000001E-3</v>
          </cell>
          <cell r="U22">
            <v>4.4300000000000006E-2</v>
          </cell>
        </row>
        <row r="23">
          <cell r="A23">
            <v>36192</v>
          </cell>
          <cell r="B23">
            <v>2.6800000000000001E-2</v>
          </cell>
          <cell r="E23">
            <v>7.4999999999999997E-3</v>
          </cell>
          <cell r="F23">
            <v>2.2000000000000001E-3</v>
          </cell>
          <cell r="G23">
            <v>3.6499999999999998E-2</v>
          </cell>
          <cell r="I23">
            <v>3.15E-2</v>
          </cell>
          <cell r="L23">
            <v>7.4999999999999997E-3</v>
          </cell>
          <cell r="M23">
            <v>2.2000000000000001E-3</v>
          </cell>
          <cell r="N23">
            <v>4.1200000000000001E-2</v>
          </cell>
          <cell r="P23">
            <v>3.6600000000000001E-2</v>
          </cell>
          <cell r="S23">
            <v>7.4999999999999997E-3</v>
          </cell>
          <cell r="T23">
            <v>2.2000000000000001E-3</v>
          </cell>
          <cell r="U23">
            <v>4.6300000000000001E-2</v>
          </cell>
        </row>
        <row r="24">
          <cell r="A24">
            <v>36831</v>
          </cell>
          <cell r="B24">
            <v>2.5899999999999999E-2</v>
          </cell>
          <cell r="E24">
            <v>7.1999999999999998E-3</v>
          </cell>
          <cell r="F24">
            <v>2.2000000000000001E-3</v>
          </cell>
          <cell r="G24">
            <v>3.5299999999999998E-2</v>
          </cell>
          <cell r="I24">
            <v>3.0599999999999999E-2</v>
          </cell>
          <cell r="L24">
            <v>7.1999999999999998E-3</v>
          </cell>
          <cell r="M24">
            <v>2.2000000000000001E-3</v>
          </cell>
          <cell r="N24">
            <v>0.04</v>
          </cell>
          <cell r="P24">
            <v>3.5700000000000003E-2</v>
          </cell>
          <cell r="S24">
            <v>7.1999999999999998E-3</v>
          </cell>
          <cell r="T24">
            <v>2.2000000000000001E-3</v>
          </cell>
          <cell r="U24">
            <v>4.5100000000000001E-2</v>
          </cell>
        </row>
        <row r="25">
          <cell r="A25">
            <v>36923</v>
          </cell>
          <cell r="B25">
            <v>2.58E-2</v>
          </cell>
          <cell r="E25">
            <v>7.1999999999999998E-3</v>
          </cell>
          <cell r="F25">
            <v>2.2000000000000001E-3</v>
          </cell>
          <cell r="G25">
            <v>3.5200000000000002E-2</v>
          </cell>
          <cell r="I25">
            <v>2.53E-2</v>
          </cell>
          <cell r="L25">
            <v>7.1999999999999998E-3</v>
          </cell>
          <cell r="M25">
            <v>2.2000000000000001E-3</v>
          </cell>
          <cell r="N25">
            <v>3.4700000000000002E-2</v>
          </cell>
          <cell r="P25">
            <v>3.1300000000000001E-2</v>
          </cell>
          <cell r="S25">
            <v>7.1999999999999998E-3</v>
          </cell>
          <cell r="T25">
            <v>2.2000000000000001E-3</v>
          </cell>
          <cell r="U25">
            <v>4.07E-2</v>
          </cell>
        </row>
        <row r="26">
          <cell r="A26">
            <v>37012</v>
          </cell>
          <cell r="B26">
            <v>2.58E-2</v>
          </cell>
          <cell r="E26">
            <v>7.0000000000000001E-3</v>
          </cell>
          <cell r="F26">
            <v>2.2000000000000001E-3</v>
          </cell>
          <cell r="G26">
            <v>3.5000000000000003E-2</v>
          </cell>
          <cell r="I26">
            <v>2.53E-2</v>
          </cell>
          <cell r="L26">
            <v>7.0000000000000001E-3</v>
          </cell>
          <cell r="M26">
            <v>2.2000000000000001E-3</v>
          </cell>
          <cell r="N26">
            <v>3.4500000000000003E-2</v>
          </cell>
          <cell r="P26">
            <v>3.1300000000000001E-2</v>
          </cell>
          <cell r="S26">
            <v>7.0000000000000001E-3</v>
          </cell>
          <cell r="T26">
            <v>2.2000000000000001E-3</v>
          </cell>
          <cell r="U26">
            <v>4.0500000000000001E-2</v>
          </cell>
        </row>
        <row r="27">
          <cell r="A27">
            <v>37012</v>
          </cell>
          <cell r="B27">
            <v>2.58E-2</v>
          </cell>
          <cell r="E27">
            <v>7.0000000000000001E-3</v>
          </cell>
          <cell r="F27">
            <v>2.0999999999999999E-3</v>
          </cell>
          <cell r="G27">
            <v>3.49E-2</v>
          </cell>
          <cell r="I27">
            <v>2.53E-2</v>
          </cell>
          <cell r="L27">
            <v>7.0000000000000001E-3</v>
          </cell>
          <cell r="M27">
            <v>2.0999999999999999E-3</v>
          </cell>
          <cell r="N27">
            <v>3.44E-2</v>
          </cell>
          <cell r="P27">
            <v>3.1300000000000001E-2</v>
          </cell>
          <cell r="S27">
            <v>7.0000000000000001E-3</v>
          </cell>
          <cell r="T27">
            <v>2.0999999999999999E-3</v>
          </cell>
          <cell r="U27">
            <v>4.0399999999999998E-2</v>
          </cell>
        </row>
        <row r="28">
          <cell r="A28">
            <v>37561</v>
          </cell>
          <cell r="B28">
            <v>3.9300000000000002E-2</v>
          </cell>
          <cell r="E28">
            <v>5.4999999999999997E-3</v>
          </cell>
          <cell r="F28">
            <v>2.0999999999999999E-3</v>
          </cell>
          <cell r="G28">
            <v>4.6899999999999997E-2</v>
          </cell>
          <cell r="I28">
            <v>4.9399999999999999E-2</v>
          </cell>
          <cell r="L28">
            <v>5.4999999999999997E-3</v>
          </cell>
          <cell r="M28">
            <v>2.0999999999999999E-3</v>
          </cell>
          <cell r="N28">
            <v>5.6999999999999995E-2</v>
          </cell>
          <cell r="P28">
            <v>5.7000000000000002E-2</v>
          </cell>
          <cell r="S28">
            <v>5.4999999999999997E-3</v>
          </cell>
          <cell r="T28">
            <v>2.0999999999999999E-3</v>
          </cell>
          <cell r="U28">
            <v>6.4600000000000005E-2</v>
          </cell>
        </row>
        <row r="29">
          <cell r="A29">
            <v>37834</v>
          </cell>
          <cell r="B29">
            <v>3.9199999999999999E-2</v>
          </cell>
          <cell r="E29">
            <v>4.0000000000000001E-3</v>
          </cell>
          <cell r="F29">
            <v>2.0999999999999999E-3</v>
          </cell>
          <cell r="G29">
            <v>4.53E-2</v>
          </cell>
          <cell r="I29">
            <v>4.9299999999999997E-2</v>
          </cell>
          <cell r="L29">
            <v>4.0000000000000001E-3</v>
          </cell>
          <cell r="M29">
            <v>2.0999999999999999E-3</v>
          </cell>
          <cell r="N29">
            <v>5.5399999999999998E-2</v>
          </cell>
          <cell r="P29">
            <v>5.6899999999999999E-2</v>
          </cell>
          <cell r="S29">
            <v>4.0000000000000001E-3</v>
          </cell>
          <cell r="T29">
            <v>2.0999999999999999E-3</v>
          </cell>
          <cell r="U29">
            <v>6.3E-2</v>
          </cell>
        </row>
        <row r="30">
          <cell r="A30">
            <v>38292</v>
          </cell>
          <cell r="B30">
            <v>3.9199999999999999E-2</v>
          </cell>
          <cell r="E30">
            <v>0</v>
          </cell>
          <cell r="F30">
            <v>2.0999999999999999E-3</v>
          </cell>
          <cell r="G30">
            <v>4.1299999999999996E-2</v>
          </cell>
          <cell r="I30">
            <v>4.9299999999999997E-2</v>
          </cell>
          <cell r="L30">
            <v>0</v>
          </cell>
          <cell r="M30">
            <v>2.0999999999999999E-3</v>
          </cell>
          <cell r="N30">
            <v>5.1399999999999994E-2</v>
          </cell>
          <cell r="P30">
            <v>5.6899999999999999E-2</v>
          </cell>
          <cell r="S30">
            <v>0</v>
          </cell>
          <cell r="T30">
            <v>2.0999999999999999E-3</v>
          </cell>
          <cell r="U30">
            <v>5.8999999999999997E-2</v>
          </cell>
        </row>
        <row r="31">
          <cell r="A31">
            <v>38384</v>
          </cell>
          <cell r="B31">
            <v>3.9199999999999999E-2</v>
          </cell>
          <cell r="E31">
            <v>0</v>
          </cell>
          <cell r="F31">
            <v>1.9E-3</v>
          </cell>
          <cell r="G31">
            <v>4.1099999999999998E-2</v>
          </cell>
          <cell r="I31">
            <v>4.9299999999999997E-2</v>
          </cell>
          <cell r="L31">
            <v>0</v>
          </cell>
          <cell r="M31">
            <v>1.9E-3</v>
          </cell>
          <cell r="N31">
            <v>5.1199999999999996E-2</v>
          </cell>
          <cell r="P31">
            <v>5.6899999999999999E-2</v>
          </cell>
          <cell r="S31">
            <v>0</v>
          </cell>
          <cell r="T31">
            <v>1.9E-3</v>
          </cell>
          <cell r="U31">
            <v>5.8799999999999998E-2</v>
          </cell>
        </row>
        <row r="32">
          <cell r="A32">
            <v>38473</v>
          </cell>
          <cell r="B32">
            <v>3.9199999999999999E-2</v>
          </cell>
          <cell r="E32">
            <v>0</v>
          </cell>
          <cell r="F32">
            <v>1.9E-3</v>
          </cell>
          <cell r="G32">
            <v>4.1099999999999998E-2</v>
          </cell>
          <cell r="I32">
            <v>4.9299999999999997E-2</v>
          </cell>
          <cell r="L32">
            <v>0</v>
          </cell>
          <cell r="M32">
            <v>1.9E-3</v>
          </cell>
          <cell r="N32">
            <v>5.1199999999999996E-2</v>
          </cell>
          <cell r="P32">
            <v>5.6899999999999999E-2</v>
          </cell>
          <cell r="S32">
            <v>0</v>
          </cell>
          <cell r="T32">
            <v>1.9E-3</v>
          </cell>
          <cell r="U32">
            <v>5.8799999999999998E-2</v>
          </cell>
        </row>
        <row r="33">
          <cell r="A33">
            <v>38565</v>
          </cell>
          <cell r="B33">
            <v>3.9199999999999999E-2</v>
          </cell>
          <cell r="E33">
            <v>0</v>
          </cell>
          <cell r="F33">
            <v>1.9E-3</v>
          </cell>
          <cell r="G33">
            <v>4.1099999999999998E-2</v>
          </cell>
          <cell r="I33">
            <v>4.9299999999999997E-2</v>
          </cell>
          <cell r="L33">
            <v>0</v>
          </cell>
          <cell r="M33">
            <v>1.9E-3</v>
          </cell>
          <cell r="N33">
            <v>5.1199999999999996E-2</v>
          </cell>
          <cell r="P33">
            <v>5.6899999999999999E-2</v>
          </cell>
          <cell r="S33">
            <v>0</v>
          </cell>
          <cell r="T33">
            <v>1.9E-3</v>
          </cell>
          <cell r="U33">
            <v>5.8799999999999998E-2</v>
          </cell>
        </row>
        <row r="34">
          <cell r="A34">
            <v>38687</v>
          </cell>
          <cell r="B34">
            <v>5.1200000000000002E-2</v>
          </cell>
          <cell r="E34">
            <v>0</v>
          </cell>
          <cell r="F34">
            <v>1.8E-3</v>
          </cell>
          <cell r="G34">
            <v>5.3000000000000005E-2</v>
          </cell>
          <cell r="I34">
            <v>5.45E-2</v>
          </cell>
          <cell r="L34">
            <v>0</v>
          </cell>
          <cell r="M34">
            <v>1.8E-3</v>
          </cell>
          <cell r="N34">
            <v>5.6300000000000003E-2</v>
          </cell>
          <cell r="P34">
            <v>6.6699999999999995E-2</v>
          </cell>
          <cell r="S34">
            <v>0</v>
          </cell>
          <cell r="T34">
            <v>1.8E-3</v>
          </cell>
          <cell r="U34">
            <v>6.8499999999999991E-2</v>
          </cell>
        </row>
        <row r="35">
          <cell r="A35">
            <v>38838</v>
          </cell>
          <cell r="B35">
            <v>4.5999999999999999E-2</v>
          </cell>
          <cell r="E35">
            <v>0</v>
          </cell>
          <cell r="F35">
            <v>1.8E-3</v>
          </cell>
          <cell r="G35">
            <v>4.7800000000000002E-2</v>
          </cell>
          <cell r="I35">
            <v>4.9000000000000002E-2</v>
          </cell>
          <cell r="L35">
            <v>0</v>
          </cell>
          <cell r="M35">
            <v>1.8E-3</v>
          </cell>
          <cell r="N35">
            <v>5.0800000000000005E-2</v>
          </cell>
          <cell r="P35">
            <v>6.1400000000000003E-2</v>
          </cell>
          <cell r="S35">
            <v>0</v>
          </cell>
          <cell r="T35">
            <v>1.8E-3</v>
          </cell>
          <cell r="U35">
            <v>6.3200000000000006E-2</v>
          </cell>
        </row>
        <row r="36">
          <cell r="A36">
            <v>39114</v>
          </cell>
          <cell r="B36">
            <v>4.5999999999999999E-2</v>
          </cell>
          <cell r="E36">
            <v>0</v>
          </cell>
          <cell r="F36">
            <v>1.6000000000000001E-3</v>
          </cell>
          <cell r="G36">
            <v>4.7599999999999996E-2</v>
          </cell>
          <cell r="I36">
            <v>4.9000000000000002E-2</v>
          </cell>
          <cell r="L36">
            <v>0</v>
          </cell>
          <cell r="M36">
            <v>1.6000000000000001E-3</v>
          </cell>
          <cell r="N36">
            <v>5.0599999999999999E-2</v>
          </cell>
          <cell r="P36">
            <v>6.1400000000000003E-2</v>
          </cell>
          <cell r="S36">
            <v>0</v>
          </cell>
          <cell r="T36">
            <v>1.6000000000000001E-3</v>
          </cell>
          <cell r="U36">
            <v>6.3E-2</v>
          </cell>
        </row>
        <row r="37">
          <cell r="A37">
            <v>54789</v>
          </cell>
        </row>
      </sheetData>
      <sheetData sheetId="67">
        <row r="10">
          <cell r="A10">
            <v>34973</v>
          </cell>
          <cell r="B10">
            <v>0.29920000000000002</v>
          </cell>
          <cell r="C10">
            <v>2.46E-2</v>
          </cell>
          <cell r="H10">
            <v>7.2000000000000007E-3</v>
          </cell>
          <cell r="I10">
            <v>0.33100000000000002</v>
          </cell>
          <cell r="K10">
            <v>0.3422</v>
          </cell>
          <cell r="L10">
            <v>2.46E-2</v>
          </cell>
          <cell r="Q10">
            <v>7.2000000000000007E-3</v>
          </cell>
          <cell r="R10">
            <v>0.374</v>
          </cell>
          <cell r="T10">
            <v>0.40029999999999999</v>
          </cell>
          <cell r="U10">
            <v>2.46E-2</v>
          </cell>
          <cell r="Z10">
            <v>7.2000000000000007E-3</v>
          </cell>
          <cell r="AA10">
            <v>0.43209999999999998</v>
          </cell>
          <cell r="AC10">
            <v>0.31909999999999999</v>
          </cell>
          <cell r="AD10">
            <v>2.46E-2</v>
          </cell>
          <cell r="AI10">
            <v>7.2000000000000007E-3</v>
          </cell>
          <cell r="AJ10">
            <v>0.35089999999999999</v>
          </cell>
        </row>
        <row r="11">
          <cell r="A11">
            <v>35065</v>
          </cell>
          <cell r="B11">
            <v>0.29920000000000002</v>
          </cell>
          <cell r="C11">
            <v>1.7500000000000002E-2</v>
          </cell>
          <cell r="H11">
            <v>8.5000000000000006E-3</v>
          </cell>
          <cell r="I11">
            <v>0.32520000000000004</v>
          </cell>
          <cell r="K11">
            <v>0.3422</v>
          </cell>
          <cell r="L11">
            <v>1.7500000000000002E-2</v>
          </cell>
          <cell r="Q11">
            <v>8.5000000000000006E-3</v>
          </cell>
          <cell r="R11">
            <v>0.36820000000000003</v>
          </cell>
          <cell r="T11">
            <v>0.40029999999999999</v>
          </cell>
          <cell r="U11">
            <v>1.7500000000000002E-2</v>
          </cell>
          <cell r="Z11">
            <v>8.5000000000000006E-3</v>
          </cell>
          <cell r="AA11">
            <v>0.42630000000000001</v>
          </cell>
          <cell r="AC11">
            <v>0.31909999999999999</v>
          </cell>
          <cell r="AD11">
            <v>1.7500000000000002E-2</v>
          </cell>
          <cell r="AI11">
            <v>8.5000000000000006E-3</v>
          </cell>
          <cell r="AJ11">
            <v>0.34510000000000002</v>
          </cell>
        </row>
        <row r="12">
          <cell r="A12">
            <v>35096</v>
          </cell>
          <cell r="B12">
            <v>0.30020000000000002</v>
          </cell>
          <cell r="C12">
            <v>1.7500000000000002E-2</v>
          </cell>
          <cell r="H12">
            <v>8.5000000000000006E-3</v>
          </cell>
          <cell r="I12">
            <v>0.32620000000000005</v>
          </cell>
          <cell r="K12">
            <v>0.34320000000000001</v>
          </cell>
          <cell r="L12">
            <v>1.7500000000000002E-2</v>
          </cell>
          <cell r="Q12">
            <v>8.5000000000000006E-3</v>
          </cell>
          <cell r="R12">
            <v>0.36920000000000003</v>
          </cell>
          <cell r="T12">
            <v>0.40129999999999999</v>
          </cell>
          <cell r="U12">
            <v>1.7500000000000002E-2</v>
          </cell>
          <cell r="Z12">
            <v>8.5000000000000006E-3</v>
          </cell>
          <cell r="AA12">
            <v>0.42730000000000001</v>
          </cell>
          <cell r="AC12">
            <v>0.3201</v>
          </cell>
          <cell r="AD12">
            <v>1.7500000000000002E-2</v>
          </cell>
          <cell r="AI12">
            <v>8.5000000000000006E-3</v>
          </cell>
          <cell r="AJ12">
            <v>0.34610000000000002</v>
          </cell>
        </row>
        <row r="13">
          <cell r="A13">
            <v>35125</v>
          </cell>
          <cell r="B13">
            <v>0.24440000000000001</v>
          </cell>
          <cell r="C13">
            <v>1.7500000000000002E-2</v>
          </cell>
          <cell r="H13">
            <v>8.5000000000000006E-3</v>
          </cell>
          <cell r="I13">
            <v>0.27040000000000003</v>
          </cell>
          <cell r="K13">
            <v>0.28189999999999998</v>
          </cell>
          <cell r="L13">
            <v>1.7500000000000002E-2</v>
          </cell>
          <cell r="Q13">
            <v>8.5000000000000006E-3</v>
          </cell>
          <cell r="R13">
            <v>0.30790000000000001</v>
          </cell>
          <cell r="T13">
            <v>0.32969999999999999</v>
          </cell>
          <cell r="U13">
            <v>1.7500000000000002E-2</v>
          </cell>
          <cell r="Z13">
            <v>8.5000000000000006E-3</v>
          </cell>
          <cell r="AA13">
            <v>0.35570000000000002</v>
          </cell>
          <cell r="AC13">
            <v>0.26250000000000001</v>
          </cell>
          <cell r="AD13">
            <v>1.7500000000000002E-2</v>
          </cell>
          <cell r="AI13">
            <v>8.5000000000000006E-3</v>
          </cell>
          <cell r="AJ13">
            <v>0.28850000000000003</v>
          </cell>
        </row>
        <row r="14">
          <cell r="A14">
            <v>35247</v>
          </cell>
          <cell r="B14">
            <v>0.25729999999999997</v>
          </cell>
          <cell r="C14">
            <v>1.7500000000000002E-2</v>
          </cell>
          <cell r="D14">
            <v>-1.4999999999999999E-2</v>
          </cell>
          <cell r="E14">
            <v>2.2000000000000001E-3</v>
          </cell>
          <cell r="F14">
            <v>-1E-4</v>
          </cell>
          <cell r="G14">
            <v>-1.1999999999999999E-3</v>
          </cell>
          <cell r="H14">
            <v>8.5000000000000006E-3</v>
          </cell>
          <cell r="I14">
            <v>0.26919999999999999</v>
          </cell>
          <cell r="K14">
            <v>0.29480000000000001</v>
          </cell>
          <cell r="L14">
            <v>1.7500000000000002E-2</v>
          </cell>
          <cell r="M14">
            <v>-1.4999999999999999E-2</v>
          </cell>
          <cell r="N14">
            <v>2.2000000000000001E-3</v>
          </cell>
          <cell r="O14">
            <v>-1E-4</v>
          </cell>
          <cell r="P14">
            <v>-1.1999999999999999E-3</v>
          </cell>
          <cell r="Q14">
            <v>8.5000000000000006E-3</v>
          </cell>
          <cell r="R14">
            <v>0.30670000000000003</v>
          </cell>
          <cell r="T14">
            <v>0.34260000000000002</v>
          </cell>
          <cell r="U14">
            <v>1.7500000000000002E-2</v>
          </cell>
          <cell r="V14">
            <v>-1.4999999999999999E-2</v>
          </cell>
          <cell r="W14">
            <v>2.2000000000000001E-3</v>
          </cell>
          <cell r="X14">
            <v>-1E-4</v>
          </cell>
          <cell r="Y14">
            <v>-1.1999999999999999E-3</v>
          </cell>
          <cell r="Z14">
            <v>8.5000000000000006E-3</v>
          </cell>
          <cell r="AA14">
            <v>0.35450000000000004</v>
          </cell>
          <cell r="AC14">
            <v>0.27539999999999998</v>
          </cell>
          <cell r="AD14">
            <v>1.7500000000000002E-2</v>
          </cell>
          <cell r="AE14">
            <v>-1.4999999999999999E-2</v>
          </cell>
          <cell r="AF14">
            <v>2.2000000000000001E-3</v>
          </cell>
          <cell r="AG14">
            <v>-1E-4</v>
          </cell>
          <cell r="AH14">
            <v>-1.1999999999999999E-3</v>
          </cell>
          <cell r="AI14">
            <v>8.5000000000000006E-3</v>
          </cell>
          <cell r="AJ14">
            <v>0.2873</v>
          </cell>
        </row>
        <row r="15">
          <cell r="A15">
            <v>35309</v>
          </cell>
          <cell r="B15">
            <v>0.25729999999999997</v>
          </cell>
          <cell r="C15">
            <v>1.7500000000000002E-2</v>
          </cell>
          <cell r="D15">
            <v>-1.8100000000000002E-2</v>
          </cell>
          <cell r="E15">
            <v>-9.4000000000000004E-3</v>
          </cell>
          <cell r="F15">
            <v>-1E-4</v>
          </cell>
          <cell r="G15">
            <v>-1.1999999999999999E-3</v>
          </cell>
          <cell r="H15">
            <v>8.5000000000000006E-3</v>
          </cell>
          <cell r="I15">
            <v>0.2545</v>
          </cell>
          <cell r="K15">
            <v>0.29480000000000001</v>
          </cell>
          <cell r="L15">
            <v>1.7500000000000002E-2</v>
          </cell>
          <cell r="M15">
            <v>-1.8100000000000002E-2</v>
          </cell>
          <cell r="N15">
            <v>-9.4000000000000004E-3</v>
          </cell>
          <cell r="O15">
            <v>-1E-4</v>
          </cell>
          <cell r="P15">
            <v>-1.1999999999999999E-3</v>
          </cell>
          <cell r="Q15">
            <v>8.5000000000000006E-3</v>
          </cell>
          <cell r="R15">
            <v>0.29200000000000004</v>
          </cell>
          <cell r="T15">
            <v>0.34260000000000002</v>
          </cell>
          <cell r="U15">
            <v>1.7500000000000002E-2</v>
          </cell>
          <cell r="V15">
            <v>-1.8100000000000002E-2</v>
          </cell>
          <cell r="W15">
            <v>-9.4000000000000004E-3</v>
          </cell>
          <cell r="X15">
            <v>-1E-4</v>
          </cell>
          <cell r="Y15">
            <v>-1.1999999999999999E-3</v>
          </cell>
          <cell r="Z15">
            <v>8.5000000000000006E-3</v>
          </cell>
          <cell r="AA15">
            <v>0.33980000000000005</v>
          </cell>
          <cell r="AC15">
            <v>0.27539999999999998</v>
          </cell>
          <cell r="AD15">
            <v>1.7500000000000002E-2</v>
          </cell>
          <cell r="AE15">
            <v>-1.8100000000000002E-2</v>
          </cell>
          <cell r="AF15">
            <v>-9.4000000000000004E-3</v>
          </cell>
          <cell r="AG15">
            <v>-1E-4</v>
          </cell>
          <cell r="AH15">
            <v>-1.1999999999999999E-3</v>
          </cell>
          <cell r="AI15">
            <v>8.5000000000000006E-3</v>
          </cell>
          <cell r="AJ15">
            <v>0.27260000000000001</v>
          </cell>
        </row>
        <row r="16">
          <cell r="A16">
            <v>35462</v>
          </cell>
          <cell r="B16">
            <v>0.25729999999999997</v>
          </cell>
          <cell r="C16">
            <v>1.7500000000000002E-2</v>
          </cell>
          <cell r="D16">
            <v>-1.8100000000000002E-2</v>
          </cell>
          <cell r="E16">
            <v>-9.4000000000000004E-3</v>
          </cell>
          <cell r="G16">
            <v>-1.1999999999999999E-3</v>
          </cell>
          <cell r="H16">
            <v>8.5000000000000006E-3</v>
          </cell>
          <cell r="I16">
            <v>0.25459999999999999</v>
          </cell>
          <cell r="K16">
            <v>0.29480000000000001</v>
          </cell>
          <cell r="L16">
            <v>1.7500000000000002E-2</v>
          </cell>
          <cell r="M16">
            <v>-1.8100000000000002E-2</v>
          </cell>
          <cell r="N16">
            <v>-9.4000000000000004E-3</v>
          </cell>
          <cell r="P16">
            <v>-1.1999999999999999E-3</v>
          </cell>
          <cell r="Q16">
            <v>8.5000000000000006E-3</v>
          </cell>
          <cell r="R16">
            <v>0.29210000000000003</v>
          </cell>
          <cell r="T16">
            <v>0.34260000000000002</v>
          </cell>
          <cell r="U16">
            <v>1.7500000000000002E-2</v>
          </cell>
          <cell r="V16">
            <v>-1.8100000000000002E-2</v>
          </cell>
          <cell r="W16">
            <v>-9.4000000000000004E-3</v>
          </cell>
          <cell r="Y16">
            <v>-1.1999999999999999E-3</v>
          </cell>
          <cell r="Z16">
            <v>8.5000000000000006E-3</v>
          </cell>
          <cell r="AA16">
            <v>0.33990000000000004</v>
          </cell>
          <cell r="AC16">
            <v>0.27539999999999998</v>
          </cell>
          <cell r="AD16">
            <v>1.7500000000000002E-2</v>
          </cell>
          <cell r="AE16">
            <v>-1.8100000000000002E-2</v>
          </cell>
          <cell r="AF16">
            <v>-9.4000000000000004E-3</v>
          </cell>
          <cell r="AH16">
            <v>-1.1999999999999999E-3</v>
          </cell>
          <cell r="AI16">
            <v>8.5000000000000006E-3</v>
          </cell>
          <cell r="AJ16">
            <v>0.2727</v>
          </cell>
        </row>
        <row r="17">
          <cell r="A17">
            <v>35490</v>
          </cell>
          <cell r="B17">
            <v>0.25729999999999997</v>
          </cell>
          <cell r="C17">
            <v>1.7500000000000002E-2</v>
          </cell>
          <cell r="D17">
            <v>-1.7999999999999999E-2</v>
          </cell>
          <cell r="E17">
            <v>3.8E-3</v>
          </cell>
          <cell r="G17">
            <v>-1.1999999999999999E-3</v>
          </cell>
          <cell r="H17">
            <v>8.5000000000000006E-3</v>
          </cell>
          <cell r="I17">
            <v>0.26790000000000003</v>
          </cell>
          <cell r="K17">
            <v>0.29480000000000001</v>
          </cell>
          <cell r="L17">
            <v>1.7500000000000002E-2</v>
          </cell>
          <cell r="M17">
            <v>-1.7999999999999999E-2</v>
          </cell>
          <cell r="N17">
            <v>3.8E-3</v>
          </cell>
          <cell r="P17">
            <v>-1.1999999999999999E-3</v>
          </cell>
          <cell r="Q17">
            <v>8.5000000000000006E-3</v>
          </cell>
          <cell r="R17">
            <v>0.30540000000000006</v>
          </cell>
          <cell r="T17">
            <v>0.34260000000000002</v>
          </cell>
          <cell r="U17">
            <v>1.7500000000000002E-2</v>
          </cell>
          <cell r="V17">
            <v>-1.7999999999999999E-2</v>
          </cell>
          <cell r="W17">
            <v>3.8E-3</v>
          </cell>
          <cell r="Y17">
            <v>-1.1999999999999999E-3</v>
          </cell>
          <cell r="Z17">
            <v>8.5000000000000006E-3</v>
          </cell>
          <cell r="AA17">
            <v>0.35320000000000007</v>
          </cell>
          <cell r="AC17">
            <v>0.27539999999999998</v>
          </cell>
          <cell r="AD17">
            <v>1.7500000000000002E-2</v>
          </cell>
          <cell r="AE17">
            <v>-1.7999999999999999E-2</v>
          </cell>
          <cell r="AF17">
            <v>3.8E-3</v>
          </cell>
          <cell r="AH17">
            <v>-1.1999999999999999E-3</v>
          </cell>
          <cell r="AI17">
            <v>8.5000000000000006E-3</v>
          </cell>
          <cell r="AJ17">
            <v>0.28600000000000003</v>
          </cell>
        </row>
        <row r="18">
          <cell r="A18">
            <v>35612</v>
          </cell>
          <cell r="B18">
            <v>0.25729999999999997</v>
          </cell>
          <cell r="C18">
            <v>1.7500000000000002E-2</v>
          </cell>
          <cell r="D18">
            <v>-1.7999999999999999E-2</v>
          </cell>
          <cell r="E18">
            <v>3.8E-3</v>
          </cell>
          <cell r="F18">
            <v>-1E-4</v>
          </cell>
          <cell r="G18">
            <v>-1.1999999999999999E-3</v>
          </cell>
          <cell r="H18">
            <v>8.5000000000000006E-3</v>
          </cell>
          <cell r="I18">
            <v>0.26780000000000004</v>
          </cell>
          <cell r="K18">
            <v>0.29480000000000001</v>
          </cell>
          <cell r="L18">
            <v>1.7500000000000002E-2</v>
          </cell>
          <cell r="M18">
            <v>-1.7999999999999999E-2</v>
          </cell>
          <cell r="N18">
            <v>3.8E-3</v>
          </cell>
          <cell r="O18">
            <v>-1E-4</v>
          </cell>
          <cell r="P18">
            <v>-1.1999999999999999E-3</v>
          </cell>
          <cell r="Q18">
            <v>8.5000000000000006E-3</v>
          </cell>
          <cell r="R18">
            <v>0.30530000000000007</v>
          </cell>
          <cell r="T18">
            <v>0.34260000000000002</v>
          </cell>
          <cell r="U18">
            <v>1.7500000000000002E-2</v>
          </cell>
          <cell r="V18">
            <v>-1.7999999999999999E-2</v>
          </cell>
          <cell r="W18">
            <v>3.8E-3</v>
          </cell>
          <cell r="X18">
            <v>-1E-4</v>
          </cell>
          <cell r="Y18">
            <v>-1.1999999999999999E-3</v>
          </cell>
          <cell r="Z18">
            <v>8.5000000000000006E-3</v>
          </cell>
          <cell r="AA18">
            <v>0.35310000000000008</v>
          </cell>
          <cell r="AC18">
            <v>0.27539999999999998</v>
          </cell>
          <cell r="AD18">
            <v>1.7500000000000002E-2</v>
          </cell>
          <cell r="AE18">
            <v>-1.7999999999999999E-2</v>
          </cell>
          <cell r="AF18">
            <v>3.8E-3</v>
          </cell>
          <cell r="AG18">
            <v>-1E-4</v>
          </cell>
          <cell r="AH18">
            <v>-1.1999999999999999E-3</v>
          </cell>
          <cell r="AI18">
            <v>8.5000000000000006E-3</v>
          </cell>
          <cell r="AJ18">
            <v>0.28590000000000004</v>
          </cell>
        </row>
        <row r="19">
          <cell r="A19">
            <v>35735</v>
          </cell>
          <cell r="B19">
            <v>0.30230000000000001</v>
          </cell>
          <cell r="C19">
            <v>1.7500000000000002E-2</v>
          </cell>
          <cell r="G19">
            <v>-1.1999999999999999E-3</v>
          </cell>
          <cell r="H19">
            <v>8.5000000000000006E-3</v>
          </cell>
          <cell r="I19">
            <v>0.32710000000000006</v>
          </cell>
          <cell r="K19">
            <v>0.35339999999999999</v>
          </cell>
          <cell r="L19">
            <v>1.7500000000000002E-2</v>
          </cell>
          <cell r="P19">
            <v>-1.1999999999999999E-3</v>
          </cell>
          <cell r="Q19">
            <v>8.5000000000000006E-3</v>
          </cell>
          <cell r="R19">
            <v>0.37820000000000004</v>
          </cell>
          <cell r="T19">
            <v>0.4138</v>
          </cell>
          <cell r="U19">
            <v>1.7500000000000002E-2</v>
          </cell>
          <cell r="Y19">
            <v>-1.1999999999999999E-3</v>
          </cell>
          <cell r="Z19">
            <v>8.5000000000000006E-3</v>
          </cell>
          <cell r="AA19">
            <v>0.43860000000000005</v>
          </cell>
          <cell r="AC19">
            <v>0.3392</v>
          </cell>
          <cell r="AD19">
            <v>1.7500000000000002E-2</v>
          </cell>
          <cell r="AH19">
            <v>-1.1999999999999999E-3</v>
          </cell>
          <cell r="AI19">
            <v>8.5000000000000006E-3</v>
          </cell>
          <cell r="AJ19">
            <v>0.36400000000000005</v>
          </cell>
        </row>
        <row r="20">
          <cell r="A20">
            <v>35796</v>
          </cell>
          <cell r="B20">
            <v>0.26</v>
          </cell>
          <cell r="C20">
            <v>0</v>
          </cell>
          <cell r="F20">
            <v>-1E-4</v>
          </cell>
          <cell r="G20">
            <v>-1.1999999999999999E-3</v>
          </cell>
          <cell r="H20">
            <v>8.5000000000000006E-3</v>
          </cell>
          <cell r="I20">
            <v>0.26720000000000005</v>
          </cell>
          <cell r="K20">
            <v>0.30499999999999999</v>
          </cell>
          <cell r="L20">
            <v>0</v>
          </cell>
          <cell r="O20">
            <v>-1E-4</v>
          </cell>
          <cell r="P20">
            <v>-1.1999999999999999E-3</v>
          </cell>
          <cell r="Q20">
            <v>8.5000000000000006E-3</v>
          </cell>
          <cell r="R20">
            <v>0.31220000000000003</v>
          </cell>
          <cell r="T20">
            <v>0.33500000000000002</v>
          </cell>
          <cell r="U20">
            <v>0</v>
          </cell>
          <cell r="X20">
            <v>-1E-4</v>
          </cell>
          <cell r="Y20">
            <v>-1.1999999999999999E-3</v>
          </cell>
          <cell r="Z20">
            <v>8.5000000000000006E-3</v>
          </cell>
          <cell r="AA20">
            <v>0.34220000000000006</v>
          </cell>
          <cell r="AC20">
            <v>0.29249999999999998</v>
          </cell>
          <cell r="AD20">
            <v>0</v>
          </cell>
          <cell r="AG20">
            <v>-1E-4</v>
          </cell>
          <cell r="AH20">
            <v>-1.1999999999999999E-3</v>
          </cell>
          <cell r="AI20">
            <v>8.5000000000000006E-3</v>
          </cell>
          <cell r="AJ20">
            <v>0.29970000000000002</v>
          </cell>
        </row>
        <row r="21">
          <cell r="A21">
            <v>35827</v>
          </cell>
          <cell r="B21">
            <v>0.26</v>
          </cell>
          <cell r="C21">
            <v>0</v>
          </cell>
          <cell r="F21">
            <v>-8.0000000000000004E-4</v>
          </cell>
          <cell r="G21">
            <v>-1.2999999999999999E-3</v>
          </cell>
          <cell r="H21">
            <v>8.5000000000000006E-3</v>
          </cell>
          <cell r="I21">
            <v>0.26639999999999997</v>
          </cell>
          <cell r="K21">
            <v>0.30499999999999999</v>
          </cell>
          <cell r="L21">
            <v>0</v>
          </cell>
          <cell r="O21">
            <v>-8.0000000000000004E-4</v>
          </cell>
          <cell r="P21">
            <v>-1.2999999999999999E-3</v>
          </cell>
          <cell r="Q21">
            <v>8.5000000000000006E-3</v>
          </cell>
          <cell r="R21">
            <v>0.31139999999999995</v>
          </cell>
          <cell r="T21">
            <v>0.33500000000000002</v>
          </cell>
          <cell r="U21">
            <v>0</v>
          </cell>
          <cell r="X21">
            <v>-8.0000000000000004E-4</v>
          </cell>
          <cell r="Y21">
            <v>-1.2999999999999999E-3</v>
          </cell>
          <cell r="Z21">
            <v>8.5000000000000006E-3</v>
          </cell>
          <cell r="AA21">
            <v>0.34139999999999998</v>
          </cell>
          <cell r="AC21">
            <v>0.29249999999999998</v>
          </cell>
          <cell r="AD21">
            <v>0</v>
          </cell>
          <cell r="AG21">
            <v>-8.0000000000000004E-4</v>
          </cell>
          <cell r="AH21">
            <v>-1.2999999999999999E-3</v>
          </cell>
          <cell r="AI21">
            <v>8.5000000000000006E-3</v>
          </cell>
          <cell r="AJ21">
            <v>0.29889999999999994</v>
          </cell>
        </row>
        <row r="22">
          <cell r="A22">
            <v>35947</v>
          </cell>
          <cell r="B22">
            <v>0.21729999999999999</v>
          </cell>
          <cell r="C22">
            <v>0</v>
          </cell>
          <cell r="F22">
            <v>-8.0000000000000004E-4</v>
          </cell>
          <cell r="G22">
            <v>-1.2999999999999999E-3</v>
          </cell>
          <cell r="H22">
            <v>8.5000000000000006E-3</v>
          </cell>
          <cell r="I22">
            <v>0.22370000000000001</v>
          </cell>
          <cell r="K22">
            <v>0.25800000000000001</v>
          </cell>
          <cell r="L22">
            <v>0</v>
          </cell>
          <cell r="O22">
            <v>-8.0000000000000004E-4</v>
          </cell>
          <cell r="P22">
            <v>-1.2999999999999999E-3</v>
          </cell>
          <cell r="Q22">
            <v>8.5000000000000006E-3</v>
          </cell>
          <cell r="R22">
            <v>0.26439999999999997</v>
          </cell>
          <cell r="T22">
            <v>0.31119999999999998</v>
          </cell>
          <cell r="U22">
            <v>0</v>
          </cell>
          <cell r="X22">
            <v>-8.0000000000000004E-4</v>
          </cell>
          <cell r="Y22">
            <v>-1.2999999999999999E-3</v>
          </cell>
          <cell r="Z22">
            <v>8.5000000000000006E-3</v>
          </cell>
          <cell r="AA22">
            <v>0.31759999999999994</v>
          </cell>
          <cell r="AC22">
            <v>0.24990000000000001</v>
          </cell>
          <cell r="AD22">
            <v>0</v>
          </cell>
          <cell r="AG22">
            <v>-8.0000000000000004E-4</v>
          </cell>
          <cell r="AH22">
            <v>-1.2999999999999999E-3</v>
          </cell>
          <cell r="AI22">
            <v>8.5000000000000006E-3</v>
          </cell>
          <cell r="AJ22">
            <v>0.25630000000000003</v>
          </cell>
        </row>
        <row r="23">
          <cell r="A23">
            <v>35977</v>
          </cell>
          <cell r="B23">
            <v>0.2122</v>
          </cell>
          <cell r="C23">
            <v>0</v>
          </cell>
          <cell r="F23">
            <v>-6.9999999999999999E-4</v>
          </cell>
          <cell r="G23">
            <v>-1E-4</v>
          </cell>
          <cell r="H23">
            <v>8.5000000000000006E-3</v>
          </cell>
          <cell r="I23">
            <v>0.21990000000000001</v>
          </cell>
          <cell r="K23">
            <v>0.25290000000000001</v>
          </cell>
          <cell r="L23">
            <v>0</v>
          </cell>
          <cell r="O23">
            <v>-6.9999999999999999E-4</v>
          </cell>
          <cell r="P23">
            <v>-1E-4</v>
          </cell>
          <cell r="Q23">
            <v>8.5000000000000006E-3</v>
          </cell>
          <cell r="R23">
            <v>0.26060000000000005</v>
          </cell>
          <cell r="T23">
            <v>0.30609999999999998</v>
          </cell>
          <cell r="U23">
            <v>0</v>
          </cell>
          <cell r="X23">
            <v>-6.9999999999999999E-4</v>
          </cell>
          <cell r="Y23">
            <v>-1E-4</v>
          </cell>
          <cell r="Z23">
            <v>8.5000000000000006E-3</v>
          </cell>
          <cell r="AA23">
            <v>0.31380000000000002</v>
          </cell>
          <cell r="AC23">
            <v>0.24479999999999999</v>
          </cell>
          <cell r="AD23">
            <v>0</v>
          </cell>
          <cell r="AG23">
            <v>-6.9999999999999999E-4</v>
          </cell>
          <cell r="AH23">
            <v>-1E-4</v>
          </cell>
          <cell r="AI23">
            <v>8.5000000000000006E-3</v>
          </cell>
          <cell r="AJ23">
            <v>0.2525</v>
          </cell>
        </row>
        <row r="24">
          <cell r="A24">
            <v>36192</v>
          </cell>
          <cell r="B24">
            <v>0.2122</v>
          </cell>
          <cell r="C24">
            <v>0</v>
          </cell>
          <cell r="F24">
            <v>0</v>
          </cell>
          <cell r="G24">
            <v>-1E-3</v>
          </cell>
          <cell r="H24">
            <v>7.6E-3</v>
          </cell>
          <cell r="I24">
            <v>0.21879999999999999</v>
          </cell>
          <cell r="K24">
            <v>0.25290000000000001</v>
          </cell>
          <cell r="L24">
            <v>0</v>
          </cell>
          <cell r="O24">
            <v>0</v>
          </cell>
          <cell r="P24">
            <v>-1E-3</v>
          </cell>
          <cell r="Q24">
            <v>7.6E-3</v>
          </cell>
          <cell r="R24">
            <v>0.25950000000000001</v>
          </cell>
          <cell r="T24">
            <v>0.30430000000000001</v>
          </cell>
          <cell r="U24">
            <v>0</v>
          </cell>
          <cell r="X24">
            <v>0</v>
          </cell>
          <cell r="Y24">
            <v>-1E-3</v>
          </cell>
          <cell r="Z24">
            <v>7.6E-3</v>
          </cell>
          <cell r="AA24">
            <v>0.31090000000000001</v>
          </cell>
          <cell r="AC24">
            <v>0.22270000000000001</v>
          </cell>
          <cell r="AD24">
            <v>0</v>
          </cell>
          <cell r="AG24">
            <v>0</v>
          </cell>
          <cell r="AH24">
            <v>-1E-3</v>
          </cell>
          <cell r="AI24">
            <v>7.6E-3</v>
          </cell>
          <cell r="AJ24">
            <v>0.2293</v>
          </cell>
        </row>
        <row r="25">
          <cell r="A25">
            <v>36831</v>
          </cell>
          <cell r="B25">
            <v>0.2097</v>
          </cell>
          <cell r="C25">
            <v>0</v>
          </cell>
          <cell r="F25">
            <v>0</v>
          </cell>
          <cell r="G25">
            <v>0</v>
          </cell>
          <cell r="H25">
            <v>6.6E-3</v>
          </cell>
          <cell r="I25">
            <v>0.21629999999999999</v>
          </cell>
          <cell r="K25">
            <v>0.25040000000000001</v>
          </cell>
          <cell r="L25">
            <v>0</v>
          </cell>
          <cell r="O25">
            <v>0</v>
          </cell>
          <cell r="P25">
            <v>0</v>
          </cell>
          <cell r="Q25">
            <v>6.6E-3</v>
          </cell>
          <cell r="R25">
            <v>0.25700000000000001</v>
          </cell>
          <cell r="T25">
            <v>0.30180000000000001</v>
          </cell>
          <cell r="U25">
            <v>0</v>
          </cell>
          <cell r="X25">
            <v>0</v>
          </cell>
          <cell r="Y25">
            <v>0</v>
          </cell>
          <cell r="Z25">
            <v>6.6E-3</v>
          </cell>
          <cell r="AA25">
            <v>0.30840000000000001</v>
          </cell>
          <cell r="AC25">
            <v>0.22020000000000001</v>
          </cell>
          <cell r="AD25">
            <v>0</v>
          </cell>
          <cell r="AG25">
            <v>0</v>
          </cell>
          <cell r="AH25">
            <v>0</v>
          </cell>
          <cell r="AI25">
            <v>6.6E-3</v>
          </cell>
          <cell r="AJ25">
            <v>0.2268</v>
          </cell>
        </row>
        <row r="26">
          <cell r="A26">
            <v>36923</v>
          </cell>
          <cell r="B26">
            <v>0.2838</v>
          </cell>
          <cell r="C26">
            <v>0</v>
          </cell>
          <cell r="F26">
            <v>0</v>
          </cell>
          <cell r="G26">
            <v>0</v>
          </cell>
          <cell r="H26">
            <v>6.6E-3</v>
          </cell>
          <cell r="I26">
            <v>0.29039999999999999</v>
          </cell>
          <cell r="K26">
            <v>0.34370000000000001</v>
          </cell>
          <cell r="L26">
            <v>0</v>
          </cell>
          <cell r="O26">
            <v>0</v>
          </cell>
          <cell r="P26">
            <v>0</v>
          </cell>
          <cell r="Q26">
            <v>6.6E-3</v>
          </cell>
          <cell r="R26">
            <v>0.3503</v>
          </cell>
          <cell r="T26">
            <v>0.41749999999999998</v>
          </cell>
          <cell r="U26">
            <v>0</v>
          </cell>
          <cell r="X26">
            <v>0</v>
          </cell>
          <cell r="Y26">
            <v>0</v>
          </cell>
          <cell r="Z26">
            <v>6.6E-3</v>
          </cell>
          <cell r="AA26">
            <v>0.42409999999999998</v>
          </cell>
          <cell r="AC26">
            <v>0.31369999999999998</v>
          </cell>
          <cell r="AD26">
            <v>0</v>
          </cell>
          <cell r="AG26">
            <v>0</v>
          </cell>
          <cell r="AH26">
            <v>0</v>
          </cell>
          <cell r="AI26">
            <v>6.6E-3</v>
          </cell>
          <cell r="AJ26">
            <v>0.32029999999999997</v>
          </cell>
        </row>
        <row r="27">
          <cell r="A27">
            <v>37012</v>
          </cell>
          <cell r="B27">
            <v>0.245</v>
          </cell>
          <cell r="C27">
            <v>0</v>
          </cell>
          <cell r="F27">
            <v>0</v>
          </cell>
          <cell r="G27">
            <v>0</v>
          </cell>
          <cell r="H27">
            <v>3.0000000000000001E-3</v>
          </cell>
          <cell r="I27">
            <v>0.248</v>
          </cell>
          <cell r="K27">
            <v>0.28999999999999998</v>
          </cell>
          <cell r="L27">
            <v>0</v>
          </cell>
          <cell r="O27">
            <v>0</v>
          </cell>
          <cell r="P27">
            <v>0</v>
          </cell>
          <cell r="Q27">
            <v>3.0000000000000001E-3</v>
          </cell>
          <cell r="R27">
            <v>0.29299999999999998</v>
          </cell>
          <cell r="T27">
            <v>0.35</v>
          </cell>
          <cell r="U27">
            <v>0</v>
          </cell>
          <cell r="X27">
            <v>0</v>
          </cell>
          <cell r="Y27">
            <v>0</v>
          </cell>
          <cell r="Z27">
            <v>3.0000000000000001E-3</v>
          </cell>
          <cell r="AA27">
            <v>0.35299999999999998</v>
          </cell>
          <cell r="AC27">
            <v>0.26</v>
          </cell>
          <cell r="AD27">
            <v>0</v>
          </cell>
          <cell r="AG27">
            <v>0</v>
          </cell>
          <cell r="AH27">
            <v>0</v>
          </cell>
          <cell r="AI27">
            <v>3.0000000000000001E-3</v>
          </cell>
          <cell r="AJ27">
            <v>0.26300000000000001</v>
          </cell>
        </row>
        <row r="28">
          <cell r="A28">
            <v>37561</v>
          </cell>
          <cell r="B28">
            <v>0.21229999999999999</v>
          </cell>
          <cell r="C28">
            <v>0</v>
          </cell>
          <cell r="F28">
            <v>0</v>
          </cell>
          <cell r="G28">
            <v>0</v>
          </cell>
          <cell r="H28">
            <v>2.2000000000000001E-3</v>
          </cell>
          <cell r="I28">
            <v>0.2145</v>
          </cell>
          <cell r="K28">
            <v>0.25369999999999998</v>
          </cell>
          <cell r="L28">
            <v>0</v>
          </cell>
          <cell r="O28">
            <v>0</v>
          </cell>
          <cell r="P28">
            <v>0</v>
          </cell>
          <cell r="Q28">
            <v>2.2000000000000001E-3</v>
          </cell>
          <cell r="R28">
            <v>0.25589999999999996</v>
          </cell>
          <cell r="T28">
            <v>0.30599999999999999</v>
          </cell>
          <cell r="U28">
            <v>0</v>
          </cell>
          <cell r="X28">
            <v>0</v>
          </cell>
          <cell r="Y28">
            <v>0</v>
          </cell>
          <cell r="Z28">
            <v>2.2000000000000001E-3</v>
          </cell>
          <cell r="AA28">
            <v>0.30819999999999997</v>
          </cell>
          <cell r="AC28">
            <v>0.22270000000000001</v>
          </cell>
          <cell r="AD28">
            <v>0</v>
          </cell>
          <cell r="AG28">
            <v>0</v>
          </cell>
          <cell r="AH28">
            <v>0</v>
          </cell>
          <cell r="AI28">
            <v>2.2000000000000001E-3</v>
          </cell>
          <cell r="AJ28">
            <v>0.22490000000000002</v>
          </cell>
        </row>
        <row r="29">
          <cell r="A29">
            <v>37834</v>
          </cell>
          <cell r="B29">
            <v>0.20569999999999999</v>
          </cell>
          <cell r="C29">
            <v>0</v>
          </cell>
          <cell r="F29">
            <v>0</v>
          </cell>
          <cell r="G29">
            <v>0</v>
          </cell>
          <cell r="H29">
            <v>1.6000000000000001E-3</v>
          </cell>
          <cell r="I29">
            <v>0.20729999999999998</v>
          </cell>
          <cell r="K29">
            <v>0.24709999999999999</v>
          </cell>
          <cell r="L29">
            <v>0</v>
          </cell>
          <cell r="O29">
            <v>0</v>
          </cell>
          <cell r="P29">
            <v>0</v>
          </cell>
          <cell r="Q29">
            <v>1.6000000000000001E-3</v>
          </cell>
          <cell r="R29">
            <v>0.24869999999999998</v>
          </cell>
          <cell r="T29">
            <v>0.2994</v>
          </cell>
          <cell r="U29">
            <v>0</v>
          </cell>
          <cell r="X29">
            <v>0</v>
          </cell>
          <cell r="Y29">
            <v>0</v>
          </cell>
          <cell r="Z29">
            <v>1.6000000000000001E-3</v>
          </cell>
          <cell r="AA29">
            <v>0.30099999999999999</v>
          </cell>
          <cell r="AC29">
            <v>0.21609999999999999</v>
          </cell>
          <cell r="AD29">
            <v>0</v>
          </cell>
          <cell r="AG29">
            <v>0</v>
          </cell>
          <cell r="AH29">
            <v>0</v>
          </cell>
          <cell r="AI29">
            <v>1.6000000000000001E-3</v>
          </cell>
          <cell r="AJ29">
            <v>0.21769999999999998</v>
          </cell>
        </row>
        <row r="30">
          <cell r="A30">
            <v>38200</v>
          </cell>
          <cell r="B30">
            <v>0.20569999999999999</v>
          </cell>
          <cell r="H30">
            <v>0</v>
          </cell>
          <cell r="I30">
            <v>0.20569999999999999</v>
          </cell>
          <cell r="K30">
            <v>0.24709999999999999</v>
          </cell>
          <cell r="Q30">
            <v>0</v>
          </cell>
          <cell r="R30">
            <v>0.24709999999999999</v>
          </cell>
          <cell r="T30">
            <v>0.2994</v>
          </cell>
          <cell r="Z30">
            <v>0</v>
          </cell>
          <cell r="AA30">
            <v>0.2994</v>
          </cell>
          <cell r="AC30">
            <v>0.21609999999999999</v>
          </cell>
          <cell r="AI30">
            <v>0</v>
          </cell>
          <cell r="AJ30">
            <v>0.21609999999999999</v>
          </cell>
        </row>
        <row r="31">
          <cell r="A31">
            <v>38384</v>
          </cell>
          <cell r="B31">
            <v>0.20569999999999999</v>
          </cell>
          <cell r="H31">
            <v>0</v>
          </cell>
          <cell r="I31">
            <v>0.20569999999999999</v>
          </cell>
          <cell r="K31">
            <v>0.24709999999999999</v>
          </cell>
          <cell r="Q31">
            <v>0</v>
          </cell>
          <cell r="R31">
            <v>0.24709999999999999</v>
          </cell>
          <cell r="T31">
            <v>0.2994</v>
          </cell>
          <cell r="Z31">
            <v>0</v>
          </cell>
          <cell r="AA31">
            <v>0.2994</v>
          </cell>
          <cell r="AC31">
            <v>0.21609999999999999</v>
          </cell>
          <cell r="AI31">
            <v>0</v>
          </cell>
          <cell r="AJ31">
            <v>0.21609999999999999</v>
          </cell>
        </row>
        <row r="32">
          <cell r="A32">
            <v>38473</v>
          </cell>
          <cell r="B32">
            <v>0.20569999999999999</v>
          </cell>
          <cell r="H32">
            <v>0</v>
          </cell>
          <cell r="I32">
            <v>0.20569999999999999</v>
          </cell>
          <cell r="K32">
            <v>0.24709999999999999</v>
          </cell>
          <cell r="Q32">
            <v>0</v>
          </cell>
          <cell r="R32">
            <v>0.24709999999999999</v>
          </cell>
          <cell r="T32">
            <v>0.2994</v>
          </cell>
          <cell r="Z32">
            <v>0</v>
          </cell>
          <cell r="AA32">
            <v>0.2994</v>
          </cell>
          <cell r="AC32">
            <v>0.21609999999999999</v>
          </cell>
          <cell r="AI32">
            <v>0</v>
          </cell>
          <cell r="AJ32">
            <v>0.21609999999999999</v>
          </cell>
        </row>
        <row r="33">
          <cell r="A33">
            <v>38687</v>
          </cell>
          <cell r="B33">
            <v>0.26229999999999998</v>
          </cell>
          <cell r="H33">
            <v>0</v>
          </cell>
          <cell r="I33">
            <v>0.26229999999999998</v>
          </cell>
          <cell r="K33">
            <v>0.3125</v>
          </cell>
          <cell r="Q33">
            <v>0</v>
          </cell>
          <cell r="R33">
            <v>0.3125</v>
          </cell>
          <cell r="T33">
            <v>0.37380000000000002</v>
          </cell>
          <cell r="Z33">
            <v>0</v>
          </cell>
          <cell r="AA33">
            <v>0.37380000000000002</v>
          </cell>
          <cell r="AC33">
            <v>0.28249999999999997</v>
          </cell>
          <cell r="AI33">
            <v>0</v>
          </cell>
          <cell r="AJ33">
            <v>0.28249999999999997</v>
          </cell>
        </row>
        <row r="34">
          <cell r="A34">
            <v>38838</v>
          </cell>
          <cell r="B34">
            <v>0.21199999999999999</v>
          </cell>
          <cell r="H34">
            <v>0</v>
          </cell>
          <cell r="I34">
            <v>0.21199999999999999</v>
          </cell>
          <cell r="K34">
            <v>0.24940000000000001</v>
          </cell>
          <cell r="Q34">
            <v>0</v>
          </cell>
          <cell r="R34">
            <v>0.24940000000000001</v>
          </cell>
          <cell r="T34">
            <v>0.31419999999999998</v>
          </cell>
          <cell r="Z34">
            <v>0</v>
          </cell>
          <cell r="AA34">
            <v>0.31419999999999998</v>
          </cell>
          <cell r="AC34">
            <v>0.21940000000000001</v>
          </cell>
          <cell r="AI34">
            <v>0</v>
          </cell>
          <cell r="AJ34">
            <v>0.21940000000000001</v>
          </cell>
        </row>
        <row r="35">
          <cell r="A35">
            <v>39114</v>
          </cell>
          <cell r="B35">
            <v>0.21199999999999999</v>
          </cell>
          <cell r="H35">
            <v>0</v>
          </cell>
          <cell r="I35">
            <v>0.21199999999999999</v>
          </cell>
          <cell r="K35">
            <v>0.24940000000000001</v>
          </cell>
          <cell r="Q35">
            <v>0</v>
          </cell>
          <cell r="R35">
            <v>0.24940000000000001</v>
          </cell>
          <cell r="T35">
            <v>0.31419999999999998</v>
          </cell>
          <cell r="Z35">
            <v>0</v>
          </cell>
          <cell r="AA35">
            <v>0.31419999999999998</v>
          </cell>
          <cell r="AC35">
            <v>0.21940000000000001</v>
          </cell>
          <cell r="AI35">
            <v>0</v>
          </cell>
          <cell r="AJ35">
            <v>0.21940000000000001</v>
          </cell>
        </row>
        <row r="36">
          <cell r="A36">
            <v>54789</v>
          </cell>
        </row>
      </sheetData>
      <sheetData sheetId="68">
        <row r="10">
          <cell r="A10">
            <v>34973</v>
          </cell>
          <cell r="B10">
            <v>2.7800000000000002E-2</v>
          </cell>
          <cell r="F10">
            <v>8.5000000000000006E-3</v>
          </cell>
          <cell r="G10">
            <v>2.1000000000000003E-3</v>
          </cell>
          <cell r="H10">
            <v>3.8399999999999997E-2</v>
          </cell>
          <cell r="J10">
            <v>3.3100000000000004E-2</v>
          </cell>
          <cell r="N10">
            <v>8.5000000000000006E-3</v>
          </cell>
          <cell r="O10">
            <v>2.1000000000000003E-3</v>
          </cell>
          <cell r="P10">
            <v>4.3700000000000003E-2</v>
          </cell>
          <cell r="R10">
            <v>3.6000000000000004E-2</v>
          </cell>
          <cell r="V10">
            <v>8.5000000000000006E-3</v>
          </cell>
          <cell r="W10">
            <v>2.1000000000000003E-3</v>
          </cell>
          <cell r="X10">
            <v>4.6600000000000003E-2</v>
          </cell>
          <cell r="Z10">
            <v>3.1300000000000001E-2</v>
          </cell>
          <cell r="AD10">
            <v>8.5000000000000006E-3</v>
          </cell>
          <cell r="AE10">
            <v>2.1000000000000003E-3</v>
          </cell>
          <cell r="AF10">
            <v>4.19E-2</v>
          </cell>
        </row>
        <row r="11">
          <cell r="A11">
            <v>35065</v>
          </cell>
          <cell r="B11">
            <v>2.7800000000000002E-2</v>
          </cell>
          <cell r="F11">
            <v>8.8000000000000005E-3</v>
          </cell>
          <cell r="G11">
            <v>2.1000000000000003E-3</v>
          </cell>
          <cell r="H11">
            <v>3.8699999999999998E-2</v>
          </cell>
          <cell r="J11">
            <v>3.3100000000000004E-2</v>
          </cell>
          <cell r="N11">
            <v>8.8000000000000005E-3</v>
          </cell>
          <cell r="O11">
            <v>2.1000000000000003E-3</v>
          </cell>
          <cell r="P11">
            <v>4.4000000000000004E-2</v>
          </cell>
          <cell r="R11">
            <v>3.6000000000000004E-2</v>
          </cell>
          <cell r="V11">
            <v>8.8000000000000005E-3</v>
          </cell>
          <cell r="W11">
            <v>2.1000000000000003E-3</v>
          </cell>
          <cell r="X11">
            <v>4.6900000000000004E-2</v>
          </cell>
          <cell r="Z11">
            <v>3.1300000000000001E-2</v>
          </cell>
          <cell r="AD11">
            <v>8.8000000000000005E-3</v>
          </cell>
          <cell r="AE11">
            <v>2.1000000000000003E-3</v>
          </cell>
          <cell r="AF11">
            <v>4.2200000000000001E-2</v>
          </cell>
        </row>
        <row r="12">
          <cell r="A12">
            <v>35096</v>
          </cell>
          <cell r="B12">
            <v>2.7800000000000002E-2</v>
          </cell>
          <cell r="F12">
            <v>8.8000000000000005E-3</v>
          </cell>
          <cell r="G12">
            <v>2.1000000000000003E-3</v>
          </cell>
          <cell r="H12">
            <v>3.8699999999999998E-2</v>
          </cell>
          <cell r="J12">
            <v>3.3100000000000004E-2</v>
          </cell>
          <cell r="N12">
            <v>8.8000000000000005E-3</v>
          </cell>
          <cell r="O12">
            <v>2.1000000000000003E-3</v>
          </cell>
          <cell r="P12">
            <v>4.4000000000000004E-2</v>
          </cell>
          <cell r="R12">
            <v>3.6000000000000004E-2</v>
          </cell>
          <cell r="V12">
            <v>8.8000000000000005E-3</v>
          </cell>
          <cell r="W12">
            <v>2.1000000000000003E-3</v>
          </cell>
          <cell r="X12">
            <v>4.6900000000000004E-2</v>
          </cell>
          <cell r="Z12">
            <v>3.1300000000000001E-2</v>
          </cell>
          <cell r="AD12">
            <v>8.8000000000000005E-3</v>
          </cell>
          <cell r="AE12">
            <v>2.1000000000000003E-3</v>
          </cell>
          <cell r="AF12">
            <v>4.2200000000000001E-2</v>
          </cell>
        </row>
        <row r="13">
          <cell r="A13">
            <v>35125</v>
          </cell>
          <cell r="B13">
            <v>1.41E-2</v>
          </cell>
          <cell r="F13">
            <v>8.8000000000000005E-3</v>
          </cell>
          <cell r="G13">
            <v>2.1000000000000003E-3</v>
          </cell>
          <cell r="H13">
            <v>2.5000000000000001E-2</v>
          </cell>
          <cell r="J13">
            <v>1.8800000000000001E-2</v>
          </cell>
          <cell r="N13">
            <v>8.8000000000000005E-3</v>
          </cell>
          <cell r="O13">
            <v>2.1000000000000003E-3</v>
          </cell>
          <cell r="P13">
            <v>2.9700000000000001E-2</v>
          </cell>
          <cell r="R13">
            <v>2.1600000000000001E-2</v>
          </cell>
          <cell r="V13">
            <v>8.8000000000000005E-3</v>
          </cell>
          <cell r="W13">
            <v>2.1000000000000003E-3</v>
          </cell>
          <cell r="X13">
            <v>3.2500000000000001E-2</v>
          </cell>
          <cell r="Z13">
            <v>1.7100000000000001E-2</v>
          </cell>
          <cell r="AD13">
            <v>8.8000000000000005E-3</v>
          </cell>
          <cell r="AE13">
            <v>2.1000000000000003E-3</v>
          </cell>
          <cell r="AF13">
            <v>2.8000000000000001E-2</v>
          </cell>
        </row>
        <row r="14">
          <cell r="A14">
            <v>35247</v>
          </cell>
          <cell r="B14">
            <v>2.5999999999999999E-2</v>
          </cell>
          <cell r="C14">
            <v>-6.7000000000000002E-3</v>
          </cell>
          <cell r="D14">
            <v>-2.5999999999999999E-3</v>
          </cell>
          <cell r="E14">
            <v>-2.5999999999999999E-3</v>
          </cell>
          <cell r="F14">
            <v>8.8000000000000005E-3</v>
          </cell>
          <cell r="G14">
            <v>2.1000000000000003E-3</v>
          </cell>
          <cell r="H14">
            <v>2.5000000000000001E-2</v>
          </cell>
          <cell r="J14">
            <v>3.0700000000000002E-2</v>
          </cell>
          <cell r="K14">
            <v>-6.7000000000000002E-3</v>
          </cell>
          <cell r="L14">
            <v>-2.5999999999999999E-3</v>
          </cell>
          <cell r="M14">
            <v>-2.5999999999999999E-3</v>
          </cell>
          <cell r="N14">
            <v>8.8000000000000005E-3</v>
          </cell>
          <cell r="O14">
            <v>2.1000000000000003E-3</v>
          </cell>
          <cell r="P14">
            <v>2.9700000000000008E-2</v>
          </cell>
          <cell r="R14">
            <v>3.3500000000000002E-2</v>
          </cell>
          <cell r="S14">
            <v>-6.7000000000000002E-3</v>
          </cell>
          <cell r="T14">
            <v>-2.5999999999999999E-3</v>
          </cell>
          <cell r="U14">
            <v>-2.5999999999999999E-3</v>
          </cell>
          <cell r="V14">
            <v>8.8000000000000005E-3</v>
          </cell>
          <cell r="W14">
            <v>2.1000000000000003E-3</v>
          </cell>
          <cell r="X14">
            <v>3.2500000000000001E-2</v>
          </cell>
          <cell r="Z14">
            <v>2.9000000000000001E-2</v>
          </cell>
          <cell r="AA14">
            <v>-6.7000000000000002E-3</v>
          </cell>
          <cell r="AB14">
            <v>-2.5999999999999999E-3</v>
          </cell>
          <cell r="AC14">
            <v>-2.5999999999999999E-3</v>
          </cell>
          <cell r="AD14">
            <v>8.8000000000000005E-3</v>
          </cell>
          <cell r="AE14">
            <v>2.1000000000000003E-3</v>
          </cell>
          <cell r="AF14">
            <v>2.8000000000000008E-2</v>
          </cell>
        </row>
        <row r="15">
          <cell r="A15">
            <v>35309</v>
          </cell>
          <cell r="B15">
            <v>2.5999999999999999E-2</v>
          </cell>
          <cell r="C15">
            <v>-7.1999999999999998E-3</v>
          </cell>
          <cell r="D15">
            <v>-5.0000000000000001E-3</v>
          </cell>
          <cell r="E15">
            <v>-2.5999999999999999E-3</v>
          </cell>
          <cell r="F15">
            <v>8.8000000000000005E-3</v>
          </cell>
          <cell r="G15">
            <v>2.1000000000000003E-3</v>
          </cell>
          <cell r="H15">
            <v>2.2099999999999998E-2</v>
          </cell>
          <cell r="J15">
            <v>3.0700000000000002E-2</v>
          </cell>
          <cell r="K15">
            <v>-7.1999999999999998E-3</v>
          </cell>
          <cell r="L15">
            <v>-5.0000000000000001E-3</v>
          </cell>
          <cell r="M15">
            <v>-2.5999999999999999E-3</v>
          </cell>
          <cell r="N15">
            <v>8.8000000000000005E-3</v>
          </cell>
          <cell r="O15">
            <v>2.1000000000000003E-3</v>
          </cell>
          <cell r="P15">
            <v>2.6800000000000001E-2</v>
          </cell>
          <cell r="R15">
            <v>3.3500000000000002E-2</v>
          </cell>
          <cell r="S15">
            <v>-7.1999999999999998E-3</v>
          </cell>
          <cell r="T15">
            <v>-5.0000000000000001E-3</v>
          </cell>
          <cell r="U15">
            <v>-2.5999999999999999E-3</v>
          </cell>
          <cell r="V15">
            <v>8.8000000000000005E-3</v>
          </cell>
          <cell r="W15">
            <v>2.1000000000000003E-3</v>
          </cell>
          <cell r="X15">
            <v>2.9600000000000005E-2</v>
          </cell>
          <cell r="Z15">
            <v>2.9000000000000001E-2</v>
          </cell>
          <cell r="AA15">
            <v>-7.1999999999999998E-3</v>
          </cell>
          <cell r="AB15">
            <v>-5.0000000000000001E-3</v>
          </cell>
          <cell r="AC15">
            <v>-2.5999999999999999E-3</v>
          </cell>
          <cell r="AD15">
            <v>8.8000000000000005E-3</v>
          </cell>
          <cell r="AE15">
            <v>2.1000000000000003E-3</v>
          </cell>
          <cell r="AF15">
            <v>2.5100000000000001E-2</v>
          </cell>
        </row>
        <row r="16">
          <cell r="A16">
            <v>35339</v>
          </cell>
          <cell r="B16">
            <v>2.5999999999999999E-2</v>
          </cell>
          <cell r="C16">
            <v>-7.1999999999999998E-3</v>
          </cell>
          <cell r="D16">
            <v>-5.0000000000000001E-3</v>
          </cell>
          <cell r="E16">
            <v>-2.5999999999999999E-3</v>
          </cell>
          <cell r="F16">
            <v>8.8000000000000005E-3</v>
          </cell>
          <cell r="G16">
            <v>1.8E-3</v>
          </cell>
          <cell r="H16">
            <v>2.1799999999999996E-2</v>
          </cell>
          <cell r="J16">
            <v>3.0700000000000002E-2</v>
          </cell>
          <cell r="K16">
            <v>-7.1999999999999998E-3</v>
          </cell>
          <cell r="L16">
            <v>-5.0000000000000001E-3</v>
          </cell>
          <cell r="M16">
            <v>-2.5999999999999999E-3</v>
          </cell>
          <cell r="N16">
            <v>8.8000000000000005E-3</v>
          </cell>
          <cell r="O16">
            <v>1.8E-3</v>
          </cell>
          <cell r="P16">
            <v>2.6499999999999999E-2</v>
          </cell>
          <cell r="R16">
            <v>3.3500000000000002E-2</v>
          </cell>
          <cell r="S16">
            <v>-7.1999999999999998E-3</v>
          </cell>
          <cell r="T16">
            <v>-5.0000000000000001E-3</v>
          </cell>
          <cell r="U16">
            <v>-2.5999999999999999E-3</v>
          </cell>
          <cell r="V16">
            <v>8.8000000000000005E-3</v>
          </cell>
          <cell r="W16">
            <v>1.8E-3</v>
          </cell>
          <cell r="X16">
            <v>2.9300000000000003E-2</v>
          </cell>
          <cell r="Z16">
            <v>2.9000000000000001E-2</v>
          </cell>
          <cell r="AA16">
            <v>-7.1999999999999998E-3</v>
          </cell>
          <cell r="AB16">
            <v>-5.0000000000000001E-3</v>
          </cell>
          <cell r="AC16">
            <v>-2.5999999999999999E-3</v>
          </cell>
          <cell r="AD16">
            <v>8.8000000000000005E-3</v>
          </cell>
          <cell r="AE16">
            <v>1.8E-3</v>
          </cell>
          <cell r="AF16">
            <v>2.4799999999999999E-2</v>
          </cell>
        </row>
        <row r="17">
          <cell r="A17">
            <v>35490</v>
          </cell>
          <cell r="B17">
            <v>2.5999999999999999E-2</v>
          </cell>
          <cell r="C17">
            <v>-6.8999999999999999E-3</v>
          </cell>
          <cell r="D17">
            <v>1E-4</v>
          </cell>
          <cell r="F17">
            <v>8.8000000000000005E-3</v>
          </cell>
          <cell r="G17">
            <v>1.8E-3</v>
          </cell>
          <cell r="H17">
            <v>2.9799999999999997E-2</v>
          </cell>
          <cell r="J17">
            <v>3.0700000000000002E-2</v>
          </cell>
          <cell r="K17">
            <v>-6.8999999999999999E-3</v>
          </cell>
          <cell r="L17">
            <v>1E-4</v>
          </cell>
          <cell r="N17">
            <v>8.8000000000000005E-3</v>
          </cell>
          <cell r="O17">
            <v>1.8E-3</v>
          </cell>
          <cell r="P17">
            <v>3.4500000000000003E-2</v>
          </cell>
          <cell r="R17">
            <v>3.3500000000000002E-2</v>
          </cell>
          <cell r="S17">
            <v>-6.8999999999999999E-3</v>
          </cell>
          <cell r="T17">
            <v>1E-4</v>
          </cell>
          <cell r="V17">
            <v>8.8000000000000005E-3</v>
          </cell>
          <cell r="W17">
            <v>1.8E-3</v>
          </cell>
          <cell r="X17">
            <v>3.7300000000000007E-2</v>
          </cell>
          <cell r="Z17">
            <v>2.9000000000000001E-2</v>
          </cell>
          <cell r="AA17">
            <v>-6.8999999999999999E-3</v>
          </cell>
          <cell r="AB17">
            <v>1E-4</v>
          </cell>
          <cell r="AD17">
            <v>8.8000000000000005E-3</v>
          </cell>
          <cell r="AE17">
            <v>1.8E-3</v>
          </cell>
          <cell r="AF17">
            <v>3.2800000000000003E-2</v>
          </cell>
        </row>
        <row r="18">
          <cell r="A18">
            <v>35674</v>
          </cell>
          <cell r="B18">
            <v>2.5999999999999999E-2</v>
          </cell>
          <cell r="C18">
            <v>-7.1999999999999998E-3</v>
          </cell>
          <cell r="F18">
            <v>8.8000000000000005E-3</v>
          </cell>
          <cell r="G18">
            <v>1.8E-3</v>
          </cell>
          <cell r="H18">
            <v>2.9399999999999999E-2</v>
          </cell>
          <cell r="J18">
            <v>3.0700000000000002E-2</v>
          </cell>
          <cell r="K18">
            <v>-7.1999999999999998E-3</v>
          </cell>
          <cell r="N18">
            <v>8.8000000000000005E-3</v>
          </cell>
          <cell r="O18">
            <v>1.8E-3</v>
          </cell>
          <cell r="P18">
            <v>3.4100000000000005E-2</v>
          </cell>
          <cell r="R18">
            <v>3.3500000000000002E-2</v>
          </cell>
          <cell r="S18">
            <v>-7.1999999999999998E-3</v>
          </cell>
          <cell r="V18">
            <v>8.8000000000000005E-3</v>
          </cell>
          <cell r="W18">
            <v>1.8E-3</v>
          </cell>
          <cell r="X18">
            <v>3.6900000000000009E-2</v>
          </cell>
          <cell r="Z18">
            <v>2.9000000000000001E-2</v>
          </cell>
          <cell r="AA18">
            <v>-7.1999999999999998E-3</v>
          </cell>
          <cell r="AD18">
            <v>8.8000000000000005E-3</v>
          </cell>
          <cell r="AE18">
            <v>1.8E-3</v>
          </cell>
          <cell r="AF18">
            <v>3.2400000000000005E-2</v>
          </cell>
        </row>
        <row r="19">
          <cell r="A19">
            <v>36161</v>
          </cell>
          <cell r="B19">
            <v>2.2100000000000002E-2</v>
          </cell>
          <cell r="C19">
            <v>0</v>
          </cell>
          <cell r="F19">
            <v>7.4999999999999997E-3</v>
          </cell>
          <cell r="G19">
            <v>2.2000000000000001E-3</v>
          </cell>
          <cell r="H19">
            <v>3.1800000000000002E-2</v>
          </cell>
          <cell r="J19">
            <v>2.81E-2</v>
          </cell>
          <cell r="K19">
            <v>0</v>
          </cell>
          <cell r="N19">
            <v>7.4999999999999997E-3</v>
          </cell>
          <cell r="O19">
            <v>2.2000000000000001E-3</v>
          </cell>
          <cell r="P19">
            <v>3.78E-2</v>
          </cell>
          <cell r="R19">
            <v>3.1199999999999999E-2</v>
          </cell>
          <cell r="S19">
            <v>0</v>
          </cell>
          <cell r="V19">
            <v>7.4999999999999997E-3</v>
          </cell>
          <cell r="W19">
            <v>2.2000000000000001E-3</v>
          </cell>
          <cell r="X19">
            <v>4.0899999999999999E-2</v>
          </cell>
          <cell r="Z19">
            <v>2.6200000000000001E-2</v>
          </cell>
          <cell r="AA19">
            <v>0</v>
          </cell>
          <cell r="AD19">
            <v>7.4999999999999997E-3</v>
          </cell>
          <cell r="AE19">
            <v>2.2000000000000001E-3</v>
          </cell>
          <cell r="AF19">
            <v>3.5900000000000001E-2</v>
          </cell>
        </row>
        <row r="20">
          <cell r="A20">
            <v>36831</v>
          </cell>
          <cell r="B20">
            <v>2.12E-2</v>
          </cell>
          <cell r="C20">
            <v>0</v>
          </cell>
          <cell r="F20">
            <v>7.1999999999999998E-3</v>
          </cell>
          <cell r="G20">
            <v>2.2000000000000001E-3</v>
          </cell>
          <cell r="H20">
            <v>3.0600000000000002E-2</v>
          </cell>
          <cell r="J20">
            <v>2.7199999999999998E-2</v>
          </cell>
          <cell r="K20">
            <v>0</v>
          </cell>
          <cell r="N20">
            <v>7.1999999999999998E-3</v>
          </cell>
          <cell r="O20">
            <v>2.2000000000000001E-3</v>
          </cell>
          <cell r="P20">
            <v>3.6600000000000001E-2</v>
          </cell>
          <cell r="R20">
            <v>3.0300000000000001E-2</v>
          </cell>
          <cell r="S20">
            <v>0</v>
          </cell>
          <cell r="V20">
            <v>7.1999999999999998E-3</v>
          </cell>
          <cell r="W20">
            <v>2.2000000000000001E-3</v>
          </cell>
          <cell r="X20">
            <v>3.9699999999999999E-2</v>
          </cell>
          <cell r="Z20">
            <v>2.53E-2</v>
          </cell>
          <cell r="AA20">
            <v>0</v>
          </cell>
          <cell r="AD20">
            <v>7.1999999999999998E-3</v>
          </cell>
          <cell r="AE20">
            <v>2.2000000000000001E-3</v>
          </cell>
          <cell r="AF20">
            <v>3.4700000000000002E-2</v>
          </cell>
        </row>
        <row r="21">
          <cell r="A21">
            <v>36923</v>
          </cell>
          <cell r="B21">
            <v>1.55E-2</v>
          </cell>
          <cell r="C21">
            <v>0</v>
          </cell>
          <cell r="F21">
            <v>7.1999999999999998E-3</v>
          </cell>
          <cell r="G21">
            <v>2.2000000000000001E-3</v>
          </cell>
          <cell r="H21">
            <v>2.4899999999999999E-2</v>
          </cell>
          <cell r="J21">
            <v>1.9400000000000001E-2</v>
          </cell>
          <cell r="K21">
            <v>0</v>
          </cell>
          <cell r="N21">
            <v>7.1999999999999998E-3</v>
          </cell>
          <cell r="O21">
            <v>2.2000000000000001E-3</v>
          </cell>
          <cell r="P21">
            <v>2.8799999999999999E-2</v>
          </cell>
          <cell r="R21">
            <v>2.1999999999999999E-2</v>
          </cell>
          <cell r="S21">
            <v>0</v>
          </cell>
          <cell r="V21">
            <v>7.1999999999999998E-3</v>
          </cell>
          <cell r="W21">
            <v>2.2000000000000001E-3</v>
          </cell>
          <cell r="X21">
            <v>3.1399999999999997E-2</v>
          </cell>
          <cell r="Z21">
            <v>1.7899999999999999E-2</v>
          </cell>
          <cell r="AA21">
            <v>0</v>
          </cell>
          <cell r="AD21">
            <v>7.1999999999999998E-3</v>
          </cell>
          <cell r="AE21">
            <v>2.2000000000000001E-3</v>
          </cell>
          <cell r="AF21">
            <v>2.7299999999999998E-2</v>
          </cell>
        </row>
        <row r="22">
          <cell r="A22">
            <v>37196</v>
          </cell>
          <cell r="B22">
            <v>1.55E-2</v>
          </cell>
          <cell r="C22">
            <v>0</v>
          </cell>
          <cell r="F22">
            <v>7.0000000000000001E-3</v>
          </cell>
          <cell r="G22">
            <v>2.2000000000000001E-3</v>
          </cell>
          <cell r="H22">
            <v>2.47E-2</v>
          </cell>
          <cell r="J22">
            <v>1.9400000000000001E-2</v>
          </cell>
          <cell r="K22">
            <v>0</v>
          </cell>
          <cell r="N22">
            <v>7.0000000000000001E-3</v>
          </cell>
          <cell r="O22">
            <v>2.2000000000000001E-3</v>
          </cell>
          <cell r="P22">
            <v>2.86E-2</v>
          </cell>
          <cell r="R22">
            <v>2.1999999999999999E-2</v>
          </cell>
          <cell r="S22">
            <v>0</v>
          </cell>
          <cell r="V22">
            <v>7.0000000000000001E-3</v>
          </cell>
          <cell r="W22">
            <v>2.2000000000000001E-3</v>
          </cell>
          <cell r="X22">
            <v>3.1199999999999999E-2</v>
          </cell>
          <cell r="Z22">
            <v>1.7899999999999999E-2</v>
          </cell>
          <cell r="AA22">
            <v>0</v>
          </cell>
          <cell r="AD22">
            <v>7.0000000000000001E-3</v>
          </cell>
          <cell r="AE22">
            <v>2.2000000000000001E-3</v>
          </cell>
          <cell r="AF22">
            <v>2.7099999999999999E-2</v>
          </cell>
        </row>
        <row r="23">
          <cell r="A23">
            <v>37561</v>
          </cell>
          <cell r="B23">
            <v>3.5499999999999997E-2</v>
          </cell>
          <cell r="C23">
            <v>0</v>
          </cell>
          <cell r="F23">
            <v>5.4999999999999997E-3</v>
          </cell>
          <cell r="G23">
            <v>2.0999999999999999E-3</v>
          </cell>
          <cell r="H23">
            <v>4.3099999999999992E-2</v>
          </cell>
          <cell r="J23">
            <v>4.5900000000000003E-2</v>
          </cell>
          <cell r="K23">
            <v>0</v>
          </cell>
          <cell r="N23">
            <v>5.4999999999999997E-3</v>
          </cell>
          <cell r="O23">
            <v>2.0999999999999999E-3</v>
          </cell>
          <cell r="P23">
            <v>5.3499999999999999E-2</v>
          </cell>
          <cell r="R23">
            <v>5.1799999999999999E-2</v>
          </cell>
          <cell r="S23">
            <v>0</v>
          </cell>
          <cell r="V23">
            <v>5.4999999999999997E-3</v>
          </cell>
          <cell r="W23">
            <v>2.0999999999999999E-3</v>
          </cell>
          <cell r="X23">
            <v>5.9399999999999994E-2</v>
          </cell>
          <cell r="Z23">
            <v>4.1799999999999997E-2</v>
          </cell>
          <cell r="AA23">
            <v>0</v>
          </cell>
          <cell r="AD23">
            <v>5.4999999999999997E-3</v>
          </cell>
          <cell r="AE23">
            <v>2.0999999999999999E-3</v>
          </cell>
          <cell r="AF23">
            <v>4.9399999999999993E-2</v>
          </cell>
        </row>
        <row r="24">
          <cell r="A24">
            <v>37834</v>
          </cell>
          <cell r="B24">
            <v>3.5400000000000001E-2</v>
          </cell>
          <cell r="C24">
            <v>0</v>
          </cell>
          <cell r="F24">
            <v>4.0000000000000001E-3</v>
          </cell>
          <cell r="G24">
            <v>2.0999999999999999E-3</v>
          </cell>
          <cell r="H24">
            <v>4.1500000000000002E-2</v>
          </cell>
          <cell r="J24">
            <v>4.58E-2</v>
          </cell>
          <cell r="K24">
            <v>0</v>
          </cell>
          <cell r="N24">
            <v>4.0000000000000001E-3</v>
          </cell>
          <cell r="O24">
            <v>2.0999999999999999E-3</v>
          </cell>
          <cell r="P24">
            <v>5.1899999999999995E-2</v>
          </cell>
          <cell r="R24">
            <v>5.1700000000000003E-2</v>
          </cell>
          <cell r="S24">
            <v>0</v>
          </cell>
          <cell r="V24">
            <v>4.0000000000000001E-3</v>
          </cell>
          <cell r="W24">
            <v>2.0999999999999999E-3</v>
          </cell>
          <cell r="X24">
            <v>5.7799999999999997E-2</v>
          </cell>
          <cell r="Z24">
            <v>4.1700000000000001E-2</v>
          </cell>
          <cell r="AA24">
            <v>0</v>
          </cell>
          <cell r="AD24">
            <v>4.0000000000000001E-3</v>
          </cell>
          <cell r="AE24">
            <v>2.0999999999999999E-3</v>
          </cell>
          <cell r="AF24">
            <v>4.7800000000000002E-2</v>
          </cell>
        </row>
        <row r="25">
          <cell r="A25">
            <v>38200</v>
          </cell>
          <cell r="B25">
            <v>3.5400000000000001E-2</v>
          </cell>
          <cell r="F25">
            <v>0</v>
          </cell>
          <cell r="G25">
            <v>2.0999999999999999E-3</v>
          </cell>
          <cell r="H25">
            <v>3.7499999999999999E-2</v>
          </cell>
          <cell r="J25">
            <v>4.58E-2</v>
          </cell>
          <cell r="N25">
            <v>0</v>
          </cell>
          <cell r="O25">
            <v>2.0999999999999999E-3</v>
          </cell>
          <cell r="P25">
            <v>4.7899999999999998E-2</v>
          </cell>
          <cell r="R25">
            <v>5.1700000000000003E-2</v>
          </cell>
          <cell r="V25">
            <v>0</v>
          </cell>
          <cell r="W25">
            <v>2.0999999999999999E-3</v>
          </cell>
          <cell r="X25">
            <v>5.3800000000000001E-2</v>
          </cell>
          <cell r="Z25">
            <v>4.1700000000000001E-2</v>
          </cell>
          <cell r="AD25">
            <v>0</v>
          </cell>
          <cell r="AE25">
            <v>2.0999999999999999E-3</v>
          </cell>
          <cell r="AF25">
            <v>4.3799999999999999E-2</v>
          </cell>
        </row>
        <row r="26">
          <cell r="A26">
            <v>38384</v>
          </cell>
          <cell r="B26">
            <v>3.5400000000000001E-2</v>
          </cell>
          <cell r="F26">
            <v>0</v>
          </cell>
          <cell r="G26">
            <v>1.9E-3</v>
          </cell>
          <cell r="H26">
            <v>3.73E-2</v>
          </cell>
          <cell r="J26">
            <v>4.58E-2</v>
          </cell>
          <cell r="N26">
            <v>0</v>
          </cell>
          <cell r="O26">
            <v>1.9E-3</v>
          </cell>
          <cell r="P26">
            <v>4.7699999999999999E-2</v>
          </cell>
          <cell r="R26">
            <v>5.1700000000000003E-2</v>
          </cell>
          <cell r="V26">
            <v>0</v>
          </cell>
          <cell r="W26">
            <v>1.9E-3</v>
          </cell>
          <cell r="X26">
            <v>5.3600000000000002E-2</v>
          </cell>
          <cell r="Z26">
            <v>4.1700000000000001E-2</v>
          </cell>
          <cell r="AD26">
            <v>0</v>
          </cell>
          <cell r="AE26">
            <v>1.9E-3</v>
          </cell>
          <cell r="AF26">
            <v>4.36E-2</v>
          </cell>
        </row>
        <row r="27">
          <cell r="A27">
            <v>38473</v>
          </cell>
          <cell r="B27">
            <v>3.5400000000000001E-2</v>
          </cell>
          <cell r="F27">
            <v>0</v>
          </cell>
          <cell r="G27">
            <v>1.9E-3</v>
          </cell>
          <cell r="H27">
            <v>3.73E-2</v>
          </cell>
          <cell r="J27">
            <v>4.58E-2</v>
          </cell>
          <cell r="N27">
            <v>0</v>
          </cell>
          <cell r="O27">
            <v>1.9E-3</v>
          </cell>
          <cell r="P27">
            <v>4.7699999999999999E-2</v>
          </cell>
          <cell r="R27">
            <v>5.1700000000000003E-2</v>
          </cell>
          <cell r="V27">
            <v>0</v>
          </cell>
          <cell r="W27">
            <v>1.9E-3</v>
          </cell>
          <cell r="X27">
            <v>5.3600000000000002E-2</v>
          </cell>
          <cell r="Z27">
            <v>4.1700000000000001E-2</v>
          </cell>
          <cell r="AD27">
            <v>0</v>
          </cell>
          <cell r="AE27">
            <v>1.9E-3</v>
          </cell>
          <cell r="AF27">
            <v>4.36E-2</v>
          </cell>
        </row>
        <row r="28">
          <cell r="A28">
            <v>38687</v>
          </cell>
          <cell r="B28">
            <v>4.36E-2</v>
          </cell>
          <cell r="F28">
            <v>0</v>
          </cell>
          <cell r="G28">
            <v>1.8E-3</v>
          </cell>
          <cell r="H28">
            <v>4.5400000000000003E-2</v>
          </cell>
          <cell r="J28">
            <v>4.9700000000000001E-2</v>
          </cell>
          <cell r="N28">
            <v>0</v>
          </cell>
          <cell r="O28">
            <v>1.8E-3</v>
          </cell>
          <cell r="P28">
            <v>5.1500000000000004E-2</v>
          </cell>
          <cell r="R28">
            <v>5.7200000000000001E-2</v>
          </cell>
          <cell r="V28">
            <v>0</v>
          </cell>
          <cell r="W28">
            <v>1.8E-3</v>
          </cell>
          <cell r="X28">
            <v>5.9000000000000004E-2</v>
          </cell>
          <cell r="Z28">
            <v>4.6600000000000003E-2</v>
          </cell>
          <cell r="AD28">
            <v>0</v>
          </cell>
          <cell r="AE28">
            <v>1.8E-3</v>
          </cell>
          <cell r="AF28">
            <v>4.8400000000000006E-2</v>
          </cell>
        </row>
        <row r="29">
          <cell r="A29">
            <v>38838</v>
          </cell>
          <cell r="B29">
            <v>3.9899999999999998E-2</v>
          </cell>
          <cell r="F29">
            <v>0</v>
          </cell>
          <cell r="G29">
            <v>1.8E-3</v>
          </cell>
          <cell r="H29">
            <v>4.1700000000000001E-2</v>
          </cell>
          <cell r="J29">
            <v>4.4499999999999998E-2</v>
          </cell>
          <cell r="N29">
            <v>0</v>
          </cell>
          <cell r="O29">
            <v>1.8E-3</v>
          </cell>
          <cell r="P29">
            <v>4.6300000000000001E-2</v>
          </cell>
          <cell r="R29">
            <v>5.28E-2</v>
          </cell>
          <cell r="V29">
            <v>0</v>
          </cell>
          <cell r="W29">
            <v>1.8E-3</v>
          </cell>
          <cell r="X29">
            <v>5.4600000000000003E-2</v>
          </cell>
          <cell r="Z29">
            <v>4.2200000000000001E-2</v>
          </cell>
          <cell r="AD29">
            <v>0</v>
          </cell>
          <cell r="AE29">
            <v>1.8E-3</v>
          </cell>
          <cell r="AF29">
            <v>4.4000000000000004E-2</v>
          </cell>
        </row>
        <row r="30">
          <cell r="A30">
            <v>39114</v>
          </cell>
          <cell r="B30">
            <v>3.9899999999999998E-2</v>
          </cell>
          <cell r="F30">
            <v>0</v>
          </cell>
          <cell r="G30">
            <v>1.6000000000000001E-3</v>
          </cell>
          <cell r="H30">
            <v>4.1499999999999995E-2</v>
          </cell>
          <cell r="J30">
            <v>4.4499999999999998E-2</v>
          </cell>
          <cell r="N30">
            <v>0</v>
          </cell>
          <cell r="O30">
            <v>1.6000000000000001E-3</v>
          </cell>
          <cell r="P30">
            <v>4.6099999999999995E-2</v>
          </cell>
          <cell r="R30">
            <v>5.28E-2</v>
          </cell>
          <cell r="V30">
            <v>0</v>
          </cell>
          <cell r="W30">
            <v>1.6000000000000001E-3</v>
          </cell>
          <cell r="X30">
            <v>5.4399999999999997E-2</v>
          </cell>
          <cell r="Z30">
            <v>4.2200000000000001E-2</v>
          </cell>
          <cell r="AD30">
            <v>0</v>
          </cell>
          <cell r="AE30">
            <v>1.6000000000000001E-3</v>
          </cell>
          <cell r="AF30">
            <v>4.3799999999999999E-2</v>
          </cell>
        </row>
        <row r="31">
          <cell r="A31">
            <v>54789</v>
          </cell>
        </row>
      </sheetData>
      <sheetData sheetId="69">
        <row r="10">
          <cell r="A10">
            <v>35004</v>
          </cell>
          <cell r="B10">
            <v>3.2399999999999998E-2</v>
          </cell>
          <cell r="C10">
            <v>1.72E-2</v>
          </cell>
          <cell r="D10">
            <v>2.6700000000000002E-2</v>
          </cell>
          <cell r="E10">
            <v>2.35E-2</v>
          </cell>
          <cell r="G10">
            <v>4.5100000000000001E-2</v>
          </cell>
          <cell r="H10">
            <v>2.18E-2</v>
          </cell>
          <cell r="I10">
            <v>3.7100000000000001E-2</v>
          </cell>
          <cell r="J10">
            <v>3.1800000000000002E-2</v>
          </cell>
          <cell r="L10">
            <v>5.6500000000000002E-2</v>
          </cell>
          <cell r="M10">
            <v>2.63E-2</v>
          </cell>
          <cell r="N10">
            <v>4.1700000000000001E-2</v>
          </cell>
          <cell r="O10">
            <v>2.7200000000000002E-2</v>
          </cell>
        </row>
        <row r="11">
          <cell r="A11">
            <v>35370</v>
          </cell>
          <cell r="B11">
            <v>2.6200000000000001E-2</v>
          </cell>
          <cell r="C11">
            <v>2.9100000000000001E-2</v>
          </cell>
          <cell r="D11">
            <v>2.6499999999999999E-2</v>
          </cell>
          <cell r="E11">
            <v>2.69E-2</v>
          </cell>
          <cell r="G11">
            <v>4.5600000000000002E-2</v>
          </cell>
          <cell r="H11">
            <v>2.6100000000000002E-2</v>
          </cell>
          <cell r="I11">
            <v>3.7699999999999997E-2</v>
          </cell>
          <cell r="J11">
            <v>3.32E-2</v>
          </cell>
          <cell r="L11">
            <v>5.9900000000000002E-2</v>
          </cell>
          <cell r="M11">
            <v>2.01E-2</v>
          </cell>
          <cell r="N11">
            <v>3.6200000000000003E-2</v>
          </cell>
          <cell r="O11">
            <v>3.9600000000000003E-2</v>
          </cell>
        </row>
        <row r="12">
          <cell r="A12">
            <v>35735</v>
          </cell>
          <cell r="B12">
            <v>2.4E-2</v>
          </cell>
          <cell r="C12">
            <v>3.0200000000000001E-2</v>
          </cell>
          <cell r="D12">
            <v>2.1100000000000001E-2</v>
          </cell>
          <cell r="E12">
            <v>2.63E-2</v>
          </cell>
          <cell r="G12">
            <v>3.0300000000000001E-2</v>
          </cell>
          <cell r="H12">
            <v>3.1199999999999999E-2</v>
          </cell>
          <cell r="I12">
            <v>2.6499999999999999E-2</v>
          </cell>
          <cell r="J12">
            <v>2.7799999999999998E-2</v>
          </cell>
          <cell r="L12">
            <v>4.2599999999999999E-2</v>
          </cell>
          <cell r="M12">
            <v>2.29E-2</v>
          </cell>
          <cell r="N12">
            <v>3.0300000000000001E-2</v>
          </cell>
          <cell r="O12">
            <v>3.9E-2</v>
          </cell>
        </row>
        <row r="13">
          <cell r="A13">
            <v>36465</v>
          </cell>
          <cell r="B13">
            <v>2.7099999999999999E-2</v>
          </cell>
          <cell r="C13">
            <v>1.9E-2</v>
          </cell>
          <cell r="D13">
            <v>2.23E-2</v>
          </cell>
          <cell r="E13">
            <v>2.0799999999999999E-2</v>
          </cell>
          <cell r="G13">
            <v>3.3300000000000003E-2</v>
          </cell>
          <cell r="H13">
            <v>2.1399999999999999E-2</v>
          </cell>
          <cell r="I13">
            <v>2.93E-2</v>
          </cell>
          <cell r="J13">
            <v>2.6599999999999999E-2</v>
          </cell>
          <cell r="L13">
            <v>4.3099999999999999E-2</v>
          </cell>
          <cell r="M13">
            <v>2.9100000000000001E-2</v>
          </cell>
          <cell r="N13">
            <v>3.3700000000000001E-2</v>
          </cell>
          <cell r="O13">
            <v>2.6800000000000001E-2</v>
          </cell>
        </row>
        <row r="14">
          <cell r="A14">
            <v>36831</v>
          </cell>
          <cell r="B14">
            <v>2.7099999999999999E-2</v>
          </cell>
          <cell r="C14">
            <v>1.9E-2</v>
          </cell>
          <cell r="D14">
            <v>2.23E-2</v>
          </cell>
          <cell r="E14">
            <v>2.0799999999999999E-2</v>
          </cell>
          <cell r="G14">
            <v>3.3300000000000003E-2</v>
          </cell>
          <cell r="H14">
            <v>2.1399999999999999E-2</v>
          </cell>
          <cell r="I14">
            <v>2.93E-2</v>
          </cell>
          <cell r="J14">
            <v>2.6599999999999999E-2</v>
          </cell>
          <cell r="L14">
            <v>4.3099999999999999E-2</v>
          </cell>
          <cell r="M14">
            <v>2.9100000000000001E-2</v>
          </cell>
          <cell r="N14">
            <v>3.3700000000000001E-2</v>
          </cell>
          <cell r="O14">
            <v>2.6800000000000001E-2</v>
          </cell>
        </row>
        <row r="15">
          <cell r="A15">
            <v>37196</v>
          </cell>
          <cell r="B15">
            <v>1.8200000000000001E-2</v>
          </cell>
          <cell r="C15">
            <v>2.4500000000000001E-2</v>
          </cell>
          <cell r="D15">
            <v>2.29E-2</v>
          </cell>
          <cell r="E15">
            <v>2.2800000000000001E-2</v>
          </cell>
          <cell r="G15">
            <v>2.75E-2</v>
          </cell>
          <cell r="H15">
            <v>2.69E-2</v>
          </cell>
          <cell r="I15">
            <v>2.8000000000000001E-2</v>
          </cell>
          <cell r="J15">
            <v>2.5000000000000001E-2</v>
          </cell>
          <cell r="L15">
            <v>3.1800000000000002E-2</v>
          </cell>
          <cell r="M15">
            <v>3.1899999999999998E-2</v>
          </cell>
          <cell r="N15">
            <v>3.27E-2</v>
          </cell>
          <cell r="O15">
            <v>2.9600000000000001E-2</v>
          </cell>
        </row>
        <row r="16">
          <cell r="A16">
            <v>37561</v>
          </cell>
          <cell r="B16">
            <v>3.27E-2</v>
          </cell>
          <cell r="C16">
            <v>3.1300000000000001E-2</v>
          </cell>
          <cell r="D16">
            <v>2.07E-2</v>
          </cell>
          <cell r="E16">
            <v>2.3800000000000002E-2</v>
          </cell>
          <cell r="G16">
            <v>3.32E-2</v>
          </cell>
          <cell r="H16">
            <v>3.3099999999999997E-2</v>
          </cell>
          <cell r="I16">
            <v>2.76E-2</v>
          </cell>
          <cell r="J16">
            <v>3.0200000000000001E-2</v>
          </cell>
          <cell r="L16">
            <v>3.8899999999999997E-2</v>
          </cell>
          <cell r="M16">
            <v>3.6999999999999998E-2</v>
          </cell>
          <cell r="N16">
            <v>3.1699999999999999E-2</v>
          </cell>
          <cell r="O16">
            <v>3.49E-2</v>
          </cell>
        </row>
        <row r="17">
          <cell r="A17">
            <v>37926</v>
          </cell>
          <cell r="B17">
            <v>2.3099999999999999E-2</v>
          </cell>
          <cell r="C17">
            <v>2.5700000000000001E-2</v>
          </cell>
          <cell r="D17">
            <v>2.1399999999999999E-2</v>
          </cell>
          <cell r="E17">
            <v>2.18E-2</v>
          </cell>
          <cell r="G17">
            <v>2.98E-2</v>
          </cell>
          <cell r="H17">
            <v>3.4500000000000003E-2</v>
          </cell>
          <cell r="I17">
            <v>2.8400000000000002E-2</v>
          </cell>
          <cell r="J17">
            <v>3.2399999999999998E-2</v>
          </cell>
          <cell r="L17">
            <v>3.8699999999999998E-2</v>
          </cell>
          <cell r="M17">
            <v>3.6900000000000002E-2</v>
          </cell>
          <cell r="N17">
            <v>3.2899999999999999E-2</v>
          </cell>
          <cell r="O17">
            <v>3.7400000000000003E-2</v>
          </cell>
        </row>
        <row r="18">
          <cell r="A18">
            <v>38292</v>
          </cell>
          <cell r="B18">
            <v>1.9599999999999999E-2</v>
          </cell>
          <cell r="C18">
            <v>1.4500000000000001E-2</v>
          </cell>
          <cell r="D18">
            <v>1.6E-2</v>
          </cell>
          <cell r="E18">
            <v>1.2500000000000001E-2</v>
          </cell>
          <cell r="G18">
            <v>2.7699999999999999E-2</v>
          </cell>
          <cell r="H18">
            <v>2.23E-2</v>
          </cell>
          <cell r="I18">
            <v>2.12E-2</v>
          </cell>
          <cell r="J18">
            <v>1.89E-2</v>
          </cell>
          <cell r="L18">
            <v>3.44E-2</v>
          </cell>
          <cell r="M18">
            <v>2.35E-2</v>
          </cell>
          <cell r="N18">
            <v>2.86E-2</v>
          </cell>
          <cell r="O18">
            <v>2.2700000000000001E-2</v>
          </cell>
        </row>
        <row r="19">
          <cell r="A19">
            <v>38384</v>
          </cell>
          <cell r="B19">
            <v>2.4299999999999999E-2</v>
          </cell>
          <cell r="C19">
            <v>2.01E-2</v>
          </cell>
          <cell r="D19">
            <v>1.9199999999999998E-2</v>
          </cell>
          <cell r="E19">
            <v>1.0699999999999999E-2</v>
          </cell>
          <cell r="G19">
            <v>2.7300000000000001E-2</v>
          </cell>
          <cell r="H19">
            <v>2.1499999999999998E-2</v>
          </cell>
          <cell r="I19">
            <v>2.8400000000000002E-2</v>
          </cell>
          <cell r="J19">
            <v>1.9400000000000001E-2</v>
          </cell>
          <cell r="L19">
            <v>3.0200000000000001E-2</v>
          </cell>
          <cell r="M19">
            <v>2.1499999999999998E-2</v>
          </cell>
          <cell r="N19">
            <v>2.9000000000000001E-2</v>
          </cell>
          <cell r="O19">
            <v>2.5600000000000001E-2</v>
          </cell>
        </row>
        <row r="20">
          <cell r="A20">
            <v>38473</v>
          </cell>
          <cell r="B20">
            <v>2.4299999999999999E-2</v>
          </cell>
          <cell r="C20">
            <v>2.01E-2</v>
          </cell>
          <cell r="D20">
            <v>1.9199999999999998E-2</v>
          </cell>
          <cell r="E20">
            <v>1.0699999999999999E-2</v>
          </cell>
          <cell r="G20">
            <v>2.7300000000000001E-2</v>
          </cell>
          <cell r="H20">
            <v>2.1499999999999998E-2</v>
          </cell>
          <cell r="I20">
            <v>2.8400000000000002E-2</v>
          </cell>
          <cell r="J20">
            <v>1.9400000000000001E-2</v>
          </cell>
          <cell r="L20">
            <v>3.0200000000000001E-2</v>
          </cell>
          <cell r="M20">
            <v>2.1499999999999998E-2</v>
          </cell>
          <cell r="N20">
            <v>2.9000000000000001E-2</v>
          </cell>
          <cell r="O20">
            <v>2.5600000000000001E-2</v>
          </cell>
        </row>
        <row r="21">
          <cell r="A21">
            <v>39022</v>
          </cell>
          <cell r="B21">
            <v>2.07E-2</v>
          </cell>
          <cell r="C21">
            <v>2.7099999999999999E-2</v>
          </cell>
          <cell r="D21">
            <v>1.06E-2</v>
          </cell>
          <cell r="E21">
            <v>1.6199999999999999E-2</v>
          </cell>
          <cell r="G21">
            <v>2.0500000000000001E-2</v>
          </cell>
          <cell r="H21">
            <v>2.5600000000000001E-2</v>
          </cell>
          <cell r="I21">
            <v>2.1000000000000001E-2</v>
          </cell>
          <cell r="J21">
            <v>2.3E-2</v>
          </cell>
          <cell r="L21">
            <v>3.61E-2</v>
          </cell>
          <cell r="M21">
            <v>3.2300000000000002E-2</v>
          </cell>
          <cell r="N21">
            <v>2.4400000000000002E-2</v>
          </cell>
          <cell r="O21">
            <v>3.0800000000000001E-2</v>
          </cell>
        </row>
        <row r="22">
          <cell r="A22">
            <v>39114</v>
          </cell>
          <cell r="B22">
            <v>2.7E-2</v>
          </cell>
          <cell r="C22">
            <v>2.3599999999999999E-2</v>
          </cell>
          <cell r="D22">
            <v>1.5599999999999999E-2</v>
          </cell>
          <cell r="E22">
            <v>1.8700000000000001E-2</v>
          </cell>
          <cell r="G22">
            <v>3.1699999999999999E-2</v>
          </cell>
          <cell r="H22">
            <v>3.2300000000000002E-2</v>
          </cell>
          <cell r="I22">
            <v>1.7299999999999999E-2</v>
          </cell>
          <cell r="J22">
            <v>2.01E-2</v>
          </cell>
          <cell r="L22">
            <v>3.9600000000000003E-2</v>
          </cell>
          <cell r="M22">
            <v>0.03</v>
          </cell>
          <cell r="N22">
            <v>2.4899999999999999E-2</v>
          </cell>
          <cell r="O22">
            <v>2.2200000000000001E-2</v>
          </cell>
        </row>
        <row r="23">
          <cell r="A23">
            <v>54789</v>
          </cell>
        </row>
      </sheetData>
      <sheetData sheetId="70">
        <row r="10">
          <cell r="A10">
            <v>34912</v>
          </cell>
          <cell r="B10">
            <v>1.4259999999999999</v>
          </cell>
        </row>
        <row r="11">
          <cell r="A11">
            <v>34943</v>
          </cell>
          <cell r="B11">
            <v>1.605</v>
          </cell>
        </row>
        <row r="12">
          <cell r="A12">
            <v>34973</v>
          </cell>
          <cell r="B12">
            <v>1.6890000000000001</v>
          </cell>
        </row>
        <row r="13">
          <cell r="A13">
            <v>35004</v>
          </cell>
          <cell r="B13">
            <v>1.8169999999999999</v>
          </cell>
        </row>
        <row r="14">
          <cell r="A14">
            <v>35034</v>
          </cell>
          <cell r="B14">
            <v>2.2749999999999999</v>
          </cell>
        </row>
        <row r="15">
          <cell r="A15">
            <v>35065</v>
          </cell>
          <cell r="B15">
            <v>3.2410000000000001</v>
          </cell>
        </row>
        <row r="16">
          <cell r="A16">
            <v>35096</v>
          </cell>
          <cell r="B16">
            <v>3.82</v>
          </cell>
        </row>
        <row r="17">
          <cell r="A17">
            <v>35125</v>
          </cell>
          <cell r="B17">
            <v>2.839</v>
          </cell>
        </row>
        <row r="18">
          <cell r="A18">
            <v>35156</v>
          </cell>
          <cell r="B18">
            <v>2.536</v>
          </cell>
        </row>
        <row r="19">
          <cell r="A19">
            <v>35186</v>
          </cell>
          <cell r="B19">
            <v>2.198</v>
          </cell>
        </row>
        <row r="20">
          <cell r="A20">
            <v>35217</v>
          </cell>
          <cell r="B20">
            <v>2.339</v>
          </cell>
        </row>
        <row r="21">
          <cell r="A21">
            <v>35247</v>
          </cell>
          <cell r="B21">
            <v>2.61</v>
          </cell>
        </row>
        <row r="22">
          <cell r="A22">
            <v>35278</v>
          </cell>
          <cell r="B22">
            <v>2.2570000000000001</v>
          </cell>
        </row>
        <row r="23">
          <cell r="A23">
            <v>35309</v>
          </cell>
          <cell r="B23">
            <v>1.8280000000000001</v>
          </cell>
        </row>
        <row r="24">
          <cell r="A24">
            <v>35339</v>
          </cell>
          <cell r="B24">
            <v>2.0449999999999999</v>
          </cell>
        </row>
        <row r="25">
          <cell r="A25">
            <v>35370</v>
          </cell>
          <cell r="B25">
            <v>2.63</v>
          </cell>
        </row>
        <row r="26">
          <cell r="A26">
            <v>35400</v>
          </cell>
          <cell r="B26">
            <v>3.355</v>
          </cell>
        </row>
        <row r="27">
          <cell r="A27">
            <v>35431</v>
          </cell>
          <cell r="B27">
            <v>3.851</v>
          </cell>
        </row>
        <row r="28">
          <cell r="A28">
            <v>35462</v>
          </cell>
          <cell r="B28">
            <v>2.669</v>
          </cell>
        </row>
        <row r="29">
          <cell r="A29">
            <v>35490</v>
          </cell>
          <cell r="B29">
            <v>1.8540000000000001</v>
          </cell>
        </row>
        <row r="30">
          <cell r="A30">
            <v>35521</v>
          </cell>
          <cell r="B30">
            <v>1.893</v>
          </cell>
        </row>
        <row r="31">
          <cell r="A31">
            <v>35551</v>
          </cell>
          <cell r="B31">
            <v>2.1459999999999999</v>
          </cell>
        </row>
        <row r="32">
          <cell r="A32">
            <v>35582</v>
          </cell>
          <cell r="B32">
            <v>2.1930000000000001</v>
          </cell>
        </row>
        <row r="33">
          <cell r="A33">
            <v>35612</v>
          </cell>
          <cell r="B33">
            <v>2.1800000000000002</v>
          </cell>
        </row>
        <row r="34">
          <cell r="A34">
            <v>35643</v>
          </cell>
          <cell r="B34">
            <v>2.306</v>
          </cell>
        </row>
        <row r="35">
          <cell r="A35">
            <v>35674</v>
          </cell>
          <cell r="B35">
            <v>2.629</v>
          </cell>
        </row>
        <row r="36">
          <cell r="A36">
            <v>35704</v>
          </cell>
          <cell r="B36">
            <v>2.899</v>
          </cell>
        </row>
        <row r="37">
          <cell r="A37">
            <v>35735</v>
          </cell>
          <cell r="B37">
            <v>3.1789999999999998</v>
          </cell>
        </row>
        <row r="38">
          <cell r="A38">
            <v>35765</v>
          </cell>
          <cell r="B38">
            <v>2.3759999999999999</v>
          </cell>
        </row>
        <row r="39">
          <cell r="A39">
            <v>35796</v>
          </cell>
          <cell r="B39">
            <v>2.1139999999999999</v>
          </cell>
        </row>
        <row r="40">
          <cell r="A40">
            <v>35827</v>
          </cell>
          <cell r="B40">
            <v>2.169</v>
          </cell>
        </row>
        <row r="41">
          <cell r="A41">
            <v>35855</v>
          </cell>
          <cell r="B41">
            <v>2.2149999999999999</v>
          </cell>
        </row>
        <row r="42">
          <cell r="A42">
            <v>35886</v>
          </cell>
          <cell r="B42">
            <v>2.448</v>
          </cell>
        </row>
        <row r="43">
          <cell r="A43">
            <v>35916</v>
          </cell>
          <cell r="B43">
            <v>2.19</v>
          </cell>
        </row>
        <row r="44">
          <cell r="A44">
            <v>35947</v>
          </cell>
          <cell r="B44">
            <v>2.1320000000000001</v>
          </cell>
        </row>
        <row r="45">
          <cell r="A45">
            <v>35977</v>
          </cell>
          <cell r="B45">
            <v>2.2509999999999999</v>
          </cell>
        </row>
        <row r="46">
          <cell r="A46">
            <v>36008</v>
          </cell>
          <cell r="B46">
            <v>1.883</v>
          </cell>
        </row>
        <row r="47">
          <cell r="A47">
            <v>36039</v>
          </cell>
          <cell r="B47">
            <v>1.919</v>
          </cell>
        </row>
        <row r="48">
          <cell r="A48">
            <v>36069</v>
          </cell>
          <cell r="B48">
            <v>1.9590000000000001</v>
          </cell>
        </row>
        <row r="49">
          <cell r="A49">
            <v>36100</v>
          </cell>
          <cell r="B49">
            <v>2.0680000000000001</v>
          </cell>
        </row>
        <row r="50">
          <cell r="A50">
            <v>36130</v>
          </cell>
          <cell r="B50">
            <v>1.7330000000000001</v>
          </cell>
        </row>
        <row r="51">
          <cell r="A51">
            <v>36161</v>
          </cell>
          <cell r="B51">
            <v>1.855</v>
          </cell>
        </row>
        <row r="52">
          <cell r="A52">
            <v>36192</v>
          </cell>
          <cell r="B52">
            <v>1.7749999999999999</v>
          </cell>
        </row>
        <row r="53">
          <cell r="A53">
            <v>36220</v>
          </cell>
          <cell r="B53">
            <v>1.754</v>
          </cell>
        </row>
        <row r="54">
          <cell r="A54">
            <v>36251</v>
          </cell>
          <cell r="B54">
            <v>2.0430000000000001</v>
          </cell>
        </row>
        <row r="55">
          <cell r="A55">
            <v>36281</v>
          </cell>
          <cell r="B55">
            <v>2.2589999999999999</v>
          </cell>
        </row>
        <row r="56">
          <cell r="A56">
            <v>36312</v>
          </cell>
          <cell r="B56">
            <v>2.2789999999999999</v>
          </cell>
        </row>
        <row r="57">
          <cell r="A57">
            <v>36342</v>
          </cell>
          <cell r="B57">
            <v>2.2210000000000001</v>
          </cell>
        </row>
        <row r="58">
          <cell r="A58">
            <v>36373</v>
          </cell>
          <cell r="B58">
            <v>2.738</v>
          </cell>
        </row>
        <row r="59">
          <cell r="A59">
            <v>36404</v>
          </cell>
          <cell r="B59">
            <v>2.605</v>
          </cell>
        </row>
        <row r="60">
          <cell r="A60">
            <v>36434</v>
          </cell>
          <cell r="B60">
            <v>2.625</v>
          </cell>
        </row>
        <row r="61">
          <cell r="A61">
            <v>36465</v>
          </cell>
          <cell r="B61">
            <v>2.4700000000000002</v>
          </cell>
        </row>
        <row r="62">
          <cell r="A62">
            <v>36495</v>
          </cell>
          <cell r="B62">
            <v>2.3450000000000002</v>
          </cell>
        </row>
        <row r="63">
          <cell r="A63">
            <v>36526</v>
          </cell>
          <cell r="B63">
            <v>2.375</v>
          </cell>
        </row>
        <row r="64">
          <cell r="A64">
            <v>36557</v>
          </cell>
          <cell r="B64">
            <v>2.6389999999999998</v>
          </cell>
        </row>
        <row r="65">
          <cell r="A65">
            <v>36586</v>
          </cell>
          <cell r="B65">
            <v>2.7389999999999999</v>
          </cell>
        </row>
        <row r="66">
          <cell r="A66">
            <v>36617</v>
          </cell>
          <cell r="B66">
            <v>2.9849999999999999</v>
          </cell>
        </row>
        <row r="67">
          <cell r="A67">
            <v>36647</v>
          </cell>
          <cell r="B67">
            <v>3.411</v>
          </cell>
        </row>
        <row r="68">
          <cell r="A68">
            <v>36678</v>
          </cell>
          <cell r="B68">
            <v>4.2709999999999999</v>
          </cell>
        </row>
        <row r="69">
          <cell r="A69">
            <v>36708</v>
          </cell>
          <cell r="B69">
            <v>4.0659999999999998</v>
          </cell>
        </row>
        <row r="70">
          <cell r="A70">
            <v>36739</v>
          </cell>
          <cell r="B70">
            <v>4.3289999999999997</v>
          </cell>
        </row>
        <row r="71">
          <cell r="A71">
            <v>36770</v>
          </cell>
          <cell r="B71">
            <v>4.9189999999999996</v>
          </cell>
        </row>
        <row r="72">
          <cell r="A72">
            <v>36800</v>
          </cell>
          <cell r="B72">
            <v>5.101</v>
          </cell>
        </row>
        <row r="73">
          <cell r="A73">
            <v>36831</v>
          </cell>
          <cell r="B73">
            <v>5.3540000000000001</v>
          </cell>
        </row>
        <row r="74">
          <cell r="A74">
            <v>36861</v>
          </cell>
          <cell r="B74">
            <v>8.0909999999999993</v>
          </cell>
        </row>
        <row r="75">
          <cell r="A75">
            <v>36892</v>
          </cell>
          <cell r="B75">
            <v>8.8379999999999992</v>
          </cell>
        </row>
        <row r="76">
          <cell r="A76">
            <v>36923</v>
          </cell>
          <cell r="B76">
            <v>5.6980000000000004</v>
          </cell>
        </row>
        <row r="77">
          <cell r="A77">
            <v>36951</v>
          </cell>
          <cell r="B77">
            <v>5.1150000000000002</v>
          </cell>
        </row>
        <row r="78">
          <cell r="A78">
            <v>36982</v>
          </cell>
          <cell r="B78">
            <v>5.24</v>
          </cell>
        </row>
        <row r="79">
          <cell r="A79">
            <v>37012</v>
          </cell>
          <cell r="B79">
            <v>4.2759999999999998</v>
          </cell>
        </row>
        <row r="80">
          <cell r="A80">
            <v>37043</v>
          </cell>
          <cell r="B80">
            <v>3.835</v>
          </cell>
        </row>
        <row r="81">
          <cell r="A81">
            <v>37073</v>
          </cell>
          <cell r="B81">
            <v>3.1309999999999998</v>
          </cell>
        </row>
        <row r="82">
          <cell r="A82">
            <v>37104</v>
          </cell>
          <cell r="B82">
            <v>3.11</v>
          </cell>
        </row>
        <row r="83">
          <cell r="A83">
            <v>37135</v>
          </cell>
          <cell r="B83">
            <v>2.2989999999999999</v>
          </cell>
        </row>
        <row r="84">
          <cell r="A84">
            <v>37165</v>
          </cell>
          <cell r="B84">
            <v>2.4020000000000001</v>
          </cell>
        </row>
        <row r="85">
          <cell r="A85">
            <v>37196</v>
          </cell>
          <cell r="B85">
            <v>2.411</v>
          </cell>
        </row>
        <row r="86">
          <cell r="A86">
            <v>37226</v>
          </cell>
          <cell r="B86">
            <v>2.387</v>
          </cell>
        </row>
        <row r="87">
          <cell r="A87">
            <v>37257</v>
          </cell>
          <cell r="B87">
            <v>2.274</v>
          </cell>
        </row>
        <row r="88">
          <cell r="A88">
            <v>37288</v>
          </cell>
          <cell r="B88">
            <v>2.2690000000000001</v>
          </cell>
        </row>
        <row r="89">
          <cell r="A89">
            <v>37316</v>
          </cell>
          <cell r="B89">
            <v>2.9329999999999998</v>
          </cell>
        </row>
        <row r="90">
          <cell r="A90">
            <v>37347</v>
          </cell>
          <cell r="B90">
            <v>3.448</v>
          </cell>
        </row>
        <row r="91">
          <cell r="A91">
            <v>37377</v>
          </cell>
          <cell r="B91">
            <v>3.4830000000000001</v>
          </cell>
        </row>
        <row r="92">
          <cell r="A92">
            <v>37408</v>
          </cell>
          <cell r="B92">
            <v>3.23</v>
          </cell>
        </row>
        <row r="93">
          <cell r="A93">
            <v>37438</v>
          </cell>
          <cell r="B93">
            <v>3.05</v>
          </cell>
        </row>
        <row r="94">
          <cell r="A94">
            <v>37469</v>
          </cell>
          <cell r="B94">
            <v>3.07</v>
          </cell>
        </row>
        <row r="95">
          <cell r="A95">
            <v>37500</v>
          </cell>
          <cell r="B95">
            <v>3.4910000000000001</v>
          </cell>
        </row>
        <row r="96">
          <cell r="A96">
            <v>37530</v>
          </cell>
          <cell r="B96">
            <v>4.0830000000000002</v>
          </cell>
        </row>
        <row r="97">
          <cell r="A97">
            <v>37561</v>
          </cell>
          <cell r="B97">
            <v>4.0709999999999997</v>
          </cell>
        </row>
        <row r="98">
          <cell r="A98">
            <v>37591</v>
          </cell>
          <cell r="B98">
            <v>4.6379999999999999</v>
          </cell>
        </row>
        <row r="99">
          <cell r="A99">
            <v>37622</v>
          </cell>
          <cell r="B99">
            <v>5.3529999999999998</v>
          </cell>
        </row>
        <row r="100">
          <cell r="A100">
            <v>37653</v>
          </cell>
          <cell r="B100">
            <v>7.2919999999999998</v>
          </cell>
        </row>
        <row r="101">
          <cell r="A101">
            <v>37681</v>
          </cell>
          <cell r="B101">
            <v>6.8330000000000002</v>
          </cell>
        </row>
        <row r="102">
          <cell r="A102">
            <v>37712</v>
          </cell>
          <cell r="B102">
            <v>5.2460000000000004</v>
          </cell>
        </row>
        <row r="103">
          <cell r="A103">
            <v>37742</v>
          </cell>
          <cell r="B103">
            <v>5.6470000000000002</v>
          </cell>
        </row>
        <row r="104">
          <cell r="A104">
            <v>37773</v>
          </cell>
          <cell r="B104">
            <v>5.16</v>
          </cell>
        </row>
        <row r="105">
          <cell r="A105">
            <v>37803</v>
          </cell>
          <cell r="B105">
            <v>5.0190000000000001</v>
          </cell>
        </row>
        <row r="106">
          <cell r="A106">
            <v>37834</v>
          </cell>
          <cell r="B106">
            <v>4.8330000000000002</v>
          </cell>
        </row>
        <row r="107">
          <cell r="A107">
            <v>37865</v>
          </cell>
          <cell r="B107">
            <v>4.5819999999999999</v>
          </cell>
        </row>
        <row r="108">
          <cell r="A108">
            <v>37895</v>
          </cell>
          <cell r="B108">
            <v>4.6130000000000004</v>
          </cell>
        </row>
        <row r="109">
          <cell r="A109">
            <v>37926</v>
          </cell>
          <cell r="B109">
            <v>4.4539999999999997</v>
          </cell>
        </row>
        <row r="110">
          <cell r="A110">
            <v>37956</v>
          </cell>
          <cell r="B110">
            <v>5.7830000000000004</v>
          </cell>
        </row>
        <row r="111">
          <cell r="A111">
            <v>37987</v>
          </cell>
          <cell r="B111">
            <v>6.0380000000000003</v>
          </cell>
        </row>
        <row r="112">
          <cell r="A112">
            <v>38018</v>
          </cell>
          <cell r="B112">
            <v>5.4539999999999997</v>
          </cell>
        </row>
        <row r="113">
          <cell r="A113">
            <v>38047</v>
          </cell>
          <cell r="B113">
            <v>5.34</v>
          </cell>
        </row>
        <row r="114">
          <cell r="A114">
            <v>38078</v>
          </cell>
          <cell r="B114">
            <v>5.6509999999999998</v>
          </cell>
        </row>
        <row r="115">
          <cell r="A115">
            <v>38108</v>
          </cell>
          <cell r="B115">
            <v>6.218</v>
          </cell>
        </row>
        <row r="116">
          <cell r="A116">
            <v>38139</v>
          </cell>
          <cell r="B116">
            <v>6.2080000000000002</v>
          </cell>
        </row>
        <row r="117">
          <cell r="A117">
            <v>38169</v>
          </cell>
          <cell r="B117">
            <v>5.915</v>
          </cell>
        </row>
        <row r="118">
          <cell r="A118">
            <v>38200</v>
          </cell>
          <cell r="B118">
            <v>5.34</v>
          </cell>
        </row>
        <row r="119">
          <cell r="A119">
            <v>38231</v>
          </cell>
          <cell r="B119">
            <v>5.0149999999999997</v>
          </cell>
        </row>
        <row r="120">
          <cell r="A120">
            <v>38261</v>
          </cell>
          <cell r="B120">
            <v>6.14</v>
          </cell>
        </row>
        <row r="121">
          <cell r="A121">
            <v>38292</v>
          </cell>
          <cell r="B121">
            <v>6.1580000000000004</v>
          </cell>
        </row>
        <row r="122">
          <cell r="A122">
            <v>38322</v>
          </cell>
          <cell r="B122">
            <v>6.5860000000000003</v>
          </cell>
        </row>
        <row r="123">
          <cell r="A123">
            <v>38353</v>
          </cell>
          <cell r="B123">
            <v>6.181</v>
          </cell>
        </row>
        <row r="124">
          <cell r="A124">
            <v>38384</v>
          </cell>
          <cell r="B124">
            <v>6.1609999999999996</v>
          </cell>
        </row>
        <row r="125">
          <cell r="A125">
            <v>38412</v>
          </cell>
          <cell r="B125">
            <v>6.1609999999999996</v>
          </cell>
        </row>
        <row r="126">
          <cell r="A126">
            <v>38443</v>
          </cell>
          <cell r="B126">
            <v>7.0960000000000001</v>
          </cell>
        </row>
        <row r="127">
          <cell r="A127">
            <v>38473</v>
          </cell>
          <cell r="B127">
            <v>6.508</v>
          </cell>
        </row>
        <row r="128">
          <cell r="A128">
            <v>38504</v>
          </cell>
          <cell r="B128">
            <v>7.0880000000000001</v>
          </cell>
        </row>
        <row r="129">
          <cell r="A129">
            <v>38534</v>
          </cell>
          <cell r="B129">
            <v>7.5519999999999996</v>
          </cell>
        </row>
        <row r="130">
          <cell r="A130">
            <v>38565</v>
          </cell>
          <cell r="B130">
            <v>9.343</v>
          </cell>
        </row>
        <row r="131">
          <cell r="A131">
            <v>38596</v>
          </cell>
          <cell r="B131">
            <v>12.372</v>
          </cell>
        </row>
        <row r="132">
          <cell r="A132">
            <v>38626</v>
          </cell>
          <cell r="B132">
            <v>12.823</v>
          </cell>
        </row>
        <row r="133">
          <cell r="A133">
            <v>38657</v>
          </cell>
          <cell r="B133">
            <v>9.8360000000000003</v>
          </cell>
        </row>
        <row r="134">
          <cell r="A134">
            <v>38930</v>
          </cell>
          <cell r="B134">
            <v>6.99</v>
          </cell>
        </row>
        <row r="135">
          <cell r="A135">
            <v>39022</v>
          </cell>
          <cell r="B135">
            <v>7.3879999999999999</v>
          </cell>
        </row>
        <row r="136">
          <cell r="A136">
            <v>43831</v>
          </cell>
        </row>
      </sheetData>
      <sheetData sheetId="71"/>
      <sheetData sheetId="72">
        <row r="8">
          <cell r="A8" t="str">
            <v>Effective</v>
          </cell>
          <cell r="B8" t="str">
            <v>Base</v>
          </cell>
          <cell r="C8" t="str">
            <v>ACA</v>
          </cell>
          <cell r="D8" t="str">
            <v>GRI</v>
          </cell>
          <cell r="E8" t="str">
            <v>GSR</v>
          </cell>
          <cell r="F8" t="str">
            <v>CDT</v>
          </cell>
          <cell r="G8" t="str">
            <v>TCRA</v>
          </cell>
          <cell r="H8" t="str">
            <v>TCSM</v>
          </cell>
          <cell r="I8" t="str">
            <v>PCB Adj</v>
          </cell>
          <cell r="J8" t="str">
            <v>Settlemnt</v>
          </cell>
          <cell r="K8" t="str">
            <v xml:space="preserve">Total </v>
          </cell>
          <cell r="M8" t="str">
            <v>Base</v>
          </cell>
          <cell r="N8" t="str">
            <v>ACA</v>
          </cell>
          <cell r="O8" t="str">
            <v>GRI</v>
          </cell>
          <cell r="P8" t="str">
            <v>GSR</v>
          </cell>
          <cell r="Q8" t="str">
            <v>CDT</v>
          </cell>
          <cell r="R8" t="str">
            <v>TCRA</v>
          </cell>
          <cell r="S8" t="str">
            <v>TCSM</v>
          </cell>
          <cell r="T8" t="str">
            <v>PCB Adj</v>
          </cell>
          <cell r="U8" t="str">
            <v>Settlemnt</v>
          </cell>
          <cell r="V8" t="str">
            <v xml:space="preserve">Total </v>
          </cell>
        </row>
        <row r="9">
          <cell r="A9">
            <v>34881</v>
          </cell>
          <cell r="B9">
            <v>0.73680000000000001</v>
          </cell>
          <cell r="C9">
            <v>2.2000000000000001E-3</v>
          </cell>
          <cell r="D9">
            <v>0.02</v>
          </cell>
          <cell r="E9">
            <v>0.1244</v>
          </cell>
          <cell r="F9">
            <v>4.8999999999999998E-3</v>
          </cell>
          <cell r="G9">
            <v>2.41E-2</v>
          </cell>
          <cell r="H9">
            <v>3.1E-2</v>
          </cell>
          <cell r="K9">
            <v>0.94340000000000002</v>
          </cell>
          <cell r="M9">
            <v>0.62409999999999999</v>
          </cell>
          <cell r="N9">
            <v>2.2000000000000001E-3</v>
          </cell>
          <cell r="O9">
            <v>0.02</v>
          </cell>
          <cell r="P9">
            <v>0.1244</v>
          </cell>
          <cell r="Q9">
            <v>4.8999999999999998E-3</v>
          </cell>
          <cell r="R9">
            <v>2.41E-2</v>
          </cell>
          <cell r="S9">
            <v>3.1E-2</v>
          </cell>
          <cell r="V9">
            <v>0.83069999999999999</v>
          </cell>
        </row>
        <row r="10">
          <cell r="A10">
            <v>35004</v>
          </cell>
          <cell r="B10">
            <v>0.73680000000000001</v>
          </cell>
          <cell r="C10">
            <v>2.2000000000000001E-3</v>
          </cell>
          <cell r="D10">
            <v>0.02</v>
          </cell>
          <cell r="E10">
            <v>0.10630000000000001</v>
          </cell>
          <cell r="F10">
            <v>2.7000000000000001E-3</v>
          </cell>
          <cell r="G10">
            <v>2.41E-2</v>
          </cell>
          <cell r="H10">
            <v>3.1E-2</v>
          </cell>
          <cell r="K10">
            <v>0.92310000000000003</v>
          </cell>
          <cell r="M10">
            <v>0.62409999999999999</v>
          </cell>
          <cell r="N10">
            <v>2.2000000000000001E-3</v>
          </cell>
          <cell r="O10">
            <v>0.02</v>
          </cell>
          <cell r="P10">
            <v>0.10630000000000001</v>
          </cell>
          <cell r="Q10">
            <v>2.7000000000000001E-3</v>
          </cell>
          <cell r="R10">
            <v>2.41E-2</v>
          </cell>
          <cell r="S10">
            <v>3.1E-2</v>
          </cell>
          <cell r="V10">
            <v>0.81040000000000001</v>
          </cell>
        </row>
        <row r="11">
          <cell r="A11">
            <v>35096</v>
          </cell>
          <cell r="B11">
            <v>0.73680000000000001</v>
          </cell>
          <cell r="C11">
            <v>2.2000000000000001E-3</v>
          </cell>
          <cell r="D11">
            <v>0.02</v>
          </cell>
          <cell r="E11">
            <v>0.1024</v>
          </cell>
          <cell r="F11">
            <v>2.7000000000000001E-3</v>
          </cell>
          <cell r="G11">
            <v>1.4800000000000001E-2</v>
          </cell>
          <cell r="H11">
            <v>0</v>
          </cell>
          <cell r="K11">
            <v>0.87890000000000013</v>
          </cell>
          <cell r="M11">
            <v>0.62409999999999999</v>
          </cell>
          <cell r="N11">
            <v>2.2000000000000001E-3</v>
          </cell>
          <cell r="O11">
            <v>0.02</v>
          </cell>
          <cell r="P11">
            <v>0.1024</v>
          </cell>
          <cell r="Q11">
            <v>2.7000000000000001E-3</v>
          </cell>
          <cell r="R11">
            <v>1.4800000000000001E-2</v>
          </cell>
          <cell r="S11">
            <v>0</v>
          </cell>
          <cell r="V11">
            <v>0.7662000000000001</v>
          </cell>
        </row>
        <row r="12">
          <cell r="A12">
            <v>35186</v>
          </cell>
          <cell r="B12">
            <v>0.71760000000000002</v>
          </cell>
          <cell r="C12">
            <v>2.2000000000000001E-3</v>
          </cell>
          <cell r="D12">
            <v>0.02</v>
          </cell>
          <cell r="E12">
            <v>0.1145</v>
          </cell>
          <cell r="F12">
            <v>0</v>
          </cell>
          <cell r="G12">
            <v>1.4800000000000001E-2</v>
          </cell>
          <cell r="H12">
            <v>0</v>
          </cell>
          <cell r="K12">
            <v>0.86910000000000009</v>
          </cell>
          <cell r="M12">
            <v>0.60709999999999997</v>
          </cell>
          <cell r="N12">
            <v>2.2000000000000001E-3</v>
          </cell>
          <cell r="O12">
            <v>0.02</v>
          </cell>
          <cell r="P12">
            <v>0.1145</v>
          </cell>
          <cell r="Q12">
            <v>0</v>
          </cell>
          <cell r="R12">
            <v>1.4800000000000001E-2</v>
          </cell>
          <cell r="S12">
            <v>0</v>
          </cell>
          <cell r="V12">
            <v>0.75860000000000005</v>
          </cell>
        </row>
        <row r="13">
          <cell r="A13">
            <v>35278</v>
          </cell>
          <cell r="B13">
            <v>0.71760000000000002</v>
          </cell>
          <cell r="C13">
            <v>2.2000000000000001E-3</v>
          </cell>
          <cell r="D13">
            <v>0.02</v>
          </cell>
          <cell r="E13">
            <v>0.1419</v>
          </cell>
          <cell r="F13">
            <v>0</v>
          </cell>
          <cell r="G13">
            <v>1.4800000000000001E-2</v>
          </cell>
          <cell r="H13">
            <v>0</v>
          </cell>
          <cell r="K13">
            <v>0.89650000000000007</v>
          </cell>
          <cell r="M13">
            <v>0.60709999999999997</v>
          </cell>
          <cell r="N13">
            <v>2.2000000000000001E-3</v>
          </cell>
          <cell r="O13">
            <v>0.02</v>
          </cell>
          <cell r="P13">
            <v>0.1419</v>
          </cell>
          <cell r="Q13">
            <v>0</v>
          </cell>
          <cell r="R13">
            <v>1.4800000000000001E-2</v>
          </cell>
          <cell r="S13">
            <v>0</v>
          </cell>
          <cell r="V13">
            <v>0.78600000000000003</v>
          </cell>
        </row>
        <row r="14">
          <cell r="A14">
            <v>35400</v>
          </cell>
          <cell r="B14">
            <v>0.71760000000000002</v>
          </cell>
          <cell r="C14">
            <v>1.9E-3</v>
          </cell>
          <cell r="D14">
            <v>0.02</v>
          </cell>
          <cell r="E14">
            <v>0.22070000000000001</v>
          </cell>
          <cell r="F14">
            <v>0</v>
          </cell>
          <cell r="G14">
            <v>1.4800000000000001E-2</v>
          </cell>
          <cell r="H14">
            <v>0</v>
          </cell>
          <cell r="K14">
            <v>0.97500000000000009</v>
          </cell>
          <cell r="M14">
            <v>0.60709999999999997</v>
          </cell>
          <cell r="N14">
            <v>1.9E-3</v>
          </cell>
          <cell r="O14">
            <v>0.02</v>
          </cell>
          <cell r="P14">
            <v>0.22070000000000001</v>
          </cell>
          <cell r="Q14">
            <v>0</v>
          </cell>
          <cell r="R14">
            <v>1.4800000000000001E-2</v>
          </cell>
          <cell r="S14">
            <v>0</v>
          </cell>
          <cell r="V14">
            <v>0.86450000000000005</v>
          </cell>
        </row>
        <row r="15">
          <cell r="A15">
            <v>35462</v>
          </cell>
          <cell r="B15">
            <v>0.71760000000000002</v>
          </cell>
          <cell r="C15">
            <v>1.9E-3</v>
          </cell>
          <cell r="D15">
            <v>0.02</v>
          </cell>
          <cell r="E15">
            <v>0.22070000000000001</v>
          </cell>
          <cell r="F15">
            <v>0</v>
          </cell>
          <cell r="G15">
            <v>1.37E-2</v>
          </cell>
          <cell r="H15">
            <v>0</v>
          </cell>
          <cell r="K15">
            <v>0.9739000000000001</v>
          </cell>
          <cell r="M15">
            <v>0.60709999999999997</v>
          </cell>
          <cell r="N15">
            <v>1.9E-3</v>
          </cell>
          <cell r="O15">
            <v>0.02</v>
          </cell>
          <cell r="P15">
            <v>0.22070000000000001</v>
          </cell>
          <cell r="Q15">
            <v>0</v>
          </cell>
          <cell r="R15">
            <v>1.37E-2</v>
          </cell>
          <cell r="S15">
            <v>0</v>
          </cell>
          <cell r="V15">
            <v>0.86340000000000006</v>
          </cell>
        </row>
        <row r="16">
          <cell r="A16">
            <v>35490</v>
          </cell>
          <cell r="B16">
            <v>0.58560000000000001</v>
          </cell>
          <cell r="C16">
            <v>1.9E-3</v>
          </cell>
          <cell r="D16">
            <v>0.02</v>
          </cell>
          <cell r="E16">
            <v>0.22070000000000001</v>
          </cell>
          <cell r="F16">
            <v>0</v>
          </cell>
          <cell r="G16">
            <v>1.37E-2</v>
          </cell>
          <cell r="H16">
            <v>0</v>
          </cell>
          <cell r="K16">
            <v>0.84190000000000009</v>
          </cell>
          <cell r="M16">
            <v>0.49569999999999997</v>
          </cell>
          <cell r="N16">
            <v>1.9E-3</v>
          </cell>
          <cell r="O16">
            <v>0.02</v>
          </cell>
          <cell r="P16">
            <v>0.22070000000000001</v>
          </cell>
          <cell r="Q16">
            <v>0</v>
          </cell>
          <cell r="R16">
            <v>1.37E-2</v>
          </cell>
          <cell r="S16">
            <v>0</v>
          </cell>
          <cell r="V16">
            <v>0.752</v>
          </cell>
        </row>
        <row r="17">
          <cell r="A17">
            <v>35551</v>
          </cell>
          <cell r="B17">
            <v>0.58560000000000001</v>
          </cell>
          <cell r="C17">
            <v>1.9E-3</v>
          </cell>
          <cell r="D17">
            <v>0.02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1.9199999999999998E-2</v>
          </cell>
          <cell r="J17">
            <v>8.9300000000000004E-2</v>
          </cell>
          <cell r="K17">
            <v>0.71600000000000008</v>
          </cell>
          <cell r="M17">
            <v>0.49569999999999997</v>
          </cell>
          <cell r="N17">
            <v>1.9E-3</v>
          </cell>
          <cell r="O17">
            <v>0.02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1.7000000000000001E-2</v>
          </cell>
          <cell r="U17">
            <v>8.9300000000000004E-2</v>
          </cell>
          <cell r="V17">
            <v>0.62390000000000001</v>
          </cell>
        </row>
        <row r="18">
          <cell r="A18">
            <v>35704</v>
          </cell>
          <cell r="B18">
            <v>0.58560000000000001</v>
          </cell>
          <cell r="C18">
            <v>2.2000000000000001E-3</v>
          </cell>
          <cell r="D18">
            <v>0.02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1.9199999999999998E-2</v>
          </cell>
          <cell r="J18">
            <v>8.9300000000000004E-2</v>
          </cell>
          <cell r="K18">
            <v>0.71630000000000005</v>
          </cell>
          <cell r="M18">
            <v>0.49569999999999997</v>
          </cell>
          <cell r="N18">
            <v>2.2000000000000001E-3</v>
          </cell>
          <cell r="O18">
            <v>0.02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1.7000000000000001E-2</v>
          </cell>
          <cell r="U18">
            <v>8.9300000000000004E-2</v>
          </cell>
          <cell r="V18">
            <v>0.62419999999999998</v>
          </cell>
        </row>
        <row r="19">
          <cell r="A19">
            <v>36281</v>
          </cell>
          <cell r="B19">
            <v>0.58440000000000003</v>
          </cell>
          <cell r="C19">
            <v>2.2000000000000001E-3</v>
          </cell>
          <cell r="D19">
            <v>1.7999999999999999E-2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1.9199999999999998E-2</v>
          </cell>
          <cell r="J19">
            <v>0</v>
          </cell>
          <cell r="K19">
            <v>0.62380000000000002</v>
          </cell>
          <cell r="M19">
            <v>0.49509999999999998</v>
          </cell>
          <cell r="N19">
            <v>2.2000000000000001E-3</v>
          </cell>
          <cell r="O19">
            <v>1.7999999999999999E-2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1.7000000000000001E-2</v>
          </cell>
          <cell r="U19">
            <v>0</v>
          </cell>
          <cell r="V19">
            <v>0.5323</v>
          </cell>
        </row>
        <row r="20">
          <cell r="A20">
            <v>36831</v>
          </cell>
          <cell r="B20">
            <v>0.58440000000000003</v>
          </cell>
          <cell r="C20">
            <v>2.2000000000000001E-3</v>
          </cell>
          <cell r="D20">
            <v>1.6E-2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0.60260000000000002</v>
          </cell>
          <cell r="M20">
            <v>0.49509999999999998</v>
          </cell>
          <cell r="N20">
            <v>2.2000000000000001E-3</v>
          </cell>
          <cell r="O20">
            <v>1.6E-2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0.51329999999999998</v>
          </cell>
        </row>
        <row r="21">
          <cell r="A21">
            <v>37043</v>
          </cell>
          <cell r="B21">
            <v>0.58440000000000003</v>
          </cell>
          <cell r="C21">
            <v>2.2000000000000001E-3</v>
          </cell>
          <cell r="D21">
            <v>1.0999999999999999E-2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0.59760000000000002</v>
          </cell>
          <cell r="M21">
            <v>0.49509999999999998</v>
          </cell>
          <cell r="N21">
            <v>2.2000000000000001E-3</v>
          </cell>
          <cell r="O21">
            <v>1.0999999999999999E-2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0.50829999999999997</v>
          </cell>
        </row>
        <row r="22">
          <cell r="A22">
            <v>37561</v>
          </cell>
          <cell r="B22">
            <v>0.58440000000000003</v>
          </cell>
          <cell r="C22">
            <v>2.0999999999999999E-3</v>
          </cell>
          <cell r="D22">
            <v>8.8000000000000005E-3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0.59530000000000005</v>
          </cell>
          <cell r="M22">
            <v>0.49509999999999998</v>
          </cell>
          <cell r="N22">
            <v>2.0999999999999999E-3</v>
          </cell>
          <cell r="O22">
            <v>8.8000000000000005E-3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0.50600000000000001</v>
          </cell>
        </row>
        <row r="23">
          <cell r="A23">
            <v>37834</v>
          </cell>
          <cell r="B23">
            <v>0.58440000000000003</v>
          </cell>
          <cell r="C23">
            <v>2.0999999999999999E-3</v>
          </cell>
          <cell r="D23">
            <v>6.0000000000000001E-3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0.59250000000000003</v>
          </cell>
          <cell r="M23">
            <v>0.49509999999999998</v>
          </cell>
          <cell r="N23">
            <v>2.0999999999999999E-3</v>
          </cell>
          <cell r="O23">
            <v>6.0000000000000001E-3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0.50319999999999998</v>
          </cell>
        </row>
        <row r="24">
          <cell r="A24">
            <v>38200</v>
          </cell>
          <cell r="B24">
            <v>0.58440000000000003</v>
          </cell>
          <cell r="C24">
            <v>2.0999999999999999E-3</v>
          </cell>
          <cell r="D24">
            <v>0</v>
          </cell>
          <cell r="E24" t="str">
            <v/>
          </cell>
          <cell r="F24">
            <v>0</v>
          </cell>
          <cell r="K24">
            <v>0.58650000000000002</v>
          </cell>
          <cell r="M24">
            <v>0.49509999999999998</v>
          </cell>
          <cell r="N24">
            <v>2.0999999999999999E-3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0.49719999999999998</v>
          </cell>
        </row>
        <row r="25">
          <cell r="A25">
            <v>38384</v>
          </cell>
          <cell r="B25">
            <v>0.58440000000000003</v>
          </cell>
          <cell r="C25">
            <v>1.9E-3</v>
          </cell>
          <cell r="D25">
            <v>0</v>
          </cell>
          <cell r="E25" t="str">
            <v/>
          </cell>
          <cell r="F25">
            <v>0</v>
          </cell>
          <cell r="K25">
            <v>0.58630000000000004</v>
          </cell>
          <cell r="M25">
            <v>0.49509999999999998</v>
          </cell>
          <cell r="N25">
            <v>1.9E-3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0.497</v>
          </cell>
        </row>
        <row r="26">
          <cell r="A26">
            <v>38473</v>
          </cell>
          <cell r="B26">
            <v>0.58440000000000003</v>
          </cell>
          <cell r="C26">
            <v>1.9E-3</v>
          </cell>
          <cell r="D26">
            <v>0</v>
          </cell>
          <cell r="E26" t="str">
            <v/>
          </cell>
          <cell r="F26">
            <v>0</v>
          </cell>
          <cell r="K26">
            <v>0.58630000000000004</v>
          </cell>
          <cell r="M26">
            <v>0.49509999999999998</v>
          </cell>
          <cell r="N26">
            <v>1.9E-3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0.497</v>
          </cell>
        </row>
        <row r="27">
          <cell r="A27">
            <v>38687</v>
          </cell>
          <cell r="B27">
            <v>0.58440000000000003</v>
          </cell>
          <cell r="C27">
            <v>1.8E-3</v>
          </cell>
          <cell r="D27">
            <v>0</v>
          </cell>
          <cell r="E27" t="str">
            <v/>
          </cell>
          <cell r="F27">
            <v>0</v>
          </cell>
          <cell r="K27">
            <v>0.58620000000000005</v>
          </cell>
          <cell r="M27">
            <v>0.49509999999999998</v>
          </cell>
          <cell r="N27">
            <v>1.8E-3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0.49690000000000001</v>
          </cell>
        </row>
        <row r="28">
          <cell r="A28">
            <v>39114</v>
          </cell>
          <cell r="B28">
            <v>0.58440000000000003</v>
          </cell>
          <cell r="C28">
            <v>1.6000000000000001E-3</v>
          </cell>
          <cell r="D28">
            <v>0</v>
          </cell>
          <cell r="E28" t="str">
            <v/>
          </cell>
          <cell r="F28">
            <v>0</v>
          </cell>
          <cell r="K28">
            <v>0.58600000000000008</v>
          </cell>
          <cell r="M28">
            <v>0.49509999999999998</v>
          </cell>
          <cell r="N28">
            <v>1.6000000000000001E-3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0.49669999999999997</v>
          </cell>
        </row>
        <row r="29">
          <cell r="A29">
            <v>54789</v>
          </cell>
        </row>
      </sheetData>
      <sheetData sheetId="73">
        <row r="9">
          <cell r="A9">
            <v>35490</v>
          </cell>
          <cell r="B9">
            <v>1.61E-2</v>
          </cell>
          <cell r="C9">
            <v>1.9E-3</v>
          </cell>
          <cell r="D9">
            <v>8.8000000000000005E-3</v>
          </cell>
          <cell r="E9">
            <v>2.6799999999999997E-2</v>
          </cell>
        </row>
        <row r="10">
          <cell r="A10">
            <v>35704</v>
          </cell>
          <cell r="B10">
            <v>1.61E-2</v>
          </cell>
          <cell r="C10">
            <v>2.2000000000000001E-3</v>
          </cell>
          <cell r="D10">
            <v>8.8000000000000005E-3</v>
          </cell>
          <cell r="E10">
            <v>2.7099999999999999E-2</v>
          </cell>
        </row>
        <row r="11">
          <cell r="A11">
            <v>36281</v>
          </cell>
          <cell r="B11">
            <v>1.61E-2</v>
          </cell>
          <cell r="C11">
            <v>2.2000000000000001E-3</v>
          </cell>
          <cell r="D11">
            <v>7.4999999999999997E-3</v>
          </cell>
          <cell r="E11">
            <v>2.58E-2</v>
          </cell>
        </row>
        <row r="12">
          <cell r="A12">
            <v>36831</v>
          </cell>
          <cell r="B12">
            <v>1.61E-2</v>
          </cell>
          <cell r="C12">
            <v>2.2000000000000001E-3</v>
          </cell>
          <cell r="D12">
            <v>7.1999999999999998E-3</v>
          </cell>
          <cell r="E12">
            <v>2.5500000000000002E-2</v>
          </cell>
        </row>
        <row r="13">
          <cell r="A13">
            <v>37043</v>
          </cell>
          <cell r="B13">
            <v>1.61E-2</v>
          </cell>
          <cell r="C13">
            <v>2.2000000000000001E-3</v>
          </cell>
          <cell r="D13">
            <v>7.0000000000000001E-3</v>
          </cell>
          <cell r="E13">
            <v>2.53E-2</v>
          </cell>
        </row>
        <row r="14">
          <cell r="A14">
            <v>37165</v>
          </cell>
          <cell r="B14">
            <v>1.61E-2</v>
          </cell>
          <cell r="C14">
            <v>2.0999999999999999E-3</v>
          </cell>
          <cell r="D14">
            <v>7.0000000000000001E-3</v>
          </cell>
          <cell r="E14">
            <v>2.52E-2</v>
          </cell>
        </row>
        <row r="15">
          <cell r="A15">
            <v>37561</v>
          </cell>
          <cell r="B15">
            <v>1.61E-2</v>
          </cell>
          <cell r="C15">
            <v>2.0999999999999999E-3</v>
          </cell>
          <cell r="D15">
            <v>5.4999999999999997E-3</v>
          </cell>
          <cell r="E15">
            <v>2.3699999999999999E-2</v>
          </cell>
        </row>
        <row r="16">
          <cell r="A16">
            <v>37834</v>
          </cell>
          <cell r="B16">
            <v>1.61E-2</v>
          </cell>
          <cell r="C16">
            <v>2.0999999999999999E-3</v>
          </cell>
          <cell r="D16">
            <v>4.0000000000000001E-3</v>
          </cell>
          <cell r="E16">
            <v>2.2200000000000001E-2</v>
          </cell>
        </row>
        <row r="17">
          <cell r="A17">
            <v>38292</v>
          </cell>
          <cell r="B17">
            <v>1.61E-2</v>
          </cell>
          <cell r="C17">
            <v>2.0999999999999999E-3</v>
          </cell>
          <cell r="D17">
            <v>0</v>
          </cell>
          <cell r="E17">
            <v>1.8200000000000001E-2</v>
          </cell>
        </row>
        <row r="18">
          <cell r="A18">
            <v>38384</v>
          </cell>
          <cell r="B18">
            <v>1.61E-2</v>
          </cell>
          <cell r="C18">
            <v>1.9E-3</v>
          </cell>
          <cell r="D18">
            <v>0</v>
          </cell>
          <cell r="E18">
            <v>1.7999999999999999E-2</v>
          </cell>
        </row>
        <row r="19">
          <cell r="A19">
            <v>38473</v>
          </cell>
          <cell r="B19">
            <v>1.61E-2</v>
          </cell>
          <cell r="C19">
            <v>1.9E-3</v>
          </cell>
          <cell r="D19">
            <v>0</v>
          </cell>
          <cell r="E19">
            <v>1.7999999999999999E-2</v>
          </cell>
        </row>
        <row r="20">
          <cell r="A20">
            <v>38687</v>
          </cell>
          <cell r="B20">
            <v>1.61E-2</v>
          </cell>
          <cell r="C20">
            <v>1.8E-3</v>
          </cell>
          <cell r="D20">
            <v>0</v>
          </cell>
          <cell r="E20">
            <v>1.7899999999999999E-2</v>
          </cell>
        </row>
        <row r="21">
          <cell r="A21">
            <v>39114</v>
          </cell>
          <cell r="B21">
            <v>1.61E-2</v>
          </cell>
          <cell r="C21">
            <v>1.6000000000000001E-3</v>
          </cell>
          <cell r="D21">
            <v>0</v>
          </cell>
          <cell r="E21">
            <v>1.77E-2</v>
          </cell>
        </row>
        <row r="22">
          <cell r="A22">
            <v>54789</v>
          </cell>
        </row>
      </sheetData>
      <sheetData sheetId="74">
        <row r="9">
          <cell r="A9" t="str">
            <v>Effective</v>
          </cell>
          <cell r="B9" t="str">
            <v>Base</v>
          </cell>
          <cell r="C9" t="str">
            <v>GSR</v>
          </cell>
          <cell r="D9" t="str">
            <v>CDT</v>
          </cell>
          <cell r="E9" t="str">
            <v>PCB Adj</v>
          </cell>
          <cell r="F9" t="str">
            <v>TCRA</v>
          </cell>
          <cell r="G9" t="str">
            <v>Settlemnt</v>
          </cell>
          <cell r="H9" t="str">
            <v xml:space="preserve">Total </v>
          </cell>
          <cell r="J9" t="str">
            <v>Base</v>
          </cell>
          <cell r="K9" t="str">
            <v>GSR</v>
          </cell>
          <cell r="L9" t="str">
            <v>CDT</v>
          </cell>
          <cell r="M9" t="str">
            <v>PCB Adj</v>
          </cell>
          <cell r="N9" t="str">
            <v>TCRA</v>
          </cell>
          <cell r="O9" t="str">
            <v>Settlemnt</v>
          </cell>
          <cell r="P9" t="str">
            <v xml:space="preserve">Total </v>
          </cell>
        </row>
        <row r="10">
          <cell r="A10">
            <v>34973</v>
          </cell>
          <cell r="B10">
            <v>13.15</v>
          </cell>
          <cell r="C10">
            <v>2.27</v>
          </cell>
          <cell r="D10">
            <v>0.09</v>
          </cell>
          <cell r="F10">
            <v>0.44</v>
          </cell>
          <cell r="H10">
            <v>15.95</v>
          </cell>
          <cell r="J10">
            <v>11.15</v>
          </cell>
          <cell r="K10">
            <v>2.27</v>
          </cell>
          <cell r="L10">
            <v>0.09</v>
          </cell>
          <cell r="N10">
            <v>0.44</v>
          </cell>
          <cell r="P10">
            <v>13.95</v>
          </cell>
        </row>
        <row r="11">
          <cell r="A11">
            <v>35004.056410256409</v>
          </cell>
          <cell r="B11">
            <v>13.15</v>
          </cell>
          <cell r="C11">
            <v>1.94</v>
          </cell>
          <cell r="D11">
            <v>0.05</v>
          </cell>
          <cell r="F11">
            <v>0.44</v>
          </cell>
          <cell r="H11">
            <v>15.58</v>
          </cell>
          <cell r="J11">
            <v>11.15</v>
          </cell>
          <cell r="K11">
            <v>1.94</v>
          </cell>
          <cell r="L11">
            <v>0.05</v>
          </cell>
          <cell r="N11">
            <v>0.44</v>
          </cell>
          <cell r="P11">
            <v>13.58</v>
          </cell>
        </row>
        <row r="12">
          <cell r="A12">
            <v>35096</v>
          </cell>
          <cell r="B12">
            <v>13.15</v>
          </cell>
          <cell r="C12">
            <v>1.87</v>
          </cell>
          <cell r="D12">
            <v>0.05</v>
          </cell>
          <cell r="F12">
            <v>0.27</v>
          </cell>
          <cell r="H12">
            <v>15.34</v>
          </cell>
          <cell r="J12">
            <v>11.15</v>
          </cell>
          <cell r="K12">
            <v>1.87</v>
          </cell>
          <cell r="L12">
            <v>0.05</v>
          </cell>
          <cell r="N12">
            <v>0.27</v>
          </cell>
          <cell r="P12">
            <v>13.34</v>
          </cell>
        </row>
        <row r="13">
          <cell r="A13">
            <v>35186</v>
          </cell>
          <cell r="B13">
            <v>12.8</v>
          </cell>
          <cell r="C13">
            <v>2.09</v>
          </cell>
          <cell r="D13">
            <v>0</v>
          </cell>
          <cell r="F13">
            <v>0.27</v>
          </cell>
          <cell r="H13">
            <v>15.16</v>
          </cell>
          <cell r="J13">
            <v>10.84</v>
          </cell>
          <cell r="K13">
            <v>2.09</v>
          </cell>
          <cell r="L13">
            <v>0</v>
          </cell>
          <cell r="N13">
            <v>0.27</v>
          </cell>
          <cell r="P13">
            <v>13.2</v>
          </cell>
        </row>
        <row r="14">
          <cell r="A14">
            <v>35278</v>
          </cell>
          <cell r="B14">
            <v>12.8</v>
          </cell>
          <cell r="C14">
            <v>2.59</v>
          </cell>
          <cell r="D14">
            <v>0</v>
          </cell>
          <cell r="E14">
            <v>0.35</v>
          </cell>
          <cell r="F14">
            <v>0.27</v>
          </cell>
          <cell r="H14">
            <v>16.010000000000002</v>
          </cell>
          <cell r="J14">
            <v>10.84</v>
          </cell>
          <cell r="K14">
            <v>2.59</v>
          </cell>
          <cell r="L14">
            <v>0</v>
          </cell>
          <cell r="M14">
            <v>0.31</v>
          </cell>
          <cell r="N14">
            <v>0.27</v>
          </cell>
          <cell r="P14">
            <v>14.01</v>
          </cell>
        </row>
        <row r="15">
          <cell r="A15">
            <v>35400</v>
          </cell>
          <cell r="B15">
            <v>12.8</v>
          </cell>
          <cell r="C15">
            <v>4.03</v>
          </cell>
          <cell r="D15">
            <v>0</v>
          </cell>
          <cell r="E15">
            <v>0.35</v>
          </cell>
          <cell r="F15">
            <v>0.27</v>
          </cell>
          <cell r="H15">
            <v>17.450000000000003</v>
          </cell>
          <cell r="J15">
            <v>10.84</v>
          </cell>
          <cell r="K15">
            <v>4.03</v>
          </cell>
          <cell r="L15">
            <v>0</v>
          </cell>
          <cell r="M15">
            <v>0.31</v>
          </cell>
          <cell r="N15">
            <v>0.27</v>
          </cell>
          <cell r="P15">
            <v>15.450000000000001</v>
          </cell>
        </row>
        <row r="16">
          <cell r="A16">
            <v>35462</v>
          </cell>
          <cell r="B16">
            <v>12.8</v>
          </cell>
          <cell r="C16">
            <v>4.03</v>
          </cell>
          <cell r="D16">
            <v>0</v>
          </cell>
          <cell r="E16">
            <v>0.35</v>
          </cell>
          <cell r="F16">
            <v>0.25</v>
          </cell>
          <cell r="H16">
            <v>17.430000000000003</v>
          </cell>
          <cell r="J16">
            <v>10.84</v>
          </cell>
          <cell r="K16">
            <v>4.03</v>
          </cell>
          <cell r="L16">
            <v>0</v>
          </cell>
          <cell r="M16">
            <v>0.31</v>
          </cell>
          <cell r="N16">
            <v>0.25</v>
          </cell>
          <cell r="P16">
            <v>15.430000000000001</v>
          </cell>
        </row>
        <row r="17">
          <cell r="A17">
            <v>35490</v>
          </cell>
          <cell r="B17">
            <v>9.08</v>
          </cell>
          <cell r="C17">
            <v>4.03</v>
          </cell>
          <cell r="D17">
            <v>0</v>
          </cell>
          <cell r="E17">
            <v>0.35</v>
          </cell>
          <cell r="F17">
            <v>0.25</v>
          </cell>
          <cell r="H17">
            <v>13.709999999999999</v>
          </cell>
          <cell r="J17">
            <v>7.63</v>
          </cell>
          <cell r="K17">
            <v>4.03</v>
          </cell>
          <cell r="L17">
            <v>0</v>
          </cell>
          <cell r="M17">
            <v>0.31</v>
          </cell>
          <cell r="N17">
            <v>0.25</v>
          </cell>
          <cell r="P17">
            <v>12.22</v>
          </cell>
        </row>
        <row r="18">
          <cell r="A18">
            <v>35551</v>
          </cell>
          <cell r="B18">
            <v>9.08</v>
          </cell>
          <cell r="C18">
            <v>0</v>
          </cell>
          <cell r="D18">
            <v>0</v>
          </cell>
          <cell r="E18">
            <v>0.35</v>
          </cell>
          <cell r="F18">
            <v>0</v>
          </cell>
          <cell r="G18">
            <v>1.63</v>
          </cell>
          <cell r="H18">
            <v>11.059999999999999</v>
          </cell>
          <cell r="J18">
            <v>7.63</v>
          </cell>
          <cell r="K18">
            <v>0</v>
          </cell>
          <cell r="L18">
            <v>0</v>
          </cell>
          <cell r="M18">
            <v>0.31</v>
          </cell>
          <cell r="N18">
            <v>0</v>
          </cell>
          <cell r="O18">
            <v>1.63</v>
          </cell>
          <cell r="P18">
            <v>9.57</v>
          </cell>
        </row>
        <row r="19">
          <cell r="A19">
            <v>36281</v>
          </cell>
          <cell r="B19">
            <v>9.06</v>
          </cell>
          <cell r="C19">
            <v>0</v>
          </cell>
          <cell r="D19">
            <v>0</v>
          </cell>
          <cell r="E19">
            <v>0.35</v>
          </cell>
          <cell r="F19">
            <v>0</v>
          </cell>
          <cell r="G19">
            <v>0</v>
          </cell>
          <cell r="H19">
            <v>9.41</v>
          </cell>
          <cell r="J19">
            <v>7.62</v>
          </cell>
          <cell r="K19">
            <v>0</v>
          </cell>
          <cell r="L19">
            <v>0</v>
          </cell>
          <cell r="M19">
            <v>0.31</v>
          </cell>
          <cell r="N19">
            <v>0</v>
          </cell>
          <cell r="O19">
            <v>0</v>
          </cell>
          <cell r="P19">
            <v>7.93</v>
          </cell>
        </row>
        <row r="20">
          <cell r="A20">
            <v>36831</v>
          </cell>
          <cell r="B20">
            <v>9.06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9.06</v>
          </cell>
          <cell r="J20">
            <v>7.62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7.62</v>
          </cell>
        </row>
        <row r="21">
          <cell r="A21">
            <v>37561</v>
          </cell>
          <cell r="B21">
            <v>9.06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9.06</v>
          </cell>
          <cell r="J21">
            <v>7.62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7.62</v>
          </cell>
        </row>
        <row r="22">
          <cell r="A22">
            <v>37834</v>
          </cell>
          <cell r="B22">
            <v>9.06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9.06</v>
          </cell>
          <cell r="J22">
            <v>7.62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7.62</v>
          </cell>
        </row>
        <row r="23">
          <cell r="A23">
            <v>38200</v>
          </cell>
          <cell r="B23">
            <v>9.06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9.06</v>
          </cell>
          <cell r="J23">
            <v>7.62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7.62</v>
          </cell>
        </row>
        <row r="24">
          <cell r="A24">
            <v>38384</v>
          </cell>
          <cell r="B24">
            <v>9.06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9.06</v>
          </cell>
          <cell r="J24">
            <v>7.62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7.62</v>
          </cell>
        </row>
        <row r="25">
          <cell r="A25">
            <v>38473</v>
          </cell>
          <cell r="B25">
            <v>9.06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9.06</v>
          </cell>
          <cell r="J25">
            <v>7.62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7.62</v>
          </cell>
        </row>
        <row r="26">
          <cell r="A26">
            <v>39114</v>
          </cell>
          <cell r="B26">
            <v>9.06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9.06</v>
          </cell>
          <cell r="J26">
            <v>7.62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7.62</v>
          </cell>
        </row>
        <row r="27">
          <cell r="A27">
            <v>54789</v>
          </cell>
        </row>
      </sheetData>
      <sheetData sheetId="75">
        <row r="9">
          <cell r="A9">
            <v>34881</v>
          </cell>
          <cell r="B9">
            <v>1.6199999999999999E-2</v>
          </cell>
          <cell r="C9">
            <v>2.2000000000000001E-3</v>
          </cell>
          <cell r="D9">
            <v>0.02</v>
          </cell>
          <cell r="E9">
            <v>3.1E-2</v>
          </cell>
          <cell r="F9">
            <v>6.9400000000000003E-2</v>
          </cell>
          <cell r="H9">
            <v>1.3000000000000001E-2</v>
          </cell>
          <cell r="I9">
            <v>2.2000000000000001E-3</v>
          </cell>
          <cell r="J9">
            <v>0.02</v>
          </cell>
          <cell r="K9">
            <v>3.1E-2</v>
          </cell>
          <cell r="L9">
            <v>6.6200000000000009E-2</v>
          </cell>
        </row>
        <row r="10">
          <cell r="A10">
            <v>35004</v>
          </cell>
          <cell r="B10">
            <v>1.6199999999999999E-2</v>
          </cell>
          <cell r="C10">
            <v>2.2000000000000001E-3</v>
          </cell>
          <cell r="D10">
            <v>0.02</v>
          </cell>
          <cell r="E10">
            <v>3.1E-2</v>
          </cell>
          <cell r="F10">
            <v>6.9400000000000003E-2</v>
          </cell>
          <cell r="H10">
            <v>1.3000000000000001E-2</v>
          </cell>
          <cell r="I10">
            <v>2.2000000000000001E-3</v>
          </cell>
          <cell r="J10">
            <v>0.02</v>
          </cell>
          <cell r="K10">
            <v>3.1E-2</v>
          </cell>
          <cell r="L10">
            <v>6.6200000000000009E-2</v>
          </cell>
        </row>
        <row r="11">
          <cell r="A11">
            <v>35096</v>
          </cell>
          <cell r="B11">
            <v>1.6199999999999999E-2</v>
          </cell>
          <cell r="C11">
            <v>2.2000000000000001E-3</v>
          </cell>
          <cell r="D11">
            <v>0.02</v>
          </cell>
          <cell r="E11">
            <v>0</v>
          </cell>
          <cell r="F11">
            <v>3.8400000000000004E-2</v>
          </cell>
          <cell r="H11">
            <v>1.3000000000000001E-2</v>
          </cell>
          <cell r="I11">
            <v>2.2000000000000001E-3</v>
          </cell>
          <cell r="J11">
            <v>0.02</v>
          </cell>
          <cell r="K11">
            <v>0</v>
          </cell>
          <cell r="L11">
            <v>3.5200000000000002E-2</v>
          </cell>
        </row>
        <row r="12">
          <cell r="A12">
            <v>35339</v>
          </cell>
          <cell r="B12">
            <v>1.6199999999999999E-2</v>
          </cell>
          <cell r="C12">
            <v>1.9E-3</v>
          </cell>
          <cell r="D12">
            <v>0.02</v>
          </cell>
          <cell r="E12">
            <v>2.2499999999999999E-2</v>
          </cell>
          <cell r="F12">
            <v>6.0599999999999994E-2</v>
          </cell>
          <cell r="H12">
            <v>1.3000000000000001E-2</v>
          </cell>
          <cell r="I12">
            <v>1.9E-3</v>
          </cell>
          <cell r="J12">
            <v>0.02</v>
          </cell>
          <cell r="K12">
            <v>2.2499999999999999E-2</v>
          </cell>
          <cell r="L12">
            <v>5.74E-2</v>
          </cell>
        </row>
        <row r="13">
          <cell r="A13">
            <v>35490</v>
          </cell>
          <cell r="B13">
            <v>8.8099999999999998E-2</v>
          </cell>
          <cell r="C13">
            <v>1.9E-3</v>
          </cell>
          <cell r="D13">
            <v>0.02</v>
          </cell>
          <cell r="E13">
            <v>2.2499999999999999E-2</v>
          </cell>
          <cell r="F13">
            <v>0.13250000000000001</v>
          </cell>
          <cell r="H13">
            <v>7.7600000000000002E-2</v>
          </cell>
          <cell r="I13">
            <v>1.9E-3</v>
          </cell>
          <cell r="J13">
            <v>0.02</v>
          </cell>
          <cell r="K13">
            <v>2.2499999999999999E-2</v>
          </cell>
          <cell r="L13">
            <v>0.122</v>
          </cell>
        </row>
        <row r="14">
          <cell r="A14">
            <v>35704</v>
          </cell>
          <cell r="B14">
            <v>8.8099999999999998E-2</v>
          </cell>
          <cell r="C14">
            <v>2.2000000000000001E-3</v>
          </cell>
          <cell r="D14">
            <v>0.02</v>
          </cell>
          <cell r="E14">
            <v>2.2499999999999999E-2</v>
          </cell>
          <cell r="F14">
            <v>0.1328</v>
          </cell>
          <cell r="H14">
            <v>7.7600000000000002E-2</v>
          </cell>
          <cell r="I14">
            <v>2.2000000000000001E-3</v>
          </cell>
          <cell r="J14">
            <v>0.02</v>
          </cell>
          <cell r="K14">
            <v>2.2499999999999999E-2</v>
          </cell>
          <cell r="L14">
            <v>0.12229999999999999</v>
          </cell>
        </row>
        <row r="15">
          <cell r="A15">
            <v>36281</v>
          </cell>
          <cell r="B15">
            <v>8.7999999999999995E-2</v>
          </cell>
          <cell r="C15">
            <v>2.2000000000000001E-3</v>
          </cell>
          <cell r="D15">
            <v>1.7999999999999999E-2</v>
          </cell>
          <cell r="E15">
            <v>2.2499999999999999E-2</v>
          </cell>
          <cell r="F15">
            <v>0.13069999999999998</v>
          </cell>
          <cell r="H15">
            <v>7.7600000000000002E-2</v>
          </cell>
          <cell r="I15">
            <v>2.2000000000000001E-3</v>
          </cell>
          <cell r="J15">
            <v>1.7999999999999999E-2</v>
          </cell>
          <cell r="K15">
            <v>2.2499999999999999E-2</v>
          </cell>
          <cell r="L15">
            <v>0.12029999999999999</v>
          </cell>
        </row>
        <row r="16">
          <cell r="A16">
            <v>36831</v>
          </cell>
          <cell r="B16">
            <v>8.7999999999999995E-2</v>
          </cell>
          <cell r="C16">
            <v>2.2000000000000001E-3</v>
          </cell>
          <cell r="D16">
            <v>1.6E-2</v>
          </cell>
          <cell r="E16">
            <v>2.2499999999999999E-2</v>
          </cell>
          <cell r="F16">
            <v>0.12869999999999998</v>
          </cell>
          <cell r="H16">
            <v>7.7600000000000002E-2</v>
          </cell>
          <cell r="I16">
            <v>2.2000000000000001E-3</v>
          </cell>
          <cell r="J16">
            <v>1.6E-2</v>
          </cell>
          <cell r="K16">
            <v>2.2499999999999999E-2</v>
          </cell>
          <cell r="L16">
            <v>0.11829999999999999</v>
          </cell>
        </row>
        <row r="17">
          <cell r="A17">
            <v>37043</v>
          </cell>
          <cell r="B17">
            <v>8.7999999999999995E-2</v>
          </cell>
          <cell r="C17">
            <v>2.2000000000000001E-3</v>
          </cell>
          <cell r="D17">
            <v>1.0999999999999999E-2</v>
          </cell>
          <cell r="E17">
            <v>2.2499999999999999E-2</v>
          </cell>
          <cell r="F17">
            <v>0.12369999999999998</v>
          </cell>
          <cell r="H17">
            <v>7.7600000000000002E-2</v>
          </cell>
          <cell r="I17">
            <v>2.2000000000000001E-3</v>
          </cell>
          <cell r="J17">
            <v>1.0999999999999999E-2</v>
          </cell>
          <cell r="K17">
            <v>2.2499999999999999E-2</v>
          </cell>
          <cell r="L17">
            <v>0.11329999999999998</v>
          </cell>
        </row>
        <row r="18">
          <cell r="A18">
            <v>37043</v>
          </cell>
          <cell r="B18">
            <v>8.7999999999999995E-2</v>
          </cell>
          <cell r="C18">
            <v>2.0999999999999999E-3</v>
          </cell>
          <cell r="D18">
            <v>8.8000000000000005E-3</v>
          </cell>
          <cell r="E18">
            <v>2.2499999999999999E-2</v>
          </cell>
          <cell r="F18">
            <v>0.12140000000000001</v>
          </cell>
          <cell r="H18">
            <v>7.7600000000000002E-2</v>
          </cell>
          <cell r="I18">
            <v>2.0999999999999999E-3</v>
          </cell>
          <cell r="J18">
            <v>8.8000000000000005E-3</v>
          </cell>
          <cell r="K18">
            <v>2.2499999999999999E-2</v>
          </cell>
          <cell r="L18">
            <v>0.11100000000000002</v>
          </cell>
        </row>
        <row r="19">
          <cell r="A19">
            <v>37834</v>
          </cell>
          <cell r="B19">
            <v>8.7999999999999995E-2</v>
          </cell>
          <cell r="C19">
            <v>2.0999999999999999E-3</v>
          </cell>
          <cell r="D19">
            <v>6.0000000000000001E-3</v>
          </cell>
          <cell r="E19">
            <v>2.2499999999999999E-2</v>
          </cell>
          <cell r="F19">
            <v>0.11860000000000001</v>
          </cell>
          <cell r="H19">
            <v>7.7600000000000002E-2</v>
          </cell>
          <cell r="I19">
            <v>2.0999999999999999E-3</v>
          </cell>
          <cell r="J19">
            <v>6.0000000000000001E-3</v>
          </cell>
          <cell r="K19">
            <v>2.2499999999999999E-2</v>
          </cell>
          <cell r="L19">
            <v>0.10820000000000002</v>
          </cell>
        </row>
        <row r="20">
          <cell r="A20">
            <v>38200</v>
          </cell>
          <cell r="B20">
            <v>8.7999999999999995E-2</v>
          </cell>
          <cell r="C20">
            <v>2.0999999999999999E-3</v>
          </cell>
          <cell r="D20">
            <v>0</v>
          </cell>
          <cell r="E20">
            <v>0</v>
          </cell>
          <cell r="F20">
            <v>9.01E-2</v>
          </cell>
          <cell r="H20">
            <v>7.7600000000000002E-2</v>
          </cell>
          <cell r="I20">
            <v>2.0999999999999999E-3</v>
          </cell>
          <cell r="J20">
            <v>0</v>
          </cell>
          <cell r="K20">
            <v>0</v>
          </cell>
          <cell r="L20">
            <v>7.9700000000000007E-2</v>
          </cell>
        </row>
        <row r="21">
          <cell r="A21">
            <v>38384</v>
          </cell>
          <cell r="B21">
            <v>8.7999999999999995E-2</v>
          </cell>
          <cell r="C21">
            <v>1.9E-3</v>
          </cell>
          <cell r="D21">
            <v>0</v>
          </cell>
          <cell r="E21">
            <v>0</v>
          </cell>
          <cell r="F21">
            <v>8.9899999999999994E-2</v>
          </cell>
          <cell r="H21">
            <v>7.7600000000000002E-2</v>
          </cell>
          <cell r="I21">
            <v>1.9E-3</v>
          </cell>
          <cell r="J21">
            <v>0</v>
          </cell>
          <cell r="K21">
            <v>0</v>
          </cell>
          <cell r="L21">
            <v>7.9500000000000001E-2</v>
          </cell>
        </row>
        <row r="22">
          <cell r="A22">
            <v>38473</v>
          </cell>
          <cell r="B22">
            <v>8.7999999999999995E-2</v>
          </cell>
          <cell r="C22">
            <v>1.9E-3</v>
          </cell>
          <cell r="D22">
            <v>0</v>
          </cell>
          <cell r="E22">
            <v>0</v>
          </cell>
          <cell r="F22">
            <v>8.9899999999999994E-2</v>
          </cell>
          <cell r="H22">
            <v>7.7600000000000002E-2</v>
          </cell>
          <cell r="I22">
            <v>1.9E-3</v>
          </cell>
          <cell r="J22">
            <v>0</v>
          </cell>
          <cell r="K22">
            <v>0</v>
          </cell>
          <cell r="L22">
            <v>7.9500000000000001E-2</v>
          </cell>
        </row>
        <row r="23">
          <cell r="A23">
            <v>38687</v>
          </cell>
          <cell r="B23">
            <v>8.7999999999999995E-2</v>
          </cell>
          <cell r="C23">
            <v>1.8E-3</v>
          </cell>
          <cell r="D23">
            <v>0</v>
          </cell>
          <cell r="E23">
            <v>0</v>
          </cell>
          <cell r="F23">
            <v>8.9799999999999991E-2</v>
          </cell>
          <cell r="H23">
            <v>7.7600000000000002E-2</v>
          </cell>
          <cell r="I23">
            <v>1.8E-3</v>
          </cell>
          <cell r="J23">
            <v>0</v>
          </cell>
          <cell r="K23">
            <v>0</v>
          </cell>
          <cell r="L23">
            <v>7.9399999999999998E-2</v>
          </cell>
        </row>
        <row r="24">
          <cell r="A24">
            <v>39114</v>
          </cell>
          <cell r="B24">
            <v>8.7999999999999995E-2</v>
          </cell>
          <cell r="C24">
            <v>1.6000000000000001E-3</v>
          </cell>
          <cell r="D24">
            <v>0</v>
          </cell>
          <cell r="E24">
            <v>0</v>
          </cell>
          <cell r="F24">
            <v>8.9599999999999999E-2</v>
          </cell>
          <cell r="H24">
            <v>7.7600000000000002E-2</v>
          </cell>
          <cell r="I24">
            <v>1.6000000000000001E-3</v>
          </cell>
          <cell r="J24">
            <v>0</v>
          </cell>
          <cell r="K24">
            <v>0</v>
          </cell>
          <cell r="L24">
            <v>7.9200000000000007E-2</v>
          </cell>
        </row>
        <row r="25">
          <cell r="A25">
            <v>54789</v>
          </cell>
        </row>
      </sheetData>
      <sheetData sheetId="76">
        <row r="10">
          <cell r="A10">
            <v>35004</v>
          </cell>
          <cell r="B10">
            <v>2.0299999999999998</v>
          </cell>
          <cell r="C10">
            <v>2.4900000000000002E-2</v>
          </cell>
          <cell r="D10">
            <v>5.3E-3</v>
          </cell>
          <cell r="E10">
            <v>5.3E-3</v>
          </cell>
          <cell r="F10">
            <v>1.49E-2</v>
          </cell>
          <cell r="H10">
            <v>1.61</v>
          </cell>
          <cell r="I10">
            <v>2.3700000000000002E-2</v>
          </cell>
          <cell r="J10">
            <v>1.18E-2</v>
          </cell>
          <cell r="K10">
            <v>1.18E-2</v>
          </cell>
          <cell r="L10">
            <v>1.49E-2</v>
          </cell>
        </row>
        <row r="11">
          <cell r="A11">
            <v>35339</v>
          </cell>
          <cell r="B11">
            <v>2.0299999999999998</v>
          </cell>
          <cell r="C11">
            <v>2.4900000000000002E-2</v>
          </cell>
          <cell r="D11">
            <v>5.3E-3</v>
          </cell>
          <cell r="E11">
            <v>5.3E-3</v>
          </cell>
          <cell r="F11">
            <v>1.49E-2</v>
          </cell>
          <cell r="H11">
            <v>1.61</v>
          </cell>
          <cell r="I11">
            <v>2.3700000000000002E-2</v>
          </cell>
          <cell r="J11">
            <v>1.18E-2</v>
          </cell>
          <cell r="K11">
            <v>1.18E-2</v>
          </cell>
          <cell r="L11">
            <v>1.49E-2</v>
          </cell>
        </row>
        <row r="12">
          <cell r="A12">
            <v>35490</v>
          </cell>
          <cell r="B12">
            <v>2.02</v>
          </cell>
          <cell r="C12">
            <v>2.4799999999999999E-2</v>
          </cell>
          <cell r="D12">
            <v>5.3E-3</v>
          </cell>
          <cell r="E12">
            <v>5.3E-3</v>
          </cell>
          <cell r="F12">
            <v>1.49E-2</v>
          </cell>
          <cell r="H12">
            <v>1.17</v>
          </cell>
          <cell r="I12">
            <v>1.8700000000000001E-2</v>
          </cell>
          <cell r="J12">
            <v>1.0200000000000001E-2</v>
          </cell>
          <cell r="K12">
            <v>1.0200000000000001E-2</v>
          </cell>
          <cell r="L12">
            <v>1.49E-2</v>
          </cell>
        </row>
        <row r="13">
          <cell r="A13">
            <v>35704</v>
          </cell>
          <cell r="B13">
            <v>2.02</v>
          </cell>
          <cell r="C13">
            <v>2.4799999999999999E-2</v>
          </cell>
          <cell r="D13">
            <v>5.3E-3</v>
          </cell>
          <cell r="E13">
            <v>5.3E-3</v>
          </cell>
          <cell r="F13">
            <v>1.49E-2</v>
          </cell>
          <cell r="H13">
            <v>1.17</v>
          </cell>
          <cell r="I13">
            <v>1.8700000000000001E-2</v>
          </cell>
          <cell r="J13">
            <v>1.0200000000000001E-2</v>
          </cell>
          <cell r="K13">
            <v>1.0200000000000001E-2</v>
          </cell>
          <cell r="L13">
            <v>1.49E-2</v>
          </cell>
        </row>
        <row r="14">
          <cell r="A14">
            <v>36281</v>
          </cell>
          <cell r="B14">
            <v>2.02</v>
          </cell>
          <cell r="C14">
            <v>2.4799999999999999E-2</v>
          </cell>
          <cell r="D14">
            <v>5.3E-3</v>
          </cell>
          <cell r="E14">
            <v>5.3E-3</v>
          </cell>
          <cell r="F14">
            <v>1.49E-2</v>
          </cell>
          <cell r="H14">
            <v>1.17</v>
          </cell>
          <cell r="I14">
            <v>1.8700000000000001E-2</v>
          </cell>
          <cell r="J14">
            <v>1.0200000000000001E-2</v>
          </cell>
          <cell r="K14">
            <v>1.0200000000000001E-2</v>
          </cell>
          <cell r="L14">
            <v>1.49E-2</v>
          </cell>
        </row>
        <row r="15">
          <cell r="A15">
            <v>36831</v>
          </cell>
          <cell r="B15">
            <v>2.02</v>
          </cell>
          <cell r="C15">
            <v>2.4799999999999999E-2</v>
          </cell>
          <cell r="D15">
            <v>5.3E-3</v>
          </cell>
          <cell r="E15">
            <v>5.3E-3</v>
          </cell>
          <cell r="F15">
            <v>1.49E-2</v>
          </cell>
          <cell r="H15">
            <v>1.1499999999999999</v>
          </cell>
          <cell r="I15">
            <v>1.8499999999999999E-2</v>
          </cell>
          <cell r="J15">
            <v>1.0200000000000001E-2</v>
          </cell>
          <cell r="K15">
            <v>1.0200000000000001E-2</v>
          </cell>
          <cell r="L15">
            <v>1.49E-2</v>
          </cell>
        </row>
        <row r="16">
          <cell r="A16">
            <v>37561</v>
          </cell>
          <cell r="B16">
            <v>2.02</v>
          </cell>
          <cell r="C16">
            <v>2.4799999999999999E-2</v>
          </cell>
          <cell r="D16">
            <v>5.3E-3</v>
          </cell>
          <cell r="E16">
            <v>5.3E-3</v>
          </cell>
          <cell r="F16">
            <v>1.49E-2</v>
          </cell>
          <cell r="H16">
            <v>1.1499999999999999</v>
          </cell>
          <cell r="I16">
            <v>1.8499999999999999E-2</v>
          </cell>
          <cell r="J16">
            <v>1.0200000000000001E-2</v>
          </cell>
          <cell r="K16">
            <v>1.0200000000000001E-2</v>
          </cell>
          <cell r="L16">
            <v>1.49E-2</v>
          </cell>
        </row>
        <row r="17">
          <cell r="A17">
            <v>37834</v>
          </cell>
          <cell r="B17">
            <v>2.02</v>
          </cell>
          <cell r="C17">
            <v>2.4799999999999999E-2</v>
          </cell>
          <cell r="D17">
            <v>5.3E-3</v>
          </cell>
          <cell r="E17">
            <v>5.3E-3</v>
          </cell>
          <cell r="F17">
            <v>1.49E-2</v>
          </cell>
          <cell r="H17">
            <v>1.1499999999999999</v>
          </cell>
          <cell r="I17">
            <v>1.8499999999999999E-2</v>
          </cell>
          <cell r="J17">
            <v>1.0200000000000001E-2</v>
          </cell>
          <cell r="K17">
            <v>1.0200000000000001E-2</v>
          </cell>
          <cell r="L17">
            <v>1.49E-2</v>
          </cell>
        </row>
        <row r="18">
          <cell r="A18">
            <v>38200</v>
          </cell>
          <cell r="B18">
            <v>2.02</v>
          </cell>
          <cell r="C18">
            <v>2.4799999999999999E-2</v>
          </cell>
          <cell r="D18">
            <v>5.3E-3</v>
          </cell>
          <cell r="E18">
            <v>5.3E-3</v>
          </cell>
          <cell r="F18">
            <v>1.49E-2</v>
          </cell>
          <cell r="H18">
            <v>1.1499999999999999</v>
          </cell>
          <cell r="I18">
            <v>1.8499999999999999E-2</v>
          </cell>
          <cell r="J18">
            <v>1.0200000000000001E-2</v>
          </cell>
          <cell r="K18">
            <v>1.0200000000000001E-2</v>
          </cell>
          <cell r="L18">
            <v>1.49E-2</v>
          </cell>
        </row>
        <row r="19">
          <cell r="A19">
            <v>38384</v>
          </cell>
          <cell r="B19">
            <v>2.02</v>
          </cell>
          <cell r="C19">
            <v>2.4799999999999999E-2</v>
          </cell>
          <cell r="D19">
            <v>5.3E-3</v>
          </cell>
          <cell r="E19">
            <v>5.3E-3</v>
          </cell>
          <cell r="F19">
            <v>1.49E-2</v>
          </cell>
          <cell r="H19">
            <v>1.1499999999999999</v>
          </cell>
          <cell r="I19">
            <v>1.8499999999999999E-2</v>
          </cell>
          <cell r="J19">
            <v>1.0200000000000001E-2</v>
          </cell>
          <cell r="K19">
            <v>1.0200000000000001E-2</v>
          </cell>
          <cell r="L19">
            <v>1.49E-2</v>
          </cell>
        </row>
        <row r="20">
          <cell r="A20">
            <v>38473</v>
          </cell>
          <cell r="B20">
            <v>2.02</v>
          </cell>
          <cell r="C20">
            <v>2.4799999999999999E-2</v>
          </cell>
          <cell r="D20">
            <v>5.3E-3</v>
          </cell>
          <cell r="E20">
            <v>5.3E-3</v>
          </cell>
          <cell r="F20">
            <v>1.49E-2</v>
          </cell>
          <cell r="H20">
            <v>1.1499999999999999</v>
          </cell>
          <cell r="I20">
            <v>1.8499999999999999E-2</v>
          </cell>
          <cell r="J20">
            <v>1.0200000000000001E-2</v>
          </cell>
          <cell r="K20">
            <v>1.0200000000000001E-2</v>
          </cell>
          <cell r="L20">
            <v>1.49E-2</v>
          </cell>
        </row>
        <row r="21">
          <cell r="A21">
            <v>39114</v>
          </cell>
          <cell r="B21">
            <v>2.02</v>
          </cell>
          <cell r="C21">
            <v>2.4799999999999999E-2</v>
          </cell>
          <cell r="D21">
            <v>5.3E-3</v>
          </cell>
          <cell r="E21">
            <v>5.3E-3</v>
          </cell>
          <cell r="F21">
            <v>1.49E-2</v>
          </cell>
          <cell r="H21">
            <v>1.1499999999999999</v>
          </cell>
          <cell r="I21">
            <v>1.8499999999999999E-2</v>
          </cell>
          <cell r="J21">
            <v>1.0200000000000001E-2</v>
          </cell>
          <cell r="K21">
            <v>1.0200000000000001E-2</v>
          </cell>
          <cell r="L21">
            <v>1.49E-2</v>
          </cell>
        </row>
        <row r="22">
          <cell r="A22">
            <v>54789</v>
          </cell>
        </row>
      </sheetData>
      <sheetData sheetId="77">
        <row r="10">
          <cell r="A10">
            <v>34213</v>
          </cell>
          <cell r="B10">
            <v>5.16E-2</v>
          </cell>
          <cell r="E10">
            <v>4.2800000000000005E-2</v>
          </cell>
        </row>
        <row r="11">
          <cell r="A11">
            <v>35490</v>
          </cell>
          <cell r="B11">
            <v>5.16E-2</v>
          </cell>
          <cell r="C11">
            <v>4.4299999999999999E-2</v>
          </cell>
          <cell r="E11">
            <v>4.2799999999999998E-2</v>
          </cell>
          <cell r="F11">
            <v>3.6900000000000002E-2</v>
          </cell>
        </row>
        <row r="12">
          <cell r="A12">
            <v>37561</v>
          </cell>
          <cell r="B12">
            <v>5.16E-2</v>
          </cell>
          <cell r="C12">
            <v>4.4299999999999999E-2</v>
          </cell>
          <cell r="E12">
            <v>4.2799999999999998E-2</v>
          </cell>
          <cell r="F12">
            <v>3.6900000000000002E-2</v>
          </cell>
        </row>
        <row r="13">
          <cell r="A13">
            <v>37834</v>
          </cell>
          <cell r="B13">
            <v>5.16E-2</v>
          </cell>
          <cell r="C13">
            <v>4.4299999999999999E-2</v>
          </cell>
          <cell r="E13">
            <v>4.2799999999999998E-2</v>
          </cell>
          <cell r="F13">
            <v>3.6900000000000002E-2</v>
          </cell>
        </row>
        <row r="14">
          <cell r="A14">
            <v>38200</v>
          </cell>
          <cell r="B14">
            <v>5.16E-2</v>
          </cell>
          <cell r="C14">
            <v>4.4299999999999999E-2</v>
          </cell>
          <cell r="E14">
            <v>4.2799999999999998E-2</v>
          </cell>
          <cell r="F14">
            <v>3.6900000000000002E-2</v>
          </cell>
        </row>
        <row r="15">
          <cell r="A15">
            <v>38384</v>
          </cell>
          <cell r="B15">
            <v>5.16E-2</v>
          </cell>
          <cell r="C15">
            <v>4.4299999999999999E-2</v>
          </cell>
          <cell r="E15">
            <v>4.2799999999999998E-2</v>
          </cell>
          <cell r="F15">
            <v>3.6900000000000002E-2</v>
          </cell>
        </row>
        <row r="16">
          <cell r="A16">
            <v>38473</v>
          </cell>
          <cell r="B16">
            <v>5.16E-2</v>
          </cell>
          <cell r="C16">
            <v>4.4299999999999999E-2</v>
          </cell>
          <cell r="E16">
            <v>4.2799999999999998E-2</v>
          </cell>
          <cell r="F16">
            <v>3.6900000000000002E-2</v>
          </cell>
        </row>
        <row r="17">
          <cell r="A17">
            <v>39114</v>
          </cell>
          <cell r="B17">
            <v>5.16E-2</v>
          </cell>
          <cell r="C17">
            <v>4.4299999999999999E-2</v>
          </cell>
          <cell r="E17">
            <v>4.2799999999999998E-2</v>
          </cell>
          <cell r="F17">
            <v>3.6900000000000002E-2</v>
          </cell>
        </row>
        <row r="18">
          <cell r="A18">
            <v>54789</v>
          </cell>
        </row>
      </sheetData>
      <sheetData sheetId="78">
        <row r="9">
          <cell r="A9" t="str">
            <v>Effective</v>
          </cell>
          <cell r="B9" t="str">
            <v>Cash Out</v>
          </cell>
        </row>
        <row r="10">
          <cell r="A10">
            <v>34912</v>
          </cell>
        </row>
        <row r="11">
          <cell r="A11">
            <v>34943</v>
          </cell>
        </row>
        <row r="12">
          <cell r="A12">
            <v>34973</v>
          </cell>
          <cell r="B12">
            <v>1.6419999999999999</v>
          </cell>
        </row>
        <row r="13">
          <cell r="A13">
            <v>35004</v>
          </cell>
          <cell r="B13">
            <v>1.7897000000000001</v>
          </cell>
        </row>
        <row r="14">
          <cell r="A14">
            <v>35034</v>
          </cell>
          <cell r="B14">
            <v>2.2010000000000001</v>
          </cell>
        </row>
        <row r="15">
          <cell r="A15">
            <v>35065</v>
          </cell>
          <cell r="B15">
            <v>2.6886999999999999</v>
          </cell>
        </row>
        <row r="16">
          <cell r="A16">
            <v>35096</v>
          </cell>
          <cell r="B16">
            <v>3.5771999999999999</v>
          </cell>
        </row>
        <row r="17">
          <cell r="A17">
            <v>35125</v>
          </cell>
          <cell r="B17">
            <v>2.5855000000000001</v>
          </cell>
        </row>
        <row r="18">
          <cell r="A18">
            <v>35156</v>
          </cell>
          <cell r="B18">
            <v>2.3755000000000002</v>
          </cell>
        </row>
        <row r="19">
          <cell r="A19">
            <v>35186</v>
          </cell>
          <cell r="B19">
            <v>2.15</v>
          </cell>
        </row>
        <row r="20">
          <cell r="A20">
            <v>35217</v>
          </cell>
          <cell r="B20">
            <v>2.3054000000000001</v>
          </cell>
        </row>
        <row r="21">
          <cell r="A21">
            <v>35247</v>
          </cell>
          <cell r="B21">
            <v>2.5177</v>
          </cell>
        </row>
        <row r="22">
          <cell r="A22">
            <v>35278</v>
          </cell>
          <cell r="B22">
            <v>2.0493000000000001</v>
          </cell>
        </row>
        <row r="23">
          <cell r="A23">
            <v>35309</v>
          </cell>
          <cell r="B23">
            <v>1.7801</v>
          </cell>
        </row>
        <row r="24">
          <cell r="A24">
            <v>35339</v>
          </cell>
          <cell r="B24">
            <v>2.2141000000000002</v>
          </cell>
        </row>
        <row r="25">
          <cell r="A25">
            <v>35370</v>
          </cell>
          <cell r="B25">
            <v>2.7025000000000001</v>
          </cell>
        </row>
        <row r="26">
          <cell r="A26">
            <v>35400</v>
          </cell>
          <cell r="B26">
            <v>3.6999</v>
          </cell>
        </row>
        <row r="27">
          <cell r="A27">
            <v>35431</v>
          </cell>
          <cell r="B27">
            <v>3.5116000000000001</v>
          </cell>
        </row>
        <row r="28">
          <cell r="A28">
            <v>35462</v>
          </cell>
          <cell r="B28">
            <v>2.3454999999999999</v>
          </cell>
        </row>
        <row r="29">
          <cell r="A29">
            <v>35490</v>
          </cell>
          <cell r="B29">
            <v>1.8333999999999999</v>
          </cell>
        </row>
        <row r="30">
          <cell r="A30">
            <v>35521</v>
          </cell>
          <cell r="B30">
            <v>1.9518</v>
          </cell>
        </row>
        <row r="31">
          <cell r="A31">
            <v>35551</v>
          </cell>
          <cell r="B31">
            <v>2.1631999999999998</v>
          </cell>
        </row>
        <row r="32">
          <cell r="A32">
            <v>35582</v>
          </cell>
          <cell r="B32">
            <v>2.1663000000000001</v>
          </cell>
        </row>
        <row r="33">
          <cell r="A33">
            <v>35612</v>
          </cell>
          <cell r="B33">
            <v>2.1326000000000001</v>
          </cell>
        </row>
        <row r="34">
          <cell r="A34">
            <v>35643</v>
          </cell>
          <cell r="B34">
            <v>2.3487</v>
          </cell>
        </row>
        <row r="35">
          <cell r="A35">
            <v>35674</v>
          </cell>
          <cell r="B35">
            <v>2.7269999999999999</v>
          </cell>
        </row>
        <row r="36">
          <cell r="A36">
            <v>35704</v>
          </cell>
          <cell r="B36">
            <v>2.9215</v>
          </cell>
        </row>
        <row r="37">
          <cell r="A37">
            <v>35735</v>
          </cell>
          <cell r="B37">
            <v>3.1263000000000001</v>
          </cell>
        </row>
        <row r="38">
          <cell r="A38">
            <v>35765</v>
          </cell>
          <cell r="B38">
            <v>2.3241999999999998</v>
          </cell>
        </row>
        <row r="39">
          <cell r="A39">
            <v>35796</v>
          </cell>
          <cell r="B39">
            <v>2.0831</v>
          </cell>
        </row>
        <row r="40">
          <cell r="A40">
            <v>35827</v>
          </cell>
          <cell r="B40">
            <v>2.1312000000000002</v>
          </cell>
        </row>
        <row r="41">
          <cell r="A41">
            <v>35855</v>
          </cell>
          <cell r="B41">
            <v>2.1817000000000002</v>
          </cell>
        </row>
        <row r="42">
          <cell r="A42">
            <v>35886</v>
          </cell>
          <cell r="B42">
            <v>2.4077999999999999</v>
          </cell>
        </row>
        <row r="43">
          <cell r="A43">
            <v>35916</v>
          </cell>
          <cell r="B43">
            <v>2.1581999999999999</v>
          </cell>
        </row>
        <row r="44">
          <cell r="A44">
            <v>35947</v>
          </cell>
          <cell r="B44">
            <v>2.0954000000000002</v>
          </cell>
        </row>
        <row r="45">
          <cell r="A45">
            <v>35977</v>
          </cell>
          <cell r="B45">
            <v>2.2130999999999998</v>
          </cell>
        </row>
        <row r="46">
          <cell r="A46">
            <v>36008</v>
          </cell>
          <cell r="B46">
            <v>1.8603000000000001</v>
          </cell>
        </row>
        <row r="47">
          <cell r="A47">
            <v>36039</v>
          </cell>
          <cell r="B47">
            <v>1.8957999999999999</v>
          </cell>
        </row>
        <row r="48">
          <cell r="A48">
            <v>36069</v>
          </cell>
          <cell r="B48">
            <v>1.9327000000000001</v>
          </cell>
        </row>
      </sheetData>
      <sheetData sheetId="79"/>
      <sheetData sheetId="80"/>
      <sheetData sheetId="81"/>
      <sheetData sheetId="82"/>
      <sheetData sheetId="83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1 of 5</v>
          </cell>
        </row>
        <row r="3">
          <cell r="A3" t="str">
            <v>Firm Sales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G-1</v>
          </cell>
        </row>
        <row r="10">
          <cell r="A10">
            <v>2</v>
          </cell>
        </row>
        <row r="11">
          <cell r="A11">
            <v>3</v>
          </cell>
          <cell r="C11" t="str">
            <v>Commodity Charge (Base Rate per Case No. 99-070):</v>
          </cell>
        </row>
        <row r="12">
          <cell r="A12">
            <v>4</v>
          </cell>
          <cell r="C12" t="str">
            <v xml:space="preserve">  First</v>
          </cell>
          <cell r="D12">
            <v>300</v>
          </cell>
          <cell r="E12" t="str">
            <v>Mcf</v>
          </cell>
          <cell r="H12">
            <v>1.19</v>
          </cell>
          <cell r="J12">
            <v>1.19</v>
          </cell>
          <cell r="L12">
            <v>0</v>
          </cell>
        </row>
        <row r="13">
          <cell r="A13">
            <v>5</v>
          </cell>
          <cell r="C13" t="str">
            <v xml:space="preserve">  Next</v>
          </cell>
          <cell r="D13">
            <v>14700</v>
          </cell>
          <cell r="E13" t="str">
            <v>Mcf</v>
          </cell>
          <cell r="H13">
            <v>0.65900000000000003</v>
          </cell>
          <cell r="J13">
            <v>0.65900000000000003</v>
          </cell>
          <cell r="L13">
            <v>0</v>
          </cell>
        </row>
        <row r="14">
          <cell r="A14">
            <v>6</v>
          </cell>
          <cell r="C14" t="str">
            <v xml:space="preserve">  Over</v>
          </cell>
          <cell r="D14">
            <v>15000</v>
          </cell>
          <cell r="E14" t="str">
            <v>Mcf</v>
          </cell>
          <cell r="H14">
            <v>0.43</v>
          </cell>
          <cell r="J14">
            <v>0.43</v>
          </cell>
          <cell r="L14">
            <v>0</v>
          </cell>
        </row>
        <row r="15">
          <cell r="A15">
            <v>7</v>
          </cell>
        </row>
        <row r="16">
          <cell r="A16">
            <v>8</v>
          </cell>
          <cell r="C16" t="str">
            <v>Gas Cost Adjustment Components</v>
          </cell>
        </row>
        <row r="17">
          <cell r="A17">
            <v>9</v>
          </cell>
          <cell r="C17" t="str">
            <v xml:space="preserve">  EGC (Expected Gas Cost):</v>
          </cell>
        </row>
        <row r="18">
          <cell r="A18">
            <v>10</v>
          </cell>
          <cell r="C18" t="str">
            <v xml:space="preserve">    Commodity</v>
          </cell>
          <cell r="H18">
            <v>8.0540000000000003</v>
          </cell>
          <cell r="J18">
            <v>7.4814999999999996</v>
          </cell>
          <cell r="L18">
            <v>-0.57250000000000068</v>
          </cell>
        </row>
        <row r="19">
          <cell r="A19">
            <v>11</v>
          </cell>
          <cell r="C19" t="str">
            <v xml:space="preserve">    Demand</v>
          </cell>
          <cell r="H19">
            <v>1.0571999999999999</v>
          </cell>
          <cell r="J19">
            <v>1.0571999999999999</v>
          </cell>
          <cell r="L19">
            <v>0</v>
          </cell>
        </row>
        <row r="20">
          <cell r="A20">
            <v>12</v>
          </cell>
          <cell r="C20" t="str">
            <v xml:space="preserve">    Take-Or-Pay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C21" t="str">
            <v xml:space="preserve">    Transition Costs</v>
          </cell>
          <cell r="H21">
            <v>0</v>
          </cell>
          <cell r="J21">
            <v>0</v>
          </cell>
          <cell r="L21">
            <v>0</v>
          </cell>
        </row>
        <row r="22">
          <cell r="A22">
            <v>14</v>
          </cell>
          <cell r="C22" t="str">
            <v xml:space="preserve">  Total EGC</v>
          </cell>
          <cell r="H22">
            <v>9.1112000000000002</v>
          </cell>
          <cell r="J22">
            <v>8.5386999999999986</v>
          </cell>
          <cell r="L22">
            <v>-0.57250000000000156</v>
          </cell>
        </row>
        <row r="23">
          <cell r="A23">
            <v>15</v>
          </cell>
          <cell r="C23" t="str">
            <v xml:space="preserve">  Less: BCOG (Base Cost of Gas)</v>
          </cell>
          <cell r="H23">
            <v>0</v>
          </cell>
          <cell r="J23">
            <v>0</v>
          </cell>
          <cell r="L23">
            <v>0</v>
          </cell>
        </row>
        <row r="24">
          <cell r="A24">
            <v>16</v>
          </cell>
          <cell r="C24" t="str">
            <v xml:space="preserve">  CF (Correction Factor)</v>
          </cell>
          <cell r="H24">
            <v>-0.30880000000000002</v>
          </cell>
          <cell r="J24">
            <v>5.5100000000000003E-2</v>
          </cell>
          <cell r="L24">
            <v>0.3639</v>
          </cell>
        </row>
        <row r="25">
          <cell r="A25">
            <v>17</v>
          </cell>
          <cell r="C25" t="str">
            <v xml:space="preserve">  RF (Refund Adjustment)</v>
          </cell>
          <cell r="H25">
            <v>-5.5399999999999998E-2</v>
          </cell>
          <cell r="J25">
            <v>-5.5399999999999998E-2</v>
          </cell>
          <cell r="L25">
            <v>0</v>
          </cell>
        </row>
        <row r="26">
          <cell r="A26">
            <v>18</v>
          </cell>
          <cell r="C26" t="str">
            <v xml:space="preserve">  PBRRF (Performance Based Rate Recovery Factor)</v>
          </cell>
          <cell r="H26">
            <v>3.9899999999999998E-2</v>
          </cell>
          <cell r="J26">
            <v>5.0099999999999999E-2</v>
          </cell>
          <cell r="L26">
            <v>1.0200000000000001E-2</v>
          </cell>
        </row>
        <row r="27">
          <cell r="A27">
            <v>19</v>
          </cell>
          <cell r="C27" t="str">
            <v xml:space="preserve">  GCA (Gas Cost Adjustment)</v>
          </cell>
          <cell r="H27">
            <v>8.7868999999999993</v>
          </cell>
          <cell r="J27">
            <v>8.588499999999998</v>
          </cell>
          <cell r="L27">
            <v>-0.19840000000000124</v>
          </cell>
        </row>
        <row r="28">
          <cell r="A28">
            <v>20</v>
          </cell>
          <cell r="C28" t="str">
            <v xml:space="preserve">  Total Billing Cost of Gas</v>
          </cell>
          <cell r="H28">
            <v>8.7868999999999993</v>
          </cell>
          <cell r="J28">
            <v>8.588499999999998</v>
          </cell>
          <cell r="L28">
            <v>-0.19840000000000124</v>
          </cell>
        </row>
        <row r="29">
          <cell r="A29">
            <v>21</v>
          </cell>
        </row>
        <row r="30">
          <cell r="A30">
            <v>22</v>
          </cell>
          <cell r="C30" t="str">
            <v>Commodity Charge (GCA included):</v>
          </cell>
        </row>
        <row r="31">
          <cell r="A31">
            <v>23</v>
          </cell>
          <cell r="C31" t="str">
            <v xml:space="preserve">  First</v>
          </cell>
          <cell r="D31">
            <v>300</v>
          </cell>
          <cell r="E31" t="str">
            <v>Mcf</v>
          </cell>
          <cell r="H31">
            <v>9.9768999999999988</v>
          </cell>
          <cell r="J31">
            <v>9.7784999999999975</v>
          </cell>
          <cell r="L31">
            <v>-0.19840000000000124</v>
          </cell>
        </row>
        <row r="32">
          <cell r="A32">
            <v>24</v>
          </cell>
          <cell r="C32" t="str">
            <v xml:space="preserve">  Next</v>
          </cell>
          <cell r="D32">
            <v>14700</v>
          </cell>
          <cell r="E32" t="str">
            <v>Mcf</v>
          </cell>
          <cell r="H32">
            <v>9.4459</v>
          </cell>
          <cell r="J32">
            <v>9.2474999999999987</v>
          </cell>
          <cell r="L32">
            <v>-0.19840000000000124</v>
          </cell>
        </row>
        <row r="33">
          <cell r="A33">
            <v>25</v>
          </cell>
          <cell r="C33" t="str">
            <v xml:space="preserve">  Over</v>
          </cell>
          <cell r="D33">
            <v>15000</v>
          </cell>
          <cell r="E33" t="str">
            <v>Mcf</v>
          </cell>
          <cell r="H33">
            <v>9.216899999999999</v>
          </cell>
          <cell r="J33">
            <v>9.0184999999999977</v>
          </cell>
          <cell r="L33">
            <v>-0.19840000000000124</v>
          </cell>
        </row>
        <row r="34">
          <cell r="A34">
            <v>26</v>
          </cell>
        </row>
        <row r="35">
          <cell r="A35">
            <v>27</v>
          </cell>
          <cell r="C35" t="str">
            <v>HLF (High Load Factor)</v>
          </cell>
        </row>
        <row r="36">
          <cell r="A36">
            <v>28</v>
          </cell>
        </row>
        <row r="37">
          <cell r="A37">
            <v>29</v>
          </cell>
          <cell r="C37" t="str">
            <v>Commodity Charge (Base Rate per Case No. 99-070):</v>
          </cell>
        </row>
        <row r="38">
          <cell r="A38">
            <v>30</v>
          </cell>
          <cell r="C38" t="str">
            <v xml:space="preserve">  First</v>
          </cell>
          <cell r="D38">
            <v>300</v>
          </cell>
          <cell r="E38" t="str">
            <v>Mcf</v>
          </cell>
          <cell r="H38">
            <v>1.19</v>
          </cell>
          <cell r="J38">
            <v>1.19</v>
          </cell>
          <cell r="L38">
            <v>0</v>
          </cell>
        </row>
        <row r="39">
          <cell r="A39">
            <v>31</v>
          </cell>
          <cell r="C39" t="str">
            <v xml:space="preserve">  Next</v>
          </cell>
          <cell r="D39">
            <v>14700</v>
          </cell>
          <cell r="E39" t="str">
            <v>Mcf</v>
          </cell>
          <cell r="H39">
            <v>0.65900000000000003</v>
          </cell>
          <cell r="J39">
            <v>0.65900000000000003</v>
          </cell>
          <cell r="L39">
            <v>0</v>
          </cell>
        </row>
        <row r="40">
          <cell r="A40">
            <v>32</v>
          </cell>
          <cell r="C40" t="str">
            <v xml:space="preserve">  Over</v>
          </cell>
          <cell r="D40">
            <v>15000</v>
          </cell>
          <cell r="E40" t="str">
            <v>Mcf</v>
          </cell>
          <cell r="H40">
            <v>0.43</v>
          </cell>
          <cell r="J40">
            <v>0.43</v>
          </cell>
          <cell r="L40">
            <v>0</v>
          </cell>
        </row>
        <row r="41">
          <cell r="A41">
            <v>33</v>
          </cell>
        </row>
        <row r="42">
          <cell r="A42">
            <v>34</v>
          </cell>
          <cell r="C42" t="str">
            <v>Gas Cost Adjustment Components</v>
          </cell>
        </row>
        <row r="43">
          <cell r="A43">
            <v>35</v>
          </cell>
          <cell r="C43" t="str">
            <v xml:space="preserve">  EGC (Expected Gas Cost):</v>
          </cell>
        </row>
        <row r="44">
          <cell r="A44">
            <v>36</v>
          </cell>
          <cell r="C44" t="str">
            <v xml:space="preserve">    Commodity</v>
          </cell>
          <cell r="H44">
            <v>8.0540000000000003</v>
          </cell>
          <cell r="J44">
            <v>7.4814999999999996</v>
          </cell>
          <cell r="L44">
            <v>-0.57250000000000068</v>
          </cell>
        </row>
        <row r="45">
          <cell r="A45">
            <v>37</v>
          </cell>
          <cell r="C45" t="str">
            <v xml:space="preserve">    Demand</v>
          </cell>
          <cell r="H45">
            <v>0.18390000000000001</v>
          </cell>
          <cell r="J45">
            <v>0.18390000000000001</v>
          </cell>
          <cell r="L45">
            <v>0</v>
          </cell>
        </row>
        <row r="46">
          <cell r="A46">
            <v>38</v>
          </cell>
          <cell r="C46" t="str">
            <v xml:space="preserve">    Take-Or-Pay</v>
          </cell>
          <cell r="H46">
            <v>0</v>
          </cell>
          <cell r="J46">
            <v>0</v>
          </cell>
          <cell r="L46">
            <v>0</v>
          </cell>
        </row>
        <row r="47">
          <cell r="A47">
            <v>39</v>
          </cell>
          <cell r="C47" t="str">
            <v xml:space="preserve">    Transition Costs</v>
          </cell>
          <cell r="H47">
            <v>0</v>
          </cell>
          <cell r="J47">
            <v>0</v>
          </cell>
          <cell r="L47">
            <v>0</v>
          </cell>
        </row>
        <row r="48">
          <cell r="A48">
            <v>40</v>
          </cell>
          <cell r="C48" t="str">
            <v xml:space="preserve">  Total EGC</v>
          </cell>
          <cell r="H48">
            <v>8.2378999999999998</v>
          </cell>
          <cell r="J48">
            <v>7.6654</v>
          </cell>
          <cell r="L48">
            <v>-0.57249999999999979</v>
          </cell>
        </row>
        <row r="49">
          <cell r="A49">
            <v>41</v>
          </cell>
          <cell r="C49" t="str">
            <v xml:space="preserve">  Less: BCOG (Base Cost of Gas)</v>
          </cell>
          <cell r="H49">
            <v>0</v>
          </cell>
          <cell r="J49">
            <v>0</v>
          </cell>
          <cell r="L49">
            <v>0</v>
          </cell>
        </row>
        <row r="50">
          <cell r="A50">
            <v>42</v>
          </cell>
          <cell r="C50" t="str">
            <v xml:space="preserve">  CF (Correction Factor)</v>
          </cell>
          <cell r="H50">
            <v>-0.30880000000000002</v>
          </cell>
          <cell r="J50">
            <v>5.5100000000000003E-2</v>
          </cell>
          <cell r="L50">
            <v>0.3639</v>
          </cell>
        </row>
        <row r="51">
          <cell r="A51">
            <v>43</v>
          </cell>
          <cell r="C51" t="str">
            <v xml:space="preserve">  RF (Refund Adjustment)</v>
          </cell>
          <cell r="H51">
            <v>-5.5399999999999998E-2</v>
          </cell>
          <cell r="J51">
            <v>-5.5399999999999998E-2</v>
          </cell>
          <cell r="L51">
            <v>0</v>
          </cell>
        </row>
        <row r="52">
          <cell r="A52">
            <v>44</v>
          </cell>
          <cell r="C52" t="str">
            <v xml:space="preserve">  PBRRF (Performance Based Rate Recovery Factor)</v>
          </cell>
          <cell r="H52">
            <v>3.9899999999999998E-2</v>
          </cell>
          <cell r="J52">
            <v>5.0099999999999999E-2</v>
          </cell>
          <cell r="L52">
            <v>1.0200000000000001E-2</v>
          </cell>
        </row>
        <row r="53">
          <cell r="A53">
            <v>45</v>
          </cell>
          <cell r="C53" t="str">
            <v xml:space="preserve">  GCA (Gas Cost Adjustment)</v>
          </cell>
          <cell r="H53">
            <v>7.9136000000000006</v>
          </cell>
          <cell r="J53">
            <v>7.7152000000000003</v>
          </cell>
          <cell r="L53">
            <v>-0.19840000000000035</v>
          </cell>
        </row>
        <row r="54">
          <cell r="A54">
            <v>46</v>
          </cell>
          <cell r="C54" t="str">
            <v xml:space="preserve">  Total Cost of Gas to Bill (excludes MDQ Demand)</v>
          </cell>
          <cell r="H54">
            <v>7.9136000000000006</v>
          </cell>
          <cell r="J54">
            <v>7.7152000000000003</v>
          </cell>
          <cell r="L54">
            <v>-0.19840000000000035</v>
          </cell>
        </row>
        <row r="55">
          <cell r="A55">
            <v>47</v>
          </cell>
        </row>
        <row r="56">
          <cell r="A56">
            <v>48</v>
          </cell>
          <cell r="C56" t="str">
            <v>Commodity Charge (GCA included):</v>
          </cell>
        </row>
        <row r="57">
          <cell r="A57">
            <v>49</v>
          </cell>
          <cell r="C57" t="str">
            <v xml:space="preserve">  First</v>
          </cell>
          <cell r="D57">
            <v>300</v>
          </cell>
          <cell r="E57" t="str">
            <v>Mcf</v>
          </cell>
          <cell r="H57">
            <v>9.1036000000000001</v>
          </cell>
          <cell r="J57">
            <v>8.9052000000000007</v>
          </cell>
          <cell r="L57">
            <v>-0.19839999999999947</v>
          </cell>
        </row>
        <row r="58">
          <cell r="A58">
            <v>50</v>
          </cell>
          <cell r="C58" t="str">
            <v xml:space="preserve">  Next</v>
          </cell>
          <cell r="D58">
            <v>14700</v>
          </cell>
          <cell r="E58" t="str">
            <v>Mcf</v>
          </cell>
          <cell r="H58">
            <v>8.5726000000000013</v>
          </cell>
          <cell r="J58">
            <v>8.3742000000000001</v>
          </cell>
          <cell r="L58">
            <v>-0.19840000000000124</v>
          </cell>
        </row>
        <row r="59">
          <cell r="A59">
            <v>51</v>
          </cell>
          <cell r="C59" t="str">
            <v xml:space="preserve">  Over</v>
          </cell>
          <cell r="D59">
            <v>15000</v>
          </cell>
          <cell r="E59" t="str">
            <v>Mcf</v>
          </cell>
          <cell r="H59">
            <v>8.3436000000000003</v>
          </cell>
          <cell r="J59">
            <v>8.1452000000000009</v>
          </cell>
          <cell r="L59">
            <v>-0.19839999999999947</v>
          </cell>
        </row>
        <row r="60">
          <cell r="A60">
            <v>52</v>
          </cell>
        </row>
        <row r="61">
          <cell r="A61">
            <v>53</v>
          </cell>
          <cell r="C61" t="str">
            <v>HLF Demand</v>
          </cell>
        </row>
        <row r="62">
          <cell r="A62">
            <v>54</v>
          </cell>
          <cell r="C62" t="str">
            <v xml:space="preserve">  Contract Demand Factor</v>
          </cell>
          <cell r="H62">
            <v>4.5575999999999999</v>
          </cell>
          <cell r="J62">
            <v>4.5575999999999999</v>
          </cell>
          <cell r="L62">
            <v>0</v>
          </cell>
        </row>
      </sheetData>
      <sheetData sheetId="84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2 of 5</v>
          </cell>
        </row>
        <row r="3">
          <cell r="A3" t="str">
            <v>Interruptible Sales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G-2</v>
          </cell>
        </row>
        <row r="10">
          <cell r="A10">
            <v>2</v>
          </cell>
        </row>
        <row r="11">
          <cell r="A11">
            <v>3</v>
          </cell>
          <cell r="C11" t="str">
            <v>Commodity Charge (Base Rate per Case No. 99-070):</v>
          </cell>
        </row>
        <row r="12">
          <cell r="A12">
            <v>4</v>
          </cell>
          <cell r="C12" t="str">
            <v xml:space="preserve">  First</v>
          </cell>
          <cell r="D12">
            <v>15000</v>
          </cell>
          <cell r="E12" t="str">
            <v>Mcf</v>
          </cell>
          <cell r="H12">
            <v>0.53</v>
          </cell>
          <cell r="J12">
            <v>0.53</v>
          </cell>
          <cell r="L12">
            <v>0</v>
          </cell>
        </row>
        <row r="13">
          <cell r="A13">
            <v>5</v>
          </cell>
          <cell r="C13" t="str">
            <v xml:space="preserve">  Over</v>
          </cell>
          <cell r="D13">
            <v>15000</v>
          </cell>
          <cell r="E13" t="str">
            <v>Mcf</v>
          </cell>
          <cell r="H13">
            <v>0.35909999999999997</v>
          </cell>
          <cell r="J13">
            <v>0.35909999999999997</v>
          </cell>
          <cell r="L13">
            <v>0</v>
          </cell>
        </row>
        <row r="14">
          <cell r="A14">
            <v>6</v>
          </cell>
        </row>
        <row r="15">
          <cell r="A15">
            <v>7</v>
          </cell>
          <cell r="C15" t="str">
            <v>Gas Cost Adjustment Components</v>
          </cell>
        </row>
        <row r="16">
          <cell r="A16">
            <v>8</v>
          </cell>
          <cell r="C16" t="str">
            <v xml:space="preserve">  Expected Gas Cost (EGC):</v>
          </cell>
        </row>
        <row r="17">
          <cell r="A17">
            <v>9</v>
          </cell>
          <cell r="C17" t="str">
            <v xml:space="preserve">    Commodity</v>
          </cell>
          <cell r="H17">
            <v>8.0540000000000003</v>
          </cell>
          <cell r="J17">
            <v>7.4814999999999996</v>
          </cell>
          <cell r="L17">
            <v>-0.57250000000000068</v>
          </cell>
        </row>
        <row r="18">
          <cell r="A18">
            <v>10</v>
          </cell>
          <cell r="C18" t="str">
            <v xml:space="preserve">    Demand</v>
          </cell>
          <cell r="H18">
            <v>0.18390000000000001</v>
          </cell>
          <cell r="J18">
            <v>0.18390000000000001</v>
          </cell>
          <cell r="L18">
            <v>0</v>
          </cell>
        </row>
        <row r="19">
          <cell r="A19">
            <v>11</v>
          </cell>
          <cell r="C19" t="str">
            <v xml:space="preserve">    Take-Or-Pay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C20" t="str">
            <v xml:space="preserve">    Transition Costs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C21" t="str">
            <v xml:space="preserve">  Total EGC</v>
          </cell>
          <cell r="H21">
            <v>8.2378999999999998</v>
          </cell>
          <cell r="J21">
            <v>7.6654</v>
          </cell>
          <cell r="L21">
            <v>-0.57249999999999979</v>
          </cell>
        </row>
        <row r="22">
          <cell r="A22">
            <v>14</v>
          </cell>
          <cell r="C22" t="str">
            <v xml:space="preserve">  Less: Base Cost of Gas (BCOG)</v>
          </cell>
          <cell r="H22">
            <v>0</v>
          </cell>
          <cell r="J22">
            <v>0</v>
          </cell>
          <cell r="L22">
            <v>0</v>
          </cell>
        </row>
        <row r="23">
          <cell r="A23">
            <v>15</v>
          </cell>
          <cell r="C23" t="str">
            <v xml:space="preserve">  Correction Factor  (CF)</v>
          </cell>
          <cell r="H23">
            <v>-0.30880000000000002</v>
          </cell>
          <cell r="J23">
            <v>5.5100000000000003E-2</v>
          </cell>
          <cell r="L23">
            <v>0.3639</v>
          </cell>
        </row>
        <row r="24">
          <cell r="A24">
            <v>16</v>
          </cell>
          <cell r="C24" t="str">
            <v xml:space="preserve">  Refund Adjustment (RF)</v>
          </cell>
          <cell r="H24">
            <v>-5.5399999999999998E-2</v>
          </cell>
          <cell r="J24">
            <v>-5.5399999999999998E-2</v>
          </cell>
          <cell r="L24">
            <v>0</v>
          </cell>
        </row>
        <row r="25">
          <cell r="A25">
            <v>17</v>
          </cell>
          <cell r="C25" t="str">
            <v xml:space="preserve">  Performance Based Rate Recovery Factor (PBRRF)</v>
          </cell>
          <cell r="H25">
            <v>3.9899999999999998E-2</v>
          </cell>
          <cell r="J25">
            <v>5.0099999999999999E-2</v>
          </cell>
          <cell r="L25">
            <v>1.0200000000000001E-2</v>
          </cell>
        </row>
        <row r="26">
          <cell r="A26">
            <v>18</v>
          </cell>
          <cell r="C26" t="str">
            <v xml:space="preserve">  Gas Cost Adjustment (GCA)</v>
          </cell>
          <cell r="H26">
            <v>7.9136000000000006</v>
          </cell>
          <cell r="J26">
            <v>7.7152000000000003</v>
          </cell>
          <cell r="L26">
            <v>-0.19840000000000035</v>
          </cell>
        </row>
        <row r="27">
          <cell r="A27">
            <v>19</v>
          </cell>
          <cell r="C27" t="str">
            <v xml:space="preserve">  Total Cost of Gas to Bill</v>
          </cell>
          <cell r="H27">
            <v>7.9136000000000006</v>
          </cell>
          <cell r="J27">
            <v>7.7152000000000003</v>
          </cell>
          <cell r="L27">
            <v>-0.19840000000000035</v>
          </cell>
        </row>
        <row r="28">
          <cell r="A28">
            <v>20</v>
          </cell>
        </row>
        <row r="29">
          <cell r="A29">
            <v>21</v>
          </cell>
          <cell r="C29" t="str">
            <v>Commodity Charge (GCA included):</v>
          </cell>
        </row>
        <row r="30">
          <cell r="A30">
            <v>22</v>
          </cell>
          <cell r="C30" t="str">
            <v xml:space="preserve">  First</v>
          </cell>
          <cell r="D30">
            <v>15000</v>
          </cell>
          <cell r="E30" t="str">
            <v>Mcf</v>
          </cell>
          <cell r="H30">
            <v>8.4436</v>
          </cell>
          <cell r="J30">
            <v>8.2452000000000005</v>
          </cell>
          <cell r="L30">
            <v>-0.19839999999999947</v>
          </cell>
        </row>
        <row r="31">
          <cell r="A31">
            <v>23</v>
          </cell>
          <cell r="C31" t="str">
            <v xml:space="preserve">  Over</v>
          </cell>
          <cell r="D31">
            <v>15000</v>
          </cell>
          <cell r="E31" t="str">
            <v>Mcf</v>
          </cell>
          <cell r="H31">
            <v>8.2727000000000004</v>
          </cell>
          <cell r="J31">
            <v>8.0743000000000009</v>
          </cell>
          <cell r="L31">
            <v>-0.19839999999999947</v>
          </cell>
        </row>
        <row r="32">
          <cell r="A32">
            <v>24</v>
          </cell>
        </row>
        <row r="33">
          <cell r="A33">
            <v>25</v>
          </cell>
        </row>
      </sheetData>
      <sheetData sheetId="85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3 of 5</v>
          </cell>
        </row>
        <row r="3">
          <cell r="A3" t="str">
            <v>Firm Transportation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T-2 \ G-1</v>
          </cell>
        </row>
        <row r="10">
          <cell r="A10">
            <v>2</v>
          </cell>
        </row>
        <row r="11">
          <cell r="A11">
            <v>3</v>
          </cell>
          <cell r="C11" t="str">
            <v/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300</v>
          </cell>
          <cell r="F13" t="str">
            <v>Mcf</v>
          </cell>
          <cell r="H13">
            <v>1.19</v>
          </cell>
          <cell r="J13">
            <v>1.19</v>
          </cell>
          <cell r="L13">
            <v>0</v>
          </cell>
        </row>
        <row r="14">
          <cell r="A14">
            <v>6</v>
          </cell>
          <cell r="D14" t="str">
            <v xml:space="preserve">  Next</v>
          </cell>
          <cell r="E14">
            <v>14700</v>
          </cell>
          <cell r="F14" t="str">
            <v>Mcf</v>
          </cell>
          <cell r="H14">
            <v>0.65900000000000003</v>
          </cell>
          <cell r="J14">
            <v>0.65900000000000003</v>
          </cell>
          <cell r="L14">
            <v>0</v>
          </cell>
        </row>
        <row r="15">
          <cell r="A15">
            <v>7</v>
          </cell>
          <cell r="D15" t="str">
            <v xml:space="preserve">  Over</v>
          </cell>
          <cell r="E15">
            <v>15000</v>
          </cell>
          <cell r="F15" t="str">
            <v>Mcf</v>
          </cell>
          <cell r="H15">
            <v>0.43</v>
          </cell>
          <cell r="J15">
            <v>0.43</v>
          </cell>
          <cell r="L15">
            <v>0</v>
          </cell>
        </row>
        <row r="16">
          <cell r="A16">
            <v>8</v>
          </cell>
        </row>
        <row r="17">
          <cell r="A17">
            <v>9</v>
          </cell>
          <cell r="D17" t="str">
            <v>Non-Commodity Components:</v>
          </cell>
        </row>
        <row r="18">
          <cell r="A18">
            <v>10</v>
          </cell>
          <cell r="D18" t="str">
            <v xml:space="preserve">  Demand</v>
          </cell>
          <cell r="H18">
            <v>1.0571999999999999</v>
          </cell>
          <cell r="J18">
            <v>1.0571999999999999</v>
          </cell>
          <cell r="L18">
            <v>0</v>
          </cell>
        </row>
        <row r="19">
          <cell r="A19">
            <v>11</v>
          </cell>
          <cell r="D19" t="str">
            <v xml:space="preserve">  Take-Or-Pay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D20" t="str">
            <v xml:space="preserve">  Transition Costs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D21" t="str">
            <v xml:space="preserve">  RF (Refund Adjustment)</v>
          </cell>
          <cell r="H21">
            <v>0</v>
          </cell>
          <cell r="J21">
            <v>0</v>
          </cell>
          <cell r="L21">
            <v>0</v>
          </cell>
        </row>
        <row r="22">
          <cell r="A22">
            <v>14</v>
          </cell>
          <cell r="D22" t="str">
            <v xml:space="preserve">  Total</v>
          </cell>
          <cell r="H22">
            <v>1.0571999999999999</v>
          </cell>
          <cell r="J22">
            <v>1.0571999999999999</v>
          </cell>
          <cell r="L22">
            <v>0</v>
          </cell>
        </row>
        <row r="23">
          <cell r="A23">
            <v>15</v>
          </cell>
        </row>
        <row r="24">
          <cell r="A24">
            <v>16</v>
          </cell>
          <cell r="D24" t="str">
            <v>Gross Margin:</v>
          </cell>
        </row>
        <row r="25">
          <cell r="A25">
            <v>17</v>
          </cell>
          <cell r="D25" t="str">
            <v xml:space="preserve">  First</v>
          </cell>
          <cell r="E25">
            <v>300</v>
          </cell>
          <cell r="F25" t="str">
            <v>Mcf</v>
          </cell>
          <cell r="H25">
            <v>2.2471999999999999</v>
          </cell>
          <cell r="J25">
            <v>2.2471999999999999</v>
          </cell>
          <cell r="L25">
            <v>0</v>
          </cell>
        </row>
        <row r="26">
          <cell r="A26">
            <v>18</v>
          </cell>
          <cell r="D26" t="str">
            <v xml:space="preserve">  Next</v>
          </cell>
          <cell r="E26">
            <v>14700</v>
          </cell>
          <cell r="F26" t="str">
            <v>Mcf</v>
          </cell>
          <cell r="H26">
            <v>1.7161999999999999</v>
          </cell>
          <cell r="J26">
            <v>1.7161999999999999</v>
          </cell>
          <cell r="L26">
            <v>0</v>
          </cell>
        </row>
        <row r="27">
          <cell r="A27">
            <v>19</v>
          </cell>
          <cell r="D27" t="str">
            <v xml:space="preserve">  Over</v>
          </cell>
          <cell r="E27">
            <v>15000</v>
          </cell>
          <cell r="F27" t="str">
            <v>Mcf</v>
          </cell>
          <cell r="H27">
            <v>1.4871999999999999</v>
          </cell>
          <cell r="J27">
            <v>1.4871999999999999</v>
          </cell>
          <cell r="L27">
            <v>0</v>
          </cell>
        </row>
        <row r="28">
          <cell r="A28">
            <v>20</v>
          </cell>
        </row>
        <row r="29">
          <cell r="A29">
            <v>21</v>
          </cell>
          <cell r="C29" t="str">
            <v>T-2\G-1\HLF</v>
          </cell>
        </row>
        <row r="30">
          <cell r="A30">
            <v>22</v>
          </cell>
        </row>
        <row r="31">
          <cell r="A31">
            <v>23</v>
          </cell>
          <cell r="D31" t="str">
            <v>Simple Margin (Base Rate per Case No. 99-070):</v>
          </cell>
        </row>
        <row r="32">
          <cell r="A32">
            <v>24</v>
          </cell>
          <cell r="D32" t="str">
            <v xml:space="preserve">  First</v>
          </cell>
          <cell r="E32">
            <v>300</v>
          </cell>
          <cell r="F32" t="str">
            <v>Mcf</v>
          </cell>
          <cell r="H32">
            <v>1.19</v>
          </cell>
          <cell r="J32">
            <v>1.19</v>
          </cell>
          <cell r="L32">
            <v>0</v>
          </cell>
        </row>
        <row r="33">
          <cell r="A33">
            <v>25</v>
          </cell>
          <cell r="D33" t="str">
            <v xml:space="preserve">  Next</v>
          </cell>
          <cell r="E33">
            <v>14700</v>
          </cell>
          <cell r="F33" t="str">
            <v>Mcf</v>
          </cell>
          <cell r="H33">
            <v>0.65900000000000003</v>
          </cell>
          <cell r="J33">
            <v>0.65900000000000003</v>
          </cell>
          <cell r="L33">
            <v>0</v>
          </cell>
        </row>
        <row r="34">
          <cell r="A34">
            <v>26</v>
          </cell>
          <cell r="D34" t="str">
            <v xml:space="preserve">  Over</v>
          </cell>
          <cell r="E34">
            <v>15000</v>
          </cell>
          <cell r="F34" t="str">
            <v>Mcf</v>
          </cell>
          <cell r="H34">
            <v>0.43</v>
          </cell>
          <cell r="J34">
            <v>0.43</v>
          </cell>
          <cell r="L34">
            <v>0</v>
          </cell>
        </row>
        <row r="35">
          <cell r="A35">
            <v>27</v>
          </cell>
        </row>
        <row r="36">
          <cell r="A36">
            <v>28</v>
          </cell>
          <cell r="D36" t="str">
            <v>Non-Commodity Components:</v>
          </cell>
        </row>
        <row r="37">
          <cell r="A37">
            <v>29</v>
          </cell>
          <cell r="D37" t="str">
            <v xml:space="preserve">  Demand</v>
          </cell>
          <cell r="H37">
            <v>0.18390000000000001</v>
          </cell>
          <cell r="J37">
            <v>0.18390000000000001</v>
          </cell>
          <cell r="L37">
            <v>0</v>
          </cell>
        </row>
        <row r="38">
          <cell r="A38">
            <v>30</v>
          </cell>
          <cell r="D38" t="str">
            <v xml:space="preserve">  Take-Or-Pay</v>
          </cell>
          <cell r="H38">
            <v>0</v>
          </cell>
          <cell r="J38">
            <v>0</v>
          </cell>
          <cell r="L38">
            <v>0</v>
          </cell>
        </row>
        <row r="39">
          <cell r="A39">
            <v>31</v>
          </cell>
          <cell r="D39" t="str">
            <v xml:space="preserve">  Transition Costs</v>
          </cell>
          <cell r="H39">
            <v>0</v>
          </cell>
          <cell r="J39">
            <v>0</v>
          </cell>
          <cell r="L39">
            <v>0</v>
          </cell>
        </row>
        <row r="40">
          <cell r="A40">
            <v>32</v>
          </cell>
          <cell r="D40" t="str">
            <v xml:space="preserve">  RF (Refund Adjustment)</v>
          </cell>
          <cell r="H40">
            <v>0</v>
          </cell>
          <cell r="J40">
            <v>0</v>
          </cell>
          <cell r="L40">
            <v>0</v>
          </cell>
        </row>
        <row r="41">
          <cell r="A41">
            <v>33</v>
          </cell>
          <cell r="D41" t="str">
            <v xml:space="preserve">  Total</v>
          </cell>
          <cell r="H41">
            <v>0.18390000000000001</v>
          </cell>
          <cell r="J41">
            <v>0.18390000000000001</v>
          </cell>
          <cell r="L41">
            <v>0</v>
          </cell>
        </row>
        <row r="42">
          <cell r="A42">
            <v>34</v>
          </cell>
        </row>
        <row r="43">
          <cell r="A43">
            <v>35</v>
          </cell>
          <cell r="D43" t="str">
            <v>Gross Margin (Excluding HLF Demand):</v>
          </cell>
        </row>
        <row r="44">
          <cell r="A44">
            <v>36</v>
          </cell>
          <cell r="D44" t="str">
            <v xml:space="preserve">  First</v>
          </cell>
          <cell r="E44">
            <v>300</v>
          </cell>
          <cell r="F44" t="str">
            <v>Mcf</v>
          </cell>
          <cell r="H44">
            <v>1.3738999999999999</v>
          </cell>
          <cell r="J44">
            <v>1.3738999999999999</v>
          </cell>
          <cell r="L44">
            <v>0</v>
          </cell>
        </row>
        <row r="45">
          <cell r="A45">
            <v>37</v>
          </cell>
          <cell r="D45" t="str">
            <v xml:space="preserve">  Next</v>
          </cell>
          <cell r="E45">
            <v>14700</v>
          </cell>
          <cell r="F45" t="str">
            <v>Mcf</v>
          </cell>
          <cell r="H45">
            <v>0.84289999999999998</v>
          </cell>
          <cell r="J45">
            <v>0.84289999999999998</v>
          </cell>
          <cell r="L45">
            <v>0</v>
          </cell>
        </row>
        <row r="46">
          <cell r="A46">
            <v>38</v>
          </cell>
          <cell r="D46" t="str">
            <v xml:space="preserve">  Over</v>
          </cell>
          <cell r="E46">
            <v>15000</v>
          </cell>
          <cell r="F46" t="str">
            <v>Mcf</v>
          </cell>
          <cell r="H46">
            <v>0.6139</v>
          </cell>
          <cell r="J46">
            <v>0.6139</v>
          </cell>
          <cell r="L46">
            <v>0</v>
          </cell>
        </row>
        <row r="47">
          <cell r="A47">
            <v>39</v>
          </cell>
        </row>
        <row r="48">
          <cell r="A48">
            <v>40</v>
          </cell>
          <cell r="D48" t="str">
            <v>HLF Demand</v>
          </cell>
        </row>
        <row r="49">
          <cell r="A49">
            <v>41</v>
          </cell>
          <cell r="D49" t="str">
            <v xml:space="preserve">  Contract Demand Factor</v>
          </cell>
          <cell r="H49">
            <v>4.5575999999999999</v>
          </cell>
          <cell r="J49">
            <v>4.5575999999999999</v>
          </cell>
          <cell r="L49">
            <v>0</v>
          </cell>
        </row>
      </sheetData>
      <sheetData sheetId="86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4 of 5</v>
          </cell>
        </row>
        <row r="3">
          <cell r="A3" t="str">
            <v>Firm Transportation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Carriage Service</v>
          </cell>
        </row>
        <row r="10">
          <cell r="A10">
            <v>2</v>
          </cell>
        </row>
        <row r="11">
          <cell r="A11">
            <v>3</v>
          </cell>
          <cell r="C11" t="str">
            <v>Firm Service (T-4)</v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300</v>
          </cell>
          <cell r="F13" t="str">
            <v>Mcf</v>
          </cell>
          <cell r="H13">
            <v>1.19</v>
          </cell>
          <cell r="J13">
            <v>1.19</v>
          </cell>
          <cell r="L13">
            <v>0</v>
          </cell>
        </row>
        <row r="14">
          <cell r="A14">
            <v>6</v>
          </cell>
          <cell r="D14" t="str">
            <v xml:space="preserve">  Next</v>
          </cell>
          <cell r="E14">
            <v>14700</v>
          </cell>
          <cell r="F14" t="str">
            <v>Mcf</v>
          </cell>
          <cell r="H14">
            <v>0.65900000000000003</v>
          </cell>
          <cell r="J14">
            <v>0.65900000000000003</v>
          </cell>
          <cell r="L14">
            <v>0</v>
          </cell>
        </row>
        <row r="15">
          <cell r="A15">
            <v>7</v>
          </cell>
          <cell r="D15" t="str">
            <v xml:space="preserve">  Over</v>
          </cell>
          <cell r="E15">
            <v>15000</v>
          </cell>
          <cell r="F15" t="str">
            <v>Mcf</v>
          </cell>
          <cell r="H15">
            <v>0.43</v>
          </cell>
          <cell r="J15">
            <v>0.43</v>
          </cell>
          <cell r="L15">
            <v>0</v>
          </cell>
        </row>
        <row r="16">
          <cell r="A16">
            <v>8</v>
          </cell>
        </row>
        <row r="17">
          <cell r="A17">
            <v>9</v>
          </cell>
          <cell r="D17" t="str">
            <v>Non-Commodity Components:</v>
          </cell>
        </row>
        <row r="18">
          <cell r="A18">
            <v>11</v>
          </cell>
          <cell r="D18" t="str">
            <v xml:space="preserve">  Take-Or-Pay</v>
          </cell>
          <cell r="H18">
            <v>0</v>
          </cell>
          <cell r="J18">
            <v>0</v>
          </cell>
          <cell r="L18">
            <v>0</v>
          </cell>
        </row>
        <row r="19">
          <cell r="A19">
            <v>13</v>
          </cell>
          <cell r="D19" t="str">
            <v xml:space="preserve">  RF (Refund Adjustment)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14</v>
          </cell>
          <cell r="D20" t="str">
            <v xml:space="preserve">  Total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15</v>
          </cell>
        </row>
        <row r="22">
          <cell r="A22">
            <v>16</v>
          </cell>
          <cell r="D22" t="str">
            <v>Gross Margin:</v>
          </cell>
        </row>
        <row r="23">
          <cell r="A23">
            <v>17</v>
          </cell>
          <cell r="D23" t="str">
            <v xml:space="preserve">  First</v>
          </cell>
          <cell r="E23">
            <v>300</v>
          </cell>
          <cell r="F23" t="str">
            <v>Mcf</v>
          </cell>
          <cell r="H23">
            <v>1.19</v>
          </cell>
          <cell r="J23">
            <v>1.19</v>
          </cell>
          <cell r="L23">
            <v>0</v>
          </cell>
        </row>
        <row r="24">
          <cell r="A24">
            <v>18</v>
          </cell>
          <cell r="D24" t="str">
            <v xml:space="preserve">  Next</v>
          </cell>
          <cell r="E24">
            <v>14700</v>
          </cell>
          <cell r="F24" t="str">
            <v>Mcf</v>
          </cell>
          <cell r="H24">
            <v>0.65900000000000003</v>
          </cell>
          <cell r="J24">
            <v>0.65900000000000003</v>
          </cell>
          <cell r="L24">
            <v>0</v>
          </cell>
        </row>
        <row r="25">
          <cell r="A25">
            <v>19</v>
          </cell>
          <cell r="D25" t="str">
            <v xml:space="preserve">  Over</v>
          </cell>
          <cell r="E25">
            <v>15000</v>
          </cell>
          <cell r="F25" t="str">
            <v>Mcf</v>
          </cell>
          <cell r="H25">
            <v>0.43</v>
          </cell>
          <cell r="J25">
            <v>0.43</v>
          </cell>
          <cell r="L25">
            <v>0</v>
          </cell>
        </row>
        <row r="26">
          <cell r="A26">
            <v>20</v>
          </cell>
        </row>
      </sheetData>
      <sheetData sheetId="87">
        <row r="1">
          <cell r="A1" t="str">
            <v xml:space="preserve"> 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5 of 5</v>
          </cell>
        </row>
        <row r="3">
          <cell r="A3" t="str">
            <v>Interruptible Transportation and Carriage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General Transporation (T-2)</v>
          </cell>
        </row>
        <row r="10">
          <cell r="A10">
            <v>2</v>
          </cell>
        </row>
        <row r="11">
          <cell r="A11">
            <v>3</v>
          </cell>
          <cell r="C11" t="str">
            <v>Interruptible Service (G-2)</v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15000</v>
          </cell>
          <cell r="F13" t="str">
            <v>Mcf</v>
          </cell>
          <cell r="H13">
            <v>0.53</v>
          </cell>
          <cell r="J13">
            <v>0.53</v>
          </cell>
          <cell r="L13">
            <v>0</v>
          </cell>
        </row>
        <row r="14">
          <cell r="A14">
            <v>6</v>
          </cell>
          <cell r="D14" t="str">
            <v xml:space="preserve">  Over</v>
          </cell>
          <cell r="E14">
            <v>15000</v>
          </cell>
          <cell r="F14" t="str">
            <v>Mcf</v>
          </cell>
          <cell r="H14">
            <v>0.35909999999999997</v>
          </cell>
          <cell r="J14">
            <v>0.35909999999999997</v>
          </cell>
          <cell r="L14">
            <v>0</v>
          </cell>
        </row>
        <row r="15">
          <cell r="A15">
            <v>7</v>
          </cell>
        </row>
        <row r="16">
          <cell r="A16">
            <v>8</v>
          </cell>
          <cell r="D16" t="str">
            <v>Non-Commodity Components:</v>
          </cell>
        </row>
        <row r="17">
          <cell r="A17">
            <v>9</v>
          </cell>
          <cell r="D17" t="str">
            <v xml:space="preserve">  Demand</v>
          </cell>
          <cell r="H17">
            <v>0.18390000000000001</v>
          </cell>
          <cell r="J17">
            <v>0.18390000000000001</v>
          </cell>
          <cell r="L17">
            <v>0</v>
          </cell>
        </row>
        <row r="18">
          <cell r="A18">
            <v>10</v>
          </cell>
          <cell r="D18" t="str">
            <v xml:space="preserve">  Take-Or-Pay</v>
          </cell>
          <cell r="H18">
            <v>0</v>
          </cell>
          <cell r="J18">
            <v>0</v>
          </cell>
          <cell r="L18">
            <v>0</v>
          </cell>
        </row>
        <row r="19">
          <cell r="A19">
            <v>11</v>
          </cell>
          <cell r="D19" t="str">
            <v xml:space="preserve">  Transition Costs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D20" t="str">
            <v xml:space="preserve">  RF (Refund Adjustment)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D21" t="str">
            <v xml:space="preserve">  Total</v>
          </cell>
          <cell r="H21">
            <v>0.18390000000000001</v>
          </cell>
          <cell r="J21">
            <v>0.18390000000000001</v>
          </cell>
          <cell r="L21">
            <v>0</v>
          </cell>
        </row>
        <row r="22">
          <cell r="A22">
            <v>14</v>
          </cell>
        </row>
        <row r="23">
          <cell r="A23">
            <v>15</v>
          </cell>
          <cell r="D23" t="str">
            <v>Gross Margin:</v>
          </cell>
        </row>
        <row r="24">
          <cell r="A24">
            <v>16</v>
          </cell>
          <cell r="D24" t="str">
            <v xml:space="preserve">  First</v>
          </cell>
          <cell r="E24">
            <v>15000</v>
          </cell>
          <cell r="F24" t="str">
            <v>Mcf</v>
          </cell>
          <cell r="H24">
            <v>0.71389999999999998</v>
          </cell>
          <cell r="J24">
            <v>0.71389999999999998</v>
          </cell>
          <cell r="L24">
            <v>0</v>
          </cell>
        </row>
        <row r="25">
          <cell r="A25">
            <v>17</v>
          </cell>
          <cell r="D25" t="str">
            <v xml:space="preserve">  Over</v>
          </cell>
          <cell r="E25">
            <v>15000</v>
          </cell>
          <cell r="F25" t="str">
            <v>Mcf</v>
          </cell>
          <cell r="H25">
            <v>0.54299999999999993</v>
          </cell>
          <cell r="J25">
            <v>0.54299999999999993</v>
          </cell>
          <cell r="L25">
            <v>0</v>
          </cell>
        </row>
        <row r="26">
          <cell r="A26">
            <v>18</v>
          </cell>
        </row>
        <row r="27">
          <cell r="A27">
            <v>19</v>
          </cell>
          <cell r="C27" t="str">
            <v>Carriage Service</v>
          </cell>
        </row>
        <row r="28">
          <cell r="A28">
            <v>20</v>
          </cell>
        </row>
        <row r="29">
          <cell r="A29">
            <v>21</v>
          </cell>
          <cell r="C29" t="str">
            <v>Carriage Service (T-3)</v>
          </cell>
        </row>
        <row r="30">
          <cell r="A30">
            <v>22</v>
          </cell>
          <cell r="D30" t="str">
            <v>Simple Margin (Base Rate per Case No. 99-070):</v>
          </cell>
        </row>
        <row r="31">
          <cell r="A31">
            <v>23</v>
          </cell>
          <cell r="D31" t="str">
            <v xml:space="preserve">  First</v>
          </cell>
          <cell r="E31">
            <v>15000</v>
          </cell>
          <cell r="F31" t="str">
            <v>Mcf</v>
          </cell>
          <cell r="H31">
            <v>0.53</v>
          </cell>
          <cell r="J31">
            <v>0.53</v>
          </cell>
          <cell r="L31">
            <v>0</v>
          </cell>
        </row>
        <row r="32">
          <cell r="A32">
            <v>24</v>
          </cell>
          <cell r="D32" t="str">
            <v xml:space="preserve">  Over</v>
          </cell>
          <cell r="E32">
            <v>15000</v>
          </cell>
          <cell r="F32" t="str">
            <v>Mcf</v>
          </cell>
          <cell r="H32">
            <v>0.35909999999999997</v>
          </cell>
          <cell r="J32">
            <v>0.35909999999999997</v>
          </cell>
          <cell r="L32">
            <v>0</v>
          </cell>
        </row>
        <row r="33">
          <cell r="A33">
            <v>25</v>
          </cell>
        </row>
        <row r="34">
          <cell r="A34">
            <v>26</v>
          </cell>
          <cell r="D34" t="str">
            <v>Non-Commodity Components:</v>
          </cell>
        </row>
        <row r="35">
          <cell r="A35">
            <v>28</v>
          </cell>
          <cell r="D35" t="str">
            <v xml:space="preserve">  Take-Or-Pay</v>
          </cell>
          <cell r="H35">
            <v>0</v>
          </cell>
          <cell r="J35">
            <v>0</v>
          </cell>
          <cell r="L35">
            <v>0</v>
          </cell>
        </row>
        <row r="36">
          <cell r="A36">
            <v>30</v>
          </cell>
          <cell r="D36" t="str">
            <v xml:space="preserve">  RF (Refund Adjustment)</v>
          </cell>
          <cell r="H36">
            <v>0</v>
          </cell>
          <cell r="J36">
            <v>0</v>
          </cell>
          <cell r="L36">
            <v>0</v>
          </cell>
        </row>
        <row r="37">
          <cell r="A37">
            <v>31</v>
          </cell>
          <cell r="D37" t="str">
            <v xml:space="preserve">  Total</v>
          </cell>
          <cell r="H37">
            <v>0</v>
          </cell>
          <cell r="J37">
            <v>0</v>
          </cell>
          <cell r="L37">
            <v>0</v>
          </cell>
        </row>
        <row r="38">
          <cell r="A38">
            <v>32</v>
          </cell>
        </row>
        <row r="39">
          <cell r="A39">
            <v>33</v>
          </cell>
          <cell r="D39" t="str">
            <v>Gross Margin:</v>
          </cell>
        </row>
        <row r="40">
          <cell r="A40">
            <v>34</v>
          </cell>
          <cell r="D40" t="str">
            <v xml:space="preserve">  First</v>
          </cell>
          <cell r="E40">
            <v>15000</v>
          </cell>
          <cell r="F40" t="str">
            <v>Mcf</v>
          </cell>
          <cell r="H40">
            <v>0.53</v>
          </cell>
          <cell r="J40">
            <v>0.53</v>
          </cell>
          <cell r="L40">
            <v>0</v>
          </cell>
        </row>
        <row r="41">
          <cell r="A41">
            <v>35</v>
          </cell>
          <cell r="D41" t="str">
            <v xml:space="preserve">  Over</v>
          </cell>
          <cell r="E41">
            <v>15000</v>
          </cell>
          <cell r="F41" t="str">
            <v>Mcf</v>
          </cell>
          <cell r="H41">
            <v>0.35909999999999997</v>
          </cell>
          <cell r="J41">
            <v>0.35909999999999997</v>
          </cell>
          <cell r="L41">
            <v>0</v>
          </cell>
        </row>
      </sheetData>
      <sheetData sheetId="88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1 of  11</v>
          </cell>
        </row>
        <row r="3">
          <cell r="A3" t="str">
            <v>Texas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0">
          <cell r="A10">
            <v>1</v>
          </cell>
          <cell r="B10" t="str">
            <v>SL to Zone 2</v>
          </cell>
        </row>
        <row r="11">
          <cell r="A11">
            <v>2</v>
          </cell>
          <cell r="B11" t="str">
            <v xml:space="preserve">  NNS Contract #</v>
          </cell>
          <cell r="C11" t="str">
            <v>N0210</v>
          </cell>
          <cell r="E11">
            <v>12617673</v>
          </cell>
        </row>
        <row r="12">
          <cell r="A12">
            <v>3</v>
          </cell>
          <cell r="B12" t="str">
            <v xml:space="preserve">   Base Rate </v>
          </cell>
          <cell r="D12">
            <v>20</v>
          </cell>
          <cell r="F12">
            <v>0.30880000000000002</v>
          </cell>
          <cell r="G12">
            <v>3896336</v>
          </cell>
          <cell r="I12">
            <v>3896336</v>
          </cell>
        </row>
        <row r="13">
          <cell r="A13">
            <v>4</v>
          </cell>
          <cell r="B13" t="str">
            <v xml:space="preserve">   GSR </v>
          </cell>
          <cell r="D13">
            <v>20</v>
          </cell>
          <cell r="F13">
            <v>0</v>
          </cell>
          <cell r="G13">
            <v>0</v>
          </cell>
          <cell r="K13">
            <v>0</v>
          </cell>
        </row>
        <row r="14">
          <cell r="A14">
            <v>5</v>
          </cell>
          <cell r="B14" t="str">
            <v xml:space="preserve">   TCA Adjustment</v>
          </cell>
          <cell r="D14">
            <v>20</v>
          </cell>
          <cell r="F14">
            <v>0</v>
          </cell>
          <cell r="G14">
            <v>0</v>
          </cell>
          <cell r="I14">
            <v>0</v>
          </cell>
        </row>
        <row r="15">
          <cell r="A15">
            <v>6</v>
          </cell>
          <cell r="B15" t="str">
            <v xml:space="preserve">   Unrec TCA Surch</v>
          </cell>
          <cell r="D15">
            <v>20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7</v>
          </cell>
          <cell r="B16" t="str">
            <v xml:space="preserve">   ISS Credit</v>
          </cell>
          <cell r="D16">
            <v>20</v>
          </cell>
          <cell r="F16">
            <v>0</v>
          </cell>
          <cell r="G16">
            <v>0</v>
          </cell>
          <cell r="I16">
            <v>0</v>
          </cell>
        </row>
        <row r="17">
          <cell r="A17">
            <v>8</v>
          </cell>
          <cell r="B17" t="str">
            <v xml:space="preserve">   Misc Rev Cr Adj</v>
          </cell>
          <cell r="D17">
            <v>20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9</v>
          </cell>
          <cell r="B18" t="str">
            <v xml:space="preserve">   GRI </v>
          </cell>
          <cell r="D18">
            <v>20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6</v>
          </cell>
        </row>
        <row r="20">
          <cell r="A20">
            <v>7</v>
          </cell>
          <cell r="B20" t="str">
            <v>Total SL to Zone 2</v>
          </cell>
          <cell r="E20">
            <v>12617673</v>
          </cell>
          <cell r="G20">
            <v>3896336</v>
          </cell>
          <cell r="I20">
            <v>3896336</v>
          </cell>
          <cell r="K20">
            <v>0</v>
          </cell>
        </row>
        <row r="21">
          <cell r="A21">
            <v>8</v>
          </cell>
        </row>
        <row r="22">
          <cell r="A22">
            <v>9</v>
          </cell>
          <cell r="B22" t="str">
            <v>SL to Zone 3</v>
          </cell>
        </row>
        <row r="23">
          <cell r="A23">
            <v>10</v>
          </cell>
          <cell r="B23" t="str">
            <v xml:space="preserve">  NNS Contract #</v>
          </cell>
          <cell r="C23" t="str">
            <v>N0340</v>
          </cell>
          <cell r="E23">
            <v>27480375</v>
          </cell>
        </row>
        <row r="24">
          <cell r="A24">
            <v>11</v>
          </cell>
          <cell r="B24" t="str">
            <v xml:space="preserve">   Base Rate</v>
          </cell>
          <cell r="D24">
            <v>20</v>
          </cell>
          <cell r="F24">
            <v>0.3543</v>
          </cell>
          <cell r="G24">
            <v>9736297</v>
          </cell>
          <cell r="I24">
            <v>9736297</v>
          </cell>
        </row>
        <row r="25">
          <cell r="A25">
            <v>12</v>
          </cell>
          <cell r="B25" t="str">
            <v xml:space="preserve">   GSR</v>
          </cell>
          <cell r="D25">
            <v>20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13</v>
          </cell>
          <cell r="B26" t="str">
            <v xml:space="preserve">   TCA Adjustment</v>
          </cell>
          <cell r="D26">
            <v>20</v>
          </cell>
          <cell r="F26">
            <v>0</v>
          </cell>
          <cell r="G26">
            <v>0</v>
          </cell>
          <cell r="I26">
            <v>0</v>
          </cell>
        </row>
        <row r="27">
          <cell r="A27">
            <v>14</v>
          </cell>
          <cell r="B27" t="str">
            <v xml:space="preserve">   Unrec TCA Surch</v>
          </cell>
          <cell r="D27">
            <v>20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15</v>
          </cell>
          <cell r="B28" t="str">
            <v xml:space="preserve">   ISS Credit</v>
          </cell>
          <cell r="D28">
            <v>20</v>
          </cell>
          <cell r="F28">
            <v>0</v>
          </cell>
          <cell r="G28">
            <v>0</v>
          </cell>
          <cell r="I28">
            <v>0</v>
          </cell>
        </row>
        <row r="29">
          <cell r="A29">
            <v>16</v>
          </cell>
          <cell r="B29" t="str">
            <v xml:space="preserve">   Misc Rev Cr Adj</v>
          </cell>
          <cell r="D29">
            <v>20</v>
          </cell>
          <cell r="F29">
            <v>0</v>
          </cell>
          <cell r="G29">
            <v>0</v>
          </cell>
          <cell r="I29">
            <v>0</v>
          </cell>
        </row>
        <row r="30">
          <cell r="A30">
            <v>17</v>
          </cell>
          <cell r="B30" t="str">
            <v xml:space="preserve">   GRI</v>
          </cell>
          <cell r="D30">
            <v>20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18</v>
          </cell>
        </row>
        <row r="32">
          <cell r="A32">
            <v>19</v>
          </cell>
          <cell r="B32" t="str">
            <v xml:space="preserve">  FT Contract #</v>
          </cell>
          <cell r="C32" t="str">
            <v>3355</v>
          </cell>
          <cell r="E32">
            <v>3130605</v>
          </cell>
        </row>
        <row r="33">
          <cell r="A33">
            <v>20</v>
          </cell>
          <cell r="B33" t="str">
            <v xml:space="preserve">   Base Rate</v>
          </cell>
          <cell r="C33" t="str">
            <v>(Capacity Released)</v>
          </cell>
          <cell r="D33">
            <v>24</v>
          </cell>
          <cell r="F33">
            <v>0.24940000000000001</v>
          </cell>
          <cell r="G33">
            <v>780773</v>
          </cell>
          <cell r="I33">
            <v>780773</v>
          </cell>
        </row>
        <row r="34">
          <cell r="A34">
            <v>21</v>
          </cell>
          <cell r="B34" t="str">
            <v xml:space="preserve">   GSR</v>
          </cell>
          <cell r="D34">
            <v>24</v>
          </cell>
          <cell r="F34">
            <v>0</v>
          </cell>
          <cell r="G34">
            <v>0</v>
          </cell>
          <cell r="K34">
            <v>0</v>
          </cell>
        </row>
        <row r="35">
          <cell r="A35">
            <v>22</v>
          </cell>
          <cell r="B35" t="str">
            <v xml:space="preserve">   TCA Adjustment</v>
          </cell>
          <cell r="D35">
            <v>24</v>
          </cell>
          <cell r="F35">
            <v>0</v>
          </cell>
          <cell r="G35">
            <v>0</v>
          </cell>
          <cell r="I35">
            <v>0</v>
          </cell>
        </row>
        <row r="36">
          <cell r="A36">
            <v>23</v>
          </cell>
          <cell r="B36" t="str">
            <v xml:space="preserve">   Unrec TCA Surch</v>
          </cell>
          <cell r="D36">
            <v>24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24</v>
          </cell>
          <cell r="B37" t="str">
            <v xml:space="preserve">   ISS Credit</v>
          </cell>
          <cell r="D37">
            <v>24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25</v>
          </cell>
          <cell r="B38" t="str">
            <v xml:space="preserve">   Misc Rev Cr Adj</v>
          </cell>
          <cell r="D38">
            <v>24</v>
          </cell>
          <cell r="F38">
            <v>0</v>
          </cell>
          <cell r="G38">
            <v>0</v>
          </cell>
          <cell r="I38">
            <v>0</v>
          </cell>
        </row>
        <row r="39">
          <cell r="A39">
            <v>26</v>
          </cell>
          <cell r="B39" t="str">
            <v xml:space="preserve">   GRI</v>
          </cell>
          <cell r="D39">
            <v>24</v>
          </cell>
          <cell r="F39">
            <v>0</v>
          </cell>
          <cell r="G39">
            <v>0</v>
          </cell>
          <cell r="I39">
            <v>0</v>
          </cell>
        </row>
        <row r="40">
          <cell r="A40">
            <v>27</v>
          </cell>
        </row>
        <row r="41">
          <cell r="A41">
            <v>28</v>
          </cell>
        </row>
        <row r="42">
          <cell r="A42">
            <v>29</v>
          </cell>
          <cell r="B42" t="str">
            <v>Total SL to Zone 3</v>
          </cell>
          <cell r="E42">
            <v>30610980</v>
          </cell>
          <cell r="G42">
            <v>10517070</v>
          </cell>
          <cell r="I42">
            <v>10517070</v>
          </cell>
          <cell r="K42">
            <v>0</v>
          </cell>
        </row>
        <row r="43">
          <cell r="A43">
            <v>30</v>
          </cell>
        </row>
        <row r="44">
          <cell r="A44">
            <v>31</v>
          </cell>
        </row>
        <row r="45">
          <cell r="A45">
            <v>32</v>
          </cell>
        </row>
        <row r="46">
          <cell r="A46">
            <v>33</v>
          </cell>
        </row>
        <row r="47">
          <cell r="A47">
            <v>34</v>
          </cell>
        </row>
        <row r="48">
          <cell r="A48">
            <v>35</v>
          </cell>
        </row>
        <row r="49">
          <cell r="A49">
            <v>36</v>
          </cell>
        </row>
        <row r="50">
          <cell r="A50">
            <v>37</v>
          </cell>
        </row>
        <row r="51">
          <cell r="A51">
            <v>38</v>
          </cell>
        </row>
        <row r="52">
          <cell r="A52">
            <v>39</v>
          </cell>
        </row>
        <row r="53">
          <cell r="A53">
            <v>40</v>
          </cell>
        </row>
      </sheetData>
      <sheetData sheetId="89"/>
      <sheetData sheetId="90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3 of 11</v>
          </cell>
        </row>
        <row r="3">
          <cell r="A3" t="str">
            <v>Tennessee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1">
          <cell r="A11">
            <v>1</v>
          </cell>
          <cell r="B11" t="str">
            <v>0 to Zone 2</v>
          </cell>
        </row>
        <row r="12">
          <cell r="A12">
            <v>2</v>
          </cell>
          <cell r="B12" t="str">
            <v xml:space="preserve">  FT-G  Contract #</v>
          </cell>
          <cell r="C12" t="str">
            <v>2546.1</v>
          </cell>
          <cell r="E12">
            <v>12844</v>
          </cell>
          <cell r="F12">
            <v>9.06</v>
          </cell>
        </row>
        <row r="13">
          <cell r="A13">
            <v>3</v>
          </cell>
          <cell r="B13" t="str">
            <v xml:space="preserve">   Base Rate</v>
          </cell>
          <cell r="D13" t="str">
            <v>23B</v>
          </cell>
          <cell r="F13">
            <v>9.06</v>
          </cell>
          <cell r="G13">
            <v>116367</v>
          </cell>
          <cell r="I13">
            <v>116367</v>
          </cell>
        </row>
        <row r="14">
          <cell r="A14">
            <v>4</v>
          </cell>
          <cell r="B14" t="str">
            <v xml:space="preserve">   Settlement Surcharge</v>
          </cell>
          <cell r="D14" t="str">
            <v>23B</v>
          </cell>
          <cell r="F14">
            <v>0</v>
          </cell>
          <cell r="G14">
            <v>0</v>
          </cell>
          <cell r="K14">
            <v>0</v>
          </cell>
        </row>
        <row r="15">
          <cell r="A15">
            <v>5</v>
          </cell>
          <cell r="B15" t="str">
            <v xml:space="preserve">   PCB Adjustment</v>
          </cell>
          <cell r="D15" t="str">
            <v>23B</v>
          </cell>
          <cell r="F15">
            <v>0</v>
          </cell>
          <cell r="G15">
            <v>0</v>
          </cell>
          <cell r="K15">
            <v>0</v>
          </cell>
        </row>
        <row r="16">
          <cell r="A16">
            <v>6</v>
          </cell>
        </row>
        <row r="17">
          <cell r="A17">
            <v>7</v>
          </cell>
          <cell r="B17" t="str">
            <v xml:space="preserve">  FT-G  Contract #</v>
          </cell>
          <cell r="C17" t="str">
            <v>2548.1</v>
          </cell>
          <cell r="E17">
            <v>4363</v>
          </cell>
          <cell r="F17">
            <v>9.06</v>
          </cell>
        </row>
        <row r="18">
          <cell r="A18">
            <v>8</v>
          </cell>
          <cell r="B18" t="str">
            <v xml:space="preserve">   Base Rate</v>
          </cell>
          <cell r="D18" t="str">
            <v>23B</v>
          </cell>
          <cell r="F18">
            <v>9.06</v>
          </cell>
          <cell r="G18">
            <v>39529</v>
          </cell>
          <cell r="I18">
            <v>39529</v>
          </cell>
        </row>
        <row r="19">
          <cell r="A19">
            <v>9</v>
          </cell>
          <cell r="B19" t="str">
            <v xml:space="preserve">   Settlement Surcharge</v>
          </cell>
          <cell r="D19" t="str">
            <v>23B</v>
          </cell>
          <cell r="F19">
            <v>0</v>
          </cell>
          <cell r="G19">
            <v>0</v>
          </cell>
          <cell r="K19">
            <v>0</v>
          </cell>
        </row>
        <row r="20">
          <cell r="A20">
            <v>10</v>
          </cell>
          <cell r="B20" t="str">
            <v xml:space="preserve">   PCB Adjustment</v>
          </cell>
          <cell r="D20" t="str">
            <v>23B</v>
          </cell>
          <cell r="F20">
            <v>0</v>
          </cell>
          <cell r="G20">
            <v>0</v>
          </cell>
          <cell r="K20">
            <v>0</v>
          </cell>
        </row>
        <row r="21">
          <cell r="A21">
            <v>11</v>
          </cell>
        </row>
        <row r="22">
          <cell r="A22">
            <v>12</v>
          </cell>
          <cell r="B22" t="str">
            <v xml:space="preserve">  FT-G  Contract #</v>
          </cell>
          <cell r="C22" t="str">
            <v>2550.1</v>
          </cell>
          <cell r="E22">
            <v>5739</v>
          </cell>
          <cell r="F22">
            <v>9.06</v>
          </cell>
        </row>
        <row r="23">
          <cell r="A23">
            <v>13</v>
          </cell>
          <cell r="B23" t="str">
            <v xml:space="preserve">   Base Rate</v>
          </cell>
          <cell r="D23" t="str">
            <v>23B</v>
          </cell>
          <cell r="F23">
            <v>9.06</v>
          </cell>
          <cell r="G23">
            <v>51995</v>
          </cell>
          <cell r="I23">
            <v>51995</v>
          </cell>
        </row>
        <row r="24">
          <cell r="A24">
            <v>14</v>
          </cell>
          <cell r="B24" t="str">
            <v xml:space="preserve">   Settlement Surcharge</v>
          </cell>
          <cell r="D24" t="str">
            <v>23B</v>
          </cell>
          <cell r="F24">
            <v>0</v>
          </cell>
          <cell r="G24">
            <v>0</v>
          </cell>
          <cell r="K24">
            <v>0</v>
          </cell>
        </row>
        <row r="25">
          <cell r="A25">
            <v>15</v>
          </cell>
          <cell r="B25" t="str">
            <v xml:space="preserve">   PCB Adjustment</v>
          </cell>
          <cell r="D25" t="str">
            <v>23B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16</v>
          </cell>
        </row>
        <row r="27">
          <cell r="A27">
            <v>17</v>
          </cell>
          <cell r="B27" t="str">
            <v xml:space="preserve">  FT-G  Contract #</v>
          </cell>
          <cell r="C27" t="str">
            <v>2551.1</v>
          </cell>
          <cell r="E27">
            <v>4447</v>
          </cell>
          <cell r="F27">
            <v>9.06</v>
          </cell>
        </row>
        <row r="28">
          <cell r="A28">
            <v>18</v>
          </cell>
          <cell r="B28" t="str">
            <v xml:space="preserve">   Base Rate</v>
          </cell>
          <cell r="D28" t="str">
            <v>23B</v>
          </cell>
          <cell r="F28">
            <v>9.06</v>
          </cell>
          <cell r="G28">
            <v>40290</v>
          </cell>
          <cell r="I28">
            <v>40290</v>
          </cell>
        </row>
        <row r="29">
          <cell r="A29">
            <v>19</v>
          </cell>
          <cell r="B29" t="str">
            <v xml:space="preserve">   Settlement Surcharge</v>
          </cell>
          <cell r="D29" t="str">
            <v>23B</v>
          </cell>
          <cell r="F29">
            <v>0</v>
          </cell>
          <cell r="G29">
            <v>0</v>
          </cell>
          <cell r="K29">
            <v>0</v>
          </cell>
        </row>
        <row r="30">
          <cell r="A30">
            <v>20</v>
          </cell>
          <cell r="B30" t="str">
            <v xml:space="preserve">   PCB Adjustment</v>
          </cell>
          <cell r="D30" t="str">
            <v>23B</v>
          </cell>
          <cell r="F30">
            <v>0</v>
          </cell>
          <cell r="G30">
            <v>0</v>
          </cell>
          <cell r="K30">
            <v>0</v>
          </cell>
        </row>
        <row r="31">
          <cell r="A31">
            <v>21</v>
          </cell>
        </row>
        <row r="32">
          <cell r="A32">
            <v>22</v>
          </cell>
        </row>
        <row r="33">
          <cell r="A33">
            <v>23</v>
          </cell>
          <cell r="B33" t="str">
            <v>Total Zone 0 to 2</v>
          </cell>
          <cell r="E33">
            <v>27393</v>
          </cell>
          <cell r="G33">
            <v>248181</v>
          </cell>
          <cell r="I33">
            <v>248181</v>
          </cell>
          <cell r="K33">
            <v>0</v>
          </cell>
        </row>
        <row r="34">
          <cell r="A34">
            <v>24</v>
          </cell>
        </row>
        <row r="35">
          <cell r="A35">
            <v>25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</row>
      </sheetData>
      <sheetData sheetId="91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4 of  11</v>
          </cell>
        </row>
        <row r="3">
          <cell r="A3" t="str">
            <v>Tennessee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1">
          <cell r="A11">
            <v>1</v>
          </cell>
          <cell r="B11" t="str">
            <v>1 to Zone 2</v>
          </cell>
        </row>
        <row r="12">
          <cell r="A12">
            <v>2</v>
          </cell>
          <cell r="B12" t="str">
            <v xml:space="preserve">  FT-G  Contract #</v>
          </cell>
          <cell r="C12" t="str">
            <v>2546</v>
          </cell>
          <cell r="E12">
            <v>114156</v>
          </cell>
          <cell r="F12">
            <v>7.62</v>
          </cell>
        </row>
        <row r="13">
          <cell r="A13">
            <v>3</v>
          </cell>
          <cell r="B13" t="str">
            <v xml:space="preserve">   Base Rate</v>
          </cell>
          <cell r="D13" t="str">
            <v>23B</v>
          </cell>
          <cell r="F13">
            <v>7.62</v>
          </cell>
          <cell r="G13">
            <v>869869</v>
          </cell>
          <cell r="I13">
            <v>869869</v>
          </cell>
        </row>
        <row r="14">
          <cell r="A14">
            <v>4</v>
          </cell>
          <cell r="B14" t="str">
            <v xml:space="preserve">   Settlement Surcharge</v>
          </cell>
          <cell r="D14" t="str">
            <v>23B</v>
          </cell>
          <cell r="F14">
            <v>0</v>
          </cell>
          <cell r="G14">
            <v>0</v>
          </cell>
          <cell r="K14">
            <v>0</v>
          </cell>
        </row>
        <row r="15">
          <cell r="A15">
            <v>5</v>
          </cell>
          <cell r="B15" t="str">
            <v xml:space="preserve">   PCB Adjustment</v>
          </cell>
          <cell r="D15" t="str">
            <v>23B</v>
          </cell>
          <cell r="F15">
            <v>0</v>
          </cell>
          <cell r="G15">
            <v>0</v>
          </cell>
          <cell r="K15">
            <v>0</v>
          </cell>
        </row>
        <row r="16">
          <cell r="A16">
            <v>6</v>
          </cell>
        </row>
        <row r="17">
          <cell r="A17">
            <v>7</v>
          </cell>
          <cell r="B17" t="str">
            <v xml:space="preserve">  FT-G  Contract #</v>
          </cell>
          <cell r="C17" t="str">
            <v>2548</v>
          </cell>
          <cell r="E17">
            <v>44997</v>
          </cell>
          <cell r="F17">
            <v>7.62</v>
          </cell>
        </row>
        <row r="18">
          <cell r="A18">
            <v>8</v>
          </cell>
          <cell r="B18" t="str">
            <v xml:space="preserve">   Base Rate</v>
          </cell>
          <cell r="D18" t="str">
            <v>23B</v>
          </cell>
          <cell r="F18">
            <v>7.62</v>
          </cell>
          <cell r="G18">
            <v>342877</v>
          </cell>
          <cell r="I18">
            <v>342877</v>
          </cell>
        </row>
        <row r="19">
          <cell r="A19">
            <v>9</v>
          </cell>
          <cell r="B19" t="str">
            <v xml:space="preserve">   Settlement Surcharge</v>
          </cell>
          <cell r="D19" t="str">
            <v>23B</v>
          </cell>
          <cell r="F19">
            <v>0</v>
          </cell>
          <cell r="G19">
            <v>0</v>
          </cell>
          <cell r="K19">
            <v>0</v>
          </cell>
        </row>
        <row r="20">
          <cell r="A20">
            <v>10</v>
          </cell>
          <cell r="B20" t="str">
            <v xml:space="preserve">   PCB Adjustment</v>
          </cell>
          <cell r="D20" t="str">
            <v>23B</v>
          </cell>
          <cell r="F20">
            <v>0</v>
          </cell>
          <cell r="G20">
            <v>0</v>
          </cell>
          <cell r="K20">
            <v>0</v>
          </cell>
        </row>
        <row r="21">
          <cell r="A21">
            <v>11</v>
          </cell>
        </row>
        <row r="22">
          <cell r="A22">
            <v>12</v>
          </cell>
          <cell r="B22" t="str">
            <v xml:space="preserve">  FT-G  Contract #</v>
          </cell>
          <cell r="C22" t="str">
            <v>2550</v>
          </cell>
          <cell r="E22">
            <v>59741</v>
          </cell>
          <cell r="F22">
            <v>7.62</v>
          </cell>
        </row>
        <row r="23">
          <cell r="A23">
            <v>13</v>
          </cell>
          <cell r="B23" t="str">
            <v xml:space="preserve">   Base Rate</v>
          </cell>
          <cell r="D23" t="str">
            <v>23B</v>
          </cell>
          <cell r="F23">
            <v>7.62</v>
          </cell>
          <cell r="G23">
            <v>455226</v>
          </cell>
          <cell r="I23">
            <v>455226</v>
          </cell>
        </row>
        <row r="24">
          <cell r="A24">
            <v>14</v>
          </cell>
          <cell r="B24" t="str">
            <v xml:space="preserve">   Settlement Surcharge</v>
          </cell>
          <cell r="D24" t="str">
            <v>23B</v>
          </cell>
          <cell r="F24">
            <v>0</v>
          </cell>
          <cell r="G24">
            <v>0</v>
          </cell>
          <cell r="K24">
            <v>0</v>
          </cell>
        </row>
        <row r="25">
          <cell r="A25">
            <v>15</v>
          </cell>
          <cell r="B25" t="str">
            <v xml:space="preserve">   PCB Adjustment</v>
          </cell>
          <cell r="D25" t="str">
            <v>23B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16</v>
          </cell>
        </row>
        <row r="27">
          <cell r="A27">
            <v>17</v>
          </cell>
          <cell r="B27" t="str">
            <v xml:space="preserve">  FT-G  Contract #</v>
          </cell>
          <cell r="C27" t="str">
            <v>2551</v>
          </cell>
          <cell r="E27">
            <v>45058</v>
          </cell>
          <cell r="F27">
            <v>7.62</v>
          </cell>
        </row>
        <row r="28">
          <cell r="A28">
            <v>18</v>
          </cell>
          <cell r="B28" t="str">
            <v xml:space="preserve">   Base Rate</v>
          </cell>
          <cell r="D28" t="str">
            <v>23B</v>
          </cell>
          <cell r="F28">
            <v>7.62</v>
          </cell>
          <cell r="G28">
            <v>343342</v>
          </cell>
          <cell r="I28">
            <v>343342</v>
          </cell>
        </row>
        <row r="29">
          <cell r="A29">
            <v>19</v>
          </cell>
          <cell r="B29" t="str">
            <v xml:space="preserve">   Settlement Surcharge</v>
          </cell>
          <cell r="D29" t="str">
            <v>23B</v>
          </cell>
          <cell r="F29">
            <v>0</v>
          </cell>
          <cell r="G29">
            <v>0</v>
          </cell>
          <cell r="K29">
            <v>0</v>
          </cell>
        </row>
        <row r="30">
          <cell r="A30">
            <v>20</v>
          </cell>
          <cell r="B30" t="str">
            <v xml:space="preserve">   PCB Adjustment</v>
          </cell>
          <cell r="D30" t="str">
            <v>23B</v>
          </cell>
          <cell r="F30">
            <v>0</v>
          </cell>
          <cell r="G30">
            <v>0</v>
          </cell>
          <cell r="K30">
            <v>0</v>
          </cell>
        </row>
        <row r="31">
          <cell r="A31">
            <v>21</v>
          </cell>
        </row>
        <row r="32">
          <cell r="A32">
            <v>22</v>
          </cell>
          <cell r="B32" t="str">
            <v>Total Zone 1 to 2</v>
          </cell>
          <cell r="E32">
            <v>263952</v>
          </cell>
          <cell r="G32">
            <v>2011314</v>
          </cell>
          <cell r="I32">
            <v>2011314</v>
          </cell>
          <cell r="K32">
            <v>0</v>
          </cell>
        </row>
        <row r="33">
          <cell r="A33">
            <v>23</v>
          </cell>
        </row>
        <row r="34">
          <cell r="A34">
            <v>24</v>
          </cell>
          <cell r="B34" t="str">
            <v>Total Zone 0 to 2</v>
          </cell>
          <cell r="E34">
            <v>27393</v>
          </cell>
          <cell r="G34">
            <v>248181</v>
          </cell>
          <cell r="I34">
            <v>248181</v>
          </cell>
          <cell r="K34">
            <v>0</v>
          </cell>
        </row>
        <row r="35">
          <cell r="A35">
            <v>25</v>
          </cell>
        </row>
        <row r="36">
          <cell r="A36">
            <v>26</v>
          </cell>
          <cell r="B36" t="str">
            <v>Total Zone 1 to 2 and Zone 0 to 2</v>
          </cell>
          <cell r="E36">
            <v>291345</v>
          </cell>
          <cell r="G36">
            <v>2259495</v>
          </cell>
          <cell r="I36">
            <v>2259495</v>
          </cell>
          <cell r="K36">
            <v>0</v>
          </cell>
        </row>
        <row r="37">
          <cell r="A37">
            <v>27</v>
          </cell>
        </row>
        <row r="38">
          <cell r="A38">
            <v>28</v>
          </cell>
          <cell r="B38" t="str">
            <v>Gas Storage</v>
          </cell>
        </row>
        <row r="39">
          <cell r="A39">
            <v>29</v>
          </cell>
          <cell r="B39" t="str">
            <v xml:space="preserve">  Production Area:</v>
          </cell>
        </row>
        <row r="40">
          <cell r="A40">
            <v>30</v>
          </cell>
          <cell r="B40" t="str">
            <v xml:space="preserve">    Demand</v>
          </cell>
          <cell r="C40" t="str">
            <v>(need table, Poole will</v>
          </cell>
          <cell r="D40">
            <v>27</v>
          </cell>
          <cell r="E40">
            <v>34968</v>
          </cell>
          <cell r="F40">
            <v>2.02</v>
          </cell>
          <cell r="G40">
            <v>70635</v>
          </cell>
          <cell r="I40">
            <v>70635</v>
          </cell>
        </row>
        <row r="41">
          <cell r="A41">
            <v>31</v>
          </cell>
          <cell r="B41" t="str">
            <v xml:space="preserve">    Space Charge</v>
          </cell>
          <cell r="C41" t="str">
            <v>provide numbers)</v>
          </cell>
          <cell r="D41">
            <v>27</v>
          </cell>
          <cell r="E41">
            <v>4916148</v>
          </cell>
          <cell r="F41">
            <v>2.4799999999999999E-2</v>
          </cell>
          <cell r="G41">
            <v>121920</v>
          </cell>
          <cell r="I41">
            <v>121920</v>
          </cell>
        </row>
        <row r="42">
          <cell r="A42">
            <v>32</v>
          </cell>
          <cell r="B42" t="str">
            <v xml:space="preserve">  Market Area:</v>
          </cell>
        </row>
        <row r="43">
          <cell r="A43">
            <v>33</v>
          </cell>
          <cell r="B43" t="str">
            <v xml:space="preserve">    Demand</v>
          </cell>
          <cell r="D43">
            <v>27</v>
          </cell>
          <cell r="E43">
            <v>237408</v>
          </cell>
          <cell r="F43">
            <v>1.1499999999999999</v>
          </cell>
          <cell r="G43">
            <v>273019</v>
          </cell>
          <cell r="I43">
            <v>273019</v>
          </cell>
        </row>
        <row r="44">
          <cell r="A44">
            <v>34</v>
          </cell>
          <cell r="B44" t="str">
            <v xml:space="preserve">    Space Charge</v>
          </cell>
          <cell r="D44">
            <v>27</v>
          </cell>
          <cell r="E44">
            <v>10846308</v>
          </cell>
          <cell r="F44">
            <v>1.8499999999999999E-2</v>
          </cell>
          <cell r="G44">
            <v>200657</v>
          </cell>
          <cell r="I44">
            <v>200657</v>
          </cell>
        </row>
        <row r="45">
          <cell r="A45">
            <v>35</v>
          </cell>
          <cell r="B45" t="str">
            <v xml:space="preserve">  Total Storage</v>
          </cell>
          <cell r="G45">
            <v>666231</v>
          </cell>
          <cell r="I45">
            <v>666231</v>
          </cell>
        </row>
        <row r="46">
          <cell r="A46">
            <v>36</v>
          </cell>
        </row>
        <row r="47">
          <cell r="A47">
            <v>37</v>
          </cell>
          <cell r="B47" t="str">
            <v>Vendor Reservation Fees (Fixed)</v>
          </cell>
          <cell r="G47">
            <v>0</v>
          </cell>
          <cell r="I47">
            <v>0</v>
          </cell>
        </row>
        <row r="48">
          <cell r="A48">
            <v>38</v>
          </cell>
        </row>
        <row r="49">
          <cell r="A49">
            <v>39</v>
          </cell>
          <cell r="B49" t="str">
            <v>TOP &amp; Direct Billed Transition costs</v>
          </cell>
          <cell r="G49">
            <v>0</v>
          </cell>
          <cell r="I49">
            <v>0</v>
          </cell>
          <cell r="K49">
            <v>0</v>
          </cell>
        </row>
        <row r="50">
          <cell r="A50">
            <v>40</v>
          </cell>
        </row>
        <row r="51">
          <cell r="A51">
            <v>41</v>
          </cell>
          <cell r="B51" t="str">
            <v>Total Tennessee Gas Area FT-G Non-Commodity</v>
          </cell>
          <cell r="G51">
            <v>2925726</v>
          </cell>
          <cell r="I51">
            <v>2925726</v>
          </cell>
          <cell r="K51">
            <v>0</v>
          </cell>
        </row>
        <row r="52">
          <cell r="A52">
            <v>42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45</v>
          </cell>
        </row>
        <row r="56">
          <cell r="A56">
            <v>46</v>
          </cell>
        </row>
      </sheetData>
      <sheetData sheetId="92">
        <row r="1">
          <cell r="A1" t="str">
            <v>Atmos Energy Corporation</v>
          </cell>
          <cell r="I1" t="str">
            <v>Exhibit B</v>
          </cell>
        </row>
        <row r="2">
          <cell r="A2" t="str">
            <v>Expected Gas Cost - Commodity</v>
          </cell>
          <cell r="I2" t="str">
            <v>Page 5 of 11</v>
          </cell>
        </row>
        <row r="3">
          <cell r="A3" t="str">
            <v>Purchases in Texas Gas Service Area</v>
          </cell>
        </row>
        <row r="5">
          <cell r="F5" t="str">
            <v>(1)</v>
          </cell>
          <cell r="G5" t="str">
            <v>(2)</v>
          </cell>
          <cell r="H5" t="str">
            <v>(3)</v>
          </cell>
          <cell r="I5" t="str">
            <v>(4)</v>
          </cell>
        </row>
        <row r="7">
          <cell r="A7" t="str">
            <v>Line</v>
          </cell>
          <cell r="D7" t="str">
            <v>Tariff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F8" t="str">
            <v>Purchases</v>
          </cell>
          <cell r="H8" t="str">
            <v>Rate</v>
          </cell>
          <cell r="I8" t="str">
            <v>Total</v>
          </cell>
        </row>
        <row r="9">
          <cell r="F9" t="str">
            <v>Mcf</v>
          </cell>
          <cell r="G9" t="str">
            <v>MMbtu</v>
          </cell>
          <cell r="H9" t="str">
            <v>$/MMbtu</v>
          </cell>
          <cell r="I9" t="str">
            <v>$</v>
          </cell>
        </row>
        <row r="11">
          <cell r="A11" t="str">
            <v>1</v>
          </cell>
          <cell r="B11" t="str">
            <v xml:space="preserve"> No Notice Service</v>
          </cell>
          <cell r="G11">
            <v>0</v>
          </cell>
        </row>
        <row r="12">
          <cell r="A12" t="str">
            <v>2</v>
          </cell>
          <cell r="B12" t="str">
            <v xml:space="preserve">  Indexed Gas Cost (Texas Gas Payback)</v>
          </cell>
          <cell r="H12">
            <v>7.7009999999999996</v>
          </cell>
          <cell r="I12">
            <v>0</v>
          </cell>
        </row>
        <row r="13">
          <cell r="A13" t="str">
            <v>3</v>
          </cell>
          <cell r="B13" t="str">
            <v xml:space="preserve">  Commodity</v>
          </cell>
          <cell r="D13">
            <v>20</v>
          </cell>
          <cell r="H13">
            <v>5.0599999999999999E-2</v>
          </cell>
          <cell r="I13">
            <v>0</v>
          </cell>
        </row>
        <row r="14">
          <cell r="A14" t="str">
            <v>4</v>
          </cell>
          <cell r="B14" t="str">
            <v xml:space="preserve">  Fuel and Loss Retention @</v>
          </cell>
          <cell r="D14">
            <v>36</v>
          </cell>
          <cell r="E14">
            <v>3.1699999999999999E-2</v>
          </cell>
          <cell r="H14">
            <v>0.25209999999999999</v>
          </cell>
          <cell r="I14">
            <v>0</v>
          </cell>
        </row>
        <row r="15">
          <cell r="A15" t="str">
            <v>5</v>
          </cell>
          <cell r="H15">
            <v>8.0037000000000003</v>
          </cell>
          <cell r="I15">
            <v>0</v>
          </cell>
        </row>
        <row r="16">
          <cell r="A16" t="str">
            <v>6</v>
          </cell>
        </row>
        <row r="17">
          <cell r="A17" t="str">
            <v>7</v>
          </cell>
          <cell r="B17" t="str">
            <v xml:space="preserve"> Firm Transportation</v>
          </cell>
          <cell r="G17">
            <v>91000</v>
          </cell>
        </row>
        <row r="18">
          <cell r="A18" t="str">
            <v>8</v>
          </cell>
          <cell r="B18" t="str">
            <v xml:space="preserve">  Indexed Gas Cost</v>
          </cell>
          <cell r="H18">
            <v>6.5910000000000002</v>
          </cell>
          <cell r="I18">
            <v>599781</v>
          </cell>
        </row>
        <row r="19">
          <cell r="A19" t="str">
            <v>9</v>
          </cell>
          <cell r="B19" t="str">
            <v xml:space="preserve">  Base (Weighted on MDQs)</v>
          </cell>
          <cell r="D19">
            <v>25</v>
          </cell>
          <cell r="H19">
            <v>4.3900000000000002E-2</v>
          </cell>
          <cell r="I19">
            <v>3995</v>
          </cell>
        </row>
        <row r="20">
          <cell r="A20" t="str">
            <v>10</v>
          </cell>
          <cell r="B20" t="str">
            <v xml:space="preserve">   TCA Adjustment</v>
          </cell>
          <cell r="D20">
            <v>25</v>
          </cell>
          <cell r="H20">
            <v>0</v>
          </cell>
          <cell r="I20">
            <v>0</v>
          </cell>
        </row>
        <row r="21">
          <cell r="A21" t="str">
            <v>11</v>
          </cell>
          <cell r="B21" t="str">
            <v xml:space="preserve">   Unrecovered TCA Surcharge</v>
          </cell>
          <cell r="D21">
            <v>25</v>
          </cell>
          <cell r="H21">
            <v>0</v>
          </cell>
          <cell r="I21">
            <v>0</v>
          </cell>
        </row>
        <row r="22">
          <cell r="A22" t="str">
            <v>12</v>
          </cell>
          <cell r="B22" t="str">
            <v xml:space="preserve">   Cash-out Adjustment</v>
          </cell>
          <cell r="D22">
            <v>25</v>
          </cell>
          <cell r="H22">
            <v>0</v>
          </cell>
          <cell r="I22">
            <v>0</v>
          </cell>
        </row>
        <row r="23">
          <cell r="A23" t="str">
            <v>13</v>
          </cell>
          <cell r="B23" t="str">
            <v xml:space="preserve">  GRI</v>
          </cell>
          <cell r="D23">
            <v>25</v>
          </cell>
          <cell r="H23">
            <v>0</v>
          </cell>
          <cell r="I23">
            <v>0</v>
          </cell>
        </row>
        <row r="24">
          <cell r="A24" t="str">
            <v>14</v>
          </cell>
          <cell r="B24" t="str">
            <v xml:space="preserve">  ACA</v>
          </cell>
          <cell r="D24">
            <v>25</v>
          </cell>
          <cell r="H24">
            <v>1.6000000000000001E-3</v>
          </cell>
          <cell r="I24">
            <v>146</v>
          </cell>
        </row>
        <row r="25">
          <cell r="A25" t="str">
            <v>15</v>
          </cell>
          <cell r="B25" t="str">
            <v xml:space="preserve">  Fuel and Loss Retention @</v>
          </cell>
          <cell r="D25">
            <v>36</v>
          </cell>
          <cell r="E25">
            <v>1.7299999999999999E-2</v>
          </cell>
          <cell r="H25">
            <v>0.11600000000000001</v>
          </cell>
          <cell r="I25">
            <v>10556</v>
          </cell>
        </row>
        <row r="26">
          <cell r="A26" t="str">
            <v>16</v>
          </cell>
          <cell r="H26">
            <v>6.7524999999999995</v>
          </cell>
          <cell r="I26">
            <v>614478</v>
          </cell>
        </row>
        <row r="27">
          <cell r="A27" t="str">
            <v>17</v>
          </cell>
          <cell r="B27" t="str">
            <v>No Notice Storage</v>
          </cell>
        </row>
        <row r="28">
          <cell r="A28" t="str">
            <v>18</v>
          </cell>
          <cell r="B28" t="str">
            <v>Net (Injections)/Withdrawals</v>
          </cell>
          <cell r="G28">
            <v>340681</v>
          </cell>
        </row>
        <row r="29">
          <cell r="A29" t="str">
            <v>19</v>
          </cell>
          <cell r="B29" t="str">
            <v xml:space="preserve">  Indexed Gas Cost</v>
          </cell>
          <cell r="H29">
            <v>6.5910000000000002</v>
          </cell>
          <cell r="I29">
            <v>2245428</v>
          </cell>
        </row>
        <row r="30">
          <cell r="A30" t="str">
            <v>20</v>
          </cell>
          <cell r="B30" t="str">
            <v xml:space="preserve">  Commodity (Zone 3)</v>
          </cell>
          <cell r="D30">
            <v>20</v>
          </cell>
          <cell r="H30">
            <v>5.0599999999999999E-2</v>
          </cell>
          <cell r="I30">
            <v>17238</v>
          </cell>
        </row>
        <row r="31">
          <cell r="A31" t="str">
            <v>21</v>
          </cell>
          <cell r="B31" t="str">
            <v xml:space="preserve">  Fuel and Loss Retention @</v>
          </cell>
          <cell r="D31">
            <v>36</v>
          </cell>
          <cell r="E31">
            <v>3.1699999999999999E-2</v>
          </cell>
          <cell r="H31">
            <v>0.21579999999999999</v>
          </cell>
          <cell r="I31">
            <v>73519</v>
          </cell>
        </row>
        <row r="32">
          <cell r="A32" t="str">
            <v>22</v>
          </cell>
          <cell r="H32">
            <v>6.8574000000000002</v>
          </cell>
          <cell r="I32">
            <v>2336185</v>
          </cell>
        </row>
        <row r="33">
          <cell r="A33" t="str">
            <v>23</v>
          </cell>
        </row>
        <row r="34">
          <cell r="A34" t="str">
            <v>24</v>
          </cell>
        </row>
        <row r="35">
          <cell r="A35" t="str">
            <v>25</v>
          </cell>
          <cell r="B35" t="str">
            <v xml:space="preserve"> Total Purchases in Texas Area</v>
          </cell>
          <cell r="G35">
            <v>431681</v>
          </cell>
          <cell r="H35">
            <v>6.8353000000000002</v>
          </cell>
          <cell r="I35">
            <v>2950663</v>
          </cell>
        </row>
        <row r="36">
          <cell r="A36" t="str">
            <v>26</v>
          </cell>
        </row>
      </sheetData>
      <sheetData sheetId="93">
        <row r="1">
          <cell r="A1" t="str">
            <v>Atmos Energy Corporation</v>
          </cell>
          <cell r="J1" t="str">
            <v>Exhibit B</v>
          </cell>
        </row>
        <row r="2">
          <cell r="A2" t="str">
            <v>Expected Gas Cost - Commodity</v>
          </cell>
          <cell r="J2" t="str">
            <v>Page 6  of  11</v>
          </cell>
        </row>
        <row r="3">
          <cell r="A3" t="str">
            <v>Purchases in Tennessee Gas Service Area</v>
          </cell>
        </row>
        <row r="5">
          <cell r="G5" t="str">
            <v>(1)</v>
          </cell>
          <cell r="H5" t="str">
            <v>(2)</v>
          </cell>
          <cell r="I5" t="str">
            <v>(3)</v>
          </cell>
          <cell r="J5" t="str">
            <v>(4)</v>
          </cell>
        </row>
        <row r="7">
          <cell r="A7" t="str">
            <v>Line</v>
          </cell>
          <cell r="E7" t="str">
            <v>Tariff</v>
          </cell>
        </row>
        <row r="8">
          <cell r="A8" t="str">
            <v>No.</v>
          </cell>
          <cell r="B8" t="str">
            <v>Description</v>
          </cell>
          <cell r="E8" t="str">
            <v>Sheet No.</v>
          </cell>
          <cell r="G8" t="str">
            <v>Purchases</v>
          </cell>
          <cell r="I8" t="str">
            <v>Rate</v>
          </cell>
          <cell r="J8" t="str">
            <v>Total</v>
          </cell>
        </row>
        <row r="9">
          <cell r="G9" t="str">
            <v>Mcf</v>
          </cell>
          <cell r="H9" t="str">
            <v>MMbtu</v>
          </cell>
          <cell r="I9" t="str">
            <v>$/MMbtu</v>
          </cell>
          <cell r="J9" t="str">
            <v>$</v>
          </cell>
        </row>
        <row r="11">
          <cell r="A11">
            <v>1</v>
          </cell>
          <cell r="B11" t="str">
            <v xml:space="preserve"> FT-A and FT-G </v>
          </cell>
          <cell r="H11">
            <v>659675</v>
          </cell>
        </row>
        <row r="12">
          <cell r="A12">
            <v>2</v>
          </cell>
          <cell r="B12" t="str">
            <v xml:space="preserve">  Indexed Gas Cost</v>
          </cell>
          <cell r="I12">
            <v>6.5910000000000002</v>
          </cell>
          <cell r="J12">
            <v>4347918</v>
          </cell>
        </row>
        <row r="13">
          <cell r="A13">
            <v>3</v>
          </cell>
          <cell r="B13" t="str">
            <v xml:space="preserve">  Base Commodity (Weighted on MDQs)</v>
          </cell>
          <cell r="I13">
            <v>7.8600000000000003E-2</v>
          </cell>
          <cell r="J13">
            <v>51850</v>
          </cell>
        </row>
        <row r="14">
          <cell r="A14">
            <v>4</v>
          </cell>
          <cell r="B14" t="str">
            <v xml:space="preserve">  GRI</v>
          </cell>
          <cell r="E14" t="str">
            <v>23C</v>
          </cell>
          <cell r="I14">
            <v>0</v>
          </cell>
          <cell r="J14">
            <v>0</v>
          </cell>
        </row>
        <row r="15">
          <cell r="A15">
            <v>5</v>
          </cell>
          <cell r="B15" t="str">
            <v xml:space="preserve">  ACA</v>
          </cell>
          <cell r="E15" t="str">
            <v>23C</v>
          </cell>
          <cell r="I15">
            <v>1.6000000000000001E-3</v>
          </cell>
          <cell r="J15">
            <v>1055</v>
          </cell>
        </row>
        <row r="16">
          <cell r="A16">
            <v>6</v>
          </cell>
          <cell r="B16" t="str">
            <v xml:space="preserve">  Transition Cost</v>
          </cell>
          <cell r="E16" t="str">
            <v>23C</v>
          </cell>
          <cell r="I16">
            <v>0</v>
          </cell>
          <cell r="J16">
            <v>0</v>
          </cell>
        </row>
        <row r="17">
          <cell r="A17">
            <v>7</v>
          </cell>
          <cell r="B17" t="str">
            <v xml:space="preserve">  Fuel and Loss Retention</v>
          </cell>
          <cell r="E17">
            <v>29</v>
          </cell>
          <cell r="F17">
            <v>4.2799999999999998E-2</v>
          </cell>
          <cell r="I17">
            <v>0.29470000000000002</v>
          </cell>
          <cell r="J17">
            <v>194406</v>
          </cell>
        </row>
        <row r="18">
          <cell r="A18">
            <v>8</v>
          </cell>
          <cell r="I18">
            <v>6.9658999999999995</v>
          </cell>
          <cell r="J18">
            <v>4595229</v>
          </cell>
        </row>
        <row r="19">
          <cell r="A19">
            <v>9</v>
          </cell>
        </row>
        <row r="20">
          <cell r="A20">
            <v>10</v>
          </cell>
        </row>
        <row r="21">
          <cell r="A21">
            <v>11</v>
          </cell>
          <cell r="B21" t="str">
            <v xml:space="preserve"> FT-GS </v>
          </cell>
          <cell r="H21">
            <v>120440</v>
          </cell>
        </row>
        <row r="22">
          <cell r="A22">
            <v>12</v>
          </cell>
          <cell r="B22" t="str">
            <v xml:space="preserve">  Indexed Gas Cost</v>
          </cell>
          <cell r="I22">
            <v>6.5910000000000002</v>
          </cell>
          <cell r="J22">
            <v>793820</v>
          </cell>
        </row>
        <row r="23">
          <cell r="A23">
            <v>13</v>
          </cell>
          <cell r="B23" t="str">
            <v xml:space="preserve">  Base Rate</v>
          </cell>
          <cell r="E23">
            <v>20</v>
          </cell>
          <cell r="I23">
            <v>0.58440000000000003</v>
          </cell>
          <cell r="J23">
            <v>70385</v>
          </cell>
        </row>
        <row r="24">
          <cell r="A24">
            <v>14</v>
          </cell>
          <cell r="B24" t="str">
            <v xml:space="preserve">  GRI</v>
          </cell>
          <cell r="E24">
            <v>20</v>
          </cell>
          <cell r="I24">
            <v>0</v>
          </cell>
          <cell r="J24">
            <v>0</v>
          </cell>
        </row>
        <row r="25">
          <cell r="A25">
            <v>15</v>
          </cell>
          <cell r="B25" t="str">
            <v xml:space="preserve">  ACA</v>
          </cell>
          <cell r="E25">
            <v>20</v>
          </cell>
          <cell r="I25">
            <v>1.6000000000000001E-3</v>
          </cell>
          <cell r="J25">
            <v>193</v>
          </cell>
        </row>
        <row r="26">
          <cell r="A26">
            <v>16</v>
          </cell>
          <cell r="B26" t="str">
            <v xml:space="preserve">  PCB Adjustment</v>
          </cell>
          <cell r="E26">
            <v>20</v>
          </cell>
          <cell r="I26">
            <v>0</v>
          </cell>
          <cell r="J26">
            <v>0</v>
          </cell>
        </row>
        <row r="27">
          <cell r="A27">
            <v>17</v>
          </cell>
          <cell r="B27" t="str">
            <v xml:space="preserve">  Settlement Surcharge</v>
          </cell>
          <cell r="E27">
            <v>20</v>
          </cell>
          <cell r="I27">
            <v>0</v>
          </cell>
          <cell r="J27">
            <v>0</v>
          </cell>
        </row>
        <row r="28">
          <cell r="A28">
            <v>18</v>
          </cell>
          <cell r="B28" t="str">
            <v xml:space="preserve">  Fuel and Loss Retention</v>
          </cell>
          <cell r="E28">
            <v>29</v>
          </cell>
          <cell r="F28">
            <v>4.2799999999999998E-2</v>
          </cell>
          <cell r="I28">
            <v>0.29470000000000002</v>
          </cell>
          <cell r="J28">
            <v>35494</v>
          </cell>
        </row>
        <row r="29">
          <cell r="A29">
            <v>19</v>
          </cell>
          <cell r="I29">
            <v>7.4716999999999993</v>
          </cell>
          <cell r="J29">
            <v>899892</v>
          </cell>
        </row>
        <row r="30">
          <cell r="A30">
            <v>20</v>
          </cell>
        </row>
        <row r="31">
          <cell r="A31">
            <v>21</v>
          </cell>
        </row>
        <row r="32">
          <cell r="A32">
            <v>22</v>
          </cell>
          <cell r="B32" t="str">
            <v>Gas Storage</v>
          </cell>
        </row>
        <row r="33">
          <cell r="A33">
            <v>23</v>
          </cell>
          <cell r="B33" t="str">
            <v xml:space="preserve">  FT-A &amp; FT-G Market Area (Injections)/Withdrawals</v>
          </cell>
          <cell r="H33">
            <v>215385</v>
          </cell>
        </row>
        <row r="34">
          <cell r="A34">
            <v>24</v>
          </cell>
          <cell r="B34" t="str">
            <v xml:space="preserve">  Indexed Gas Cost/Storage</v>
          </cell>
          <cell r="I34">
            <v>6.54</v>
          </cell>
          <cell r="J34">
            <v>1408618</v>
          </cell>
        </row>
        <row r="35">
          <cell r="A35">
            <v>25</v>
          </cell>
          <cell r="B35" t="str">
            <v xml:space="preserve">  Injection Rate</v>
          </cell>
          <cell r="E35">
            <v>27</v>
          </cell>
          <cell r="I35">
            <v>1.0200000000000001E-2</v>
          </cell>
          <cell r="J35">
            <v>2197</v>
          </cell>
        </row>
        <row r="36">
          <cell r="A36">
            <v>26</v>
          </cell>
          <cell r="B36" t="str">
            <v xml:space="preserve">  Fuel and Loss Retention</v>
          </cell>
          <cell r="E36">
            <v>27</v>
          </cell>
          <cell r="F36">
            <v>1.49E-2</v>
          </cell>
          <cell r="I36">
            <v>9.8900000000000002E-2</v>
          </cell>
          <cell r="J36">
            <v>21302</v>
          </cell>
        </row>
        <row r="37">
          <cell r="A37">
            <v>27</v>
          </cell>
          <cell r="B37" t="str">
            <v xml:space="preserve">  Total</v>
          </cell>
          <cell r="I37">
            <v>6.6491000000000007</v>
          </cell>
          <cell r="J37">
            <v>1432117</v>
          </cell>
        </row>
        <row r="38">
          <cell r="A38">
            <v>28</v>
          </cell>
        </row>
        <row r="39">
          <cell r="A39">
            <v>29</v>
          </cell>
        </row>
        <row r="40">
          <cell r="A40">
            <v>30</v>
          </cell>
          <cell r="B40" t="str">
            <v xml:space="preserve">  FT-GS Market Area (Injections)/Withdrawals</v>
          </cell>
          <cell r="H40">
            <v>0</v>
          </cell>
        </row>
        <row r="41">
          <cell r="A41">
            <v>31</v>
          </cell>
          <cell r="B41" t="str">
            <v xml:space="preserve">  Indexed Gas Cost/Storage</v>
          </cell>
          <cell r="I41">
            <v>6.5910000000000002</v>
          </cell>
          <cell r="J41">
            <v>0</v>
          </cell>
        </row>
        <row r="42">
          <cell r="A42">
            <v>32</v>
          </cell>
          <cell r="B42" t="str">
            <v xml:space="preserve">  Injection Rate</v>
          </cell>
          <cell r="E42">
            <v>27</v>
          </cell>
          <cell r="I42">
            <v>1.0200000000000001E-2</v>
          </cell>
          <cell r="J42">
            <v>0</v>
          </cell>
        </row>
        <row r="43">
          <cell r="A43">
            <v>33</v>
          </cell>
          <cell r="B43" t="str">
            <v xml:space="preserve">  Fuel and Loss Retention</v>
          </cell>
          <cell r="E43">
            <v>27</v>
          </cell>
          <cell r="F43">
            <v>1.49E-2</v>
          </cell>
          <cell r="I43">
            <v>9.9699999999999997E-2</v>
          </cell>
          <cell r="J43">
            <v>0</v>
          </cell>
        </row>
        <row r="44">
          <cell r="A44">
            <v>34</v>
          </cell>
          <cell r="B44" t="str">
            <v xml:space="preserve">  Total</v>
          </cell>
          <cell r="I44">
            <v>6.7009000000000007</v>
          </cell>
          <cell r="J44">
            <v>0</v>
          </cell>
        </row>
        <row r="45">
          <cell r="A45">
            <v>35</v>
          </cell>
        </row>
        <row r="46">
          <cell r="A46">
            <v>36</v>
          </cell>
        </row>
        <row r="47">
          <cell r="A47">
            <v>37</v>
          </cell>
          <cell r="B47" t="str">
            <v>Total Tennessee Gas Zones</v>
          </cell>
          <cell r="H47">
            <v>995500</v>
          </cell>
          <cell r="I47">
            <v>6.9585999999999997</v>
          </cell>
          <cell r="J47">
            <v>6927238</v>
          </cell>
        </row>
        <row r="48">
          <cell r="A48">
            <v>38</v>
          </cell>
        </row>
      </sheetData>
      <sheetData sheetId="94"/>
      <sheetData sheetId="95">
        <row r="1">
          <cell r="A1" t="str">
            <v>Atmos Energy Corporation</v>
          </cell>
          <cell r="J1" t="str">
            <v>Exhibit B</v>
          </cell>
        </row>
        <row r="2">
          <cell r="A2" t="str">
            <v>Demand Charge Calculation</v>
          </cell>
          <cell r="J2" t="str">
            <v>Page  8  of  11</v>
          </cell>
        </row>
        <row r="5">
          <cell r="A5" t="str">
            <v>Line</v>
          </cell>
        </row>
        <row r="6">
          <cell r="A6" t="str">
            <v>No.</v>
          </cell>
          <cell r="E6" t="str">
            <v>(1)</v>
          </cell>
          <cell r="F6" t="str">
            <v>(2)</v>
          </cell>
          <cell r="G6" t="str">
            <v>(3)</v>
          </cell>
          <cell r="H6" t="str">
            <v>(4)</v>
          </cell>
          <cell r="I6" t="str">
            <v>(5)</v>
          </cell>
          <cell r="J6" t="str">
            <v>(6)</v>
          </cell>
        </row>
        <row r="8">
          <cell r="A8">
            <v>1</v>
          </cell>
          <cell r="C8" t="str">
            <v>Total Demand Cost:</v>
          </cell>
        </row>
        <row r="9">
          <cell r="A9">
            <v>2</v>
          </cell>
          <cell r="C9" t="str">
            <v xml:space="preserve">  Texas Gas</v>
          </cell>
          <cell r="E9">
            <v>16720559</v>
          </cell>
        </row>
        <row r="10">
          <cell r="A10">
            <v>3</v>
          </cell>
          <cell r="C10" t="str">
            <v xml:space="preserve">  Midwestern</v>
          </cell>
          <cell r="E10">
            <v>0</v>
          </cell>
        </row>
        <row r="11">
          <cell r="A11">
            <v>4</v>
          </cell>
          <cell r="C11" t="str">
            <v xml:space="preserve">  Tennessee Gas</v>
          </cell>
          <cell r="E11">
            <v>2925726</v>
          </cell>
        </row>
        <row r="12">
          <cell r="A12">
            <v>5</v>
          </cell>
          <cell r="C12" t="str">
            <v xml:space="preserve">  Trunkline</v>
          </cell>
          <cell r="E12">
            <v>629820</v>
          </cell>
        </row>
        <row r="13">
          <cell r="A13">
            <v>6</v>
          </cell>
          <cell r="C13" t="str">
            <v xml:space="preserve">  Total</v>
          </cell>
          <cell r="E13">
            <v>20276105</v>
          </cell>
        </row>
        <row r="14">
          <cell r="A14">
            <v>7</v>
          </cell>
        </row>
        <row r="15">
          <cell r="A15">
            <v>8</v>
          </cell>
          <cell r="F15" t="str">
            <v>Allocated</v>
          </cell>
          <cell r="G15" t="str">
            <v>Related</v>
          </cell>
          <cell r="H15" t="str">
            <v>Monthly Demand Charge</v>
          </cell>
        </row>
        <row r="16">
          <cell r="A16">
            <v>9</v>
          </cell>
          <cell r="C16" t="str">
            <v>Demand Cost Allocation:</v>
          </cell>
          <cell r="E16" t="str">
            <v>Factors</v>
          </cell>
          <cell r="F16" t="str">
            <v>Demand</v>
          </cell>
          <cell r="G16" t="str">
            <v>Volumes</v>
          </cell>
          <cell r="H16" t="str">
            <v>Firm</v>
          </cell>
          <cell r="I16" t="str">
            <v>Interruptible</v>
          </cell>
          <cell r="J16" t="str">
            <v>HLF</v>
          </cell>
        </row>
        <row r="17">
          <cell r="A17">
            <v>10</v>
          </cell>
          <cell r="C17" t="str">
            <v xml:space="preserve">  All </v>
          </cell>
          <cell r="E17">
            <v>0.185</v>
          </cell>
          <cell r="F17">
            <v>3751079</v>
          </cell>
          <cell r="G17">
            <v>20401274</v>
          </cell>
          <cell r="H17">
            <v>0.18390000000000001</v>
          </cell>
          <cell r="I17">
            <v>0.18390000000000001</v>
          </cell>
          <cell r="J17">
            <v>0.18390000000000001</v>
          </cell>
        </row>
        <row r="18">
          <cell r="A18">
            <v>11</v>
          </cell>
          <cell r="C18" t="str">
            <v xml:space="preserve">  Firm</v>
          </cell>
          <cell r="E18">
            <v>0.81499999999999995</v>
          </cell>
          <cell r="F18">
            <v>16525026</v>
          </cell>
          <cell r="G18">
            <v>18923274</v>
          </cell>
          <cell r="H18">
            <v>0.87329999999999997</v>
          </cell>
          <cell r="I18" t="str">
            <v>NA</v>
          </cell>
          <cell r="J18" t="str">
            <v>NA</v>
          </cell>
        </row>
        <row r="19">
          <cell r="A19">
            <v>12</v>
          </cell>
          <cell r="C19" t="str">
            <v xml:space="preserve">  Total</v>
          </cell>
          <cell r="E19">
            <v>1</v>
          </cell>
          <cell r="F19">
            <v>20276105</v>
          </cell>
          <cell r="H19">
            <v>1.0571999999999999</v>
          </cell>
          <cell r="I19">
            <v>0.18390000000000001</v>
          </cell>
          <cell r="J19">
            <v>0.18390000000000001</v>
          </cell>
        </row>
        <row r="20">
          <cell r="A20">
            <v>13</v>
          </cell>
        </row>
        <row r="21">
          <cell r="A21">
            <v>14</v>
          </cell>
          <cell r="F21" t="str">
            <v>Volumetric Basis for</v>
          </cell>
        </row>
        <row r="22">
          <cell r="A22">
            <v>15</v>
          </cell>
          <cell r="E22" t="str">
            <v>Annualized</v>
          </cell>
          <cell r="F22" t="str">
            <v>Monthly  Demand Charge</v>
          </cell>
        </row>
        <row r="23">
          <cell r="A23">
            <v>16</v>
          </cell>
          <cell r="E23" t="str">
            <v>Mcf @14.65</v>
          </cell>
          <cell r="F23" t="str">
            <v>All</v>
          </cell>
          <cell r="G23" t="str">
            <v>Firm</v>
          </cell>
        </row>
        <row r="24">
          <cell r="A24">
            <v>17</v>
          </cell>
          <cell r="C24" t="str">
            <v>Firm Service</v>
          </cell>
        </row>
        <row r="25">
          <cell r="A25">
            <v>18</v>
          </cell>
          <cell r="C25" t="str">
            <v xml:space="preserve">  Sales:</v>
          </cell>
        </row>
        <row r="26">
          <cell r="A26">
            <v>19</v>
          </cell>
          <cell r="C26" t="str">
            <v xml:space="preserve">  G-1</v>
          </cell>
          <cell r="E26">
            <v>18887274</v>
          </cell>
          <cell r="F26">
            <v>18887274</v>
          </cell>
          <cell r="G26">
            <v>18887274</v>
          </cell>
          <cell r="H26">
            <v>1.0571999999999999</v>
          </cell>
        </row>
        <row r="27">
          <cell r="A27">
            <v>20</v>
          </cell>
          <cell r="C27" t="str">
            <v xml:space="preserve">  HLF</v>
          </cell>
          <cell r="E27">
            <v>60000</v>
          </cell>
          <cell r="F27">
            <v>60000</v>
          </cell>
          <cell r="H27">
            <v>0.18390000000000001</v>
          </cell>
          <cell r="I27" t="str">
            <v>+ HLF MDQ Demand</v>
          </cell>
        </row>
        <row r="28">
          <cell r="A28">
            <v>21</v>
          </cell>
          <cell r="C28" t="str">
            <v xml:space="preserve">  LVS-1</v>
          </cell>
          <cell r="E28">
            <v>0</v>
          </cell>
          <cell r="F28">
            <v>0</v>
          </cell>
          <cell r="G28">
            <v>0</v>
          </cell>
          <cell r="H28">
            <v>1.0571999999999999</v>
          </cell>
        </row>
        <row r="29">
          <cell r="A29">
            <v>22</v>
          </cell>
          <cell r="C29" t="str">
            <v xml:space="preserve">  Total Firm Sales</v>
          </cell>
          <cell r="E29">
            <v>18947274</v>
          </cell>
          <cell r="F29">
            <v>18947274</v>
          </cell>
          <cell r="G29">
            <v>18887274</v>
          </cell>
        </row>
        <row r="30">
          <cell r="A30">
            <v>23</v>
          </cell>
        </row>
        <row r="31">
          <cell r="A31">
            <v>24</v>
          </cell>
          <cell r="C31" t="str">
            <v xml:space="preserve">  Transportation:</v>
          </cell>
        </row>
        <row r="32">
          <cell r="A32">
            <v>25</v>
          </cell>
          <cell r="C32" t="str">
            <v xml:space="preserve">  T-2 \ G-1</v>
          </cell>
          <cell r="E32">
            <v>36000</v>
          </cell>
          <cell r="F32">
            <v>36000</v>
          </cell>
          <cell r="G32">
            <v>36000</v>
          </cell>
          <cell r="H32">
            <v>1.0571999999999999</v>
          </cell>
        </row>
        <row r="33">
          <cell r="A33">
            <v>26</v>
          </cell>
          <cell r="C33" t="str">
            <v xml:space="preserve">  HLF</v>
          </cell>
          <cell r="E33">
            <v>0</v>
          </cell>
          <cell r="F33">
            <v>0</v>
          </cell>
          <cell r="H33">
            <v>0.18390000000000001</v>
          </cell>
        </row>
        <row r="34">
          <cell r="A34">
            <v>27</v>
          </cell>
          <cell r="C34" t="str">
            <v xml:space="preserve">  Total Firm Service</v>
          </cell>
          <cell r="E34">
            <v>18983274</v>
          </cell>
          <cell r="F34">
            <v>18983274</v>
          </cell>
          <cell r="G34">
            <v>18923274</v>
          </cell>
        </row>
        <row r="35">
          <cell r="A35">
            <v>28</v>
          </cell>
        </row>
        <row r="36">
          <cell r="A36">
            <v>29</v>
          </cell>
          <cell r="C36" t="str">
            <v>Interruptible Service</v>
          </cell>
        </row>
        <row r="37">
          <cell r="A37">
            <v>30</v>
          </cell>
          <cell r="C37" t="str">
            <v xml:space="preserve">  Sales:</v>
          </cell>
        </row>
        <row r="38">
          <cell r="A38">
            <v>31</v>
          </cell>
          <cell r="C38" t="str">
            <v xml:space="preserve">  G-2</v>
          </cell>
          <cell r="E38">
            <v>684000</v>
          </cell>
          <cell r="F38">
            <v>684000</v>
          </cell>
          <cell r="H38">
            <v>1.0571999999999999</v>
          </cell>
          <cell r="I38">
            <v>0.18390000000000001</v>
          </cell>
        </row>
        <row r="39">
          <cell r="A39">
            <v>32</v>
          </cell>
          <cell r="C39" t="str">
            <v xml:space="preserve">  LVS-2</v>
          </cell>
          <cell r="E39">
            <v>154000</v>
          </cell>
          <cell r="F39">
            <v>154000</v>
          </cell>
          <cell r="H39">
            <v>1.0571999999999999</v>
          </cell>
          <cell r="I39">
            <v>0.18390000000000001</v>
          </cell>
        </row>
        <row r="40">
          <cell r="A40">
            <v>33</v>
          </cell>
          <cell r="C40" t="str">
            <v xml:space="preserve">  Total Sales</v>
          </cell>
          <cell r="E40">
            <v>838000</v>
          </cell>
          <cell r="F40">
            <v>838000</v>
          </cell>
        </row>
        <row r="41">
          <cell r="A41">
            <v>34</v>
          </cell>
        </row>
        <row r="42">
          <cell r="A42">
            <v>35</v>
          </cell>
          <cell r="C42" t="str">
            <v xml:space="preserve">  Transportation:</v>
          </cell>
        </row>
        <row r="43">
          <cell r="A43">
            <v>36</v>
          </cell>
          <cell r="C43" t="str">
            <v xml:space="preserve">  T-2 \ G-2</v>
          </cell>
          <cell r="E43">
            <v>580000</v>
          </cell>
          <cell r="F43">
            <v>580000</v>
          </cell>
          <cell r="H43">
            <v>1.0571999999999999</v>
          </cell>
          <cell r="I43">
            <v>0.18390000000000001</v>
          </cell>
        </row>
        <row r="44">
          <cell r="A44">
            <v>37</v>
          </cell>
        </row>
        <row r="45">
          <cell r="A45">
            <v>38</v>
          </cell>
          <cell r="C45" t="str">
            <v xml:space="preserve">  Total Interruptible Service</v>
          </cell>
          <cell r="E45">
            <v>1418000</v>
          </cell>
          <cell r="F45">
            <v>1418000</v>
          </cell>
        </row>
        <row r="46">
          <cell r="A46">
            <v>39</v>
          </cell>
        </row>
        <row r="47">
          <cell r="A47">
            <v>40</v>
          </cell>
          <cell r="C47" t="str">
            <v>Carriage Service</v>
          </cell>
        </row>
        <row r="48">
          <cell r="A48">
            <v>41</v>
          </cell>
          <cell r="C48" t="str">
            <v xml:space="preserve">  T-3 &amp; T-4</v>
          </cell>
          <cell r="E48">
            <v>23438000</v>
          </cell>
        </row>
        <row r="49">
          <cell r="A49">
            <v>42</v>
          </cell>
        </row>
        <row r="50">
          <cell r="A50">
            <v>43</v>
          </cell>
          <cell r="C50" t="str">
            <v>Total</v>
          </cell>
          <cell r="E50">
            <v>43839274</v>
          </cell>
          <cell r="F50">
            <v>20401274</v>
          </cell>
          <cell r="G50">
            <v>18923274</v>
          </cell>
        </row>
        <row r="51">
          <cell r="A51">
            <v>44</v>
          </cell>
        </row>
        <row r="52">
          <cell r="A52">
            <v>45</v>
          </cell>
          <cell r="C52" t="str">
            <v>HLF MDQ Demand</v>
          </cell>
        </row>
        <row r="53">
          <cell r="A53">
            <v>46</v>
          </cell>
          <cell r="C53" t="str">
            <v xml:space="preserve">  Firm Demand Cost</v>
          </cell>
          <cell r="F53">
            <v>16525026</v>
          </cell>
        </row>
        <row r="54">
          <cell r="A54">
            <v>47</v>
          </cell>
          <cell r="C54" t="str">
            <v xml:space="preserve">  Peak Day Thru-put</v>
          </cell>
          <cell r="F54">
            <v>302152</v>
          </cell>
          <cell r="G54" t="str">
            <v>Mcf/Peak Day</v>
          </cell>
        </row>
        <row r="55">
          <cell r="A55">
            <v>48</v>
          </cell>
          <cell r="C55" t="str">
            <v xml:space="preserve">  Times:</v>
          </cell>
          <cell r="F55">
            <v>12</v>
          </cell>
          <cell r="G55" t="str">
            <v>Months/Year</v>
          </cell>
        </row>
        <row r="56">
          <cell r="A56">
            <v>49</v>
          </cell>
          <cell r="C56" t="str">
            <v xml:space="preserve">  Total Annualized Peak Day Demand</v>
          </cell>
          <cell r="F56">
            <v>3625824</v>
          </cell>
        </row>
        <row r="57">
          <cell r="A57">
            <v>50</v>
          </cell>
          <cell r="C57" t="str">
            <v xml:space="preserve">  Demand Charge per MDQ</v>
          </cell>
          <cell r="F57">
            <v>4.5575999999999999</v>
          </cell>
          <cell r="G57" t="str">
            <v>/ MDQ of Customer's Contract</v>
          </cell>
        </row>
      </sheetData>
      <sheetData sheetId="96">
        <row r="1">
          <cell r="A1" t="str">
            <v>Atmos Energy Corporation</v>
          </cell>
          <cell r="J1" t="str">
            <v>Exhibit B</v>
          </cell>
        </row>
        <row r="2">
          <cell r="A2" t="str">
            <v>Take-or-Pay and Transition Charge Calculation</v>
          </cell>
          <cell r="J2" t="str">
            <v>Page  9 of   11</v>
          </cell>
        </row>
        <row r="5">
          <cell r="A5" t="str">
            <v>Line</v>
          </cell>
        </row>
        <row r="6">
          <cell r="A6" t="str">
            <v>No.</v>
          </cell>
          <cell r="E6" t="str">
            <v>(1)</v>
          </cell>
          <cell r="F6" t="str">
            <v>(2)</v>
          </cell>
          <cell r="G6" t="str">
            <v>(3)</v>
          </cell>
          <cell r="H6" t="str">
            <v>(4)</v>
          </cell>
          <cell r="I6" t="str">
            <v>(5)</v>
          </cell>
          <cell r="J6" t="str">
            <v>(6)</v>
          </cell>
        </row>
        <row r="9">
          <cell r="A9">
            <v>1</v>
          </cell>
          <cell r="C9" t="str">
            <v>Other Fixed Charges</v>
          </cell>
          <cell r="E9" t="str">
            <v>Take-or-Pay</v>
          </cell>
          <cell r="F9" t="str">
            <v>Transition</v>
          </cell>
        </row>
        <row r="10">
          <cell r="A10">
            <v>2</v>
          </cell>
          <cell r="C10" t="str">
            <v xml:space="preserve">    Texas Gas</v>
          </cell>
          <cell r="F10">
            <v>0</v>
          </cell>
        </row>
        <row r="11">
          <cell r="A11">
            <v>3</v>
          </cell>
          <cell r="C11" t="str">
            <v xml:space="preserve">    Tennessee Gas</v>
          </cell>
          <cell r="F11">
            <v>0</v>
          </cell>
        </row>
        <row r="12">
          <cell r="A12">
            <v>4</v>
          </cell>
          <cell r="C12" t="str">
            <v xml:space="preserve">    Total</v>
          </cell>
          <cell r="E12">
            <v>0</v>
          </cell>
          <cell r="F12">
            <v>0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  <cell r="F15" t="str">
            <v>Related</v>
          </cell>
          <cell r="G15" t="str">
            <v>Charge</v>
          </cell>
        </row>
        <row r="16">
          <cell r="A16">
            <v>8</v>
          </cell>
          <cell r="C16" t="str">
            <v>Other Fixed Charges</v>
          </cell>
          <cell r="E16" t="str">
            <v>Amount</v>
          </cell>
          <cell r="F16" t="str">
            <v>Volumes</v>
          </cell>
          <cell r="G16" t="str">
            <v xml:space="preserve">  $/Mcf</v>
          </cell>
        </row>
        <row r="17">
          <cell r="A17">
            <v>9</v>
          </cell>
          <cell r="C17" t="str">
            <v xml:space="preserve">  Take-or-Pay</v>
          </cell>
          <cell r="E17">
            <v>0</v>
          </cell>
          <cell r="F17">
            <v>43839274</v>
          </cell>
          <cell r="G17">
            <v>0</v>
          </cell>
        </row>
        <row r="18">
          <cell r="A18">
            <v>10</v>
          </cell>
          <cell r="C18" t="str">
            <v xml:space="preserve">  Transition</v>
          </cell>
          <cell r="E18">
            <v>0</v>
          </cell>
          <cell r="F18">
            <v>20401274</v>
          </cell>
          <cell r="G18">
            <v>0</v>
          </cell>
        </row>
        <row r="19">
          <cell r="A19">
            <v>11</v>
          </cell>
          <cell r="C19" t="str">
            <v xml:space="preserve">  Total</v>
          </cell>
          <cell r="E19">
            <v>0</v>
          </cell>
          <cell r="G19">
            <v>0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  <cell r="F22" t="str">
            <v>Volumetric Basis for</v>
          </cell>
        </row>
        <row r="23">
          <cell r="A23">
            <v>15</v>
          </cell>
          <cell r="E23" t="str">
            <v>Annual</v>
          </cell>
          <cell r="F23" t="str">
            <v>Other Fixed Charges</v>
          </cell>
          <cell r="I23" t="str">
            <v>Other Fixed Charges</v>
          </cell>
        </row>
        <row r="24">
          <cell r="A24">
            <v>16</v>
          </cell>
          <cell r="E24" t="str">
            <v>Expected Mcf</v>
          </cell>
          <cell r="F24" t="str">
            <v>Take-or-Pay</v>
          </cell>
          <cell r="G24" t="str">
            <v>Transition</v>
          </cell>
          <cell r="I24" t="str">
            <v>Take-or-Pay</v>
          </cell>
          <cell r="J24" t="str">
            <v xml:space="preserve">  Transition</v>
          </cell>
        </row>
        <row r="25">
          <cell r="A25">
            <v>17</v>
          </cell>
          <cell r="C25" t="str">
            <v>Firm Service</v>
          </cell>
        </row>
        <row r="26">
          <cell r="A26">
            <v>18</v>
          </cell>
          <cell r="C26" t="str">
            <v xml:space="preserve">  Sales:</v>
          </cell>
        </row>
        <row r="27">
          <cell r="A27">
            <v>19</v>
          </cell>
          <cell r="C27" t="str">
            <v xml:space="preserve">  G-1</v>
          </cell>
          <cell r="E27">
            <v>18887274</v>
          </cell>
          <cell r="F27">
            <v>18887274</v>
          </cell>
          <cell r="G27">
            <v>18887274</v>
          </cell>
          <cell r="J27">
            <v>0</v>
          </cell>
        </row>
        <row r="28">
          <cell r="A28">
            <v>20</v>
          </cell>
          <cell r="C28" t="str">
            <v xml:space="preserve">  HLF</v>
          </cell>
          <cell r="E28">
            <v>60000</v>
          </cell>
          <cell r="F28">
            <v>60000</v>
          </cell>
          <cell r="G28">
            <v>60000</v>
          </cell>
          <cell r="J28">
            <v>0</v>
          </cell>
        </row>
        <row r="29">
          <cell r="A29">
            <v>21</v>
          </cell>
          <cell r="C29" t="str">
            <v xml:space="preserve">  LVS-1</v>
          </cell>
          <cell r="E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22</v>
          </cell>
          <cell r="C30" t="str">
            <v xml:space="preserve">  Total Firm Sales</v>
          </cell>
          <cell r="E30">
            <v>18947274</v>
          </cell>
          <cell r="F30">
            <v>18947274</v>
          </cell>
          <cell r="G30">
            <v>18947274</v>
          </cell>
        </row>
        <row r="31">
          <cell r="A31">
            <v>23</v>
          </cell>
        </row>
        <row r="32">
          <cell r="A32">
            <v>24</v>
          </cell>
          <cell r="C32" t="str">
            <v xml:space="preserve">  Transportation:</v>
          </cell>
        </row>
        <row r="33">
          <cell r="A33">
            <v>25</v>
          </cell>
          <cell r="C33" t="str">
            <v xml:space="preserve">  T-2 \ G-1</v>
          </cell>
          <cell r="E33">
            <v>36000</v>
          </cell>
          <cell r="F33">
            <v>36000</v>
          </cell>
          <cell r="G33">
            <v>36000</v>
          </cell>
          <cell r="J33">
            <v>0</v>
          </cell>
        </row>
        <row r="34">
          <cell r="A34">
            <v>26</v>
          </cell>
          <cell r="C34" t="str">
            <v xml:space="preserve">  T-2 \ G-1 \ HLF</v>
          </cell>
          <cell r="E34">
            <v>0</v>
          </cell>
          <cell r="J34">
            <v>0</v>
          </cell>
        </row>
        <row r="35">
          <cell r="A35">
            <v>27</v>
          </cell>
          <cell r="C35" t="str">
            <v xml:space="preserve">  Total Firm Service</v>
          </cell>
          <cell r="E35">
            <v>18983274</v>
          </cell>
          <cell r="F35">
            <v>18983274</v>
          </cell>
          <cell r="G35">
            <v>18983274</v>
          </cell>
        </row>
        <row r="36">
          <cell r="A36">
            <v>28</v>
          </cell>
        </row>
        <row r="37">
          <cell r="A37">
            <v>29</v>
          </cell>
          <cell r="C37" t="str">
            <v>Interruptible Service</v>
          </cell>
        </row>
        <row r="38">
          <cell r="A38">
            <v>30</v>
          </cell>
          <cell r="C38" t="str">
            <v xml:space="preserve">  Sales:</v>
          </cell>
        </row>
        <row r="39">
          <cell r="A39">
            <v>31</v>
          </cell>
          <cell r="C39" t="str">
            <v xml:space="preserve">  G-2</v>
          </cell>
          <cell r="E39">
            <v>684000</v>
          </cell>
          <cell r="F39">
            <v>684000</v>
          </cell>
          <cell r="G39">
            <v>684000</v>
          </cell>
          <cell r="J39">
            <v>0</v>
          </cell>
        </row>
        <row r="40">
          <cell r="A40">
            <v>32</v>
          </cell>
          <cell r="C40" t="str">
            <v xml:space="preserve">  LVS-2</v>
          </cell>
          <cell r="E40">
            <v>154000</v>
          </cell>
          <cell r="F40">
            <v>154000</v>
          </cell>
          <cell r="G40">
            <v>154000</v>
          </cell>
          <cell r="J40">
            <v>0</v>
          </cell>
        </row>
        <row r="41">
          <cell r="A41">
            <v>33</v>
          </cell>
          <cell r="C41" t="str">
            <v xml:space="preserve">  Total Sales</v>
          </cell>
          <cell r="E41">
            <v>838000</v>
          </cell>
          <cell r="F41">
            <v>838000</v>
          </cell>
          <cell r="G41">
            <v>838000</v>
          </cell>
        </row>
        <row r="42">
          <cell r="A42">
            <v>34</v>
          </cell>
        </row>
        <row r="43">
          <cell r="A43">
            <v>35</v>
          </cell>
          <cell r="C43" t="str">
            <v xml:space="preserve">  Transportation:</v>
          </cell>
        </row>
        <row r="44">
          <cell r="A44">
            <v>36</v>
          </cell>
          <cell r="C44" t="str">
            <v xml:space="preserve">  T-2 \ G-2</v>
          </cell>
          <cell r="E44">
            <v>580000</v>
          </cell>
          <cell r="F44">
            <v>580000</v>
          </cell>
          <cell r="G44">
            <v>580000</v>
          </cell>
          <cell r="J44">
            <v>0</v>
          </cell>
        </row>
        <row r="45">
          <cell r="A45">
            <v>37</v>
          </cell>
        </row>
        <row r="46">
          <cell r="A46">
            <v>38</v>
          </cell>
          <cell r="C46" t="str">
            <v xml:space="preserve">  Total Interruptible Service</v>
          </cell>
          <cell r="E46">
            <v>1418000</v>
          </cell>
          <cell r="F46">
            <v>1418000</v>
          </cell>
          <cell r="G46">
            <v>1418000</v>
          </cell>
        </row>
        <row r="47">
          <cell r="A47">
            <v>39</v>
          </cell>
        </row>
        <row r="48">
          <cell r="A48">
            <v>40</v>
          </cell>
          <cell r="C48" t="str">
            <v>Carriage Service</v>
          </cell>
        </row>
        <row r="49">
          <cell r="A49">
            <v>41</v>
          </cell>
          <cell r="C49" t="str">
            <v xml:space="preserve">  T-3 &amp; T-4</v>
          </cell>
          <cell r="E49">
            <v>23438000</v>
          </cell>
          <cell r="F49">
            <v>23438000</v>
          </cell>
          <cell r="G49" t="str">
            <v>NA</v>
          </cell>
        </row>
        <row r="50">
          <cell r="A50">
            <v>42</v>
          </cell>
        </row>
        <row r="51">
          <cell r="A51">
            <v>43</v>
          </cell>
          <cell r="C51" t="str">
            <v>Total</v>
          </cell>
          <cell r="E51">
            <v>43839274</v>
          </cell>
          <cell r="F51">
            <v>43839274</v>
          </cell>
          <cell r="G51">
            <v>20401274</v>
          </cell>
        </row>
      </sheetData>
      <sheetData sheetId="97">
        <row r="1">
          <cell r="A1" t="str">
            <v>Atmos Energy Corporation</v>
          </cell>
          <cell r="H1" t="str">
            <v>Exhibit B</v>
          </cell>
        </row>
        <row r="2">
          <cell r="A2" t="str">
            <v>Expected Gas Cost - Commodity</v>
          </cell>
          <cell r="H2" t="str">
            <v>Page  10  of  11</v>
          </cell>
        </row>
        <row r="3">
          <cell r="A3" t="str">
            <v>Total System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H5" t="str">
            <v>(4)</v>
          </cell>
        </row>
        <row r="7">
          <cell r="A7" t="str">
            <v>Line</v>
          </cell>
        </row>
        <row r="8">
          <cell r="A8" t="str">
            <v>No.</v>
          </cell>
          <cell r="B8" t="str">
            <v>Description</v>
          </cell>
          <cell r="E8" t="str">
            <v>Purchases</v>
          </cell>
          <cell r="G8" t="str">
            <v>Rate</v>
          </cell>
          <cell r="H8" t="str">
            <v>Total</v>
          </cell>
        </row>
        <row r="9">
          <cell r="E9" t="str">
            <v>Mcf</v>
          </cell>
          <cell r="F9" t="str">
            <v>MMbtu</v>
          </cell>
          <cell r="G9" t="str">
            <v>$/MMbtu</v>
          </cell>
          <cell r="H9" t="str">
            <v>$</v>
          </cell>
        </row>
        <row r="11">
          <cell r="A11">
            <v>1</v>
          </cell>
          <cell r="B11" t="str">
            <v>Texas Gas Area</v>
          </cell>
        </row>
        <row r="12">
          <cell r="A12">
            <v>2</v>
          </cell>
          <cell r="B12" t="str">
            <v>No Notice Service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>
            <v>3</v>
          </cell>
          <cell r="B13" t="str">
            <v>Firm Transportation</v>
          </cell>
          <cell r="E13">
            <v>88780</v>
          </cell>
          <cell r="F13">
            <v>91000</v>
          </cell>
          <cell r="G13">
            <v>6.7525000000000004</v>
          </cell>
          <cell r="H13">
            <v>614478</v>
          </cell>
        </row>
        <row r="14">
          <cell r="A14">
            <v>4</v>
          </cell>
          <cell r="B14" t="str">
            <v>No Notice Storage</v>
          </cell>
          <cell r="E14">
            <v>332372</v>
          </cell>
          <cell r="F14">
            <v>340681</v>
          </cell>
          <cell r="G14">
            <v>6.8574000000000002</v>
          </cell>
          <cell r="H14">
            <v>2336185</v>
          </cell>
        </row>
        <row r="15">
          <cell r="A15">
            <v>5</v>
          </cell>
          <cell r="B15" t="str">
            <v>Total Texas Gas Area</v>
          </cell>
          <cell r="E15">
            <v>421152</v>
          </cell>
          <cell r="F15">
            <v>431681</v>
          </cell>
          <cell r="G15">
            <v>6.8353000000000002</v>
          </cell>
          <cell r="H15">
            <v>2950663</v>
          </cell>
        </row>
        <row r="16">
          <cell r="A16">
            <v>6</v>
          </cell>
        </row>
        <row r="17">
          <cell r="A17">
            <v>7</v>
          </cell>
          <cell r="B17" t="str">
            <v>Tennessee Gas Area</v>
          </cell>
        </row>
        <row r="18">
          <cell r="A18">
            <v>8</v>
          </cell>
          <cell r="B18" t="str">
            <v xml:space="preserve"> FT-A and FT-G </v>
          </cell>
          <cell r="E18">
            <v>634303</v>
          </cell>
          <cell r="F18">
            <v>659675</v>
          </cell>
          <cell r="G18">
            <v>6.9659000000000004</v>
          </cell>
          <cell r="H18">
            <v>4595229</v>
          </cell>
        </row>
        <row r="19">
          <cell r="A19">
            <v>9</v>
          </cell>
          <cell r="B19" t="str">
            <v xml:space="preserve"> FT-GS </v>
          </cell>
          <cell r="E19">
            <v>115808</v>
          </cell>
          <cell r="F19">
            <v>120440</v>
          </cell>
          <cell r="G19">
            <v>7.4717000000000002</v>
          </cell>
          <cell r="H19">
            <v>899892</v>
          </cell>
        </row>
        <row r="20">
          <cell r="A20">
            <v>10</v>
          </cell>
          <cell r="B20" t="str">
            <v xml:space="preserve"> Gas Storage</v>
          </cell>
        </row>
        <row r="21">
          <cell r="A21">
            <v>11</v>
          </cell>
          <cell r="B21" t="str">
            <v xml:space="preserve">  FT-A and FT-G Injections</v>
          </cell>
          <cell r="E21">
            <v>207101</v>
          </cell>
          <cell r="F21">
            <v>215385</v>
          </cell>
          <cell r="G21">
            <v>6.6490999999999998</v>
          </cell>
          <cell r="H21">
            <v>1432117</v>
          </cell>
        </row>
        <row r="22">
          <cell r="A22">
            <v>12</v>
          </cell>
          <cell r="B22" t="str">
            <v xml:space="preserve">  FT-GS Withdrawals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13</v>
          </cell>
          <cell r="E23">
            <v>957212</v>
          </cell>
          <cell r="F23">
            <v>995500</v>
          </cell>
          <cell r="G23">
            <v>6.9585999999999997</v>
          </cell>
          <cell r="H23">
            <v>6927238</v>
          </cell>
        </row>
        <row r="24">
          <cell r="A24">
            <v>14</v>
          </cell>
          <cell r="B24" t="str">
            <v>Trunkline Gas Area</v>
          </cell>
        </row>
        <row r="25">
          <cell r="A25">
            <v>15</v>
          </cell>
          <cell r="B25" t="str">
            <v>Firm Transportation</v>
          </cell>
          <cell r="E25">
            <v>212077.29468599035</v>
          </cell>
          <cell r="F25">
            <v>219500</v>
          </cell>
          <cell r="G25">
            <v>6.6224999999999996</v>
          </cell>
          <cell r="H25">
            <v>1453639</v>
          </cell>
        </row>
        <row r="26">
          <cell r="A26">
            <v>16</v>
          </cell>
        </row>
        <row r="27">
          <cell r="A27">
            <v>17</v>
          </cell>
        </row>
        <row r="28">
          <cell r="A28">
            <v>18</v>
          </cell>
          <cell r="B28" t="str">
            <v>WKG System Storage</v>
          </cell>
        </row>
        <row r="29">
          <cell r="A29">
            <v>19</v>
          </cell>
          <cell r="B29" t="str">
            <v>Injections</v>
          </cell>
          <cell r="E29">
            <v>-759591</v>
          </cell>
          <cell r="F29">
            <v>-778581</v>
          </cell>
          <cell r="G29">
            <v>6.4372857142857152</v>
          </cell>
          <cell r="H29">
            <v>-5011948</v>
          </cell>
        </row>
        <row r="30">
          <cell r="A30">
            <v>20</v>
          </cell>
          <cell r="B30" t="str">
            <v>Withdrawals</v>
          </cell>
          <cell r="E30">
            <v>3680000</v>
          </cell>
          <cell r="F30">
            <v>3772000</v>
          </cell>
          <cell r="G30">
            <v>7.1669999999999998</v>
          </cell>
          <cell r="H30">
            <v>27033924</v>
          </cell>
        </row>
        <row r="31">
          <cell r="A31">
            <v>21</v>
          </cell>
          <cell r="B31" t="str">
            <v>Net WKG Storage</v>
          </cell>
          <cell r="E31">
            <v>2920408.7804878051</v>
          </cell>
          <cell r="F31">
            <v>2993419</v>
          </cell>
          <cell r="G31">
            <v>7.3567999999999998</v>
          </cell>
          <cell r="H31">
            <v>22021976</v>
          </cell>
        </row>
        <row r="32">
          <cell r="A32">
            <v>22</v>
          </cell>
        </row>
        <row r="33">
          <cell r="A33">
            <v>23</v>
          </cell>
        </row>
        <row r="34">
          <cell r="A34">
            <v>24</v>
          </cell>
          <cell r="B34" t="str">
            <v>Local Production</v>
          </cell>
          <cell r="E34">
            <v>59512</v>
          </cell>
          <cell r="F34">
            <v>61000</v>
          </cell>
          <cell r="G34">
            <v>6.7525000000000004</v>
          </cell>
          <cell r="H34">
            <v>411903</v>
          </cell>
        </row>
        <row r="35">
          <cell r="A35">
            <v>25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  <cell r="B38" t="str">
            <v xml:space="preserve"> Total Commodity Purchases</v>
          </cell>
          <cell r="E38">
            <v>4570362.0751737952</v>
          </cell>
          <cell r="F38">
            <v>4701100</v>
          </cell>
          <cell r="G38">
            <v>7.1825000000000001</v>
          </cell>
          <cell r="H38">
            <v>33765419</v>
          </cell>
        </row>
        <row r="39">
          <cell r="A39">
            <v>29</v>
          </cell>
        </row>
        <row r="40">
          <cell r="A40">
            <v>30</v>
          </cell>
          <cell r="B40" t="str">
            <v>Lost &amp; Unaccounted for  @</v>
          </cell>
          <cell r="D40">
            <v>1.38E-2</v>
          </cell>
          <cell r="E40">
            <v>63071</v>
          </cell>
          <cell r="F40">
            <v>64875</v>
          </cell>
        </row>
        <row r="41">
          <cell r="A41">
            <v>31</v>
          </cell>
        </row>
        <row r="42">
          <cell r="A42">
            <v>32</v>
          </cell>
          <cell r="B42" t="str">
            <v>Total Deliveries</v>
          </cell>
          <cell r="E42">
            <v>4507291.0751737952</v>
          </cell>
          <cell r="F42">
            <v>4636225</v>
          </cell>
          <cell r="G42">
            <v>7.2830000000000004</v>
          </cell>
          <cell r="H42">
            <v>33765419</v>
          </cell>
        </row>
        <row r="43">
          <cell r="A43">
            <v>33</v>
          </cell>
        </row>
        <row r="44">
          <cell r="A44">
            <v>34</v>
          </cell>
          <cell r="B44" t="str">
            <v>LVS Commodity Credit to System</v>
          </cell>
        </row>
        <row r="45">
          <cell r="A45">
            <v>35</v>
          </cell>
          <cell r="B45" t="str">
            <v>LVS Sales</v>
          </cell>
          <cell r="C45" t="str">
            <v>Need table of monthly =&gt;</v>
          </cell>
          <cell r="E45">
            <v>-20000</v>
          </cell>
          <cell r="F45">
            <v>-20572</v>
          </cell>
          <cell r="G45">
            <v>9.4163999999999994</v>
          </cell>
          <cell r="H45">
            <v>-193714</v>
          </cell>
        </row>
        <row r="46">
          <cell r="A46">
            <v>36</v>
          </cell>
        </row>
        <row r="47">
          <cell r="A47">
            <v>37</v>
          </cell>
        </row>
        <row r="48">
          <cell r="A48">
            <v>38</v>
          </cell>
          <cell r="B48" t="str">
            <v>Total Expected Commodity Cost</v>
          </cell>
          <cell r="E48">
            <v>4487291.0751737952</v>
          </cell>
          <cell r="F48">
            <v>4615653</v>
          </cell>
          <cell r="G48">
            <v>7.2733999999999996</v>
          </cell>
          <cell r="H48">
            <v>33571705</v>
          </cell>
        </row>
        <row r="50">
          <cell r="G50">
            <v>7.4814999999999996</v>
          </cell>
        </row>
      </sheetData>
      <sheetData sheetId="98"/>
      <sheetData sheetId="99"/>
      <sheetData sheetId="100">
        <row r="1">
          <cell r="A1" t="str">
            <v>Atmos Energy Corporation</v>
          </cell>
          <cell r="K1" t="str">
            <v>Exhibit C</v>
          </cell>
        </row>
        <row r="2">
          <cell r="A2" t="str">
            <v>Current "Cash-out" Prices</v>
          </cell>
          <cell r="K2" t="str">
            <v>Page 21 of 21</v>
          </cell>
        </row>
        <row r="3">
          <cell r="A3" t="str">
            <v>For the Month of November, 2006</v>
          </cell>
        </row>
        <row r="7">
          <cell r="G7" t="str">
            <v>Indexed 1</v>
          </cell>
          <cell r="K7" t="str">
            <v>WKG</v>
          </cell>
        </row>
        <row r="8">
          <cell r="G8" t="str">
            <v>Cash-out</v>
          </cell>
          <cell r="I8" t="str">
            <v>Transport</v>
          </cell>
          <cell r="K8" t="str">
            <v>Cash-out</v>
          </cell>
        </row>
        <row r="9">
          <cell r="A9" t="str">
            <v>For WKG customers served  in:</v>
          </cell>
          <cell r="G9" t="str">
            <v>Price</v>
          </cell>
          <cell r="I9" t="str">
            <v>Charge 2, 3</v>
          </cell>
          <cell r="K9" t="str">
            <v>Price</v>
          </cell>
        </row>
        <row r="11">
          <cell r="A11" t="str">
            <v>A.</v>
          </cell>
          <cell r="C11" t="str">
            <v>Texas Gas:</v>
          </cell>
        </row>
        <row r="12">
          <cell r="C12" t="str">
            <v>Zone 2 Area</v>
          </cell>
          <cell r="E12" t="str">
            <v>100% of Index Price</v>
          </cell>
          <cell r="G12">
            <v>7.3879999999999999</v>
          </cell>
          <cell r="H12" t="str">
            <v>+</v>
          </cell>
          <cell r="I12">
            <v>4.7800000000000002E-2</v>
          </cell>
          <cell r="J12" t="str">
            <v>=</v>
          </cell>
          <cell r="K12">
            <v>7.4357999999999995</v>
          </cell>
        </row>
        <row r="13">
          <cell r="E13" t="str">
            <v xml:space="preserve"> 90% of Index Price</v>
          </cell>
          <cell r="G13">
            <v>6.6492000000000004</v>
          </cell>
          <cell r="H13" t="str">
            <v>+</v>
          </cell>
          <cell r="I13">
            <v>4.7800000000000002E-2</v>
          </cell>
          <cell r="J13" t="str">
            <v>=</v>
          </cell>
          <cell r="K13">
            <v>6.6970000000000001</v>
          </cell>
        </row>
        <row r="14">
          <cell r="E14" t="str">
            <v xml:space="preserve"> 80% of Index Price</v>
          </cell>
          <cell r="G14">
            <v>5.9104000000000001</v>
          </cell>
          <cell r="H14" t="str">
            <v>+</v>
          </cell>
          <cell r="I14">
            <v>4.7800000000000002E-2</v>
          </cell>
          <cell r="J14" t="str">
            <v>=</v>
          </cell>
          <cell r="K14">
            <v>5.9581999999999997</v>
          </cell>
        </row>
        <row r="16">
          <cell r="C16" t="str">
            <v>Zone 3 Area</v>
          </cell>
          <cell r="E16" t="str">
            <v>100% of Index Price</v>
          </cell>
          <cell r="G16">
            <v>7.3879999999999999</v>
          </cell>
          <cell r="H16" t="str">
            <v>+</v>
          </cell>
          <cell r="I16">
            <v>5.0800000000000005E-2</v>
          </cell>
          <cell r="J16" t="str">
            <v>=</v>
          </cell>
          <cell r="K16">
            <v>7.4387999999999996</v>
          </cell>
        </row>
        <row r="17">
          <cell r="E17" t="str">
            <v xml:space="preserve"> 90% of Index Price</v>
          </cell>
          <cell r="G17">
            <v>6.6492000000000004</v>
          </cell>
          <cell r="H17" t="str">
            <v>+</v>
          </cell>
          <cell r="I17">
            <v>5.0800000000000005E-2</v>
          </cell>
          <cell r="J17" t="str">
            <v>=</v>
          </cell>
          <cell r="K17">
            <v>6.7</v>
          </cell>
        </row>
        <row r="18">
          <cell r="E18" t="str">
            <v xml:space="preserve"> 80% of Index Price</v>
          </cell>
          <cell r="G18">
            <v>5.9104000000000001</v>
          </cell>
          <cell r="H18" t="str">
            <v>+</v>
          </cell>
          <cell r="I18">
            <v>5.0800000000000005E-2</v>
          </cell>
          <cell r="J18" t="str">
            <v>=</v>
          </cell>
          <cell r="K18">
            <v>5.9611999999999998</v>
          </cell>
        </row>
        <row r="20">
          <cell r="C20" t="str">
            <v>Zone 4 Area</v>
          </cell>
          <cell r="E20" t="str">
            <v>100% of Index Price</v>
          </cell>
          <cell r="G20">
            <v>7.3879999999999999</v>
          </cell>
          <cell r="H20" t="str">
            <v>+</v>
          </cell>
          <cell r="I20">
            <v>6.3200000000000006E-2</v>
          </cell>
          <cell r="J20" t="str">
            <v>=</v>
          </cell>
          <cell r="K20">
            <v>7.4512</v>
          </cell>
        </row>
        <row r="21">
          <cell r="E21" t="str">
            <v xml:space="preserve"> 90% of Index Price</v>
          </cell>
          <cell r="G21">
            <v>6.6492000000000004</v>
          </cell>
          <cell r="H21" t="str">
            <v>+</v>
          </cell>
          <cell r="I21">
            <v>6.3200000000000006E-2</v>
          </cell>
          <cell r="J21" t="str">
            <v>=</v>
          </cell>
          <cell r="K21">
            <v>6.7124000000000006</v>
          </cell>
        </row>
        <row r="22">
          <cell r="E22" t="str">
            <v xml:space="preserve"> 80% of Index Price</v>
          </cell>
          <cell r="G22">
            <v>5.9104000000000001</v>
          </cell>
          <cell r="H22" t="str">
            <v>+</v>
          </cell>
          <cell r="I22">
            <v>6.3200000000000006E-2</v>
          </cell>
          <cell r="J22" t="str">
            <v>=</v>
          </cell>
          <cell r="K22">
            <v>5.9736000000000002</v>
          </cell>
        </row>
        <row r="24">
          <cell r="A24" t="str">
            <v>B.</v>
          </cell>
          <cell r="C24" t="str">
            <v>Tennessee Gas:</v>
          </cell>
        </row>
        <row r="25">
          <cell r="C25" t="str">
            <v>Zone 2 Area</v>
          </cell>
          <cell r="E25" t="str">
            <v>100% of Index Price</v>
          </cell>
          <cell r="G25">
            <v>7.1712999999999996</v>
          </cell>
          <cell r="H25" t="str">
            <v>+</v>
          </cell>
          <cell r="I25">
            <v>1.7899999999999999E-2</v>
          </cell>
          <cell r="J25" t="str">
            <v>=</v>
          </cell>
          <cell r="K25">
            <v>7.1891999999999996</v>
          </cell>
        </row>
        <row r="26">
          <cell r="E26" t="str">
            <v xml:space="preserve"> 90% of Index Price</v>
          </cell>
          <cell r="G26">
            <v>6.4542000000000002</v>
          </cell>
          <cell r="H26" t="str">
            <v>+</v>
          </cell>
          <cell r="I26">
            <v>1.7899999999999999E-2</v>
          </cell>
          <cell r="J26" t="str">
            <v>=</v>
          </cell>
          <cell r="K26">
            <v>6.4721000000000002</v>
          </cell>
        </row>
        <row r="27">
          <cell r="E27" t="str">
            <v xml:space="preserve"> 80% of Index Price</v>
          </cell>
          <cell r="G27">
            <v>5.7370000000000001</v>
          </cell>
          <cell r="H27" t="str">
            <v>+</v>
          </cell>
          <cell r="I27">
            <v>1.7899999999999999E-2</v>
          </cell>
          <cell r="J27" t="str">
            <v>=</v>
          </cell>
          <cell r="K27">
            <v>5.7549000000000001</v>
          </cell>
        </row>
        <row r="31">
          <cell r="A31" t="str">
            <v>1</v>
          </cell>
          <cell r="B31" t="str">
            <v>Indexed cash-out price is from the pipeline's Electronic Bulletin Board.</v>
          </cell>
        </row>
        <row r="33">
          <cell r="A33" t="str">
            <v>2</v>
          </cell>
          <cell r="B33" t="str">
            <v>Transport charge used for Texas Gas is its tariff sheet no. 20 commodity rate.</v>
          </cell>
        </row>
        <row r="35">
          <cell r="A35" t="str">
            <v>3</v>
          </cell>
          <cell r="B35" t="str">
            <v xml:space="preserve">Transport charge used for Tennessee Gas is its tariff sheet no. 23A maximum </v>
          </cell>
        </row>
        <row r="36">
          <cell r="B36" t="str">
            <v>commodity rate from zone 0 to zone 2.</v>
          </cell>
        </row>
      </sheetData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Report"/>
      <sheetName val="Pipeline Cashout"/>
      <sheetName val="Texas"/>
      <sheetName val="Tenn"/>
      <sheetName val="2005-01 Texas 20"/>
      <sheetName val="2005-01 Tenn 23A"/>
      <sheetName val="Module1"/>
    </sheetNames>
    <sheetDataSet>
      <sheetData sheetId="0"/>
      <sheetData sheetId="1">
        <row r="5">
          <cell r="E5">
            <v>38353</v>
          </cell>
        </row>
      </sheetData>
      <sheetData sheetId="2"/>
      <sheetData sheetId="3">
        <row r="9">
          <cell r="A9">
            <v>34335</v>
          </cell>
          <cell r="B9">
            <v>2.1280000000000001</v>
          </cell>
          <cell r="C9">
            <v>2.1604000000000001</v>
          </cell>
        </row>
        <row r="10">
          <cell r="A10">
            <v>34366</v>
          </cell>
          <cell r="B10">
            <v>2.7789999999999999</v>
          </cell>
          <cell r="C10">
            <v>2.5708000000000002</v>
          </cell>
        </row>
        <row r="11">
          <cell r="A11">
            <v>34394</v>
          </cell>
          <cell r="B11">
            <v>2.331</v>
          </cell>
          <cell r="C11">
            <v>2.1343999999999999</v>
          </cell>
        </row>
        <row r="12">
          <cell r="A12">
            <v>34425</v>
          </cell>
          <cell r="B12">
            <v>1.9930000000000001</v>
          </cell>
          <cell r="C12">
            <v>1.9320999999999999</v>
          </cell>
        </row>
        <row r="13">
          <cell r="A13">
            <v>34455</v>
          </cell>
          <cell r="B13">
            <v>2.0059999999999998</v>
          </cell>
          <cell r="C13">
            <v>1.9036999999999999</v>
          </cell>
        </row>
        <row r="14">
          <cell r="A14">
            <v>34486</v>
          </cell>
          <cell r="B14">
            <v>1.8340000000000001</v>
          </cell>
          <cell r="C14">
            <v>1.8425</v>
          </cell>
        </row>
        <row r="15">
          <cell r="A15">
            <v>34516</v>
          </cell>
          <cell r="B15">
            <v>1.976</v>
          </cell>
          <cell r="C15">
            <v>1.9380999999999999</v>
          </cell>
        </row>
        <row r="16">
          <cell r="A16">
            <v>34547</v>
          </cell>
          <cell r="B16">
            <v>1.734</v>
          </cell>
          <cell r="C16">
            <v>1.6930000000000001</v>
          </cell>
        </row>
        <row r="17">
          <cell r="A17">
            <v>34578</v>
          </cell>
          <cell r="B17">
            <v>1.522</v>
          </cell>
          <cell r="C17">
            <v>1.4821</v>
          </cell>
        </row>
        <row r="18">
          <cell r="A18">
            <v>34608</v>
          </cell>
          <cell r="B18">
            <v>1.4550000000000001</v>
          </cell>
          <cell r="C18">
            <v>1.4267000000000001</v>
          </cell>
        </row>
        <row r="19">
          <cell r="A19">
            <v>34639</v>
          </cell>
          <cell r="B19">
            <v>1.57</v>
          </cell>
          <cell r="C19">
            <v>1.5388999999999999</v>
          </cell>
        </row>
        <row r="20">
          <cell r="A20">
            <v>34669</v>
          </cell>
          <cell r="B20">
            <v>1.6060000000000001</v>
          </cell>
          <cell r="C20">
            <v>1.6152</v>
          </cell>
        </row>
        <row r="21">
          <cell r="A21">
            <v>34700</v>
          </cell>
          <cell r="B21">
            <v>1.6240000000000001</v>
          </cell>
          <cell r="C21">
            <v>1.4823999999999999</v>
          </cell>
        </row>
        <row r="22">
          <cell r="A22">
            <v>34731</v>
          </cell>
          <cell r="B22">
            <v>1.474</v>
          </cell>
          <cell r="C22">
            <v>1.448</v>
          </cell>
        </row>
        <row r="23">
          <cell r="A23">
            <v>34759</v>
          </cell>
          <cell r="B23">
            <v>1.504</v>
          </cell>
          <cell r="C23">
            <v>1.4545999999999999</v>
          </cell>
        </row>
        <row r="24">
          <cell r="A24">
            <v>34790</v>
          </cell>
          <cell r="B24">
            <v>1.536</v>
          </cell>
          <cell r="C24">
            <v>1.4952000000000001</v>
          </cell>
        </row>
        <row r="25">
          <cell r="A25">
            <v>34820</v>
          </cell>
          <cell r="B25">
            <v>1.629</v>
          </cell>
          <cell r="C25">
            <v>1.5949</v>
          </cell>
        </row>
        <row r="26">
          <cell r="A26">
            <v>34851</v>
          </cell>
          <cell r="B26">
            <v>1.64</v>
          </cell>
          <cell r="C26">
            <v>1.6024</v>
          </cell>
        </row>
        <row r="27">
          <cell r="A27">
            <v>34881</v>
          </cell>
          <cell r="B27">
            <v>1.4770000000000001</v>
          </cell>
          <cell r="C27">
            <v>1.4017999999999999</v>
          </cell>
        </row>
        <row r="28">
          <cell r="A28">
            <v>34912</v>
          </cell>
          <cell r="B28">
            <v>1.4259999999999999</v>
          </cell>
          <cell r="C28">
            <v>1.4372</v>
          </cell>
        </row>
        <row r="29">
          <cell r="A29">
            <v>34943</v>
          </cell>
          <cell r="B29">
            <v>1.605</v>
          </cell>
          <cell r="C29">
            <v>1.5750999999999999</v>
          </cell>
        </row>
        <row r="30">
          <cell r="A30">
            <v>34973</v>
          </cell>
          <cell r="B30">
            <v>1.6890000000000001</v>
          </cell>
          <cell r="C30">
            <v>1.6419999999999999</v>
          </cell>
        </row>
        <row r="31">
          <cell r="A31">
            <v>35004</v>
          </cell>
          <cell r="B31">
            <v>1.8169999999999999</v>
          </cell>
          <cell r="C31">
            <v>1.7897000000000001</v>
          </cell>
        </row>
        <row r="32">
          <cell r="A32">
            <v>35034</v>
          </cell>
          <cell r="B32">
            <v>2.2749999999999999</v>
          </cell>
          <cell r="C32">
            <v>2.2010000000000001</v>
          </cell>
        </row>
        <row r="33">
          <cell r="A33">
            <v>35065</v>
          </cell>
          <cell r="B33">
            <v>3.2410000000000001</v>
          </cell>
          <cell r="C33">
            <v>2.6886999999999999</v>
          </cell>
        </row>
        <row r="34">
          <cell r="A34">
            <v>35096</v>
          </cell>
          <cell r="B34">
            <v>3.82</v>
          </cell>
          <cell r="C34">
            <v>3.5771999999999999</v>
          </cell>
        </row>
        <row r="35">
          <cell r="A35">
            <v>35125</v>
          </cell>
          <cell r="B35">
            <v>2.839</v>
          </cell>
          <cell r="C35">
            <v>2.5855000000000001</v>
          </cell>
        </row>
        <row r="36">
          <cell r="A36">
            <v>35156</v>
          </cell>
          <cell r="B36">
            <v>2.536</v>
          </cell>
          <cell r="C36">
            <v>2.3755000000000002</v>
          </cell>
        </row>
        <row r="37">
          <cell r="A37">
            <v>35186</v>
          </cell>
          <cell r="B37">
            <v>2.198</v>
          </cell>
          <cell r="C37">
            <v>2.15</v>
          </cell>
        </row>
        <row r="38">
          <cell r="A38">
            <v>35217</v>
          </cell>
          <cell r="B38">
            <v>2.339</v>
          </cell>
          <cell r="C38">
            <v>2.3054000000000001</v>
          </cell>
        </row>
        <row r="39">
          <cell r="A39">
            <v>35247</v>
          </cell>
          <cell r="B39">
            <v>2.61</v>
          </cell>
          <cell r="C39">
            <v>2.5177</v>
          </cell>
        </row>
        <row r="40">
          <cell r="A40">
            <v>35278</v>
          </cell>
          <cell r="B40">
            <v>2.2570000000000001</v>
          </cell>
          <cell r="C40">
            <v>2.0493000000000001</v>
          </cell>
        </row>
        <row r="41">
          <cell r="A41">
            <v>35309</v>
          </cell>
          <cell r="B41">
            <v>1.8280000000000001</v>
          </cell>
          <cell r="C41">
            <v>1.7801</v>
          </cell>
        </row>
        <row r="42">
          <cell r="A42">
            <v>35339</v>
          </cell>
          <cell r="B42">
            <v>2.0449999999999999</v>
          </cell>
          <cell r="C42">
            <v>2.2141000000000002</v>
          </cell>
        </row>
        <row r="43">
          <cell r="A43">
            <v>35370</v>
          </cell>
          <cell r="B43">
            <v>2.63</v>
          </cell>
          <cell r="C43">
            <v>2.7025000000000001</v>
          </cell>
        </row>
        <row r="44">
          <cell r="A44">
            <v>35400</v>
          </cell>
          <cell r="B44">
            <v>3.355</v>
          </cell>
          <cell r="C44">
            <v>3.6999</v>
          </cell>
        </row>
        <row r="45">
          <cell r="A45">
            <v>35431</v>
          </cell>
          <cell r="B45">
            <v>3.851</v>
          </cell>
          <cell r="C45">
            <v>3.5116000000000001</v>
          </cell>
        </row>
        <row r="46">
          <cell r="A46">
            <v>35462</v>
          </cell>
          <cell r="B46">
            <v>2.669</v>
          </cell>
          <cell r="C46">
            <v>2.3454999999999999</v>
          </cell>
        </row>
        <row r="47">
          <cell r="A47">
            <v>35490</v>
          </cell>
          <cell r="B47">
            <v>1.8540000000000001</v>
          </cell>
          <cell r="C47">
            <v>1.8333999999999999</v>
          </cell>
        </row>
        <row r="48">
          <cell r="A48">
            <v>35521</v>
          </cell>
          <cell r="B48">
            <v>1.893</v>
          </cell>
          <cell r="C48">
            <v>1.9518</v>
          </cell>
        </row>
        <row r="49">
          <cell r="A49">
            <v>35551</v>
          </cell>
          <cell r="B49">
            <v>2.1459999999999999</v>
          </cell>
          <cell r="C49">
            <v>2.1631999999999998</v>
          </cell>
        </row>
        <row r="50">
          <cell r="A50">
            <v>35582</v>
          </cell>
          <cell r="B50">
            <v>2.1930000000000001</v>
          </cell>
          <cell r="C50">
            <v>2.1663000000000001</v>
          </cell>
        </row>
        <row r="51">
          <cell r="A51">
            <v>35612</v>
          </cell>
          <cell r="B51">
            <v>2.1800000000000002</v>
          </cell>
          <cell r="C51">
            <v>2.1326000000000001</v>
          </cell>
        </row>
        <row r="52">
          <cell r="A52">
            <v>35643</v>
          </cell>
          <cell r="B52">
            <v>2.306</v>
          </cell>
          <cell r="C52">
            <v>2.3487</v>
          </cell>
        </row>
        <row r="53">
          <cell r="A53">
            <v>35674</v>
          </cell>
          <cell r="B53">
            <v>2.629</v>
          </cell>
          <cell r="C53">
            <v>2.7269999999999999</v>
          </cell>
        </row>
        <row r="54">
          <cell r="A54">
            <v>35704</v>
          </cell>
          <cell r="B54">
            <v>2.899</v>
          </cell>
          <cell r="C54">
            <v>2.9215</v>
          </cell>
        </row>
        <row r="55">
          <cell r="A55">
            <v>35735</v>
          </cell>
          <cell r="B55">
            <v>3.1789999999999998</v>
          </cell>
          <cell r="C55">
            <v>3.1263000000000001</v>
          </cell>
        </row>
        <row r="56">
          <cell r="A56">
            <v>35765</v>
          </cell>
          <cell r="B56">
            <v>2.3759999999999999</v>
          </cell>
          <cell r="C56">
            <v>2.3241999999999998</v>
          </cell>
        </row>
        <row r="57">
          <cell r="A57">
            <v>35796</v>
          </cell>
          <cell r="B57">
            <v>2.1139999999999999</v>
          </cell>
          <cell r="C57">
            <v>2.0831</v>
          </cell>
        </row>
        <row r="58">
          <cell r="A58">
            <v>35827</v>
          </cell>
          <cell r="B58">
            <v>2.169</v>
          </cell>
          <cell r="C58">
            <v>2.1312000000000002</v>
          </cell>
        </row>
        <row r="59">
          <cell r="A59">
            <v>35855</v>
          </cell>
          <cell r="B59">
            <v>2.2149999999999999</v>
          </cell>
          <cell r="C59">
            <v>2.1817000000000002</v>
          </cell>
        </row>
        <row r="60">
          <cell r="A60">
            <v>35886</v>
          </cell>
          <cell r="B60">
            <v>2.448</v>
          </cell>
          <cell r="C60">
            <v>2.4077999999999999</v>
          </cell>
        </row>
        <row r="61">
          <cell r="A61">
            <v>35916</v>
          </cell>
          <cell r="B61">
            <v>2.19</v>
          </cell>
          <cell r="C61">
            <v>2.1581999999999999</v>
          </cell>
        </row>
        <row r="62">
          <cell r="A62">
            <v>35947</v>
          </cell>
          <cell r="B62">
            <v>2.1320000000000001</v>
          </cell>
          <cell r="C62">
            <v>2.0954000000000002</v>
          </cell>
        </row>
        <row r="63">
          <cell r="A63">
            <v>35977</v>
          </cell>
          <cell r="B63">
            <v>2.2509999999999999</v>
          </cell>
          <cell r="C63">
            <v>2.2130999999999998</v>
          </cell>
        </row>
        <row r="64">
          <cell r="A64">
            <v>36008</v>
          </cell>
          <cell r="B64">
            <v>1.883</v>
          </cell>
          <cell r="C64">
            <v>1.8603000000000001</v>
          </cell>
        </row>
        <row r="65">
          <cell r="A65">
            <v>36039</v>
          </cell>
          <cell r="B65">
            <v>1.919</v>
          </cell>
          <cell r="C65">
            <v>1.8957999999999999</v>
          </cell>
        </row>
        <row r="66">
          <cell r="A66">
            <v>36069</v>
          </cell>
          <cell r="B66">
            <v>1.9590000000000001</v>
          </cell>
          <cell r="C66">
            <v>1.9327000000000001</v>
          </cell>
        </row>
        <row r="67">
          <cell r="A67">
            <v>36100</v>
          </cell>
          <cell r="B67">
            <v>2.0680000000000001</v>
          </cell>
          <cell r="C67">
            <v>2.0371000000000001</v>
          </cell>
        </row>
        <row r="68">
          <cell r="A68">
            <v>36130</v>
          </cell>
          <cell r="B68">
            <v>1.7330000000000001</v>
          </cell>
          <cell r="C68">
            <v>1.7156</v>
          </cell>
        </row>
        <row r="69">
          <cell r="A69">
            <v>36161</v>
          </cell>
          <cell r="B69">
            <v>1.855</v>
          </cell>
          <cell r="C69">
            <v>1.8351999999999999</v>
          </cell>
        </row>
        <row r="70">
          <cell r="A70">
            <v>36192</v>
          </cell>
          <cell r="B70">
            <v>1.7749999999999999</v>
          </cell>
          <cell r="C70">
            <v>1.7495000000000001</v>
          </cell>
        </row>
        <row r="71">
          <cell r="A71">
            <v>36220</v>
          </cell>
          <cell r="B71">
            <v>1.754</v>
          </cell>
          <cell r="C71">
            <v>1.7282999999999999</v>
          </cell>
        </row>
        <row r="72">
          <cell r="A72">
            <v>36251</v>
          </cell>
          <cell r="B72">
            <v>2.0430000000000001</v>
          </cell>
          <cell r="C72">
            <v>2.0179999999999998</v>
          </cell>
        </row>
        <row r="73">
          <cell r="A73">
            <v>36281</v>
          </cell>
          <cell r="B73">
            <v>2.2589999999999999</v>
          </cell>
          <cell r="C73">
            <v>2.2298</v>
          </cell>
        </row>
        <row r="74">
          <cell r="A74">
            <v>36312</v>
          </cell>
          <cell r="B74">
            <v>2.2789999999999999</v>
          </cell>
          <cell r="C74">
            <v>2.2530999999999999</v>
          </cell>
        </row>
        <row r="75">
          <cell r="A75">
            <v>36342</v>
          </cell>
          <cell r="B75">
            <v>2.2210000000000001</v>
          </cell>
          <cell r="C75">
            <v>2.2006999999999999</v>
          </cell>
        </row>
        <row r="76">
          <cell r="A76">
            <v>36373</v>
          </cell>
          <cell r="B76">
            <v>2.738</v>
          </cell>
          <cell r="C76">
            <v>2.7161</v>
          </cell>
        </row>
        <row r="77">
          <cell r="A77">
            <v>36404</v>
          </cell>
          <cell r="B77">
            <v>2.605</v>
          </cell>
          <cell r="C77">
            <v>2.5716000000000001</v>
          </cell>
        </row>
        <row r="78">
          <cell r="A78">
            <v>36434</v>
          </cell>
          <cell r="B78">
            <v>2.625</v>
          </cell>
          <cell r="C78">
            <v>2.6019000000000001</v>
          </cell>
        </row>
        <row r="79">
          <cell r="A79">
            <v>36465</v>
          </cell>
          <cell r="B79">
            <v>2.4700000000000002</v>
          </cell>
          <cell r="C79">
            <v>2.4413</v>
          </cell>
        </row>
        <row r="80">
          <cell r="A80">
            <v>36495</v>
          </cell>
          <cell r="B80">
            <v>2.3450000000000002</v>
          </cell>
          <cell r="C80">
            <v>2.3149999999999999</v>
          </cell>
        </row>
        <row r="81">
          <cell r="A81">
            <v>36526</v>
          </cell>
          <cell r="B81">
            <v>2.375</v>
          </cell>
          <cell r="C81">
            <v>2.3475000000000001</v>
          </cell>
        </row>
        <row r="82">
          <cell r="A82">
            <v>36557</v>
          </cell>
          <cell r="B82">
            <v>2.6389999999999998</v>
          </cell>
          <cell r="C82">
            <v>2.6040999999999999</v>
          </cell>
        </row>
        <row r="83">
          <cell r="A83">
            <v>36586</v>
          </cell>
          <cell r="B83">
            <v>2.7389999999999999</v>
          </cell>
          <cell r="C83">
            <v>2.7080000000000002</v>
          </cell>
        </row>
        <row r="84">
          <cell r="A84">
            <v>36617</v>
          </cell>
          <cell r="B84">
            <v>2.9849999999999999</v>
          </cell>
          <cell r="C84">
            <v>2.9456000000000002</v>
          </cell>
        </row>
        <row r="85">
          <cell r="A85">
            <v>36647</v>
          </cell>
          <cell r="B85">
            <v>3.411</v>
          </cell>
          <cell r="C85">
            <v>3.3708</v>
          </cell>
        </row>
        <row r="86">
          <cell r="A86">
            <v>36678</v>
          </cell>
          <cell r="B86">
            <v>4.2709999999999999</v>
          </cell>
          <cell r="C86">
            <v>4.2159000000000004</v>
          </cell>
        </row>
        <row r="87">
          <cell r="A87">
            <v>36708</v>
          </cell>
          <cell r="B87">
            <v>4.0659999999999998</v>
          </cell>
          <cell r="C87">
            <v>4.0281000000000002</v>
          </cell>
        </row>
        <row r="88">
          <cell r="A88">
            <v>36739</v>
          </cell>
          <cell r="B88">
            <v>4.3289999999999997</v>
          </cell>
          <cell r="C88">
            <v>4.282</v>
          </cell>
        </row>
        <row r="89">
          <cell r="A89">
            <v>36770</v>
          </cell>
          <cell r="B89">
            <v>4.9189999999999996</v>
          </cell>
          <cell r="C89">
            <v>4.8779000000000003</v>
          </cell>
        </row>
        <row r="90">
          <cell r="A90">
            <v>36800</v>
          </cell>
          <cell r="B90">
            <v>5.101</v>
          </cell>
          <cell r="C90">
            <v>5.0475000000000003</v>
          </cell>
        </row>
        <row r="91">
          <cell r="A91">
            <v>36831</v>
          </cell>
          <cell r="B91">
            <v>5.3540000000000001</v>
          </cell>
          <cell r="C91">
            <v>5.2946</v>
          </cell>
        </row>
        <row r="92">
          <cell r="A92">
            <v>36861</v>
          </cell>
          <cell r="B92">
            <v>8.0909999999999993</v>
          </cell>
          <cell r="C92">
            <v>8.0318000000000005</v>
          </cell>
        </row>
        <row r="93">
          <cell r="A93">
            <v>36892</v>
          </cell>
          <cell r="B93">
            <v>8.8379999999999992</v>
          </cell>
          <cell r="C93">
            <v>8.6751000000000005</v>
          </cell>
        </row>
        <row r="94">
          <cell r="A94">
            <v>36923</v>
          </cell>
          <cell r="B94">
            <v>5.6980000000000004</v>
          </cell>
          <cell r="C94">
            <v>5.5682999999999998</v>
          </cell>
        </row>
        <row r="95">
          <cell r="A95">
            <v>36951</v>
          </cell>
          <cell r="B95">
            <v>5.1150000000000002</v>
          </cell>
          <cell r="C95">
            <v>5.0426000000000002</v>
          </cell>
        </row>
        <row r="96">
          <cell r="A96">
            <v>36982</v>
          </cell>
          <cell r="B96">
            <v>5.24</v>
          </cell>
          <cell r="C96">
            <v>5.1776</v>
          </cell>
        </row>
        <row r="97">
          <cell r="A97">
            <v>37012</v>
          </cell>
          <cell r="B97">
            <v>4.2759999999999998</v>
          </cell>
          <cell r="C97">
            <v>4.2365000000000004</v>
          </cell>
        </row>
        <row r="98">
          <cell r="A98">
            <v>37043</v>
          </cell>
          <cell r="B98">
            <v>3.835</v>
          </cell>
          <cell r="C98">
            <v>3.7776999999999998</v>
          </cell>
        </row>
        <row r="99">
          <cell r="A99">
            <v>37073</v>
          </cell>
          <cell r="B99">
            <v>3.1309999999999998</v>
          </cell>
          <cell r="C99">
            <v>3.0878000000000001</v>
          </cell>
        </row>
        <row r="100">
          <cell r="A100">
            <v>37104</v>
          </cell>
          <cell r="B100">
            <v>3.11</v>
          </cell>
          <cell r="C100">
            <v>3.0716000000000001</v>
          </cell>
        </row>
        <row r="101">
          <cell r="A101">
            <v>37135</v>
          </cell>
          <cell r="B101">
            <v>2.2989999999999999</v>
          </cell>
          <cell r="C101">
            <v>2.2692000000000001</v>
          </cell>
        </row>
        <row r="102">
          <cell r="A102">
            <v>37165</v>
          </cell>
          <cell r="B102">
            <v>2.4020000000000001</v>
          </cell>
          <cell r="C102">
            <v>2.2201</v>
          </cell>
        </row>
        <row r="103">
          <cell r="A103">
            <v>37196</v>
          </cell>
          <cell r="B103">
            <v>2.411</v>
          </cell>
          <cell r="C103">
            <v>2.4853000000000001</v>
          </cell>
        </row>
        <row r="104">
          <cell r="A104">
            <v>37226</v>
          </cell>
          <cell r="B104">
            <v>2.387</v>
          </cell>
          <cell r="C104">
            <v>2.3001</v>
          </cell>
        </row>
        <row r="105">
          <cell r="A105">
            <v>37257</v>
          </cell>
          <cell r="B105">
            <v>2.274</v>
          </cell>
          <cell r="C105">
            <v>2.3105000000000002</v>
          </cell>
        </row>
        <row r="106">
          <cell r="A106">
            <v>37288</v>
          </cell>
          <cell r="B106">
            <v>2.2690000000000001</v>
          </cell>
          <cell r="C106">
            <v>2.1848999999999998</v>
          </cell>
        </row>
        <row r="107">
          <cell r="A107">
            <v>37316</v>
          </cell>
          <cell r="B107">
            <v>2.9329999999999998</v>
          </cell>
          <cell r="C107">
            <v>2.7780999999999998</v>
          </cell>
        </row>
        <row r="108">
          <cell r="A108">
            <v>37347</v>
          </cell>
          <cell r="B108">
            <v>3.448</v>
          </cell>
          <cell r="C108">
            <v>3.3567999999999998</v>
          </cell>
        </row>
        <row r="109">
          <cell r="A109">
            <v>37377</v>
          </cell>
          <cell r="B109">
            <v>3.4830000000000001</v>
          </cell>
          <cell r="C109">
            <v>3.4817999999999998</v>
          </cell>
        </row>
        <row r="110">
          <cell r="A110">
            <v>37408</v>
          </cell>
          <cell r="B110">
            <v>3.23</v>
          </cell>
          <cell r="C110">
            <v>3.1686000000000001</v>
          </cell>
        </row>
        <row r="111">
          <cell r="A111">
            <v>37438</v>
          </cell>
          <cell r="B111">
            <v>3.05</v>
          </cell>
          <cell r="C111">
            <v>3.0398999999999998</v>
          </cell>
        </row>
        <row r="112">
          <cell r="A112">
            <v>37469</v>
          </cell>
          <cell r="B112">
            <v>3.07</v>
          </cell>
          <cell r="C112">
            <v>2.9883000000000002</v>
          </cell>
        </row>
        <row r="113">
          <cell r="A113">
            <v>37500</v>
          </cell>
          <cell r="B113">
            <v>3.4910000000000001</v>
          </cell>
          <cell r="C113">
            <v>3.4297</v>
          </cell>
        </row>
        <row r="114">
          <cell r="A114">
            <v>37530</v>
          </cell>
          <cell r="B114">
            <v>4.0830000000000002</v>
          </cell>
          <cell r="C114">
            <v>4.0129000000000001</v>
          </cell>
        </row>
        <row r="115">
          <cell r="A115">
            <v>37561</v>
          </cell>
          <cell r="B115">
            <v>4.0709999999999997</v>
          </cell>
          <cell r="C115">
            <v>3.9729999999999999</v>
          </cell>
        </row>
        <row r="116">
          <cell r="A116">
            <v>37591</v>
          </cell>
          <cell r="B116">
            <v>4.6379999999999999</v>
          </cell>
          <cell r="C116">
            <v>4.5190999999999999</v>
          </cell>
        </row>
        <row r="117">
          <cell r="A117">
            <v>37622</v>
          </cell>
          <cell r="B117">
            <v>5.3529999999999998</v>
          </cell>
          <cell r="C117">
            <v>5.1736000000000004</v>
          </cell>
        </row>
        <row r="118">
          <cell r="A118">
            <v>37653</v>
          </cell>
          <cell r="B118">
            <v>7.2919999999999998</v>
          </cell>
          <cell r="C118">
            <v>5.9678000000000004</v>
          </cell>
        </row>
        <row r="119">
          <cell r="A119">
            <v>37681</v>
          </cell>
          <cell r="B119">
            <v>6.8330000000000002</v>
          </cell>
          <cell r="C119">
            <v>7.0857999999999999</v>
          </cell>
        </row>
        <row r="120">
          <cell r="A120">
            <v>37712</v>
          </cell>
          <cell r="B120">
            <v>5.2460000000000004</v>
          </cell>
          <cell r="C120">
            <v>5.1413000000000002</v>
          </cell>
        </row>
        <row r="121">
          <cell r="A121">
            <v>37742</v>
          </cell>
          <cell r="B121">
            <v>5.6470000000000002</v>
          </cell>
          <cell r="C121">
            <v>5.5896999999999997</v>
          </cell>
        </row>
        <row r="122">
          <cell r="A122">
            <v>37773</v>
          </cell>
          <cell r="B122">
            <v>5.16</v>
          </cell>
          <cell r="C122">
            <v>5.7409999999999997</v>
          </cell>
        </row>
        <row r="123">
          <cell r="A123">
            <v>37803</v>
          </cell>
          <cell r="B123">
            <v>5.0190000000000001</v>
          </cell>
          <cell r="C123">
            <v>5.0663999999999998</v>
          </cell>
        </row>
        <row r="124">
          <cell r="A124">
            <v>37834</v>
          </cell>
          <cell r="B124">
            <v>4.8330000000000002</v>
          </cell>
          <cell r="C124">
            <v>4.8818999999999999</v>
          </cell>
        </row>
        <row r="125">
          <cell r="A125">
            <v>37865</v>
          </cell>
          <cell r="B125">
            <v>4.5819999999999999</v>
          </cell>
          <cell r="C125">
            <v>4.6372999999999998</v>
          </cell>
        </row>
        <row r="126">
          <cell r="A126">
            <v>37895</v>
          </cell>
          <cell r="B126">
            <v>4.6130000000000004</v>
          </cell>
          <cell r="C126">
            <v>4.6317000000000004</v>
          </cell>
        </row>
        <row r="127">
          <cell r="A127">
            <v>37926</v>
          </cell>
          <cell r="B127">
            <v>4.4539999999999997</v>
          </cell>
          <cell r="C127">
            <v>4.3653000000000004</v>
          </cell>
        </row>
        <row r="128">
          <cell r="A128">
            <v>37956</v>
          </cell>
          <cell r="B128">
            <v>5.7830000000000004</v>
          </cell>
          <cell r="C128">
            <v>5.8990999999999998</v>
          </cell>
        </row>
        <row r="129">
          <cell r="A129">
            <v>37987</v>
          </cell>
          <cell r="B129">
            <v>6.0380000000000003</v>
          </cell>
          <cell r="C129">
            <v>5.8994999999999997</v>
          </cell>
        </row>
        <row r="130">
          <cell r="A130">
            <v>38018</v>
          </cell>
          <cell r="B130">
            <v>5.4539999999999997</v>
          </cell>
          <cell r="C130">
            <v>5.3875999999999999</v>
          </cell>
        </row>
        <row r="131">
          <cell r="A131">
            <v>38047</v>
          </cell>
          <cell r="B131">
            <v>5.34</v>
          </cell>
          <cell r="C131">
            <v>5.2321</v>
          </cell>
        </row>
        <row r="132">
          <cell r="A132">
            <v>38078</v>
          </cell>
          <cell r="B132">
            <v>5.6509999999999998</v>
          </cell>
          <cell r="C132">
            <v>5.5583</v>
          </cell>
        </row>
        <row r="133">
          <cell r="A133">
            <v>38108</v>
          </cell>
          <cell r="B133">
            <v>6.218</v>
          </cell>
          <cell r="C133">
            <v>6.1281999999999996</v>
          </cell>
        </row>
        <row r="134">
          <cell r="A134">
            <v>38139</v>
          </cell>
          <cell r="B134">
            <v>6.2080000000000002</v>
          </cell>
          <cell r="C134">
            <v>6.2229000000000001</v>
          </cell>
        </row>
        <row r="135">
          <cell r="A135">
            <v>38169</v>
          </cell>
          <cell r="B135">
            <v>5.915</v>
          </cell>
          <cell r="C135">
            <v>5.87</v>
          </cell>
        </row>
        <row r="136">
          <cell r="A136">
            <v>38200</v>
          </cell>
          <cell r="B136">
            <v>5.34</v>
          </cell>
          <cell r="C136">
            <v>5.5342000000000002</v>
          </cell>
        </row>
        <row r="137">
          <cell r="A137">
            <v>38231</v>
          </cell>
          <cell r="B137">
            <v>5.0149999999999997</v>
          </cell>
          <cell r="C137">
            <v>4.8259999999999996</v>
          </cell>
        </row>
        <row r="138">
          <cell r="A138">
            <v>38261</v>
          </cell>
          <cell r="B138">
            <v>6.14</v>
          </cell>
          <cell r="C138">
            <v>5.7835000000000001</v>
          </cell>
        </row>
        <row r="139">
          <cell r="A139">
            <v>38292</v>
          </cell>
          <cell r="B139">
            <v>6.1580000000000004</v>
          </cell>
          <cell r="C139">
            <v>6.0369000000000002</v>
          </cell>
        </row>
        <row r="140">
          <cell r="A140">
            <v>38322</v>
          </cell>
          <cell r="B140">
            <v>6.5860000000000003</v>
          </cell>
          <cell r="C140">
            <v>6.5636000000000001</v>
          </cell>
        </row>
      </sheetData>
      <sheetData sheetId="4">
        <row r="7">
          <cell r="A7">
            <v>34335</v>
          </cell>
          <cell r="C7">
            <v>5.5199999999999999E-2</v>
          </cell>
          <cell r="D7">
            <v>6.0400000000000002E-2</v>
          </cell>
          <cell r="E7">
            <v>6.4399999999999999E-2</v>
          </cell>
        </row>
        <row r="8">
          <cell r="A8">
            <v>34455</v>
          </cell>
          <cell r="C8">
            <v>4.48E-2</v>
          </cell>
          <cell r="D8">
            <v>4.9099999999999998E-2</v>
          </cell>
          <cell r="E8">
            <v>5.2900000000000003E-2</v>
          </cell>
        </row>
        <row r="9">
          <cell r="A9">
            <v>34578</v>
          </cell>
          <cell r="C9">
            <v>4.3099999999999999E-2</v>
          </cell>
          <cell r="D9">
            <v>4.7399999999999998E-2</v>
          </cell>
          <cell r="E9">
            <v>5.1200000000000002E-2</v>
          </cell>
        </row>
        <row r="10">
          <cell r="A10">
            <v>34608</v>
          </cell>
          <cell r="C10">
            <v>4.2799999999999998E-2</v>
          </cell>
          <cell r="D10">
            <v>4.7100000000000003E-2</v>
          </cell>
          <cell r="E10">
            <v>5.0900000000000001E-2</v>
          </cell>
        </row>
        <row r="11">
          <cell r="A11">
            <v>34639</v>
          </cell>
          <cell r="C11">
            <v>4.02E-2</v>
          </cell>
          <cell r="D11">
            <v>4.4400000000000002E-2</v>
          </cell>
          <cell r="E11">
            <v>4.7600000000000003E-2</v>
          </cell>
        </row>
        <row r="12">
          <cell r="A12">
            <v>34700</v>
          </cell>
          <cell r="C12">
            <v>4.41E-2</v>
          </cell>
          <cell r="D12">
            <v>4.8300000000000003E-2</v>
          </cell>
          <cell r="E12">
            <v>5.1499999999999997E-2</v>
          </cell>
        </row>
        <row r="13">
          <cell r="A13">
            <v>34790</v>
          </cell>
          <cell r="C13">
            <v>4.1000000000000002E-2</v>
          </cell>
          <cell r="D13">
            <v>4.6199999999999998E-2</v>
          </cell>
          <cell r="E13">
            <v>5.0500000000000003E-2</v>
          </cell>
        </row>
        <row r="14">
          <cell r="A14">
            <v>35004</v>
          </cell>
          <cell r="C14">
            <v>4.0899999999999999E-2</v>
          </cell>
          <cell r="D14">
            <v>4.6100000000000002E-2</v>
          </cell>
          <cell r="E14">
            <v>5.04E-2</v>
          </cell>
        </row>
        <row r="15">
          <cell r="A15">
            <v>35034</v>
          </cell>
          <cell r="C15">
            <v>4.02E-2</v>
          </cell>
          <cell r="D15">
            <v>4.4200000000000003E-2</v>
          </cell>
          <cell r="E15">
            <v>4.8300000000000003E-2</v>
          </cell>
        </row>
        <row r="16">
          <cell r="A16">
            <v>35065</v>
          </cell>
          <cell r="C16">
            <v>4.0500000000000001E-2</v>
          </cell>
          <cell r="D16">
            <v>4.4499999999999998E-2</v>
          </cell>
          <cell r="E16">
            <v>4.8599999999999997E-2</v>
          </cell>
        </row>
        <row r="17">
          <cell r="A17">
            <v>35125</v>
          </cell>
          <cell r="B17" t="str">
            <v>Fifteenth</v>
          </cell>
          <cell r="C17">
            <v>3.1199999999999999E-2</v>
          </cell>
          <cell r="D17">
            <v>3.5200000000000002E-2</v>
          </cell>
          <cell r="E17">
            <v>3.9300000000000002E-2</v>
          </cell>
        </row>
        <row r="18">
          <cell r="A18">
            <v>35247</v>
          </cell>
          <cell r="B18" t="str">
            <v>Sixteenth</v>
          </cell>
          <cell r="C18">
            <v>3.1199999999999999E-2</v>
          </cell>
          <cell r="D18">
            <v>3.5200000000000002E-2</v>
          </cell>
          <cell r="E18">
            <v>3.9300000000000002E-2</v>
          </cell>
        </row>
        <row r="19">
          <cell r="A19">
            <v>35309</v>
          </cell>
          <cell r="B19" t="str">
            <v>Seventeenth</v>
          </cell>
          <cell r="C19">
            <v>2.8299999999999999E-2</v>
          </cell>
          <cell r="D19">
            <v>3.2300000000000002E-2</v>
          </cell>
          <cell r="E19">
            <v>3.6400000000000002E-2</v>
          </cell>
        </row>
        <row r="20">
          <cell r="A20">
            <v>35339</v>
          </cell>
          <cell r="B20" t="str">
            <v>Eighteenth</v>
          </cell>
          <cell r="C20">
            <v>2.8000000000000001E-2</v>
          </cell>
          <cell r="D20">
            <v>3.2000000000000001E-2</v>
          </cell>
          <cell r="E20">
            <v>3.61E-2</v>
          </cell>
        </row>
        <row r="21">
          <cell r="A21">
            <v>35462</v>
          </cell>
          <cell r="B21" t="str">
            <v>Nineteenth</v>
          </cell>
          <cell r="C21">
            <v>2.8000000000000001E-2</v>
          </cell>
          <cell r="D21">
            <v>3.2000000000000001E-2</v>
          </cell>
          <cell r="E21">
            <v>3.61E-2</v>
          </cell>
        </row>
        <row r="22">
          <cell r="A22">
            <v>35490</v>
          </cell>
          <cell r="B22" t="str">
            <v>Twentieth</v>
          </cell>
          <cell r="C22">
            <v>3.3399999999999999E-2</v>
          </cell>
          <cell r="D22">
            <v>3.7400000000000003E-2</v>
          </cell>
          <cell r="E22">
            <v>4.1500000000000002E-2</v>
          </cell>
        </row>
        <row r="23">
          <cell r="A23">
            <v>35612</v>
          </cell>
          <cell r="B23" t="str">
            <v>Twenty-first</v>
          </cell>
          <cell r="C23">
            <v>3.3399999999999999E-2</v>
          </cell>
          <cell r="D23">
            <v>3.7400000000000003E-2</v>
          </cell>
          <cell r="E23">
            <v>4.1500000000000002E-2</v>
          </cell>
        </row>
        <row r="24">
          <cell r="A24">
            <v>35674</v>
          </cell>
          <cell r="B24" t="str">
            <v>Twenty-second</v>
          </cell>
          <cell r="C24">
            <v>3.7999999999999999E-2</v>
          </cell>
          <cell r="D24">
            <v>4.41E-2</v>
          </cell>
          <cell r="E24">
            <v>5.0999999999999997E-2</v>
          </cell>
        </row>
        <row r="25">
          <cell r="A25">
            <v>35735</v>
          </cell>
          <cell r="B25" t="str">
            <v>Sub Twenty-second</v>
          </cell>
          <cell r="C25">
            <v>3.7999999999999999E-2</v>
          </cell>
          <cell r="D25">
            <v>4.41E-2</v>
          </cell>
          <cell r="E25">
            <v>5.0999999999999997E-2</v>
          </cell>
        </row>
        <row r="26">
          <cell r="A26">
            <v>35765</v>
          </cell>
          <cell r="B26" t="str">
            <v>Twenty-third</v>
          </cell>
          <cell r="C26">
            <v>3.8399999999999997E-2</v>
          </cell>
          <cell r="D26">
            <v>4.4499999999999998E-2</v>
          </cell>
          <cell r="E26">
            <v>5.1299999999999998E-2</v>
          </cell>
        </row>
        <row r="27">
          <cell r="A27">
            <v>35827</v>
          </cell>
          <cell r="B27" t="str">
            <v>Twenty-fourth</v>
          </cell>
          <cell r="C27">
            <v>3.8399999999999997E-2</v>
          </cell>
          <cell r="D27">
            <v>4.4499999999999998E-2</v>
          </cell>
          <cell r="E27">
            <v>5.1299999999999998E-2</v>
          </cell>
        </row>
        <row r="28">
          <cell r="A28">
            <v>35977</v>
          </cell>
          <cell r="B28" t="str">
            <v>Twenty-seventh</v>
          </cell>
          <cell r="C28">
            <v>3.4500000000000003E-2</v>
          </cell>
          <cell r="D28">
            <v>3.9199999999999999E-2</v>
          </cell>
          <cell r="E28">
            <v>4.4299999999999999E-2</v>
          </cell>
        </row>
        <row r="29">
          <cell r="A29">
            <v>36192</v>
          </cell>
          <cell r="B29" t="str">
            <v>Thirtieth</v>
          </cell>
          <cell r="C29">
            <v>3.6499999999999998E-2</v>
          </cell>
          <cell r="D29">
            <v>4.1200000000000001E-2</v>
          </cell>
          <cell r="E29">
            <v>4.6300000000000001E-2</v>
          </cell>
        </row>
        <row r="30">
          <cell r="A30">
            <v>36831</v>
          </cell>
          <cell r="B30" t="str">
            <v>Thirty-first</v>
          </cell>
          <cell r="C30">
            <v>3.5299999999999998E-2</v>
          </cell>
          <cell r="D30">
            <v>0.04</v>
          </cell>
          <cell r="E30">
            <v>4.5100000000000001E-2</v>
          </cell>
        </row>
        <row r="31">
          <cell r="A31">
            <v>36923</v>
          </cell>
          <cell r="B31" t="str">
            <v>Thirty-fourth</v>
          </cell>
          <cell r="C31">
            <v>3.5200000000000002E-2</v>
          </cell>
          <cell r="D31">
            <v>3.4700000000000002E-2</v>
          </cell>
          <cell r="E31">
            <v>4.07E-2</v>
          </cell>
        </row>
        <row r="32">
          <cell r="A32">
            <v>37012</v>
          </cell>
          <cell r="B32" t="str">
            <v>Thirty-seventh</v>
          </cell>
          <cell r="C32">
            <v>3.5000000000000003E-2</v>
          </cell>
          <cell r="D32">
            <v>3.4500000000000003E-2</v>
          </cell>
          <cell r="E32">
            <v>4.0500000000000001E-2</v>
          </cell>
        </row>
        <row r="33">
          <cell r="A33">
            <v>37165</v>
          </cell>
          <cell r="B33" t="str">
            <v>Thirty-eighth</v>
          </cell>
          <cell r="C33">
            <v>3.49E-2</v>
          </cell>
          <cell r="D33">
            <v>3.44E-2</v>
          </cell>
          <cell r="E33">
            <v>4.0399999999999998E-2</v>
          </cell>
        </row>
        <row r="34">
          <cell r="A34">
            <v>37561</v>
          </cell>
          <cell r="B34" t="str">
            <v>Fortieth</v>
          </cell>
          <cell r="C34">
            <v>4.6899999999999997E-2</v>
          </cell>
          <cell r="D34">
            <v>5.7000000000000002E-2</v>
          </cell>
          <cell r="E34">
            <v>6.4600000000000005E-2</v>
          </cell>
        </row>
        <row r="35">
          <cell r="A35">
            <v>37834</v>
          </cell>
          <cell r="B35" t="str">
            <v>First</v>
          </cell>
          <cell r="C35">
            <v>4.53E-2</v>
          </cell>
          <cell r="D35">
            <v>5.5399999999999998E-2</v>
          </cell>
          <cell r="E35">
            <v>6.3E-2</v>
          </cell>
        </row>
        <row r="36">
          <cell r="A36">
            <v>38292</v>
          </cell>
          <cell r="B36" t="str">
            <v>Second</v>
          </cell>
          <cell r="C36">
            <v>4.1300000000000003E-2</v>
          </cell>
          <cell r="D36">
            <v>5.1400000000000001E-2</v>
          </cell>
          <cell r="E36">
            <v>5.8999999999999997E-2</v>
          </cell>
        </row>
        <row r="37">
          <cell r="A37">
            <v>38322</v>
          </cell>
          <cell r="B37" t="str">
            <v>Third</v>
          </cell>
          <cell r="C37">
            <v>4.1099999999999998E-2</v>
          </cell>
          <cell r="D37">
            <v>5.1200000000000002E-2</v>
          </cell>
          <cell r="E37">
            <v>5.8799999999999998E-2</v>
          </cell>
        </row>
      </sheetData>
      <sheetData sheetId="5">
        <row r="8">
          <cell r="A8">
            <v>34973</v>
          </cell>
          <cell r="B8">
            <v>1.6199999999999999E-2</v>
          </cell>
          <cell r="C8">
            <v>2.2000000000000001E-3</v>
          </cell>
          <cell r="D8">
            <v>0.02</v>
          </cell>
          <cell r="E8">
            <v>3.1E-2</v>
          </cell>
          <cell r="F8">
            <v>6.9400000000000003E-2</v>
          </cell>
        </row>
        <row r="9">
          <cell r="A9">
            <v>35004</v>
          </cell>
          <cell r="B9">
            <v>1.6199999999999999E-2</v>
          </cell>
          <cell r="C9">
            <v>2.2000000000000001E-3</v>
          </cell>
          <cell r="D9">
            <v>0.02</v>
          </cell>
          <cell r="E9">
            <v>0</v>
          </cell>
          <cell r="F9">
            <v>3.8400000000000004E-2</v>
          </cell>
        </row>
        <row r="10">
          <cell r="A10">
            <v>35096</v>
          </cell>
          <cell r="B10">
            <v>1.6199999999999999E-2</v>
          </cell>
          <cell r="C10">
            <v>2.2000000000000001E-3</v>
          </cell>
          <cell r="D10">
            <v>0.02</v>
          </cell>
          <cell r="E10">
            <v>0</v>
          </cell>
          <cell r="F10">
            <v>3.8400000000000004E-2</v>
          </cell>
        </row>
        <row r="11">
          <cell r="A11">
            <v>35339</v>
          </cell>
          <cell r="B11">
            <v>1.6199999999999999E-2</v>
          </cell>
          <cell r="C11">
            <v>1.9E-3</v>
          </cell>
          <cell r="D11">
            <v>8.8000000000000005E-3</v>
          </cell>
          <cell r="E11">
            <v>0</v>
          </cell>
          <cell r="F11">
            <v>2.69E-2</v>
          </cell>
        </row>
        <row r="12">
          <cell r="A12">
            <v>35490</v>
          </cell>
          <cell r="B12">
            <v>1.61E-2</v>
          </cell>
          <cell r="C12">
            <v>1.9E-3</v>
          </cell>
          <cell r="D12">
            <v>8.8000000000000005E-3</v>
          </cell>
          <cell r="E12">
            <v>0</v>
          </cell>
          <cell r="F12">
            <v>2.6799999999999997E-2</v>
          </cell>
        </row>
        <row r="13">
          <cell r="A13">
            <v>35704</v>
          </cell>
          <cell r="B13">
            <v>1.61E-2</v>
          </cell>
          <cell r="C13">
            <v>2.2000000000000001E-3</v>
          </cell>
          <cell r="D13">
            <v>8.8000000000000005E-3</v>
          </cell>
          <cell r="E13">
            <v>0</v>
          </cell>
          <cell r="F13">
            <v>2.7099999999999999E-2</v>
          </cell>
        </row>
        <row r="14">
          <cell r="A14">
            <v>36281</v>
          </cell>
          <cell r="B14">
            <v>1.61E-2</v>
          </cell>
          <cell r="C14">
            <v>2.2000000000000001E-3</v>
          </cell>
          <cell r="D14">
            <v>7.4999999999999997E-3</v>
          </cell>
          <cell r="E14">
            <v>0</v>
          </cell>
          <cell r="F14">
            <v>2.58E-2</v>
          </cell>
        </row>
        <row r="15">
          <cell r="A15">
            <v>36831</v>
          </cell>
          <cell r="B15">
            <v>1.61E-2</v>
          </cell>
          <cell r="C15">
            <v>2.2000000000000001E-3</v>
          </cell>
          <cell r="D15">
            <v>7.1999999999999998E-3</v>
          </cell>
          <cell r="E15">
            <v>0</v>
          </cell>
          <cell r="F15">
            <v>2.5500000000000002E-2</v>
          </cell>
        </row>
        <row r="16">
          <cell r="A16">
            <v>37043</v>
          </cell>
          <cell r="B16">
            <v>1.61E-2</v>
          </cell>
          <cell r="C16">
            <v>2.2000000000000001E-3</v>
          </cell>
          <cell r="D16">
            <v>7.0000000000000001E-3</v>
          </cell>
          <cell r="E16">
            <v>0</v>
          </cell>
          <cell r="F16">
            <v>2.53E-2</v>
          </cell>
        </row>
        <row r="17">
          <cell r="A17">
            <v>37165</v>
          </cell>
          <cell r="B17">
            <v>1.61E-2</v>
          </cell>
          <cell r="C17">
            <v>2.0999999999999999E-3</v>
          </cell>
          <cell r="D17">
            <v>7.0000000000000001E-3</v>
          </cell>
          <cell r="E17">
            <v>0</v>
          </cell>
          <cell r="F17">
            <v>2.52E-2</v>
          </cell>
        </row>
        <row r="18">
          <cell r="A18">
            <v>37561</v>
          </cell>
          <cell r="B18">
            <v>1.61E-2</v>
          </cell>
          <cell r="C18">
            <v>2.0999999999999999E-3</v>
          </cell>
          <cell r="D18">
            <v>5.4999999999999997E-3</v>
          </cell>
          <cell r="E18">
            <v>0</v>
          </cell>
          <cell r="F18">
            <v>2.3699999999999999E-2</v>
          </cell>
        </row>
        <row r="19">
          <cell r="A19">
            <v>37834</v>
          </cell>
          <cell r="B19">
            <v>1.61E-2</v>
          </cell>
          <cell r="C19">
            <v>2.0999999999999999E-3</v>
          </cell>
          <cell r="D19">
            <v>4.0000000000000001E-3</v>
          </cell>
          <cell r="E19">
            <v>0</v>
          </cell>
          <cell r="F19">
            <v>2.2200000000000001E-2</v>
          </cell>
        </row>
        <row r="20">
          <cell r="A20">
            <v>38200</v>
          </cell>
          <cell r="B20">
            <v>1.61E-2</v>
          </cell>
          <cell r="C20">
            <v>2.0999999999999999E-3</v>
          </cell>
          <cell r="D20">
            <v>0</v>
          </cell>
          <cell r="E20">
            <v>0</v>
          </cell>
          <cell r="F20">
            <v>1.8200000000000001E-2</v>
          </cell>
        </row>
        <row r="21">
          <cell r="A21">
            <v>38261</v>
          </cell>
          <cell r="B21">
            <v>1.61E-2</v>
          </cell>
          <cell r="C21">
            <v>1.9E-3</v>
          </cell>
          <cell r="D21">
            <v>0</v>
          </cell>
          <cell r="E21">
            <v>0</v>
          </cell>
          <cell r="F21">
            <v>1.7999999999999999E-2</v>
          </cell>
        </row>
        <row r="22">
          <cell r="A22">
            <v>38353</v>
          </cell>
          <cell r="B22">
            <v>1.61E-2</v>
          </cell>
          <cell r="C22">
            <v>1.9E-3</v>
          </cell>
          <cell r="D22">
            <v>0</v>
          </cell>
          <cell r="E22">
            <v>0</v>
          </cell>
          <cell r="F22">
            <v>1.7999999999999999E-2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Kentucky Tariff"/>
      <sheetName val="Texas Tariff Sheet 20"/>
      <sheetName val="Tenn Tariff Sheet 23A"/>
      <sheetName val="Cashout Schedule (Texas)"/>
      <sheetName val="Cashout Schedule (Tenn)"/>
      <sheetName val="tbl Pipeline Cashout"/>
      <sheetName val="tbl Texas"/>
      <sheetName val="tbl Tenn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>
            <v>34335</v>
          </cell>
          <cell r="C8">
            <v>5.5199999999999999E-2</v>
          </cell>
          <cell r="D8">
            <v>6.0400000000000002E-2</v>
          </cell>
          <cell r="E8">
            <v>6.4399999999999999E-2</v>
          </cell>
        </row>
        <row r="9">
          <cell r="A9">
            <v>34455</v>
          </cell>
          <cell r="C9">
            <v>4.48E-2</v>
          </cell>
          <cell r="D9">
            <v>4.9099999999999998E-2</v>
          </cell>
          <cell r="E9">
            <v>5.2900000000000003E-2</v>
          </cell>
        </row>
        <row r="10">
          <cell r="A10">
            <v>34578</v>
          </cell>
          <cell r="C10">
            <v>4.3099999999999999E-2</v>
          </cell>
          <cell r="D10">
            <v>4.7399999999999998E-2</v>
          </cell>
          <cell r="E10">
            <v>5.1200000000000002E-2</v>
          </cell>
        </row>
        <row r="11">
          <cell r="A11">
            <v>34608</v>
          </cell>
          <cell r="C11">
            <v>4.2799999999999998E-2</v>
          </cell>
          <cell r="D11">
            <v>4.7100000000000003E-2</v>
          </cell>
          <cell r="E11">
            <v>5.0900000000000001E-2</v>
          </cell>
        </row>
        <row r="12">
          <cell r="A12">
            <v>34639</v>
          </cell>
          <cell r="C12">
            <v>4.02E-2</v>
          </cell>
          <cell r="D12">
            <v>4.4400000000000002E-2</v>
          </cell>
          <cell r="E12">
            <v>4.7600000000000003E-2</v>
          </cell>
        </row>
        <row r="13">
          <cell r="A13">
            <v>34700</v>
          </cell>
          <cell r="C13">
            <v>4.41E-2</v>
          </cell>
          <cell r="D13">
            <v>4.8300000000000003E-2</v>
          </cell>
          <cell r="E13">
            <v>5.1499999999999997E-2</v>
          </cell>
        </row>
        <row r="14">
          <cell r="A14">
            <v>34790</v>
          </cell>
          <cell r="C14">
            <v>4.1000000000000002E-2</v>
          </cell>
          <cell r="D14">
            <v>4.6199999999999998E-2</v>
          </cell>
          <cell r="E14">
            <v>5.0500000000000003E-2</v>
          </cell>
        </row>
        <row r="15">
          <cell r="A15">
            <v>35004</v>
          </cell>
          <cell r="C15">
            <v>4.0899999999999999E-2</v>
          </cell>
          <cell r="D15">
            <v>4.6100000000000002E-2</v>
          </cell>
          <cell r="E15">
            <v>5.04E-2</v>
          </cell>
        </row>
        <row r="16">
          <cell r="A16">
            <v>35034</v>
          </cell>
          <cell r="C16">
            <v>4.02E-2</v>
          </cell>
          <cell r="D16">
            <v>4.4200000000000003E-2</v>
          </cell>
          <cell r="E16">
            <v>4.8300000000000003E-2</v>
          </cell>
        </row>
        <row r="17">
          <cell r="A17">
            <v>35065</v>
          </cell>
          <cell r="C17">
            <v>4.0500000000000001E-2</v>
          </cell>
          <cell r="D17">
            <v>4.4499999999999998E-2</v>
          </cell>
          <cell r="E17">
            <v>4.8599999999999997E-2</v>
          </cell>
        </row>
        <row r="18">
          <cell r="A18">
            <v>35125</v>
          </cell>
          <cell r="B18" t="str">
            <v>Fifteenth</v>
          </cell>
          <cell r="C18">
            <v>3.1199999999999999E-2</v>
          </cell>
          <cell r="D18">
            <v>3.5200000000000002E-2</v>
          </cell>
          <cell r="E18">
            <v>3.9300000000000002E-2</v>
          </cell>
        </row>
        <row r="19">
          <cell r="A19">
            <v>35247</v>
          </cell>
          <cell r="B19" t="str">
            <v>Sixteenth</v>
          </cell>
          <cell r="C19">
            <v>3.1199999999999999E-2</v>
          </cell>
          <cell r="D19">
            <v>3.5200000000000002E-2</v>
          </cell>
          <cell r="E19">
            <v>3.9300000000000002E-2</v>
          </cell>
        </row>
        <row r="20">
          <cell r="A20">
            <v>35309</v>
          </cell>
          <cell r="B20" t="str">
            <v>Seventeenth</v>
          </cell>
          <cell r="C20">
            <v>2.8299999999999999E-2</v>
          </cell>
          <cell r="D20">
            <v>3.2300000000000002E-2</v>
          </cell>
          <cell r="E20">
            <v>3.6400000000000002E-2</v>
          </cell>
        </row>
        <row r="21">
          <cell r="A21">
            <v>35339</v>
          </cell>
          <cell r="B21" t="str">
            <v>Eighteenth</v>
          </cell>
          <cell r="C21">
            <v>2.8000000000000001E-2</v>
          </cell>
          <cell r="D21">
            <v>3.2000000000000001E-2</v>
          </cell>
          <cell r="E21">
            <v>3.61E-2</v>
          </cell>
        </row>
        <row r="22">
          <cell r="A22">
            <v>35462</v>
          </cell>
          <cell r="B22" t="str">
            <v>Nineteenth</v>
          </cell>
          <cell r="C22">
            <v>2.8000000000000001E-2</v>
          </cell>
          <cell r="D22">
            <v>3.2000000000000001E-2</v>
          </cell>
          <cell r="E22">
            <v>3.61E-2</v>
          </cell>
        </row>
        <row r="23">
          <cell r="A23">
            <v>35490</v>
          </cell>
          <cell r="B23" t="str">
            <v>Twentieth</v>
          </cell>
          <cell r="C23">
            <v>3.3399999999999999E-2</v>
          </cell>
          <cell r="D23">
            <v>3.7400000000000003E-2</v>
          </cell>
          <cell r="E23">
            <v>4.1500000000000002E-2</v>
          </cell>
        </row>
        <row r="24">
          <cell r="A24">
            <v>35612</v>
          </cell>
          <cell r="B24" t="str">
            <v>Twenty-first</v>
          </cell>
          <cell r="C24">
            <v>3.3399999999999999E-2</v>
          </cell>
          <cell r="D24">
            <v>3.7400000000000003E-2</v>
          </cell>
          <cell r="E24">
            <v>4.1500000000000002E-2</v>
          </cell>
        </row>
        <row r="25">
          <cell r="A25">
            <v>35674</v>
          </cell>
          <cell r="B25" t="str">
            <v>Twenty-second</v>
          </cell>
          <cell r="C25">
            <v>3.7999999999999999E-2</v>
          </cell>
          <cell r="D25">
            <v>4.41E-2</v>
          </cell>
          <cell r="E25">
            <v>5.0999999999999997E-2</v>
          </cell>
        </row>
        <row r="26">
          <cell r="A26">
            <v>35735</v>
          </cell>
          <cell r="B26" t="str">
            <v>Sub Twenty-second</v>
          </cell>
          <cell r="C26">
            <v>3.7999999999999999E-2</v>
          </cell>
          <cell r="D26">
            <v>4.41E-2</v>
          </cell>
          <cell r="E26">
            <v>5.0999999999999997E-2</v>
          </cell>
        </row>
        <row r="27">
          <cell r="A27">
            <v>35765</v>
          </cell>
          <cell r="B27" t="str">
            <v>Twenty-third</v>
          </cell>
          <cell r="C27">
            <v>3.8399999999999997E-2</v>
          </cell>
          <cell r="D27">
            <v>4.4499999999999998E-2</v>
          </cell>
          <cell r="E27">
            <v>5.1299999999999998E-2</v>
          </cell>
        </row>
        <row r="28">
          <cell r="A28">
            <v>35827</v>
          </cell>
          <cell r="B28" t="str">
            <v>Twenty-fourth</v>
          </cell>
          <cell r="C28">
            <v>3.8399999999999997E-2</v>
          </cell>
          <cell r="D28">
            <v>4.4499999999999998E-2</v>
          </cell>
          <cell r="E28">
            <v>5.1299999999999998E-2</v>
          </cell>
        </row>
        <row r="29">
          <cell r="A29">
            <v>35977</v>
          </cell>
          <cell r="B29" t="str">
            <v>Twenty-seventh</v>
          </cell>
          <cell r="C29">
            <v>3.4500000000000003E-2</v>
          </cell>
          <cell r="D29">
            <v>3.9199999999999999E-2</v>
          </cell>
          <cell r="E29">
            <v>4.4299999999999999E-2</v>
          </cell>
        </row>
        <row r="30">
          <cell r="A30">
            <v>36192</v>
          </cell>
          <cell r="B30" t="str">
            <v>Thirtieth</v>
          </cell>
          <cell r="C30">
            <v>3.6499999999999998E-2</v>
          </cell>
          <cell r="D30">
            <v>4.1200000000000001E-2</v>
          </cell>
          <cell r="E30">
            <v>4.6300000000000001E-2</v>
          </cell>
        </row>
        <row r="31">
          <cell r="A31">
            <v>36831</v>
          </cell>
          <cell r="B31" t="str">
            <v>Thirty-first</v>
          </cell>
          <cell r="C31">
            <v>3.5299999999999998E-2</v>
          </cell>
          <cell r="D31">
            <v>0.04</v>
          </cell>
          <cell r="E31">
            <v>4.5100000000000001E-2</v>
          </cell>
        </row>
        <row r="32">
          <cell r="A32">
            <v>36923</v>
          </cell>
          <cell r="B32" t="str">
            <v>Thirty-fourth</v>
          </cell>
          <cell r="C32">
            <v>3.5200000000000002E-2</v>
          </cell>
          <cell r="D32">
            <v>3.4700000000000002E-2</v>
          </cell>
          <cell r="E32">
            <v>4.07E-2</v>
          </cell>
        </row>
        <row r="33">
          <cell r="A33">
            <v>37012</v>
          </cell>
          <cell r="B33" t="str">
            <v>Thirty-seventh</v>
          </cell>
          <cell r="C33">
            <v>3.5000000000000003E-2</v>
          </cell>
          <cell r="D33">
            <v>3.4500000000000003E-2</v>
          </cell>
          <cell r="E33">
            <v>4.0500000000000001E-2</v>
          </cell>
        </row>
        <row r="34">
          <cell r="A34">
            <v>37165</v>
          </cell>
          <cell r="B34" t="str">
            <v>Thirty-eighth</v>
          </cell>
          <cell r="C34">
            <v>3.49E-2</v>
          </cell>
          <cell r="D34">
            <v>3.44E-2</v>
          </cell>
          <cell r="E34">
            <v>4.0399999999999998E-2</v>
          </cell>
        </row>
        <row r="35">
          <cell r="A35">
            <v>37561</v>
          </cell>
          <cell r="B35" t="str">
            <v>Fortieth</v>
          </cell>
          <cell r="C35">
            <v>4.6899999999999997E-2</v>
          </cell>
          <cell r="D35">
            <v>5.7000000000000002E-2</v>
          </cell>
          <cell r="E35">
            <v>6.4600000000000005E-2</v>
          </cell>
        </row>
        <row r="36">
          <cell r="A36">
            <v>37834</v>
          </cell>
          <cell r="B36" t="str">
            <v>First</v>
          </cell>
          <cell r="C36">
            <v>4.53E-2</v>
          </cell>
          <cell r="D36">
            <v>5.5399999999999998E-2</v>
          </cell>
          <cell r="E36">
            <v>6.3E-2</v>
          </cell>
        </row>
        <row r="37">
          <cell r="A37">
            <v>38292</v>
          </cell>
          <cell r="B37" t="str">
            <v>Second</v>
          </cell>
          <cell r="C37">
            <v>4.1300000000000003E-2</v>
          </cell>
          <cell r="D37">
            <v>5.1400000000000001E-2</v>
          </cell>
          <cell r="E37">
            <v>5.8999999999999997E-2</v>
          </cell>
        </row>
        <row r="38">
          <cell r="A38">
            <v>38322</v>
          </cell>
          <cell r="B38" t="str">
            <v>Third</v>
          </cell>
          <cell r="C38">
            <v>4.1099999999999998E-2</v>
          </cell>
          <cell r="D38">
            <v>5.1200000000000002E-2</v>
          </cell>
          <cell r="E38">
            <v>5.8799999999999998E-2</v>
          </cell>
        </row>
        <row r="39">
          <cell r="A39">
            <v>38353</v>
          </cell>
          <cell r="B39" t="str">
            <v>Third</v>
          </cell>
          <cell r="C39">
            <v>4.1099999999999998E-2</v>
          </cell>
          <cell r="D39">
            <v>5.1200000000000002E-2</v>
          </cell>
          <cell r="E39">
            <v>5.8799999999999998E-2</v>
          </cell>
        </row>
        <row r="40">
          <cell r="A40">
            <v>38443</v>
          </cell>
          <cell r="B40" t="str">
            <v>Fourth</v>
          </cell>
          <cell r="C40">
            <v>4.1099999999999998E-2</v>
          </cell>
          <cell r="D40">
            <v>5.1200000000000002E-2</v>
          </cell>
          <cell r="E40">
            <v>5.8799999999999998E-2</v>
          </cell>
        </row>
        <row r="41">
          <cell r="A41">
            <v>38596</v>
          </cell>
          <cell r="B41" t="str">
            <v>First Rev Fourth Rev Sheet No. 20 : Effective</v>
          </cell>
          <cell r="C41">
            <v>4.1000000000000002E-2</v>
          </cell>
          <cell r="D41">
            <v>5.11E-2</v>
          </cell>
          <cell r="E41">
            <v>5.8700000000000002E-2</v>
          </cell>
        </row>
        <row r="42">
          <cell r="A42">
            <v>38626</v>
          </cell>
          <cell r="B42" t="str">
            <v>Fifth Revised</v>
          </cell>
          <cell r="C42">
            <v>5.2999999999999999E-2</v>
          </cell>
          <cell r="D42">
            <v>5.6300000000000003E-2</v>
          </cell>
          <cell r="E42">
            <v>6.8500000000000005E-2</v>
          </cell>
        </row>
        <row r="43">
          <cell r="A43">
            <v>38657</v>
          </cell>
          <cell r="B43" t="str">
            <v>Sixth Revised</v>
          </cell>
          <cell r="C43">
            <v>5.2999999999999999E-2</v>
          </cell>
          <cell r="D43">
            <v>5.6300000000000003E-2</v>
          </cell>
          <cell r="E43">
            <v>6.8500000000000005E-2</v>
          </cell>
        </row>
        <row r="44">
          <cell r="A44">
            <v>38777</v>
          </cell>
          <cell r="B44" t="str">
            <v>Seventh Revised</v>
          </cell>
          <cell r="C44">
            <v>4.7800000000000002E-2</v>
          </cell>
          <cell r="D44">
            <v>5.0799999999999998E-2</v>
          </cell>
          <cell r="E44">
            <v>6.3200000000000006E-2</v>
          </cell>
        </row>
        <row r="45">
          <cell r="A45">
            <v>38899</v>
          </cell>
          <cell r="B45" t="str">
            <v>Substitute Seventh Revised</v>
          </cell>
          <cell r="C45">
            <v>4.7800000000000002E-2</v>
          </cell>
          <cell r="D45">
            <v>5.0799999999999998E-2</v>
          </cell>
          <cell r="E45">
            <v>6.3200000000000006E-2</v>
          </cell>
        </row>
        <row r="46">
          <cell r="A46">
            <v>38961</v>
          </cell>
          <cell r="B46" t="str">
            <v>Substitute Seventh Revised</v>
          </cell>
          <cell r="C46">
            <v>4.7600000000000003E-2</v>
          </cell>
          <cell r="D46">
            <v>5.0599999999999999E-2</v>
          </cell>
          <cell r="E46">
            <v>6.3E-2</v>
          </cell>
        </row>
        <row r="47">
          <cell r="A47">
            <v>39052</v>
          </cell>
          <cell r="B47" t="str">
            <v>Eighth Revised</v>
          </cell>
          <cell r="C47">
            <v>4.7600000000000003E-2</v>
          </cell>
          <cell r="D47">
            <v>5.0599999999999999E-2</v>
          </cell>
          <cell r="E47">
            <v>6.3E-2</v>
          </cell>
        </row>
        <row r="48">
          <cell r="A48">
            <v>39142</v>
          </cell>
          <cell r="B48" t="str">
            <v>Ninth Revised</v>
          </cell>
          <cell r="C48">
            <v>4.7500000000000001E-2</v>
          </cell>
          <cell r="D48">
            <v>5.0500000000000003E-2</v>
          </cell>
          <cell r="E48">
            <v>6.2899999999999998E-2</v>
          </cell>
        </row>
        <row r="49">
          <cell r="A49">
            <v>39326</v>
          </cell>
          <cell r="B49" t="str">
            <v>Tenth Revised</v>
          </cell>
          <cell r="C49">
            <v>4.7800000000000002E-2</v>
          </cell>
          <cell r="D49">
            <v>5.0799999999999998E-2</v>
          </cell>
          <cell r="E49">
            <v>6.3200000000000006E-2</v>
          </cell>
        </row>
        <row r="50">
          <cell r="A50">
            <v>39417</v>
          </cell>
          <cell r="B50" t="str">
            <v>Twelfth Revised</v>
          </cell>
          <cell r="C50">
            <v>4.7899999999999998E-2</v>
          </cell>
          <cell r="D50">
            <v>5.0900000000000001E-2</v>
          </cell>
          <cell r="E50">
            <v>6.3329999999999997E-2</v>
          </cell>
        </row>
        <row r="51">
          <cell r="A51">
            <v>39729</v>
          </cell>
          <cell r="B51" t="str">
            <v>Fourteenth Revised</v>
          </cell>
          <cell r="C51">
            <v>4.7699999999999999E-2</v>
          </cell>
          <cell r="D51">
            <v>5.0700000000000002E-2</v>
          </cell>
          <cell r="E51">
            <v>6.3100000000000003E-2</v>
          </cell>
        </row>
        <row r="52">
          <cell r="A52">
            <v>73050</v>
          </cell>
        </row>
      </sheetData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Macros"/>
      <sheetName val="Instructions"/>
      <sheetName val="Pipelines Tariffs"/>
      <sheetName val="Texas (21)"/>
      <sheetName val="Texas (21) New"/>
      <sheetName val="Texas (22)"/>
      <sheetName val="Texas (22) New"/>
      <sheetName val="Texas (26)"/>
      <sheetName val="Texas (26) New"/>
      <sheetName val="Texas (36)"/>
      <sheetName val="Texas (36) New"/>
      <sheetName val="Tenn (15)"/>
      <sheetName val="Tenn (15) New"/>
      <sheetName val="Tenn (23)"/>
      <sheetName val="Tenn (23) New"/>
      <sheetName val="Tenn (24)"/>
      <sheetName val="Tenn (24) New"/>
      <sheetName val="Tenn (26)"/>
      <sheetName val="Tenn (26) New"/>
      <sheetName val="Tenn (32)"/>
      <sheetName val="Tenn (61)"/>
      <sheetName val="Tenn (61) New"/>
      <sheetName val="Trunkline (10)"/>
      <sheetName val="Trunkline (10) New"/>
    </sheetNames>
    <sheetDataSet>
      <sheetData sheetId="0" refreshError="1"/>
      <sheetData sheetId="1">
        <row r="9">
          <cell r="D9">
            <v>41214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LVS Rates"/>
      <sheetName val="Backup Page"/>
      <sheetName val="Additional Backup"/>
      <sheetName val="Additional Adjustments"/>
      <sheetName val="History"/>
      <sheetName val="Price History"/>
      <sheetName val="Module1"/>
    </sheetNames>
    <sheetDataSet>
      <sheetData sheetId="0"/>
      <sheetData sheetId="1">
        <row r="5">
          <cell r="E5">
            <v>38384</v>
          </cell>
        </row>
      </sheetData>
      <sheetData sheetId="2"/>
      <sheetData sheetId="3">
        <row r="17">
          <cell r="J17">
            <v>6.4271000000000003</v>
          </cell>
        </row>
        <row r="31">
          <cell r="F31">
            <v>-0.79859999999999953</v>
          </cell>
        </row>
      </sheetData>
      <sheetData sheetId="4">
        <row r="1">
          <cell r="B1">
            <v>36009</v>
          </cell>
          <cell r="J1">
            <v>0</v>
          </cell>
        </row>
        <row r="35">
          <cell r="F35">
            <v>9.8099999999999632E-2</v>
          </cell>
        </row>
        <row r="39">
          <cell r="B39">
            <v>35978</v>
          </cell>
        </row>
        <row r="73">
          <cell r="F73">
            <v>-1.5499999999999847E-2</v>
          </cell>
        </row>
      </sheetData>
      <sheetData sheetId="5"/>
      <sheetData sheetId="6">
        <row r="12">
          <cell r="A12">
            <v>34425</v>
          </cell>
          <cell r="B12">
            <v>11.6</v>
          </cell>
          <cell r="C12">
            <v>100</v>
          </cell>
          <cell r="D12" t="str">
            <v>Eighth</v>
          </cell>
          <cell r="F12">
            <v>0.94189999999999996</v>
          </cell>
          <cell r="G12">
            <v>0.79190000000000005</v>
          </cell>
          <cell r="H12">
            <v>0.64190000000000003</v>
          </cell>
          <cell r="I12">
            <v>0.47749999999999998</v>
          </cell>
          <cell r="J12">
            <v>0.32750000000000001</v>
          </cell>
          <cell r="L12">
            <v>0.93989999999999996</v>
          </cell>
          <cell r="N12">
            <v>0.35899999999999999</v>
          </cell>
        </row>
        <row r="13">
          <cell r="A13">
            <v>34455</v>
          </cell>
          <cell r="B13">
            <v>11.6</v>
          </cell>
          <cell r="C13">
            <v>100</v>
          </cell>
          <cell r="D13" t="str">
            <v>Ninth</v>
          </cell>
          <cell r="F13">
            <v>0.94189999999999996</v>
          </cell>
          <cell r="G13">
            <v>0.79190000000000005</v>
          </cell>
          <cell r="H13">
            <v>0.64190000000000003</v>
          </cell>
          <cell r="I13">
            <v>0.47749999999999998</v>
          </cell>
          <cell r="J13">
            <v>0.32750000000000001</v>
          </cell>
          <cell r="L13">
            <v>0.93869999999999998</v>
          </cell>
          <cell r="N13">
            <v>0.35780000000000001</v>
          </cell>
        </row>
        <row r="14">
          <cell r="A14">
            <v>34486</v>
          </cell>
          <cell r="B14">
            <v>11.6</v>
          </cell>
          <cell r="C14">
            <v>100</v>
          </cell>
          <cell r="D14" t="str">
            <v>Tenth</v>
          </cell>
          <cell r="F14">
            <v>0.94189999999999996</v>
          </cell>
          <cell r="G14">
            <v>0.79190000000000005</v>
          </cell>
          <cell r="H14">
            <v>0.64190000000000003</v>
          </cell>
          <cell r="I14">
            <v>0.47749999999999998</v>
          </cell>
          <cell r="J14">
            <v>0.32750000000000001</v>
          </cell>
          <cell r="L14">
            <v>0.92730000000000001</v>
          </cell>
          <cell r="N14">
            <v>0.34639999999999999</v>
          </cell>
        </row>
        <row r="15">
          <cell r="A15">
            <v>34516</v>
          </cell>
          <cell r="B15">
            <v>11.6</v>
          </cell>
          <cell r="C15">
            <v>100</v>
          </cell>
          <cell r="D15" t="str">
            <v>Eleventh</v>
          </cell>
          <cell r="F15">
            <v>0.94189999999999996</v>
          </cell>
          <cell r="G15">
            <v>0.79190000000000005</v>
          </cell>
          <cell r="H15">
            <v>0.64190000000000003</v>
          </cell>
          <cell r="I15">
            <v>0.47749999999999998</v>
          </cell>
          <cell r="J15">
            <v>0.32750000000000001</v>
          </cell>
          <cell r="L15">
            <v>0.90969999999999995</v>
          </cell>
          <cell r="N15">
            <v>0.34310000000000002</v>
          </cell>
        </row>
        <row r="16">
          <cell r="A16">
            <v>34547</v>
          </cell>
          <cell r="B16">
            <v>11.6</v>
          </cell>
          <cell r="C16">
            <v>100</v>
          </cell>
          <cell r="D16" t="str">
            <v>Twelth</v>
          </cell>
          <cell r="F16">
            <v>0.94189999999999996</v>
          </cell>
          <cell r="G16">
            <v>0.79190000000000005</v>
          </cell>
          <cell r="H16">
            <v>0.64190000000000003</v>
          </cell>
          <cell r="I16">
            <v>0.47749999999999998</v>
          </cell>
          <cell r="J16">
            <v>0.32750000000000001</v>
          </cell>
          <cell r="L16">
            <v>0.90449999999999997</v>
          </cell>
          <cell r="N16">
            <v>0.33789999999999998</v>
          </cell>
        </row>
        <row r="17">
          <cell r="A17">
            <v>34578</v>
          </cell>
          <cell r="B17">
            <v>11.6</v>
          </cell>
          <cell r="C17">
            <v>100</v>
          </cell>
          <cell r="D17" t="str">
            <v>Thirteenth</v>
          </cell>
          <cell r="F17">
            <v>0.94189999999999996</v>
          </cell>
          <cell r="G17">
            <v>0.79190000000000005</v>
          </cell>
          <cell r="H17">
            <v>0.64190000000000003</v>
          </cell>
          <cell r="I17">
            <v>0.47749999999999998</v>
          </cell>
          <cell r="J17">
            <v>0.32750000000000001</v>
          </cell>
          <cell r="L17">
            <v>0.87080000000000002</v>
          </cell>
          <cell r="N17">
            <v>0.3211</v>
          </cell>
        </row>
        <row r="18">
          <cell r="A18">
            <v>34608</v>
          </cell>
          <cell r="B18">
            <v>11.6</v>
          </cell>
          <cell r="C18">
            <v>100</v>
          </cell>
          <cell r="D18" t="str">
            <v>Fourteenth</v>
          </cell>
          <cell r="F18">
            <v>0.94189999999999996</v>
          </cell>
          <cell r="G18">
            <v>0.79190000000000005</v>
          </cell>
          <cell r="H18">
            <v>0.64190000000000003</v>
          </cell>
          <cell r="I18">
            <v>0.47749999999999998</v>
          </cell>
          <cell r="J18">
            <v>0.32750000000000001</v>
          </cell>
          <cell r="L18">
            <v>0.88829999999999998</v>
          </cell>
          <cell r="N18">
            <v>0.33860000000000001</v>
          </cell>
        </row>
        <row r="19">
          <cell r="A19">
            <v>34639</v>
          </cell>
          <cell r="B19">
            <v>11.6</v>
          </cell>
          <cell r="C19">
            <v>100</v>
          </cell>
          <cell r="D19" t="str">
            <v>Fifteenth</v>
          </cell>
          <cell r="F19">
            <v>0.94189999999999996</v>
          </cell>
          <cell r="G19">
            <v>0.79190000000000005</v>
          </cell>
          <cell r="H19">
            <v>0.64190000000000003</v>
          </cell>
          <cell r="I19">
            <v>0.47749999999999998</v>
          </cell>
          <cell r="J19">
            <v>0.32750000000000001</v>
          </cell>
          <cell r="L19">
            <v>0.92190000000000005</v>
          </cell>
          <cell r="N19">
            <v>0.40639999999999998</v>
          </cell>
        </row>
        <row r="20">
          <cell r="A20">
            <v>34669</v>
          </cell>
          <cell r="B20">
            <v>11.6</v>
          </cell>
          <cell r="C20">
            <v>100</v>
          </cell>
          <cell r="D20" t="str">
            <v>Sixteenth</v>
          </cell>
          <cell r="F20">
            <v>0.94189999999999996</v>
          </cell>
          <cell r="G20">
            <v>0.79190000000000005</v>
          </cell>
          <cell r="H20">
            <v>0.64190000000000003</v>
          </cell>
          <cell r="I20">
            <v>0.47749999999999998</v>
          </cell>
          <cell r="J20">
            <v>0.32750000000000001</v>
          </cell>
          <cell r="L20">
            <v>0.88990000000000002</v>
          </cell>
          <cell r="N20">
            <v>0.39839999999999998</v>
          </cell>
        </row>
        <row r="21">
          <cell r="A21">
            <v>34700</v>
          </cell>
          <cell r="B21">
            <v>11.6</v>
          </cell>
          <cell r="C21">
            <v>100</v>
          </cell>
          <cell r="D21" t="str">
            <v>Seventeenth</v>
          </cell>
          <cell r="F21">
            <v>0.94189999999999996</v>
          </cell>
          <cell r="G21">
            <v>0.79190000000000005</v>
          </cell>
          <cell r="H21">
            <v>0.64190000000000003</v>
          </cell>
          <cell r="I21">
            <v>0.47749999999999998</v>
          </cell>
          <cell r="J21">
            <v>0.32750000000000001</v>
          </cell>
          <cell r="L21">
            <v>0.90659999999999996</v>
          </cell>
          <cell r="N21">
            <v>0.41639999999999999</v>
          </cell>
        </row>
        <row r="22">
          <cell r="A22">
            <v>34731</v>
          </cell>
          <cell r="B22">
            <v>11.6</v>
          </cell>
          <cell r="C22">
            <v>100</v>
          </cell>
          <cell r="D22" t="str">
            <v>Eighteenth</v>
          </cell>
          <cell r="F22">
            <v>0.94189999999999996</v>
          </cell>
          <cell r="G22">
            <v>0.79190000000000005</v>
          </cell>
          <cell r="H22">
            <v>0.64190000000000003</v>
          </cell>
          <cell r="I22">
            <v>0.47749999999999998</v>
          </cell>
          <cell r="J22">
            <v>0.32750000000000001</v>
          </cell>
          <cell r="L22">
            <v>0.81010000000000004</v>
          </cell>
          <cell r="N22">
            <v>0.39510000000000001</v>
          </cell>
        </row>
        <row r="23">
          <cell r="A23">
            <v>34759</v>
          </cell>
          <cell r="B23">
            <v>11.6</v>
          </cell>
          <cell r="C23">
            <v>100</v>
          </cell>
          <cell r="D23" t="str">
            <v>Ninteenth</v>
          </cell>
          <cell r="F23">
            <v>0.94189999999999996</v>
          </cell>
          <cell r="G23">
            <v>0.79190000000000005</v>
          </cell>
          <cell r="H23">
            <v>0.64190000000000003</v>
          </cell>
          <cell r="I23">
            <v>0.47749999999999998</v>
          </cell>
          <cell r="J23">
            <v>0.32750000000000001</v>
          </cell>
          <cell r="L23">
            <v>0.81279999999999997</v>
          </cell>
          <cell r="N23">
            <v>0.39179999999999998</v>
          </cell>
        </row>
        <row r="24">
          <cell r="A24">
            <v>34790</v>
          </cell>
          <cell r="B24">
            <v>11.6</v>
          </cell>
          <cell r="C24">
            <v>100</v>
          </cell>
          <cell r="D24" t="str">
            <v>Twentieth</v>
          </cell>
          <cell r="F24">
            <v>0.94189999999999996</v>
          </cell>
          <cell r="G24">
            <v>0.79190000000000005</v>
          </cell>
          <cell r="H24">
            <v>0.64190000000000003</v>
          </cell>
          <cell r="I24">
            <v>0.47749999999999998</v>
          </cell>
          <cell r="J24">
            <v>0.32750000000000001</v>
          </cell>
          <cell r="L24">
            <v>0.99850000000000005</v>
          </cell>
          <cell r="N24">
            <v>0.38650000000000001</v>
          </cell>
        </row>
        <row r="25">
          <cell r="A25">
            <v>34820</v>
          </cell>
          <cell r="B25">
            <v>11.6</v>
          </cell>
          <cell r="C25">
            <v>100</v>
          </cell>
          <cell r="D25" t="str">
            <v>Twenty-First</v>
          </cell>
          <cell r="F25">
            <v>0.94189999999999996</v>
          </cell>
          <cell r="G25">
            <v>0.79190000000000005</v>
          </cell>
          <cell r="H25">
            <v>0.64190000000000003</v>
          </cell>
          <cell r="I25">
            <v>0.47749999999999998</v>
          </cell>
          <cell r="J25">
            <v>0.32750000000000001</v>
          </cell>
          <cell r="L25">
            <v>0.99850000000000005</v>
          </cell>
          <cell r="N25">
            <v>0.38650000000000001</v>
          </cell>
        </row>
        <row r="26">
          <cell r="A26">
            <v>34851</v>
          </cell>
          <cell r="B26">
            <v>11.6</v>
          </cell>
          <cell r="C26">
            <v>100</v>
          </cell>
          <cell r="D26" t="str">
            <v>Twenty-Second</v>
          </cell>
          <cell r="F26">
            <v>0.94189999999999996</v>
          </cell>
          <cell r="G26">
            <v>0.79190000000000005</v>
          </cell>
          <cell r="H26">
            <v>0.64190000000000003</v>
          </cell>
          <cell r="I26">
            <v>0.47749999999999998</v>
          </cell>
          <cell r="J26">
            <v>0.32750000000000001</v>
          </cell>
          <cell r="L26">
            <v>1.0266</v>
          </cell>
          <cell r="N26">
            <v>0.41460000000000002</v>
          </cell>
        </row>
        <row r="27">
          <cell r="A27">
            <v>34881</v>
          </cell>
          <cell r="B27">
            <v>11.6</v>
          </cell>
          <cell r="C27">
            <v>100</v>
          </cell>
          <cell r="D27" t="str">
            <v>Twenty-Third</v>
          </cell>
          <cell r="F27">
            <v>0.94189999999999996</v>
          </cell>
          <cell r="G27">
            <v>0.79190000000000005</v>
          </cell>
          <cell r="H27">
            <v>0.64190000000000003</v>
          </cell>
          <cell r="I27">
            <v>0.47749999999999998</v>
          </cell>
          <cell r="J27">
            <v>0.32750000000000001</v>
          </cell>
          <cell r="L27">
            <v>0.99629999999999996</v>
          </cell>
          <cell r="N27">
            <v>0.38429999999999997</v>
          </cell>
        </row>
        <row r="28">
          <cell r="A28">
            <v>34912</v>
          </cell>
          <cell r="B28">
            <v>11.6</v>
          </cell>
          <cell r="C28">
            <v>100</v>
          </cell>
          <cell r="D28" t="str">
            <v>Twenty-Fourth</v>
          </cell>
          <cell r="F28">
            <v>0.94189999999999996</v>
          </cell>
          <cell r="G28">
            <v>0.79190000000000005</v>
          </cell>
          <cell r="H28">
            <v>0.64190000000000003</v>
          </cell>
          <cell r="I28">
            <v>0.47749999999999998</v>
          </cell>
          <cell r="J28">
            <v>0.32750000000000001</v>
          </cell>
          <cell r="L28">
            <v>0.98340000000000005</v>
          </cell>
          <cell r="N28">
            <v>0.38009999999999999</v>
          </cell>
        </row>
        <row r="29">
          <cell r="A29">
            <v>34943</v>
          </cell>
          <cell r="B29">
            <v>11.6</v>
          </cell>
          <cell r="C29">
            <v>100</v>
          </cell>
          <cell r="D29" t="str">
            <v>Twenty-Fifth</v>
          </cell>
          <cell r="F29">
            <v>0.94189999999999996</v>
          </cell>
          <cell r="G29">
            <v>0.79190000000000005</v>
          </cell>
          <cell r="H29">
            <v>0.64190000000000003</v>
          </cell>
          <cell r="I29">
            <v>0.47749999999999998</v>
          </cell>
          <cell r="J29">
            <v>0.32750000000000001</v>
          </cell>
          <cell r="L29">
            <v>0.97670000000000001</v>
          </cell>
          <cell r="N29">
            <v>0.37959999999999999</v>
          </cell>
        </row>
        <row r="30">
          <cell r="A30">
            <v>34973</v>
          </cell>
          <cell r="B30">
            <v>11.6</v>
          </cell>
          <cell r="C30">
            <v>100</v>
          </cell>
          <cell r="D30" t="str">
            <v>Twenty-Sixth</v>
          </cell>
          <cell r="F30">
            <v>0.94189999999999996</v>
          </cell>
          <cell r="G30">
            <v>0.79190000000000005</v>
          </cell>
          <cell r="H30">
            <v>0.64190000000000003</v>
          </cell>
          <cell r="I30">
            <v>0.47749999999999998</v>
          </cell>
          <cell r="J30">
            <v>0.32750000000000001</v>
          </cell>
          <cell r="L30">
            <v>0.96160000000000001</v>
          </cell>
          <cell r="N30">
            <v>0.36449999999999999</v>
          </cell>
        </row>
        <row r="31">
          <cell r="A31">
            <v>35004</v>
          </cell>
          <cell r="B31">
            <v>13.6</v>
          </cell>
          <cell r="C31">
            <v>150</v>
          </cell>
          <cell r="D31" t="str">
            <v>Twenty-seventh</v>
          </cell>
          <cell r="E31">
            <v>2.1000000000000001E-2</v>
          </cell>
          <cell r="F31">
            <v>1.0106999999999999</v>
          </cell>
          <cell r="G31">
            <v>0.5585</v>
          </cell>
          <cell r="H31">
            <v>0.40849999999999997</v>
          </cell>
          <cell r="I31">
            <v>0.49359999999999998</v>
          </cell>
          <cell r="J31">
            <v>0.34360000000000002</v>
          </cell>
          <cell r="K31">
            <v>5.6445999999999996</v>
          </cell>
          <cell r="L31">
            <v>0.96550000000000002</v>
          </cell>
          <cell r="M31">
            <v>0.23180000000000001</v>
          </cell>
          <cell r="N31">
            <v>0.3342</v>
          </cell>
        </row>
        <row r="32">
          <cell r="A32">
            <v>35034</v>
          </cell>
          <cell r="B32">
            <v>13.6</v>
          </cell>
          <cell r="C32">
            <v>150</v>
          </cell>
          <cell r="D32" t="str">
            <v>Twenty-eighth</v>
          </cell>
          <cell r="E32">
            <v>2.1000000000000001E-2</v>
          </cell>
          <cell r="F32">
            <v>1.0106999999999999</v>
          </cell>
          <cell r="G32">
            <v>0.5585</v>
          </cell>
          <cell r="H32">
            <v>0.40849999999999997</v>
          </cell>
          <cell r="I32">
            <v>0.49359999999999998</v>
          </cell>
          <cell r="J32">
            <v>0.34360000000000002</v>
          </cell>
          <cell r="K32">
            <v>5.6445999999999996</v>
          </cell>
          <cell r="L32">
            <v>0.96189999999999998</v>
          </cell>
          <cell r="M32">
            <v>0.22819999999999999</v>
          </cell>
          <cell r="N32">
            <v>0.33110000000000001</v>
          </cell>
        </row>
        <row r="33">
          <cell r="A33">
            <v>35065</v>
          </cell>
          <cell r="B33">
            <v>13.6</v>
          </cell>
          <cell r="C33">
            <v>150</v>
          </cell>
          <cell r="D33" t="str">
            <v>Twenty-ninth</v>
          </cell>
          <cell r="E33">
            <v>2.1000000000000001E-2</v>
          </cell>
          <cell r="F33">
            <v>1.0106999999999999</v>
          </cell>
          <cell r="G33">
            <v>0.5585</v>
          </cell>
          <cell r="H33">
            <v>0.40849999999999997</v>
          </cell>
          <cell r="I33">
            <v>0.49359999999999998</v>
          </cell>
          <cell r="J33">
            <v>0.34360000000000002</v>
          </cell>
          <cell r="K33">
            <v>5.5761000000000003</v>
          </cell>
          <cell r="L33">
            <v>0.94950000000000001</v>
          </cell>
          <cell r="M33">
            <v>0.22470000000000001</v>
          </cell>
          <cell r="N33">
            <v>0.3276</v>
          </cell>
        </row>
        <row r="34">
          <cell r="A34">
            <v>35096</v>
          </cell>
          <cell r="B34">
            <v>13.6</v>
          </cell>
          <cell r="C34">
            <v>150</v>
          </cell>
          <cell r="D34" t="str">
            <v>Thirtieth</v>
          </cell>
          <cell r="E34">
            <v>2.1000000000000001E-2</v>
          </cell>
          <cell r="F34">
            <v>1.0106999999999999</v>
          </cell>
          <cell r="G34">
            <v>0.5585</v>
          </cell>
          <cell r="H34">
            <v>0.40849999999999997</v>
          </cell>
          <cell r="I34">
            <v>0.49359999999999998</v>
          </cell>
          <cell r="J34">
            <v>0.34360000000000002</v>
          </cell>
          <cell r="K34">
            <v>5.6570999999999998</v>
          </cell>
          <cell r="L34">
            <v>0.96340000000000003</v>
          </cell>
          <cell r="M34">
            <v>0.2092</v>
          </cell>
          <cell r="N34">
            <v>0.31209999999999999</v>
          </cell>
        </row>
        <row r="35">
          <cell r="A35">
            <v>35125</v>
          </cell>
          <cell r="B35">
            <v>13.6</v>
          </cell>
          <cell r="C35">
            <v>150</v>
          </cell>
          <cell r="D35" t="str">
            <v>Thirty-first</v>
          </cell>
          <cell r="E35">
            <v>2.1000000000000001E-2</v>
          </cell>
          <cell r="F35">
            <v>1.0615000000000001</v>
          </cell>
          <cell r="G35">
            <v>0.5585</v>
          </cell>
          <cell r="H35">
            <v>0.40849999999999997</v>
          </cell>
          <cell r="I35">
            <v>0.49359999999999998</v>
          </cell>
          <cell r="J35">
            <v>0.34360000000000002</v>
          </cell>
          <cell r="K35">
            <v>5.6666999999999996</v>
          </cell>
          <cell r="L35">
            <v>1.0442</v>
          </cell>
          <cell r="M35">
            <v>0.28889999999999999</v>
          </cell>
          <cell r="N35">
            <v>0.33700000000000002</v>
          </cell>
        </row>
        <row r="36">
          <cell r="A36">
            <v>35156</v>
          </cell>
          <cell r="B36">
            <v>13.6</v>
          </cell>
          <cell r="C36">
            <v>150</v>
          </cell>
          <cell r="D36" t="str">
            <v>Thirty-second</v>
          </cell>
          <cell r="E36">
            <v>2.1000000000000001E-2</v>
          </cell>
          <cell r="F36">
            <v>1.0615000000000001</v>
          </cell>
          <cell r="G36">
            <v>0.5585</v>
          </cell>
          <cell r="H36">
            <v>0.40849999999999997</v>
          </cell>
          <cell r="I36">
            <v>0.49359999999999998</v>
          </cell>
          <cell r="J36">
            <v>0.34360000000000002</v>
          </cell>
          <cell r="K36">
            <v>4.9048999999999996</v>
          </cell>
          <cell r="L36">
            <v>1.0583</v>
          </cell>
          <cell r="M36">
            <v>0.30909999999999999</v>
          </cell>
          <cell r="N36">
            <v>0.3327</v>
          </cell>
        </row>
        <row r="37">
          <cell r="A37">
            <v>35186</v>
          </cell>
          <cell r="B37">
            <v>13.6</v>
          </cell>
          <cell r="C37">
            <v>150</v>
          </cell>
          <cell r="D37" t="str">
            <v>Thirty-third</v>
          </cell>
          <cell r="E37">
            <v>2.1000000000000001E-2</v>
          </cell>
          <cell r="F37">
            <v>1.0615000000000001</v>
          </cell>
          <cell r="G37">
            <v>0.5585</v>
          </cell>
          <cell r="H37">
            <v>0.40849999999999997</v>
          </cell>
          <cell r="I37">
            <v>0.49359999999999998</v>
          </cell>
          <cell r="J37">
            <v>0.34360000000000002</v>
          </cell>
          <cell r="K37">
            <v>4.9048999999999996</v>
          </cell>
          <cell r="L37">
            <v>0.94279999999999997</v>
          </cell>
          <cell r="M37">
            <v>0.2787</v>
          </cell>
          <cell r="N37">
            <v>0.30230000000000001</v>
          </cell>
        </row>
        <row r="38">
          <cell r="A38">
            <v>35217</v>
          </cell>
          <cell r="B38">
            <v>13.6</v>
          </cell>
          <cell r="C38">
            <v>150</v>
          </cell>
          <cell r="D38" t="str">
            <v>Thirty-fourth</v>
          </cell>
          <cell r="E38">
            <v>2.1000000000000001E-2</v>
          </cell>
          <cell r="F38">
            <v>1.0615000000000001</v>
          </cell>
          <cell r="G38">
            <v>0.5585</v>
          </cell>
          <cell r="H38">
            <v>0.40849999999999997</v>
          </cell>
          <cell r="I38">
            <v>0.49359999999999998</v>
          </cell>
          <cell r="J38">
            <v>0.34360000000000002</v>
          </cell>
          <cell r="K38">
            <v>4.5968999999999998</v>
          </cell>
          <cell r="L38">
            <v>0.80869999999999997</v>
          </cell>
          <cell r="M38">
            <v>0.1741</v>
          </cell>
          <cell r="N38">
            <v>0.245</v>
          </cell>
        </row>
        <row r="39">
          <cell r="A39">
            <v>35247</v>
          </cell>
          <cell r="B39">
            <v>13.6</v>
          </cell>
          <cell r="C39">
            <v>150</v>
          </cell>
          <cell r="D39" t="str">
            <v>Thirty-fifth</v>
          </cell>
          <cell r="E39">
            <v>2.1000000000000001E-2</v>
          </cell>
          <cell r="F39">
            <v>1.0615000000000001</v>
          </cell>
          <cell r="G39">
            <v>0.5585</v>
          </cell>
          <cell r="H39">
            <v>0.40849999999999997</v>
          </cell>
          <cell r="I39">
            <v>0.49359999999999998</v>
          </cell>
          <cell r="J39">
            <v>0.34360000000000002</v>
          </cell>
          <cell r="K39">
            <v>4.5968999999999998</v>
          </cell>
          <cell r="L39">
            <v>0.80269999999999997</v>
          </cell>
          <cell r="M39">
            <v>0.1719</v>
          </cell>
          <cell r="N39">
            <v>0.2445</v>
          </cell>
        </row>
        <row r="40">
          <cell r="A40">
            <v>35278</v>
          </cell>
          <cell r="B40">
            <v>13.6</v>
          </cell>
          <cell r="C40">
            <v>150</v>
          </cell>
          <cell r="D40" t="str">
            <v>Thirty-sixth</v>
          </cell>
          <cell r="E40">
            <v>2.1000000000000001E-2</v>
          </cell>
          <cell r="F40">
            <v>1.0615000000000001</v>
          </cell>
          <cell r="G40">
            <v>0.5585</v>
          </cell>
          <cell r="H40">
            <v>0.40849999999999997</v>
          </cell>
          <cell r="I40">
            <v>0.49359999999999998</v>
          </cell>
          <cell r="J40">
            <v>0.34360000000000002</v>
          </cell>
          <cell r="K40">
            <v>4.5575000000000001</v>
          </cell>
          <cell r="L40">
            <v>0.80049999999999999</v>
          </cell>
          <cell r="M40">
            <v>0.17130000000000001</v>
          </cell>
          <cell r="N40">
            <v>0.24390000000000001</v>
          </cell>
        </row>
        <row r="41">
          <cell r="A41">
            <v>35309</v>
          </cell>
          <cell r="B41">
            <v>13.6</v>
          </cell>
          <cell r="C41">
            <v>150</v>
          </cell>
          <cell r="D41" t="str">
            <v>Thirty-seventh</v>
          </cell>
          <cell r="E41">
            <v>2.1000000000000001E-2</v>
          </cell>
          <cell r="F41">
            <v>1.0615000000000001</v>
          </cell>
          <cell r="G41">
            <v>0.5585</v>
          </cell>
          <cell r="H41">
            <v>0.40849999999999997</v>
          </cell>
          <cell r="I41">
            <v>0.49359999999999998</v>
          </cell>
          <cell r="J41">
            <v>0.34360000000000002</v>
          </cell>
          <cell r="K41">
            <v>4.7096</v>
          </cell>
          <cell r="L41">
            <v>0.83299999999999996</v>
          </cell>
          <cell r="M41">
            <v>0.18279999999999999</v>
          </cell>
          <cell r="N41">
            <v>0.25540000000000002</v>
          </cell>
        </row>
        <row r="42">
          <cell r="A42">
            <v>35339</v>
          </cell>
          <cell r="B42">
            <v>13.6</v>
          </cell>
          <cell r="C42">
            <v>150</v>
          </cell>
          <cell r="D42" t="str">
            <v>Thirty-eighth</v>
          </cell>
          <cell r="E42">
            <v>2.1000000000000001E-2</v>
          </cell>
          <cell r="F42">
            <v>1.0615000000000001</v>
          </cell>
          <cell r="G42">
            <v>0.5585</v>
          </cell>
          <cell r="H42">
            <v>0.40849999999999997</v>
          </cell>
          <cell r="I42">
            <v>0.49359999999999998</v>
          </cell>
          <cell r="J42">
            <v>0.34360000000000002</v>
          </cell>
          <cell r="K42">
            <v>4.7243000000000004</v>
          </cell>
          <cell r="L42">
            <v>0.85729999999999995</v>
          </cell>
          <cell r="M42">
            <v>0.2155</v>
          </cell>
          <cell r="N42">
            <v>0.26500000000000001</v>
          </cell>
        </row>
        <row r="43">
          <cell r="A43">
            <v>35370</v>
          </cell>
          <cell r="B43">
            <v>13.6</v>
          </cell>
          <cell r="C43">
            <v>150</v>
          </cell>
          <cell r="D43" t="str">
            <v>Thirty-ninth</v>
          </cell>
          <cell r="E43">
            <v>2.1000000000000001E-2</v>
          </cell>
          <cell r="F43">
            <v>1.0615000000000001</v>
          </cell>
          <cell r="G43">
            <v>0.5585</v>
          </cell>
          <cell r="H43">
            <v>0.40849999999999997</v>
          </cell>
          <cell r="I43">
            <v>0.49359999999999998</v>
          </cell>
          <cell r="J43">
            <v>0.34360000000000002</v>
          </cell>
          <cell r="K43">
            <v>4.5213999999999999</v>
          </cell>
          <cell r="L43">
            <v>0.8196</v>
          </cell>
          <cell r="M43">
            <v>0.2054</v>
          </cell>
          <cell r="N43">
            <v>0.25490000000000002</v>
          </cell>
        </row>
        <row r="44">
          <cell r="A44">
            <v>35400</v>
          </cell>
          <cell r="B44">
            <v>13.6</v>
          </cell>
          <cell r="C44">
            <v>150</v>
          </cell>
          <cell r="D44" t="str">
            <v>Fortieth</v>
          </cell>
          <cell r="E44">
            <v>1.9E-2</v>
          </cell>
          <cell r="F44">
            <v>1.0615000000000001</v>
          </cell>
          <cell r="G44">
            <v>0.5585</v>
          </cell>
          <cell r="H44">
            <v>0.40849999999999997</v>
          </cell>
          <cell r="I44">
            <v>0.49359999999999998</v>
          </cell>
          <cell r="J44">
            <v>0.34360000000000002</v>
          </cell>
          <cell r="K44">
            <v>4.375</v>
          </cell>
          <cell r="L44">
            <v>0.79310000000000003</v>
          </cell>
          <cell r="M44">
            <v>0.1988</v>
          </cell>
          <cell r="N44">
            <v>0.24779999999999999</v>
          </cell>
        </row>
        <row r="45">
          <cell r="A45">
            <v>35431</v>
          </cell>
          <cell r="B45">
            <v>13.6</v>
          </cell>
          <cell r="C45">
            <v>150</v>
          </cell>
          <cell r="D45" t="str">
            <v>Forty-First</v>
          </cell>
          <cell r="E45">
            <v>1.9E-2</v>
          </cell>
          <cell r="F45">
            <v>1.0615000000000001</v>
          </cell>
          <cell r="G45">
            <v>0.5585</v>
          </cell>
          <cell r="H45">
            <v>0.40849999999999997</v>
          </cell>
          <cell r="I45">
            <v>0.49359999999999998</v>
          </cell>
          <cell r="J45">
            <v>0.34360000000000002</v>
          </cell>
          <cell r="K45">
            <v>4.375</v>
          </cell>
          <cell r="L45">
            <v>0.80520000000000003</v>
          </cell>
          <cell r="M45">
            <v>0.2109</v>
          </cell>
          <cell r="N45">
            <v>0.25990000000000002</v>
          </cell>
        </row>
        <row r="46">
          <cell r="A46">
            <v>35462</v>
          </cell>
          <cell r="B46">
            <v>13.6</v>
          </cell>
          <cell r="C46">
            <v>150</v>
          </cell>
          <cell r="D46" t="str">
            <v>Forty-Second</v>
          </cell>
          <cell r="E46">
            <v>1.9E-2</v>
          </cell>
          <cell r="F46">
            <v>1.0615000000000001</v>
          </cell>
          <cell r="G46">
            <v>0.5585</v>
          </cell>
          <cell r="H46">
            <v>0.40849999999999997</v>
          </cell>
          <cell r="I46">
            <v>0.49359999999999998</v>
          </cell>
          <cell r="J46">
            <v>0.34360000000000002</v>
          </cell>
          <cell r="K46">
            <v>4.375</v>
          </cell>
          <cell r="L46">
            <v>0.80510000000000004</v>
          </cell>
          <cell r="M46">
            <v>0.21079999999999999</v>
          </cell>
          <cell r="N46">
            <v>0.25979999999999998</v>
          </cell>
        </row>
        <row r="47">
          <cell r="A47">
            <v>35490</v>
          </cell>
          <cell r="B47">
            <v>13.6</v>
          </cell>
          <cell r="C47">
            <v>150</v>
          </cell>
          <cell r="D47" t="str">
            <v>Forty-Third</v>
          </cell>
          <cell r="E47">
            <v>1.9E-2</v>
          </cell>
          <cell r="F47">
            <v>1.0615000000000001</v>
          </cell>
          <cell r="G47">
            <v>0.5585</v>
          </cell>
          <cell r="H47">
            <v>0.40849999999999997</v>
          </cell>
          <cell r="I47">
            <v>0.49359999999999998</v>
          </cell>
          <cell r="J47">
            <v>0.34360000000000002</v>
          </cell>
          <cell r="K47">
            <v>4.3760000000000003</v>
          </cell>
          <cell r="L47">
            <v>0.8054</v>
          </cell>
          <cell r="M47">
            <v>0.2109</v>
          </cell>
          <cell r="N47">
            <v>0.25990000000000002</v>
          </cell>
        </row>
        <row r="48">
          <cell r="A48">
            <v>35521</v>
          </cell>
          <cell r="B48">
            <v>13.6</v>
          </cell>
          <cell r="C48">
            <v>150</v>
          </cell>
          <cell r="D48" t="str">
            <v>Forty-Fourth</v>
          </cell>
          <cell r="E48">
            <v>1.9E-2</v>
          </cell>
          <cell r="F48">
            <v>1.0615000000000001</v>
          </cell>
          <cell r="G48">
            <v>0.5585</v>
          </cell>
          <cell r="H48">
            <v>0.40849999999999997</v>
          </cell>
          <cell r="I48">
            <v>0.49359999999999998</v>
          </cell>
          <cell r="J48">
            <v>0.34360000000000002</v>
          </cell>
          <cell r="K48">
            <v>4.2912999999999997</v>
          </cell>
          <cell r="L48">
            <v>0.78969999999999996</v>
          </cell>
          <cell r="M48">
            <v>0.20669999999999999</v>
          </cell>
          <cell r="N48">
            <v>0.25569999999999998</v>
          </cell>
        </row>
        <row r="49">
          <cell r="A49">
            <v>35551</v>
          </cell>
          <cell r="B49">
            <v>13.6</v>
          </cell>
          <cell r="C49">
            <v>150</v>
          </cell>
          <cell r="D49" t="str">
            <v>Forty-Fifth</v>
          </cell>
          <cell r="E49">
            <v>1.9E-2</v>
          </cell>
          <cell r="F49">
            <v>1.0615000000000001</v>
          </cell>
          <cell r="G49">
            <v>0.5585</v>
          </cell>
          <cell r="H49">
            <v>0.40849999999999997</v>
          </cell>
          <cell r="I49">
            <v>0.49359999999999998</v>
          </cell>
          <cell r="J49">
            <v>0.34360000000000002</v>
          </cell>
          <cell r="K49">
            <v>4.2912999999999997</v>
          </cell>
          <cell r="L49">
            <v>0.78969999999999996</v>
          </cell>
          <cell r="M49">
            <v>0.20669999999999999</v>
          </cell>
          <cell r="N49">
            <v>0.25569999999999998</v>
          </cell>
        </row>
        <row r="50">
          <cell r="A50">
            <v>35582</v>
          </cell>
          <cell r="B50">
            <v>13.6</v>
          </cell>
          <cell r="C50">
            <v>150</v>
          </cell>
          <cell r="D50" t="str">
            <v>Forty-Sixth</v>
          </cell>
          <cell r="E50">
            <v>1.9E-2</v>
          </cell>
          <cell r="F50">
            <v>1.0615000000000001</v>
          </cell>
          <cell r="G50">
            <v>0.5585</v>
          </cell>
          <cell r="H50">
            <v>0.40849999999999997</v>
          </cell>
          <cell r="I50">
            <v>0.49359999999999998</v>
          </cell>
          <cell r="J50">
            <v>0.34360000000000002</v>
          </cell>
          <cell r="K50">
            <v>4.5613000000000001</v>
          </cell>
          <cell r="L50">
            <v>0.89570000000000005</v>
          </cell>
          <cell r="M50">
            <v>0.27610000000000001</v>
          </cell>
          <cell r="N50">
            <v>0.27779999999999999</v>
          </cell>
        </row>
        <row r="51">
          <cell r="A51">
            <v>35612</v>
          </cell>
          <cell r="B51">
            <v>13.6</v>
          </cell>
          <cell r="C51">
            <v>150</v>
          </cell>
          <cell r="D51" t="str">
            <v>Forty-Seventh</v>
          </cell>
          <cell r="E51">
            <v>1.9E-2</v>
          </cell>
          <cell r="F51">
            <v>1.0615000000000001</v>
          </cell>
          <cell r="G51">
            <v>0.5585</v>
          </cell>
          <cell r="H51">
            <v>0.40849999999999997</v>
          </cell>
          <cell r="I51">
            <v>0.49359999999999998</v>
          </cell>
          <cell r="J51">
            <v>0.34360000000000002</v>
          </cell>
          <cell r="K51">
            <v>4.5613000000000001</v>
          </cell>
          <cell r="L51">
            <v>0.84919999999999995</v>
          </cell>
          <cell r="M51">
            <v>0.2296</v>
          </cell>
          <cell r="N51">
            <v>0.26490000000000002</v>
          </cell>
        </row>
        <row r="52">
          <cell r="A52">
            <v>35643</v>
          </cell>
          <cell r="B52">
            <v>13.6</v>
          </cell>
          <cell r="C52">
            <v>150</v>
          </cell>
          <cell r="D52" t="str">
            <v>Forty-Eighth</v>
          </cell>
          <cell r="E52">
            <v>1.9E-2</v>
          </cell>
          <cell r="F52">
            <v>1.0615000000000001</v>
          </cell>
          <cell r="G52">
            <v>0.5585</v>
          </cell>
          <cell r="H52">
            <v>0.40849999999999997</v>
          </cell>
          <cell r="I52">
            <v>0.49359999999999998</v>
          </cell>
          <cell r="J52">
            <v>0.34360000000000002</v>
          </cell>
          <cell r="K52">
            <v>5.3216000000000001</v>
          </cell>
          <cell r="L52">
            <v>0.98919999999999997</v>
          </cell>
          <cell r="M52">
            <v>0.26629999999999998</v>
          </cell>
          <cell r="N52">
            <v>0.30159999999999998</v>
          </cell>
        </row>
        <row r="53">
          <cell r="A53">
            <v>35674</v>
          </cell>
          <cell r="B53">
            <v>13.6</v>
          </cell>
          <cell r="C53">
            <v>150</v>
          </cell>
          <cell r="D53" t="str">
            <v>Forty-Ninth</v>
          </cell>
          <cell r="E53">
            <v>1.9E-2</v>
          </cell>
          <cell r="F53">
            <v>1.0615000000000001</v>
          </cell>
          <cell r="G53">
            <v>0.5585</v>
          </cell>
          <cell r="H53">
            <v>0.40849999999999997</v>
          </cell>
          <cell r="I53">
            <v>0.49359999999999998</v>
          </cell>
          <cell r="J53">
            <v>0.34360000000000002</v>
          </cell>
          <cell r="K53">
            <v>4.5003000000000002</v>
          </cell>
          <cell r="L53">
            <v>0.83699999999999997</v>
          </cell>
          <cell r="M53">
            <v>0.22570000000000001</v>
          </cell>
          <cell r="N53">
            <v>0.26100000000000001</v>
          </cell>
        </row>
        <row r="54">
          <cell r="A54">
            <v>35704</v>
          </cell>
          <cell r="B54">
            <v>13.6</v>
          </cell>
          <cell r="C54">
            <v>150</v>
          </cell>
          <cell r="D54" t="str">
            <v>Fiftieth</v>
          </cell>
          <cell r="E54">
            <v>1.9E-2</v>
          </cell>
          <cell r="F54">
            <v>1.0615000000000001</v>
          </cell>
          <cell r="G54">
            <v>0.5585</v>
          </cell>
          <cell r="H54">
            <v>0.40849999999999997</v>
          </cell>
          <cell r="I54">
            <v>0.49359999999999998</v>
          </cell>
          <cell r="J54">
            <v>0.34360000000000002</v>
          </cell>
          <cell r="K54">
            <v>4.7756999999999996</v>
          </cell>
          <cell r="L54">
            <v>0.85189999999999999</v>
          </cell>
          <cell r="M54">
            <v>0.2329</v>
          </cell>
          <cell r="N54">
            <v>0.26819999999999999</v>
          </cell>
        </row>
        <row r="55">
          <cell r="A55">
            <v>35735</v>
          </cell>
          <cell r="B55">
            <v>13.6</v>
          </cell>
          <cell r="C55">
            <v>150</v>
          </cell>
          <cell r="D55" t="str">
            <v>Fifty-first</v>
          </cell>
          <cell r="E55">
            <v>1.9E-2</v>
          </cell>
          <cell r="F55">
            <v>1.0615000000000001</v>
          </cell>
          <cell r="G55">
            <v>0.5585</v>
          </cell>
          <cell r="H55">
            <v>0.40849999999999997</v>
          </cell>
          <cell r="I55">
            <v>0.49359999999999998</v>
          </cell>
          <cell r="J55">
            <v>0.34360000000000002</v>
          </cell>
          <cell r="K55">
            <v>4.7756999999999996</v>
          </cell>
          <cell r="L55">
            <v>0.85189999999999999</v>
          </cell>
          <cell r="M55">
            <v>0.2329</v>
          </cell>
          <cell r="N55">
            <v>0.26819999999999999</v>
          </cell>
        </row>
        <row r="56">
          <cell r="A56">
            <v>35765</v>
          </cell>
          <cell r="B56">
            <v>13.6</v>
          </cell>
          <cell r="C56">
            <v>150</v>
          </cell>
          <cell r="D56" t="str">
            <v>Fifty-second</v>
          </cell>
          <cell r="E56">
            <v>1.9E-2</v>
          </cell>
          <cell r="F56">
            <v>1.0615000000000001</v>
          </cell>
          <cell r="G56">
            <v>0.5585</v>
          </cell>
          <cell r="H56">
            <v>0.40849999999999997</v>
          </cell>
          <cell r="I56">
            <v>0.49359999999999998</v>
          </cell>
          <cell r="J56">
            <v>0.34360000000000002</v>
          </cell>
          <cell r="K56">
            <v>5.6473000000000004</v>
          </cell>
          <cell r="L56">
            <v>1.0055000000000001</v>
          </cell>
          <cell r="M56">
            <v>0.27350000000000002</v>
          </cell>
          <cell r="N56">
            <v>0.30880000000000002</v>
          </cell>
        </row>
        <row r="57">
          <cell r="A57">
            <v>35796</v>
          </cell>
          <cell r="B57">
            <v>13.6</v>
          </cell>
          <cell r="C57">
            <v>150</v>
          </cell>
          <cell r="D57" t="str">
            <v>Fifty-third</v>
          </cell>
          <cell r="E57">
            <v>1.6E-2</v>
          </cell>
          <cell r="F57">
            <v>1.0615000000000001</v>
          </cell>
          <cell r="G57">
            <v>0.5585</v>
          </cell>
          <cell r="H57">
            <v>0.40849999999999997</v>
          </cell>
          <cell r="I57">
            <v>0.49359999999999998</v>
          </cell>
          <cell r="J57">
            <v>0.34360000000000002</v>
          </cell>
          <cell r="K57">
            <v>5.6473000000000004</v>
          </cell>
          <cell r="L57">
            <v>1.0055000000000001</v>
          </cell>
          <cell r="M57">
            <v>0.27350000000000002</v>
          </cell>
          <cell r="N57">
            <v>0.30880000000000002</v>
          </cell>
        </row>
        <row r="58">
          <cell r="A58">
            <v>35827</v>
          </cell>
          <cell r="B58">
            <v>13.6</v>
          </cell>
          <cell r="C58">
            <v>150</v>
          </cell>
          <cell r="D58" t="str">
            <v>Fifty-fourth</v>
          </cell>
          <cell r="E58">
            <v>1.6E-2</v>
          </cell>
          <cell r="F58">
            <v>1.0615000000000001</v>
          </cell>
          <cell r="G58">
            <v>0.5585</v>
          </cell>
          <cell r="H58">
            <v>0.40849999999999997</v>
          </cell>
          <cell r="I58">
            <v>0.49359999999999998</v>
          </cell>
          <cell r="J58">
            <v>0.34360000000000002</v>
          </cell>
          <cell r="K58">
            <v>5.6473000000000004</v>
          </cell>
          <cell r="L58">
            <v>1.0055000000000001</v>
          </cell>
          <cell r="M58">
            <v>0.27350000000000002</v>
          </cell>
          <cell r="N58">
            <v>0.30880000000000002</v>
          </cell>
        </row>
        <row r="59">
          <cell r="A59">
            <v>35855</v>
          </cell>
          <cell r="B59">
            <v>13.6</v>
          </cell>
          <cell r="C59">
            <v>150</v>
          </cell>
          <cell r="D59" t="str">
            <v>Fifty-fifth</v>
          </cell>
          <cell r="E59">
            <v>1.6E-2</v>
          </cell>
          <cell r="F59">
            <v>1.0615000000000001</v>
          </cell>
          <cell r="G59">
            <v>0.5585</v>
          </cell>
          <cell r="H59">
            <v>0.40849999999999997</v>
          </cell>
          <cell r="I59">
            <v>0.49359999999999998</v>
          </cell>
          <cell r="J59">
            <v>0.34360000000000002</v>
          </cell>
          <cell r="K59">
            <v>4.9629000000000003</v>
          </cell>
          <cell r="L59">
            <v>0.85660000000000003</v>
          </cell>
          <cell r="M59">
            <v>0.21329999999999999</v>
          </cell>
          <cell r="N59">
            <v>0.24859999999999999</v>
          </cell>
        </row>
        <row r="60">
          <cell r="A60">
            <v>35886</v>
          </cell>
          <cell r="B60">
            <v>13.6</v>
          </cell>
          <cell r="C60">
            <v>150</v>
          </cell>
          <cell r="D60" t="str">
            <v>Fifty-sixth</v>
          </cell>
          <cell r="E60">
            <v>1.6E-2</v>
          </cell>
          <cell r="F60">
            <v>1.0615000000000001</v>
          </cell>
          <cell r="G60">
            <v>0.5585</v>
          </cell>
          <cell r="H60">
            <v>0.40849999999999997</v>
          </cell>
          <cell r="I60">
            <v>0.49359999999999998</v>
          </cell>
          <cell r="J60">
            <v>0.34360000000000002</v>
          </cell>
          <cell r="K60">
            <v>4.6656000000000004</v>
          </cell>
          <cell r="L60">
            <v>0.79020000000000001</v>
          </cell>
          <cell r="M60">
            <v>0.1867</v>
          </cell>
          <cell r="N60">
            <v>0.222</v>
          </cell>
        </row>
        <row r="61">
          <cell r="A61">
            <v>35916</v>
          </cell>
          <cell r="B61">
            <v>13.6</v>
          </cell>
          <cell r="C61">
            <v>150</v>
          </cell>
          <cell r="D61" t="str">
            <v>Fifty-seventh</v>
          </cell>
          <cell r="E61">
            <v>1.6E-2</v>
          </cell>
          <cell r="F61">
            <v>1.0615000000000001</v>
          </cell>
          <cell r="G61">
            <v>0.5585</v>
          </cell>
          <cell r="H61">
            <v>0.40849999999999997</v>
          </cell>
          <cell r="I61">
            <v>0.49359999999999998</v>
          </cell>
          <cell r="J61">
            <v>0.34360000000000002</v>
          </cell>
          <cell r="K61">
            <v>4.6555999999999997</v>
          </cell>
          <cell r="L61">
            <v>0.79020000000000001</v>
          </cell>
          <cell r="M61">
            <v>0.1867</v>
          </cell>
          <cell r="N61">
            <v>0.222</v>
          </cell>
        </row>
        <row r="62">
          <cell r="A62">
            <v>35947</v>
          </cell>
          <cell r="B62">
            <v>13.6</v>
          </cell>
          <cell r="C62">
            <v>150</v>
          </cell>
          <cell r="D62" t="str">
            <v>Fifty-eighth</v>
          </cell>
          <cell r="E62">
            <v>1.6E-2</v>
          </cell>
          <cell r="F62">
            <v>1.0615000000000001</v>
          </cell>
          <cell r="G62">
            <v>0.5585</v>
          </cell>
          <cell r="H62">
            <v>0.40849999999999997</v>
          </cell>
          <cell r="I62">
            <v>0.49359999999999998</v>
          </cell>
          <cell r="J62">
            <v>0.34360000000000002</v>
          </cell>
          <cell r="K62">
            <v>4.6555999999999997</v>
          </cell>
          <cell r="L62">
            <v>0.83899999999999997</v>
          </cell>
          <cell r="M62">
            <v>0.23549999999999999</v>
          </cell>
          <cell r="N62">
            <v>0.23549999999999999</v>
          </cell>
        </row>
        <row r="63">
          <cell r="A63">
            <v>35977</v>
          </cell>
          <cell r="B63">
            <v>13.6</v>
          </cell>
          <cell r="C63">
            <v>150</v>
          </cell>
          <cell r="D63" t="str">
            <v>Fifty-ninth</v>
          </cell>
          <cell r="E63">
            <v>1.6E-2</v>
          </cell>
          <cell r="F63">
            <v>1.0615000000000001</v>
          </cell>
          <cell r="G63">
            <v>0.5585</v>
          </cell>
          <cell r="H63">
            <v>0.40849999999999997</v>
          </cell>
          <cell r="I63">
            <v>0.49359999999999998</v>
          </cell>
          <cell r="J63">
            <v>0.34360000000000002</v>
          </cell>
          <cell r="K63">
            <v>4.6656000000000004</v>
          </cell>
          <cell r="L63">
            <v>0.83599999999999997</v>
          </cell>
          <cell r="M63">
            <v>0.23250000000000001</v>
          </cell>
          <cell r="N63">
            <v>0.23469999999999999</v>
          </cell>
        </row>
        <row r="64">
          <cell r="A64">
            <v>36008</v>
          </cell>
          <cell r="B64">
            <v>13.6</v>
          </cell>
          <cell r="C64">
            <v>150</v>
          </cell>
          <cell r="D64" t="str">
            <v>Sixtieth</v>
          </cell>
          <cell r="E64">
            <v>1.6E-2</v>
          </cell>
          <cell r="F64">
            <v>1.0615000000000001</v>
          </cell>
          <cell r="G64">
            <v>0.5585</v>
          </cell>
          <cell r="H64">
            <v>0.40849999999999997</v>
          </cell>
          <cell r="I64">
            <v>0.49359999999999998</v>
          </cell>
          <cell r="J64">
            <v>0.34360000000000002</v>
          </cell>
          <cell r="K64">
            <v>4.6656000000000004</v>
          </cell>
          <cell r="L64">
            <v>0.83599999999999997</v>
          </cell>
          <cell r="M64">
            <v>0.23250000000000001</v>
          </cell>
          <cell r="N64">
            <v>0.23469999999999999</v>
          </cell>
        </row>
        <row r="65">
          <cell r="A65">
            <v>36039</v>
          </cell>
          <cell r="B65">
            <v>13.6</v>
          </cell>
          <cell r="C65">
            <v>150</v>
          </cell>
          <cell r="D65" t="str">
            <v>Sixty-first</v>
          </cell>
          <cell r="E65">
            <v>1.6E-2</v>
          </cell>
          <cell r="F65">
            <v>1.0615000000000001</v>
          </cell>
          <cell r="G65">
            <v>0.5585</v>
          </cell>
          <cell r="H65">
            <v>0.40849999999999997</v>
          </cell>
          <cell r="I65">
            <v>0.49359999999999998</v>
          </cell>
          <cell r="J65">
            <v>0.34360000000000002</v>
          </cell>
          <cell r="K65">
            <v>4.6555999999999997</v>
          </cell>
          <cell r="L65">
            <v>0.83599999999999997</v>
          </cell>
          <cell r="M65">
            <v>0.23250000000000001</v>
          </cell>
          <cell r="N65">
            <v>0.23469999999999999</v>
          </cell>
        </row>
        <row r="66">
          <cell r="A66">
            <v>36069</v>
          </cell>
          <cell r="B66">
            <v>13.6</v>
          </cell>
          <cell r="C66">
            <v>150</v>
          </cell>
          <cell r="D66" t="str">
            <v>Sixty-second</v>
          </cell>
          <cell r="E66">
            <v>1.6E-2</v>
          </cell>
          <cell r="F66">
            <v>1.0615000000000001</v>
          </cell>
          <cell r="G66">
            <v>0.5585</v>
          </cell>
          <cell r="H66">
            <v>0.40849999999999997</v>
          </cell>
          <cell r="I66">
            <v>0.49359999999999998</v>
          </cell>
          <cell r="J66">
            <v>0.34360000000000002</v>
          </cell>
          <cell r="K66">
            <v>4.6555999999999997</v>
          </cell>
          <cell r="L66">
            <v>0.83599999999999997</v>
          </cell>
          <cell r="M66">
            <v>0.23250000000000001</v>
          </cell>
          <cell r="N66">
            <v>0.23469999999999999</v>
          </cell>
        </row>
        <row r="67">
          <cell r="A67">
            <v>36100</v>
          </cell>
          <cell r="B67">
            <v>13.6</v>
          </cell>
          <cell r="C67">
            <v>150</v>
          </cell>
          <cell r="D67" t="str">
            <v>Sixty-third</v>
          </cell>
          <cell r="E67">
            <v>1.6E-2</v>
          </cell>
          <cell r="F67">
            <v>1.0615000000000001</v>
          </cell>
          <cell r="G67">
            <v>0.5585</v>
          </cell>
          <cell r="H67">
            <v>0.40849999999999997</v>
          </cell>
          <cell r="I67">
            <v>0.49359999999999998</v>
          </cell>
          <cell r="J67">
            <v>0.34360000000000002</v>
          </cell>
          <cell r="K67">
            <v>4.2808999999999999</v>
          </cell>
          <cell r="L67">
            <v>0.76990000000000003</v>
          </cell>
          <cell r="M67">
            <v>0.215</v>
          </cell>
          <cell r="N67">
            <v>0.2172</v>
          </cell>
        </row>
        <row r="68">
          <cell r="A68">
            <v>36130</v>
          </cell>
          <cell r="B68">
            <v>13.6</v>
          </cell>
          <cell r="C68">
            <v>150</v>
          </cell>
          <cell r="D68" t="str">
            <v>Sixty-fourth</v>
          </cell>
          <cell r="E68">
            <v>1.6E-2</v>
          </cell>
          <cell r="F68">
            <v>1.0615000000000001</v>
          </cell>
          <cell r="G68">
            <v>0.5585</v>
          </cell>
          <cell r="H68">
            <v>0.40849999999999997</v>
          </cell>
          <cell r="I68">
            <v>0.49359999999999998</v>
          </cell>
          <cell r="J68">
            <v>0.34360000000000002</v>
          </cell>
          <cell r="K68">
            <v>4.2808999999999999</v>
          </cell>
          <cell r="L68">
            <v>0.76990000000000003</v>
          </cell>
          <cell r="M68">
            <v>0.215</v>
          </cell>
          <cell r="N68">
            <v>0.2172</v>
          </cell>
        </row>
        <row r="69">
          <cell r="A69">
            <v>36161</v>
          </cell>
          <cell r="B69">
            <v>13.6</v>
          </cell>
          <cell r="C69">
            <v>150</v>
          </cell>
          <cell r="D69" t="str">
            <v>Sixty-fifth</v>
          </cell>
          <cell r="E69">
            <v>1.9E-2</v>
          </cell>
          <cell r="F69">
            <v>1.0615000000000001</v>
          </cell>
          <cell r="G69">
            <v>0.5585</v>
          </cell>
          <cell r="H69">
            <v>0.40849999999999997</v>
          </cell>
          <cell r="I69">
            <v>0.49359999999999998</v>
          </cell>
          <cell r="J69">
            <v>0.34360000000000002</v>
          </cell>
          <cell r="K69">
            <v>4.2808999999999999</v>
          </cell>
          <cell r="L69">
            <v>0.76990000000000003</v>
          </cell>
          <cell r="M69">
            <v>0.215</v>
          </cell>
          <cell r="N69">
            <v>0.2172</v>
          </cell>
        </row>
        <row r="70">
          <cell r="A70">
            <v>36192</v>
          </cell>
          <cell r="B70">
            <v>13.6</v>
          </cell>
          <cell r="C70">
            <v>150</v>
          </cell>
          <cell r="D70" t="str">
            <v>Sixty-sixth</v>
          </cell>
          <cell r="E70">
            <v>1.9E-2</v>
          </cell>
          <cell r="F70">
            <v>1.0615000000000001</v>
          </cell>
          <cell r="G70">
            <v>0.5585</v>
          </cell>
          <cell r="H70">
            <v>0.40849999999999997</v>
          </cell>
          <cell r="I70">
            <v>0.49359999999999998</v>
          </cell>
          <cell r="J70">
            <v>0.34360000000000002</v>
          </cell>
          <cell r="K70">
            <v>4.2808999999999999</v>
          </cell>
          <cell r="L70">
            <v>0.76990000000000003</v>
          </cell>
          <cell r="M70">
            <v>0.215</v>
          </cell>
          <cell r="N70">
            <v>0.2172</v>
          </cell>
        </row>
        <row r="71">
          <cell r="A71">
            <v>36220</v>
          </cell>
          <cell r="B71">
            <v>13.6</v>
          </cell>
          <cell r="C71">
            <v>150</v>
          </cell>
          <cell r="D71" t="str">
            <v>Sixty-seventh</v>
          </cell>
          <cell r="E71">
            <v>1.9E-2</v>
          </cell>
          <cell r="F71">
            <v>1.0615000000000001</v>
          </cell>
          <cell r="G71">
            <v>0.5585</v>
          </cell>
          <cell r="H71">
            <v>0.40849999999999997</v>
          </cell>
          <cell r="I71">
            <v>0.49359999999999998</v>
          </cell>
          <cell r="J71">
            <v>0.34360000000000002</v>
          </cell>
          <cell r="K71">
            <v>4.2808999999999999</v>
          </cell>
          <cell r="L71">
            <v>0.76990000000000003</v>
          </cell>
          <cell r="M71">
            <v>0.215</v>
          </cell>
          <cell r="N71">
            <v>0.2172</v>
          </cell>
        </row>
        <row r="72">
          <cell r="A72">
            <v>36251</v>
          </cell>
          <cell r="B72">
            <v>13.6</v>
          </cell>
          <cell r="C72">
            <v>150</v>
          </cell>
          <cell r="D72" t="str">
            <v>Sixty-eighth</v>
          </cell>
          <cell r="E72">
            <v>1.9E-2</v>
          </cell>
          <cell r="F72">
            <v>1.0615000000000001</v>
          </cell>
          <cell r="G72">
            <v>0.5585</v>
          </cell>
          <cell r="H72">
            <v>0.40849999999999997</v>
          </cell>
          <cell r="I72">
            <v>0.49359999999999998</v>
          </cell>
          <cell r="J72">
            <v>0.34360000000000002</v>
          </cell>
          <cell r="K72">
            <v>4.2808999999999999</v>
          </cell>
          <cell r="L72">
            <v>0.72870000000000001</v>
          </cell>
          <cell r="M72">
            <v>0.17380000000000001</v>
          </cell>
          <cell r="N72">
            <v>0.20619999999999999</v>
          </cell>
        </row>
        <row r="73">
          <cell r="A73">
            <v>36281</v>
          </cell>
          <cell r="B73">
            <v>13.6</v>
          </cell>
          <cell r="C73">
            <v>150</v>
          </cell>
          <cell r="D73" t="str">
            <v>Sixty-ninth</v>
          </cell>
          <cell r="E73">
            <v>1.9E-2</v>
          </cell>
          <cell r="F73">
            <v>1.0615000000000001</v>
          </cell>
          <cell r="G73">
            <v>0.5585</v>
          </cell>
          <cell r="H73">
            <v>0.40849999999999997</v>
          </cell>
          <cell r="I73">
            <v>0.49359999999999998</v>
          </cell>
          <cell r="J73">
            <v>0.34360000000000002</v>
          </cell>
          <cell r="K73">
            <v>4.2808999999999999</v>
          </cell>
          <cell r="L73">
            <v>0.72870000000000001</v>
          </cell>
          <cell r="M73">
            <v>0.17380000000000001</v>
          </cell>
          <cell r="N73">
            <v>0.20619999999999999</v>
          </cell>
        </row>
        <row r="74">
          <cell r="A74">
            <v>36312</v>
          </cell>
          <cell r="B74">
            <v>13.6</v>
          </cell>
          <cell r="C74">
            <v>150</v>
          </cell>
          <cell r="D74" t="str">
            <v>Seventieth</v>
          </cell>
          <cell r="E74">
            <v>1.9E-2</v>
          </cell>
          <cell r="F74">
            <v>1.0615000000000001</v>
          </cell>
          <cell r="G74">
            <v>0.5585</v>
          </cell>
          <cell r="H74">
            <v>0.40849999999999997</v>
          </cell>
          <cell r="I74">
            <v>0.49359999999999998</v>
          </cell>
          <cell r="J74">
            <v>0.34360000000000002</v>
          </cell>
          <cell r="K74">
            <v>4.2808999999999999</v>
          </cell>
          <cell r="L74">
            <v>0.72870000000000001</v>
          </cell>
          <cell r="M74">
            <v>0.17380000000000001</v>
          </cell>
          <cell r="N74">
            <v>0.20619999999999999</v>
          </cell>
        </row>
        <row r="75">
          <cell r="A75">
            <v>36342</v>
          </cell>
          <cell r="B75">
            <v>13.6</v>
          </cell>
          <cell r="C75">
            <v>150</v>
          </cell>
          <cell r="D75" t="str">
            <v>Seventy-first</v>
          </cell>
          <cell r="E75">
            <v>1.9E-2</v>
          </cell>
          <cell r="F75">
            <v>1.0615000000000001</v>
          </cell>
          <cell r="G75">
            <v>0.5585</v>
          </cell>
          <cell r="H75">
            <v>0.40849999999999997</v>
          </cell>
          <cell r="I75">
            <v>0.49359999999999998</v>
          </cell>
          <cell r="J75">
            <v>0.34360000000000002</v>
          </cell>
          <cell r="K75">
            <v>4.2808999999999999</v>
          </cell>
          <cell r="L75">
            <v>0.73170000000000002</v>
          </cell>
          <cell r="M75">
            <v>0.17680000000000001</v>
          </cell>
          <cell r="N75">
            <v>0.20699999999999999</v>
          </cell>
        </row>
        <row r="76">
          <cell r="A76">
            <v>36373</v>
          </cell>
          <cell r="B76">
            <v>13.6</v>
          </cell>
          <cell r="C76">
            <v>150</v>
          </cell>
          <cell r="D76" t="str">
            <v>Seventy-second</v>
          </cell>
          <cell r="E76">
            <v>1.9E-2</v>
          </cell>
          <cell r="F76">
            <v>1.0615000000000001</v>
          </cell>
          <cell r="G76">
            <v>0.5585</v>
          </cell>
          <cell r="H76">
            <v>0.40849999999999997</v>
          </cell>
          <cell r="I76">
            <v>0.49359999999999998</v>
          </cell>
          <cell r="J76">
            <v>0.34360000000000002</v>
          </cell>
          <cell r="K76">
            <v>4.2808999999999999</v>
          </cell>
          <cell r="L76">
            <v>0.73170000000000002</v>
          </cell>
          <cell r="M76">
            <v>0.17680000000000001</v>
          </cell>
          <cell r="N76">
            <v>0.20699999999999999</v>
          </cell>
        </row>
        <row r="77">
          <cell r="A77">
            <v>36404</v>
          </cell>
          <cell r="B77">
            <v>13.6</v>
          </cell>
          <cell r="C77">
            <v>150</v>
          </cell>
          <cell r="D77" t="str">
            <v>Seventy-third</v>
          </cell>
          <cell r="E77">
            <v>1.9E-2</v>
          </cell>
          <cell r="F77">
            <v>1.0615000000000001</v>
          </cell>
          <cell r="G77">
            <v>0.5585</v>
          </cell>
          <cell r="H77">
            <v>0.40849999999999997</v>
          </cell>
          <cell r="I77">
            <v>0.49359999999999998</v>
          </cell>
          <cell r="J77">
            <v>0.34360000000000002</v>
          </cell>
          <cell r="K77">
            <v>4.2808999999999999</v>
          </cell>
          <cell r="L77">
            <v>0.73170000000000002</v>
          </cell>
          <cell r="M77">
            <v>0.17680000000000001</v>
          </cell>
          <cell r="N77">
            <v>0.20699999999999999</v>
          </cell>
        </row>
        <row r="78">
          <cell r="A78">
            <v>36434</v>
          </cell>
          <cell r="B78">
            <v>13.6</v>
          </cell>
          <cell r="C78">
            <v>150</v>
          </cell>
          <cell r="D78" t="str">
            <v>Seventy-fourth</v>
          </cell>
          <cell r="E78">
            <v>1.9E-2</v>
          </cell>
          <cell r="F78">
            <v>1.0615000000000001</v>
          </cell>
          <cell r="G78">
            <v>0.5585</v>
          </cell>
          <cell r="H78">
            <v>0.40849999999999997</v>
          </cell>
          <cell r="I78">
            <v>0.49359999999999998</v>
          </cell>
          <cell r="J78">
            <v>0.34360000000000002</v>
          </cell>
          <cell r="K78">
            <v>4.2808999999999999</v>
          </cell>
          <cell r="L78">
            <v>0.73170000000000002</v>
          </cell>
          <cell r="M78">
            <v>0.17680000000000001</v>
          </cell>
          <cell r="N78">
            <v>0.20699999999999999</v>
          </cell>
        </row>
        <row r="79">
          <cell r="A79">
            <v>36465</v>
          </cell>
          <cell r="B79">
            <v>13.6</v>
          </cell>
          <cell r="C79">
            <v>150</v>
          </cell>
          <cell r="D79" t="str">
            <v>Seventy-fifth</v>
          </cell>
          <cell r="E79">
            <v>1.9E-2</v>
          </cell>
          <cell r="F79">
            <v>1.0615000000000001</v>
          </cell>
          <cell r="G79">
            <v>0.5585</v>
          </cell>
          <cell r="H79">
            <v>0.40849999999999997</v>
          </cell>
          <cell r="I79">
            <v>0.49359999999999998</v>
          </cell>
          <cell r="J79">
            <v>0.34360000000000002</v>
          </cell>
          <cell r="K79">
            <v>4.3211000000000004</v>
          </cell>
          <cell r="L79">
            <v>0.72319999999999995</v>
          </cell>
          <cell r="M79">
            <v>0.16309999999999999</v>
          </cell>
          <cell r="N79">
            <v>0.1933</v>
          </cell>
        </row>
        <row r="80">
          <cell r="A80">
            <v>36495</v>
          </cell>
          <cell r="B80">
            <v>13.6</v>
          </cell>
          <cell r="C80">
            <v>150</v>
          </cell>
          <cell r="D80" t="str">
            <v>Seventy-sixth</v>
          </cell>
          <cell r="E80">
            <v>1.9E-2</v>
          </cell>
          <cell r="F80">
            <v>1.0615000000000001</v>
          </cell>
          <cell r="G80">
            <v>0.5585</v>
          </cell>
          <cell r="H80">
            <v>0.40849999999999997</v>
          </cell>
          <cell r="I80">
            <v>0.49359999999999998</v>
          </cell>
          <cell r="J80">
            <v>0.34360000000000002</v>
          </cell>
          <cell r="K80">
            <v>4.2945000000000002</v>
          </cell>
          <cell r="L80">
            <v>0.71860000000000002</v>
          </cell>
          <cell r="M80">
            <v>0.16189999999999999</v>
          </cell>
          <cell r="N80">
            <v>0.19209999999999999</v>
          </cell>
        </row>
        <row r="81">
          <cell r="A81">
            <v>36515</v>
          </cell>
          <cell r="B81">
            <v>20</v>
          </cell>
          <cell r="C81">
            <v>220</v>
          </cell>
          <cell r="D81" t="str">
            <v>Seventy-seventh</v>
          </cell>
          <cell r="E81">
            <v>1.9E-2</v>
          </cell>
          <cell r="F81">
            <v>1.19</v>
          </cell>
          <cell r="G81">
            <v>0.65900000000000003</v>
          </cell>
          <cell r="H81">
            <v>0.43</v>
          </cell>
          <cell r="I81">
            <v>0.53</v>
          </cell>
          <cell r="J81">
            <v>0.35909999999999997</v>
          </cell>
          <cell r="K81">
            <v>4.2945000000000002</v>
          </cell>
          <cell r="L81">
            <v>0.71860000000000002</v>
          </cell>
          <cell r="M81">
            <v>0.16189999999999999</v>
          </cell>
          <cell r="N81">
            <v>0.19209999999999999</v>
          </cell>
        </row>
        <row r="82">
          <cell r="A82">
            <v>36526</v>
          </cell>
          <cell r="B82">
            <v>20</v>
          </cell>
          <cell r="C82">
            <v>220</v>
          </cell>
          <cell r="D82" t="str">
            <v>Seventy-seventh</v>
          </cell>
          <cell r="E82">
            <v>1.9E-2</v>
          </cell>
          <cell r="F82">
            <v>1.19</v>
          </cell>
          <cell r="G82">
            <v>0.65900000000000003</v>
          </cell>
          <cell r="H82">
            <v>0.43</v>
          </cell>
          <cell r="I82">
            <v>0.53</v>
          </cell>
          <cell r="J82">
            <v>0.35909999999999997</v>
          </cell>
          <cell r="K82">
            <v>4.2945000000000002</v>
          </cell>
          <cell r="L82">
            <v>0.71860000000000002</v>
          </cell>
          <cell r="M82">
            <v>0.16189999999999999</v>
          </cell>
          <cell r="N82">
            <v>0.19209999999999999</v>
          </cell>
        </row>
        <row r="83">
          <cell r="A83">
            <v>36557</v>
          </cell>
          <cell r="B83">
            <v>20</v>
          </cell>
          <cell r="C83">
            <v>220</v>
          </cell>
          <cell r="D83" t="str">
            <v>Seventy-eighth</v>
          </cell>
          <cell r="E83">
            <v>1.9E-2</v>
          </cell>
          <cell r="F83">
            <v>1.19</v>
          </cell>
          <cell r="G83">
            <v>0.65900000000000003</v>
          </cell>
          <cell r="H83">
            <v>0.43</v>
          </cell>
          <cell r="I83">
            <v>0.53</v>
          </cell>
          <cell r="J83">
            <v>0.35909999999999997</v>
          </cell>
          <cell r="K83">
            <v>4.3144999999999998</v>
          </cell>
          <cell r="L83">
            <v>0.72209999999999996</v>
          </cell>
          <cell r="M83">
            <v>0.1628</v>
          </cell>
          <cell r="N83">
            <v>0.193</v>
          </cell>
        </row>
        <row r="84">
          <cell r="A84">
            <v>36586</v>
          </cell>
          <cell r="B84">
            <v>20</v>
          </cell>
          <cell r="C84">
            <v>220</v>
          </cell>
          <cell r="D84" t="str">
            <v>Seventy-eighth</v>
          </cell>
          <cell r="E84">
            <v>1.9E-2</v>
          </cell>
          <cell r="F84">
            <v>1.19</v>
          </cell>
          <cell r="G84">
            <v>0.65900000000000003</v>
          </cell>
          <cell r="H84">
            <v>0.43</v>
          </cell>
          <cell r="I84">
            <v>0.53</v>
          </cell>
          <cell r="J84">
            <v>0.35909999999999997</v>
          </cell>
          <cell r="K84">
            <v>4.3144999999999998</v>
          </cell>
          <cell r="L84">
            <v>0.72209999999999996</v>
          </cell>
          <cell r="M84">
            <v>0.1628</v>
          </cell>
          <cell r="N84">
            <v>0.193</v>
          </cell>
        </row>
        <row r="85">
          <cell r="A85">
            <v>36617</v>
          </cell>
          <cell r="B85">
            <v>20</v>
          </cell>
          <cell r="C85">
            <v>220</v>
          </cell>
          <cell r="D85" t="str">
            <v>Seventy-ninth</v>
          </cell>
          <cell r="E85">
            <v>1.9E-2</v>
          </cell>
          <cell r="F85">
            <v>1.19</v>
          </cell>
          <cell r="G85">
            <v>0.65900000000000003</v>
          </cell>
          <cell r="H85">
            <v>0.43</v>
          </cell>
          <cell r="I85">
            <v>0.53</v>
          </cell>
          <cell r="J85">
            <v>0.35909999999999997</v>
          </cell>
          <cell r="K85">
            <v>4.3144999999999998</v>
          </cell>
          <cell r="L85">
            <v>0.76329999999999998</v>
          </cell>
          <cell r="M85">
            <v>0.20399999999999999</v>
          </cell>
          <cell r="N85">
            <v>0.20399999999999999</v>
          </cell>
        </row>
        <row r="86">
          <cell r="A86">
            <v>36647</v>
          </cell>
          <cell r="B86">
            <v>20</v>
          </cell>
          <cell r="C86">
            <v>220</v>
          </cell>
          <cell r="D86" t="str">
            <v>Eightieth</v>
          </cell>
          <cell r="E86">
            <v>1.9E-2</v>
          </cell>
          <cell r="F86">
            <v>1.19</v>
          </cell>
          <cell r="G86">
            <v>0.65900000000000003</v>
          </cell>
          <cell r="H86">
            <v>0.43</v>
          </cell>
          <cell r="I86">
            <v>0.53</v>
          </cell>
          <cell r="J86">
            <v>0.35909999999999997</v>
          </cell>
          <cell r="K86">
            <v>4.3144999999999998</v>
          </cell>
          <cell r="L86">
            <v>0.76329999999999998</v>
          </cell>
          <cell r="M86">
            <v>0.20399999999999999</v>
          </cell>
          <cell r="N86">
            <v>0.20399999999999999</v>
          </cell>
        </row>
        <row r="87">
          <cell r="A87">
            <v>36678</v>
          </cell>
          <cell r="B87">
            <v>20</v>
          </cell>
          <cell r="C87">
            <v>220</v>
          </cell>
          <cell r="D87" t="str">
            <v>Eightieth</v>
          </cell>
          <cell r="E87">
            <v>1.9E-2</v>
          </cell>
          <cell r="F87">
            <v>1.19</v>
          </cell>
          <cell r="G87">
            <v>0.65900000000000003</v>
          </cell>
          <cell r="H87">
            <v>0.43</v>
          </cell>
          <cell r="I87">
            <v>0.53</v>
          </cell>
          <cell r="J87">
            <v>0.35909999999999997</v>
          </cell>
          <cell r="K87">
            <v>4.3144999999999998</v>
          </cell>
          <cell r="L87">
            <v>0.76329999999999998</v>
          </cell>
          <cell r="M87">
            <v>0.20399999999999999</v>
          </cell>
          <cell r="N87">
            <v>0.20399999999999999</v>
          </cell>
        </row>
        <row r="88">
          <cell r="A88">
            <v>36708</v>
          </cell>
          <cell r="B88">
            <v>20</v>
          </cell>
          <cell r="C88">
            <v>220</v>
          </cell>
          <cell r="D88" t="str">
            <v>Eighty-first</v>
          </cell>
          <cell r="E88">
            <v>1.9E-2</v>
          </cell>
          <cell r="F88">
            <v>1.19</v>
          </cell>
          <cell r="G88">
            <v>0.65900000000000003</v>
          </cell>
          <cell r="H88">
            <v>0.43</v>
          </cell>
          <cell r="I88">
            <v>0.53</v>
          </cell>
          <cell r="J88">
            <v>0.35909999999999997</v>
          </cell>
          <cell r="K88">
            <v>4.3144999999999998</v>
          </cell>
          <cell r="L88">
            <v>0.76329999999999998</v>
          </cell>
          <cell r="M88">
            <v>0.20399999999999999</v>
          </cell>
          <cell r="N88">
            <v>0.20399999999999999</v>
          </cell>
        </row>
        <row r="89">
          <cell r="A89">
            <v>36739</v>
          </cell>
          <cell r="B89">
            <v>20</v>
          </cell>
          <cell r="C89">
            <v>220</v>
          </cell>
          <cell r="D89" t="str">
            <v>Eighty-second</v>
          </cell>
          <cell r="E89">
            <v>1.9E-2</v>
          </cell>
          <cell r="F89">
            <v>1.19</v>
          </cell>
          <cell r="G89">
            <v>0.65900000000000003</v>
          </cell>
          <cell r="H89">
            <v>0.43</v>
          </cell>
          <cell r="I89">
            <v>0.53</v>
          </cell>
          <cell r="J89">
            <v>0.35909999999999997</v>
          </cell>
          <cell r="K89">
            <v>4.3144999999999998</v>
          </cell>
          <cell r="L89">
            <v>0.76329999999999998</v>
          </cell>
          <cell r="M89">
            <v>0.20399999999999999</v>
          </cell>
          <cell r="N89">
            <v>0.20399999999999999</v>
          </cell>
        </row>
        <row r="90">
          <cell r="A90">
            <v>36770</v>
          </cell>
          <cell r="B90">
            <v>20</v>
          </cell>
          <cell r="C90">
            <v>220</v>
          </cell>
          <cell r="D90" t="str">
            <v>Eighty-second</v>
          </cell>
          <cell r="E90">
            <v>1.9E-2</v>
          </cell>
          <cell r="F90">
            <v>1.19</v>
          </cell>
          <cell r="G90">
            <v>0.65900000000000003</v>
          </cell>
          <cell r="H90">
            <v>0.43</v>
          </cell>
          <cell r="I90">
            <v>0.53</v>
          </cell>
          <cell r="J90">
            <v>0.35909999999999997</v>
          </cell>
          <cell r="K90">
            <v>4.3144999999999998</v>
          </cell>
          <cell r="L90">
            <v>0.76329999999999998</v>
          </cell>
          <cell r="M90">
            <v>0.20399999999999999</v>
          </cell>
          <cell r="N90">
            <v>0.20399999999999999</v>
          </cell>
        </row>
        <row r="91">
          <cell r="A91">
            <v>36800</v>
          </cell>
          <cell r="B91">
            <v>20</v>
          </cell>
          <cell r="C91">
            <v>220</v>
          </cell>
          <cell r="D91" t="str">
            <v>Eighty-third</v>
          </cell>
          <cell r="E91">
            <v>1.9E-2</v>
          </cell>
          <cell r="F91">
            <v>1.19</v>
          </cell>
          <cell r="G91">
            <v>0.65900000000000003</v>
          </cell>
          <cell r="H91">
            <v>0.43</v>
          </cell>
          <cell r="I91">
            <v>0.53</v>
          </cell>
          <cell r="J91">
            <v>0.35909999999999997</v>
          </cell>
          <cell r="K91">
            <v>4.3144999999999998</v>
          </cell>
          <cell r="L91">
            <v>0.76329999999999998</v>
          </cell>
          <cell r="M91">
            <v>0.20399999999999999</v>
          </cell>
          <cell r="N91">
            <v>0.20399999999999999</v>
          </cell>
        </row>
        <row r="92">
          <cell r="A92">
            <v>36831</v>
          </cell>
          <cell r="B92">
            <v>20</v>
          </cell>
          <cell r="C92">
            <v>220</v>
          </cell>
          <cell r="D92" t="str">
            <v>Eighty-fourth</v>
          </cell>
          <cell r="E92">
            <v>1.9E-2</v>
          </cell>
          <cell r="F92">
            <v>1.19</v>
          </cell>
          <cell r="G92">
            <v>0.65900000000000003</v>
          </cell>
          <cell r="H92">
            <v>0.43</v>
          </cell>
          <cell r="I92">
            <v>0.53</v>
          </cell>
          <cell r="J92">
            <v>0.35909999999999997</v>
          </cell>
          <cell r="K92">
            <v>4.5294999999999996</v>
          </cell>
          <cell r="L92">
            <v>0.9506</v>
          </cell>
          <cell r="M92">
            <v>0.18820000000000001</v>
          </cell>
          <cell r="N92">
            <v>0.18820000000000001</v>
          </cell>
        </row>
        <row r="93">
          <cell r="A93">
            <v>36861</v>
          </cell>
          <cell r="B93">
            <v>20</v>
          </cell>
          <cell r="C93">
            <v>220</v>
          </cell>
          <cell r="D93" t="str">
            <v>Eighty-fourth</v>
          </cell>
          <cell r="E93">
            <v>1.9E-2</v>
          </cell>
          <cell r="F93">
            <v>1.19</v>
          </cell>
          <cell r="G93">
            <v>0.65900000000000003</v>
          </cell>
          <cell r="H93">
            <v>0.43</v>
          </cell>
          <cell r="I93">
            <v>0.53</v>
          </cell>
          <cell r="J93">
            <v>0.35909999999999997</v>
          </cell>
          <cell r="K93">
            <v>4.5294999999999996</v>
          </cell>
          <cell r="L93">
            <v>0.9506</v>
          </cell>
          <cell r="M93">
            <v>0.18820000000000001</v>
          </cell>
          <cell r="N93">
            <v>0.18820000000000001</v>
          </cell>
        </row>
        <row r="94">
          <cell r="A94">
            <v>36892</v>
          </cell>
          <cell r="B94">
            <v>20</v>
          </cell>
          <cell r="C94">
            <v>220</v>
          </cell>
          <cell r="D94" t="str">
            <v>Eighty-fourth</v>
          </cell>
          <cell r="E94">
            <v>1.9E-2</v>
          </cell>
          <cell r="F94">
            <v>1.19</v>
          </cell>
          <cell r="G94">
            <v>0.65900000000000003</v>
          </cell>
          <cell r="H94">
            <v>0.43</v>
          </cell>
          <cell r="I94">
            <v>0.53</v>
          </cell>
          <cell r="J94">
            <v>0.35909999999999997</v>
          </cell>
          <cell r="K94">
            <v>4.5294999999999996</v>
          </cell>
          <cell r="L94">
            <v>0.9506</v>
          </cell>
          <cell r="M94">
            <v>0.18820000000000001</v>
          </cell>
          <cell r="N94">
            <v>0.18820000000000001</v>
          </cell>
        </row>
        <row r="95">
          <cell r="A95">
            <v>36923</v>
          </cell>
          <cell r="B95">
            <v>20</v>
          </cell>
          <cell r="C95">
            <v>220</v>
          </cell>
          <cell r="D95" t="str">
            <v>Eighty-fifth</v>
          </cell>
          <cell r="E95">
            <v>1.9E-2</v>
          </cell>
          <cell r="F95">
            <v>1.19</v>
          </cell>
          <cell r="G95">
            <v>0.65900000000000003</v>
          </cell>
          <cell r="H95">
            <v>0.43</v>
          </cell>
          <cell r="I95">
            <v>0.53</v>
          </cell>
          <cell r="J95">
            <v>0.35909999999999997</v>
          </cell>
          <cell r="K95">
            <v>5.8369999999999997</v>
          </cell>
          <cell r="L95">
            <v>1.2250000000000001</v>
          </cell>
          <cell r="M95">
            <v>0.24249999999999999</v>
          </cell>
          <cell r="N95">
            <v>0.24249999999999999</v>
          </cell>
        </row>
        <row r="96">
          <cell r="A96">
            <v>36951</v>
          </cell>
          <cell r="B96">
            <v>20</v>
          </cell>
          <cell r="C96">
            <v>220</v>
          </cell>
          <cell r="D96" t="str">
            <v>Eighty-sixth</v>
          </cell>
          <cell r="E96">
            <v>1.9E-2</v>
          </cell>
          <cell r="F96">
            <v>1.19</v>
          </cell>
          <cell r="G96">
            <v>0.65900000000000003</v>
          </cell>
          <cell r="H96">
            <v>0.43</v>
          </cell>
          <cell r="I96">
            <v>0.53</v>
          </cell>
          <cell r="J96">
            <v>0.35909999999999997</v>
          </cell>
          <cell r="K96">
            <v>5.8369999999999997</v>
          </cell>
          <cell r="L96">
            <v>1.2250000000000001</v>
          </cell>
          <cell r="M96">
            <v>0.24249999999999999</v>
          </cell>
          <cell r="N96">
            <v>0.24249999999999999</v>
          </cell>
        </row>
        <row r="97">
          <cell r="A97">
            <v>36982</v>
          </cell>
          <cell r="B97">
            <v>20</v>
          </cell>
          <cell r="C97">
            <v>220</v>
          </cell>
          <cell r="D97" t="str">
            <v>Eighty-seventh</v>
          </cell>
          <cell r="E97">
            <v>1.9E-2</v>
          </cell>
          <cell r="F97">
            <v>1.19</v>
          </cell>
          <cell r="G97">
            <v>0.65900000000000003</v>
          </cell>
          <cell r="H97">
            <v>0.43</v>
          </cell>
          <cell r="I97">
            <v>0.53</v>
          </cell>
          <cell r="J97">
            <v>0.35909999999999997</v>
          </cell>
          <cell r="K97">
            <v>5.8369999999999997</v>
          </cell>
          <cell r="L97">
            <v>1.2250000000000001</v>
          </cell>
          <cell r="M97">
            <v>0.24249999999999999</v>
          </cell>
          <cell r="N97">
            <v>0.24249999999999999</v>
          </cell>
        </row>
        <row r="98">
          <cell r="A98">
            <v>37012</v>
          </cell>
          <cell r="B98">
            <v>20</v>
          </cell>
          <cell r="C98">
            <v>220</v>
          </cell>
          <cell r="D98" t="str">
            <v>Eighty-eighth</v>
          </cell>
          <cell r="E98">
            <v>1.9E-2</v>
          </cell>
          <cell r="F98">
            <v>1.19</v>
          </cell>
          <cell r="G98">
            <v>0.65900000000000003</v>
          </cell>
          <cell r="H98">
            <v>0.43</v>
          </cell>
          <cell r="I98">
            <v>0.53</v>
          </cell>
          <cell r="J98">
            <v>0.35909999999999997</v>
          </cell>
          <cell r="K98">
            <v>5.0563000000000002</v>
          </cell>
          <cell r="L98">
            <v>1.0611999999999999</v>
          </cell>
          <cell r="M98">
            <v>0.21010000000000001</v>
          </cell>
          <cell r="N98">
            <v>0.21010000000000001</v>
          </cell>
        </row>
        <row r="99">
          <cell r="A99">
            <v>37043</v>
          </cell>
          <cell r="B99">
            <v>20</v>
          </cell>
          <cell r="C99">
            <v>220</v>
          </cell>
          <cell r="D99" t="str">
            <v>Eighty-ninth</v>
          </cell>
          <cell r="E99">
            <v>1.9E-2</v>
          </cell>
          <cell r="F99">
            <v>1.19</v>
          </cell>
          <cell r="G99">
            <v>0.65900000000000003</v>
          </cell>
          <cell r="H99">
            <v>0.43</v>
          </cell>
          <cell r="I99">
            <v>0.53</v>
          </cell>
          <cell r="J99">
            <v>0.35909999999999997</v>
          </cell>
          <cell r="K99">
            <v>5.0563000000000002</v>
          </cell>
          <cell r="L99">
            <v>1.0611999999999999</v>
          </cell>
          <cell r="M99">
            <v>0.21010000000000001</v>
          </cell>
          <cell r="N99">
            <v>0.21010000000000001</v>
          </cell>
        </row>
        <row r="100">
          <cell r="A100">
            <v>37073</v>
          </cell>
          <cell r="B100">
            <v>20</v>
          </cell>
          <cell r="C100">
            <v>220</v>
          </cell>
          <cell r="D100" t="str">
            <v>Ninetieth</v>
          </cell>
          <cell r="E100">
            <v>1.9E-2</v>
          </cell>
          <cell r="F100">
            <v>1.19</v>
          </cell>
          <cell r="G100">
            <v>0.65900000000000003</v>
          </cell>
          <cell r="H100">
            <v>0.43</v>
          </cell>
          <cell r="I100">
            <v>0.53</v>
          </cell>
          <cell r="J100">
            <v>0.35909999999999997</v>
          </cell>
          <cell r="K100">
            <v>5.0563000000000002</v>
          </cell>
          <cell r="L100">
            <v>1.0611999999999999</v>
          </cell>
          <cell r="M100">
            <v>0.21010000000000001</v>
          </cell>
          <cell r="N100">
            <v>0.21010000000000001</v>
          </cell>
        </row>
        <row r="101">
          <cell r="A101">
            <v>37104</v>
          </cell>
          <cell r="B101">
            <v>20</v>
          </cell>
          <cell r="C101">
            <v>220</v>
          </cell>
          <cell r="D101" t="str">
            <v>Ninety-first</v>
          </cell>
          <cell r="E101">
            <v>1.9E-2</v>
          </cell>
          <cell r="F101">
            <v>1.19</v>
          </cell>
          <cell r="G101">
            <v>0.65900000000000003</v>
          </cell>
          <cell r="H101">
            <v>0.43</v>
          </cell>
          <cell r="I101">
            <v>0.53</v>
          </cell>
          <cell r="J101">
            <v>0.35909999999999997</v>
          </cell>
          <cell r="K101">
            <v>5.0563000000000002</v>
          </cell>
          <cell r="L101">
            <v>1.0611999999999999</v>
          </cell>
          <cell r="M101">
            <v>0.21010000000000001</v>
          </cell>
          <cell r="N101">
            <v>0.21010000000000001</v>
          </cell>
        </row>
        <row r="102">
          <cell r="A102">
            <v>37135</v>
          </cell>
          <cell r="B102">
            <v>20</v>
          </cell>
          <cell r="C102">
            <v>220</v>
          </cell>
          <cell r="D102" t="str">
            <v>Ninety-first</v>
          </cell>
          <cell r="E102">
            <v>1.9E-2</v>
          </cell>
          <cell r="F102">
            <v>1.19</v>
          </cell>
          <cell r="G102">
            <v>0.65900000000000003</v>
          </cell>
          <cell r="H102">
            <v>0.43</v>
          </cell>
          <cell r="I102">
            <v>0.53</v>
          </cell>
          <cell r="J102">
            <v>0.35909999999999997</v>
          </cell>
          <cell r="K102">
            <v>5.0563000000000002</v>
          </cell>
          <cell r="L102">
            <v>1.0611999999999999</v>
          </cell>
          <cell r="M102">
            <v>0.21010000000000001</v>
          </cell>
          <cell r="N102">
            <v>0.21010000000000001</v>
          </cell>
        </row>
        <row r="103">
          <cell r="A103">
            <v>37165</v>
          </cell>
          <cell r="B103">
            <v>20</v>
          </cell>
          <cell r="C103">
            <v>220</v>
          </cell>
          <cell r="D103" t="str">
            <v>Ninety-first</v>
          </cell>
          <cell r="E103">
            <v>1.9E-2</v>
          </cell>
          <cell r="F103">
            <v>1.19</v>
          </cell>
          <cell r="G103">
            <v>0.65900000000000003</v>
          </cell>
          <cell r="H103">
            <v>0.43</v>
          </cell>
          <cell r="I103">
            <v>0.53</v>
          </cell>
          <cell r="J103">
            <v>0.35909999999999997</v>
          </cell>
          <cell r="K103">
            <v>5.0563000000000002</v>
          </cell>
          <cell r="L103">
            <v>1.0611999999999999</v>
          </cell>
          <cell r="M103">
            <v>0.21010000000000001</v>
          </cell>
          <cell r="N103">
            <v>0.21010000000000001</v>
          </cell>
        </row>
        <row r="104">
          <cell r="A104">
            <v>37196</v>
          </cell>
          <cell r="B104">
            <v>20</v>
          </cell>
          <cell r="C104">
            <v>220</v>
          </cell>
          <cell r="D104" t="str">
            <v>Ninety-second</v>
          </cell>
          <cell r="E104">
            <v>1.9E-2</v>
          </cell>
          <cell r="F104">
            <v>1.19</v>
          </cell>
          <cell r="G104">
            <v>0.65900000000000003</v>
          </cell>
          <cell r="H104">
            <v>0.43</v>
          </cell>
          <cell r="I104">
            <v>0.53</v>
          </cell>
          <cell r="J104">
            <v>0.35909999999999997</v>
          </cell>
          <cell r="K104">
            <v>5.0563000000000002</v>
          </cell>
          <cell r="L104">
            <v>1.0611999999999999</v>
          </cell>
          <cell r="M104">
            <v>0.21010000000000001</v>
          </cell>
          <cell r="N104">
            <v>0.21010000000000001</v>
          </cell>
        </row>
        <row r="105">
          <cell r="A105">
            <v>37226</v>
          </cell>
          <cell r="B105">
            <v>20</v>
          </cell>
          <cell r="C105">
            <v>220</v>
          </cell>
          <cell r="D105" t="str">
            <v>Ninety-second</v>
          </cell>
          <cell r="E105">
            <v>1.9E-2</v>
          </cell>
          <cell r="F105">
            <v>1.19</v>
          </cell>
          <cell r="G105">
            <v>0.65900000000000003</v>
          </cell>
          <cell r="H105">
            <v>0.43</v>
          </cell>
          <cell r="I105">
            <v>0.53</v>
          </cell>
          <cell r="J105">
            <v>0.35909999999999997</v>
          </cell>
          <cell r="K105">
            <v>5.0563000000000002</v>
          </cell>
          <cell r="L105">
            <v>1.0611999999999999</v>
          </cell>
          <cell r="M105">
            <v>0.21010000000000001</v>
          </cell>
          <cell r="N105">
            <v>0.21010000000000001</v>
          </cell>
        </row>
        <row r="106">
          <cell r="A106">
            <v>37257</v>
          </cell>
          <cell r="B106">
            <v>20</v>
          </cell>
          <cell r="C106">
            <v>220</v>
          </cell>
          <cell r="D106" t="str">
            <v>Ninety-second</v>
          </cell>
          <cell r="E106">
            <v>1.9E-2</v>
          </cell>
          <cell r="F106">
            <v>1.19</v>
          </cell>
          <cell r="G106">
            <v>0.65900000000000003</v>
          </cell>
          <cell r="H106">
            <v>0.43</v>
          </cell>
          <cell r="I106">
            <v>0.53</v>
          </cell>
          <cell r="J106">
            <v>0.35909999999999997</v>
          </cell>
          <cell r="K106">
            <v>5.0563000000000002</v>
          </cell>
          <cell r="L106">
            <v>1.0611999999999999</v>
          </cell>
          <cell r="M106">
            <v>0.21010000000000001</v>
          </cell>
          <cell r="N106">
            <v>0.21010000000000001</v>
          </cell>
        </row>
        <row r="107">
          <cell r="A107">
            <v>37288</v>
          </cell>
          <cell r="B107">
            <v>20</v>
          </cell>
          <cell r="C107">
            <v>220</v>
          </cell>
          <cell r="D107" t="str">
            <v>Ninety-third</v>
          </cell>
          <cell r="E107">
            <v>1.09E-2</v>
          </cell>
          <cell r="F107">
            <v>1.19</v>
          </cell>
          <cell r="G107">
            <v>0.65900000000000003</v>
          </cell>
          <cell r="H107">
            <v>0.43</v>
          </cell>
          <cell r="I107">
            <v>0.53</v>
          </cell>
          <cell r="J107">
            <v>0.35909999999999997</v>
          </cell>
          <cell r="K107">
            <v>5.0563000000000002</v>
          </cell>
          <cell r="L107">
            <v>1.0611999999999999</v>
          </cell>
          <cell r="M107">
            <v>0.21010000000000001</v>
          </cell>
          <cell r="N107">
            <v>0.21010000000000001</v>
          </cell>
        </row>
        <row r="108">
          <cell r="A108">
            <v>37316</v>
          </cell>
          <cell r="B108">
            <v>20</v>
          </cell>
          <cell r="C108">
            <v>220</v>
          </cell>
          <cell r="D108" t="str">
            <v>Ninety-third</v>
          </cell>
          <cell r="E108">
            <v>1.09E-2</v>
          </cell>
          <cell r="F108">
            <v>1.19</v>
          </cell>
          <cell r="G108">
            <v>0.65900000000000003</v>
          </cell>
          <cell r="H108">
            <v>0.43</v>
          </cell>
          <cell r="I108">
            <v>0.53</v>
          </cell>
          <cell r="J108">
            <v>0.35909999999999997</v>
          </cell>
          <cell r="K108">
            <v>5.0563000000000002</v>
          </cell>
          <cell r="L108">
            <v>1.0611999999999999</v>
          </cell>
          <cell r="M108">
            <v>0.21010000000000001</v>
          </cell>
          <cell r="N108">
            <v>0.21010000000000001</v>
          </cell>
        </row>
        <row r="109">
          <cell r="A109">
            <v>37347</v>
          </cell>
          <cell r="B109">
            <v>20</v>
          </cell>
          <cell r="C109">
            <v>220</v>
          </cell>
          <cell r="D109" t="str">
            <v>Ninety-third</v>
          </cell>
          <cell r="E109">
            <v>1.09E-2</v>
          </cell>
          <cell r="F109">
            <v>1.19</v>
          </cell>
          <cell r="G109">
            <v>0.65900000000000003</v>
          </cell>
          <cell r="H109">
            <v>0.43</v>
          </cell>
          <cell r="I109">
            <v>0.53</v>
          </cell>
          <cell r="J109">
            <v>0.35909999999999997</v>
          </cell>
          <cell r="K109">
            <v>5.0563000000000002</v>
          </cell>
          <cell r="L109">
            <v>1.0611999999999999</v>
          </cell>
          <cell r="M109">
            <v>0.21010000000000001</v>
          </cell>
          <cell r="N109">
            <v>0.21010000000000001</v>
          </cell>
        </row>
        <row r="110">
          <cell r="A110">
            <v>37377</v>
          </cell>
          <cell r="B110">
            <v>20</v>
          </cell>
          <cell r="C110">
            <v>220</v>
          </cell>
          <cell r="D110" t="str">
            <v>Ninety-fourth</v>
          </cell>
          <cell r="E110">
            <v>1.09E-2</v>
          </cell>
          <cell r="F110">
            <v>1.19</v>
          </cell>
          <cell r="G110">
            <v>0.65900000000000003</v>
          </cell>
          <cell r="H110">
            <v>0.43</v>
          </cell>
          <cell r="I110">
            <v>0.53</v>
          </cell>
          <cell r="J110">
            <v>0.35909999999999997</v>
          </cell>
          <cell r="K110">
            <v>5.0563000000000002</v>
          </cell>
          <cell r="L110">
            <v>1.0611999999999999</v>
          </cell>
          <cell r="M110">
            <v>0.21010000000000001</v>
          </cell>
          <cell r="N110">
            <v>0.21010000000000001</v>
          </cell>
        </row>
        <row r="111">
          <cell r="A111">
            <v>37408</v>
          </cell>
          <cell r="B111">
            <v>20</v>
          </cell>
          <cell r="C111">
            <v>220</v>
          </cell>
          <cell r="D111" t="str">
            <v>Ninety-fourth</v>
          </cell>
          <cell r="E111">
            <v>1.09E-2</v>
          </cell>
          <cell r="F111">
            <v>1.19</v>
          </cell>
          <cell r="G111">
            <v>0.65900000000000003</v>
          </cell>
          <cell r="H111">
            <v>0.43</v>
          </cell>
          <cell r="I111">
            <v>0.53</v>
          </cell>
          <cell r="J111">
            <v>0.35909999999999997</v>
          </cell>
          <cell r="K111">
            <v>5.0563000000000002</v>
          </cell>
          <cell r="L111">
            <v>1.0611999999999999</v>
          </cell>
          <cell r="M111">
            <v>0.21010000000000001</v>
          </cell>
          <cell r="N111">
            <v>0.21010000000000001</v>
          </cell>
        </row>
        <row r="112">
          <cell r="A112">
            <v>37438</v>
          </cell>
          <cell r="B112">
            <v>20</v>
          </cell>
          <cell r="C112">
            <v>220</v>
          </cell>
          <cell r="D112" t="str">
            <v>Ninety-fourth</v>
          </cell>
          <cell r="E112">
            <v>1.09E-2</v>
          </cell>
          <cell r="F112">
            <v>1.19</v>
          </cell>
          <cell r="G112">
            <v>0.65900000000000003</v>
          </cell>
          <cell r="H112">
            <v>0.43</v>
          </cell>
          <cell r="I112">
            <v>0.53</v>
          </cell>
          <cell r="J112">
            <v>0.35909999999999997</v>
          </cell>
          <cell r="K112">
            <v>5.0563000000000002</v>
          </cell>
          <cell r="L112">
            <v>1.0611999999999999</v>
          </cell>
          <cell r="M112">
            <v>0.21010000000000001</v>
          </cell>
          <cell r="N112">
            <v>0.21010000000000001</v>
          </cell>
        </row>
        <row r="113">
          <cell r="A113">
            <v>37469</v>
          </cell>
          <cell r="B113">
            <v>20</v>
          </cell>
          <cell r="C113">
            <v>220</v>
          </cell>
          <cell r="D113" t="str">
            <v>Ninety-fifth</v>
          </cell>
          <cell r="E113">
            <v>1.09E-2</v>
          </cell>
          <cell r="F113">
            <v>1.19</v>
          </cell>
          <cell r="G113">
            <v>0.65900000000000003</v>
          </cell>
          <cell r="H113">
            <v>0.43</v>
          </cell>
          <cell r="I113">
            <v>0.53</v>
          </cell>
          <cell r="J113">
            <v>0.35909999999999997</v>
          </cell>
          <cell r="K113">
            <v>5.0563000000000002</v>
          </cell>
          <cell r="L113">
            <v>1.0518000000000001</v>
          </cell>
          <cell r="M113">
            <v>0.20069999999999999</v>
          </cell>
          <cell r="N113">
            <v>0.20830000000000001</v>
          </cell>
        </row>
        <row r="114">
          <cell r="A114">
            <v>37500</v>
          </cell>
          <cell r="B114">
            <v>20</v>
          </cell>
          <cell r="C114">
            <v>220</v>
          </cell>
          <cell r="D114" t="str">
            <v>Ninety-fifth</v>
          </cell>
          <cell r="E114">
            <v>1.09E-2</v>
          </cell>
          <cell r="F114">
            <v>1.19</v>
          </cell>
          <cell r="G114">
            <v>0.65900000000000003</v>
          </cell>
          <cell r="H114">
            <v>0.43</v>
          </cell>
          <cell r="I114">
            <v>0.53</v>
          </cell>
          <cell r="J114">
            <v>0.35909999999999997</v>
          </cell>
          <cell r="K114">
            <v>5.0563000000000002</v>
          </cell>
          <cell r="L114">
            <v>1.0518000000000001</v>
          </cell>
          <cell r="M114">
            <v>0.20069999999999999</v>
          </cell>
          <cell r="N114">
            <v>0.20830000000000001</v>
          </cell>
        </row>
        <row r="115">
          <cell r="A115">
            <v>37530</v>
          </cell>
          <cell r="B115">
            <v>20</v>
          </cell>
          <cell r="C115">
            <v>220</v>
          </cell>
          <cell r="D115" t="str">
            <v>Ninety-fifth</v>
          </cell>
          <cell r="E115">
            <v>1.09E-2</v>
          </cell>
          <cell r="F115">
            <v>1.19</v>
          </cell>
          <cell r="G115">
            <v>0.65900000000000003</v>
          </cell>
          <cell r="H115">
            <v>0.43</v>
          </cell>
          <cell r="I115">
            <v>0.53</v>
          </cell>
          <cell r="J115">
            <v>0.35909999999999997</v>
          </cell>
          <cell r="K115">
            <v>5.0563000000000002</v>
          </cell>
          <cell r="L115">
            <v>1.0518000000000001</v>
          </cell>
          <cell r="M115">
            <v>0.20069999999999999</v>
          </cell>
          <cell r="N115">
            <v>0.20830000000000001</v>
          </cell>
        </row>
        <row r="116">
          <cell r="A116">
            <v>37561</v>
          </cell>
          <cell r="B116">
            <v>20</v>
          </cell>
          <cell r="C116">
            <v>220</v>
          </cell>
          <cell r="D116" t="str">
            <v>First</v>
          </cell>
          <cell r="E116">
            <v>1.09E-2</v>
          </cell>
          <cell r="F116">
            <v>1.19</v>
          </cell>
          <cell r="G116">
            <v>0.65900000000000003</v>
          </cell>
          <cell r="H116">
            <v>0.43</v>
          </cell>
          <cell r="I116">
            <v>0.53</v>
          </cell>
          <cell r="J116">
            <v>0.35909999999999997</v>
          </cell>
          <cell r="K116">
            <v>4.5831999999999997</v>
          </cell>
          <cell r="L116">
            <v>0.80489999999999995</v>
          </cell>
          <cell r="M116">
            <v>3.3399999999999999E-2</v>
          </cell>
          <cell r="N116">
            <v>0.1593</v>
          </cell>
        </row>
        <row r="117">
          <cell r="A117">
            <v>37591</v>
          </cell>
          <cell r="B117">
            <v>20</v>
          </cell>
          <cell r="C117">
            <v>220</v>
          </cell>
          <cell r="D117" t="str">
            <v>First</v>
          </cell>
          <cell r="E117">
            <v>1.09E-2</v>
          </cell>
          <cell r="F117">
            <v>1.19</v>
          </cell>
          <cell r="G117">
            <v>0.65900000000000003</v>
          </cell>
          <cell r="H117">
            <v>0.43</v>
          </cell>
          <cell r="I117">
            <v>0.53</v>
          </cell>
          <cell r="J117">
            <v>0.35909999999999997</v>
          </cell>
          <cell r="K117">
            <v>4.5831999999999997</v>
          </cell>
          <cell r="L117">
            <v>0.80489999999999995</v>
          </cell>
          <cell r="M117">
            <v>3.3399999999999999E-2</v>
          </cell>
          <cell r="N117">
            <v>0.1593</v>
          </cell>
        </row>
        <row r="118">
          <cell r="A118">
            <v>37622</v>
          </cell>
          <cell r="B118">
            <v>20</v>
          </cell>
          <cell r="C118">
            <v>220</v>
          </cell>
          <cell r="D118" t="str">
            <v>First</v>
          </cell>
          <cell r="E118">
            <v>1.09E-2</v>
          </cell>
          <cell r="F118">
            <v>1.19</v>
          </cell>
          <cell r="G118">
            <v>0.65900000000000003</v>
          </cell>
          <cell r="H118">
            <v>0.43</v>
          </cell>
          <cell r="I118">
            <v>0.53</v>
          </cell>
          <cell r="J118">
            <v>0.35909999999999997</v>
          </cell>
          <cell r="K118">
            <v>4.5831999999999997</v>
          </cell>
          <cell r="L118">
            <v>0.80489999999999995</v>
          </cell>
          <cell r="M118">
            <v>3.3399999999999999E-2</v>
          </cell>
          <cell r="N118">
            <v>0.1593</v>
          </cell>
        </row>
        <row r="119">
          <cell r="A119">
            <v>37653</v>
          </cell>
          <cell r="B119">
            <v>20</v>
          </cell>
          <cell r="C119">
            <v>220</v>
          </cell>
          <cell r="D119" t="str">
            <v>Second</v>
          </cell>
          <cell r="E119">
            <v>1.38E-2</v>
          </cell>
          <cell r="F119">
            <v>1.19</v>
          </cell>
          <cell r="G119">
            <v>0.65900000000000003</v>
          </cell>
          <cell r="H119">
            <v>0.43</v>
          </cell>
          <cell r="I119">
            <v>0.53</v>
          </cell>
          <cell r="J119">
            <v>0.35909999999999997</v>
          </cell>
          <cell r="K119">
            <v>4.7106000000000003</v>
          </cell>
          <cell r="L119">
            <v>0.92749999999999999</v>
          </cell>
          <cell r="M119">
            <v>3.3399999999999999E-2</v>
          </cell>
          <cell r="N119">
            <v>0.1593</v>
          </cell>
        </row>
        <row r="120">
          <cell r="A120">
            <v>37681</v>
          </cell>
          <cell r="B120">
            <v>20</v>
          </cell>
          <cell r="C120">
            <v>220</v>
          </cell>
          <cell r="D120" t="str">
            <v>Second</v>
          </cell>
          <cell r="E120">
            <v>1.38E-2</v>
          </cell>
          <cell r="F120">
            <v>1.19</v>
          </cell>
          <cell r="G120">
            <v>0.65900000000000003</v>
          </cell>
          <cell r="H120">
            <v>0.43</v>
          </cell>
          <cell r="I120">
            <v>0.53</v>
          </cell>
          <cell r="J120">
            <v>0.35909999999999997</v>
          </cell>
          <cell r="K120">
            <v>4.7106000000000003</v>
          </cell>
          <cell r="L120">
            <v>0.92749999999999999</v>
          </cell>
          <cell r="M120">
            <v>3.3399999999999999E-2</v>
          </cell>
          <cell r="N120">
            <v>0.1593</v>
          </cell>
        </row>
        <row r="121">
          <cell r="A121">
            <v>37712</v>
          </cell>
          <cell r="B121">
            <v>20</v>
          </cell>
          <cell r="C121">
            <v>220</v>
          </cell>
          <cell r="D121" t="str">
            <v>Third</v>
          </cell>
          <cell r="E121">
            <v>1.38E-2</v>
          </cell>
          <cell r="F121">
            <v>1.19</v>
          </cell>
          <cell r="G121">
            <v>0.65900000000000003</v>
          </cell>
          <cell r="H121">
            <v>0.43</v>
          </cell>
          <cell r="I121">
            <v>0.53</v>
          </cell>
          <cell r="J121">
            <v>0.35909999999999997</v>
          </cell>
          <cell r="K121">
            <v>4.7106000000000003</v>
          </cell>
          <cell r="L121">
            <v>0.92749999999999999</v>
          </cell>
          <cell r="M121">
            <v>3.3399999999999999E-2</v>
          </cell>
          <cell r="N121">
            <v>0.1593</v>
          </cell>
        </row>
        <row r="122">
          <cell r="A122">
            <v>37742</v>
          </cell>
          <cell r="B122">
            <v>20</v>
          </cell>
          <cell r="C122">
            <v>220</v>
          </cell>
          <cell r="D122" t="str">
            <v>Fourth</v>
          </cell>
          <cell r="E122">
            <v>1.38E-2</v>
          </cell>
          <cell r="F122">
            <v>1.19</v>
          </cell>
          <cell r="G122">
            <v>0.65900000000000003</v>
          </cell>
          <cell r="H122">
            <v>0.43</v>
          </cell>
          <cell r="I122">
            <v>0.53</v>
          </cell>
          <cell r="J122">
            <v>0.35909999999999997</v>
          </cell>
          <cell r="K122">
            <v>4.7106000000000003</v>
          </cell>
          <cell r="L122">
            <v>0.92749999999999999</v>
          </cell>
          <cell r="M122">
            <v>3.3399999999999999E-2</v>
          </cell>
          <cell r="N122">
            <v>0.1593</v>
          </cell>
        </row>
        <row r="123">
          <cell r="A123">
            <v>37773</v>
          </cell>
          <cell r="B123">
            <v>20</v>
          </cell>
          <cell r="C123">
            <v>220</v>
          </cell>
          <cell r="D123" t="str">
            <v>Fourth</v>
          </cell>
          <cell r="E123">
            <v>1.38E-2</v>
          </cell>
          <cell r="F123">
            <v>1.19</v>
          </cell>
          <cell r="G123">
            <v>0.65900000000000003</v>
          </cell>
          <cell r="H123">
            <v>0.43</v>
          </cell>
          <cell r="I123">
            <v>0.53</v>
          </cell>
          <cell r="J123">
            <v>0.35909999999999997</v>
          </cell>
          <cell r="K123">
            <v>4.7106000000000003</v>
          </cell>
          <cell r="L123">
            <v>0.92749999999999999</v>
          </cell>
          <cell r="M123">
            <v>3.3399999999999999E-2</v>
          </cell>
          <cell r="N123">
            <v>0.1593</v>
          </cell>
        </row>
        <row r="124">
          <cell r="A124">
            <v>37803</v>
          </cell>
          <cell r="B124">
            <v>20</v>
          </cell>
          <cell r="C124">
            <v>220</v>
          </cell>
          <cell r="D124" t="str">
            <v>Fourth</v>
          </cell>
          <cell r="E124">
            <v>1.38E-2</v>
          </cell>
          <cell r="F124">
            <v>1.19</v>
          </cell>
          <cell r="G124">
            <v>0.65900000000000003</v>
          </cell>
          <cell r="H124">
            <v>0.43</v>
          </cell>
          <cell r="I124">
            <v>0.53</v>
          </cell>
          <cell r="J124">
            <v>0.35909999999999997</v>
          </cell>
          <cell r="K124">
            <v>4.7106000000000003</v>
          </cell>
          <cell r="L124">
            <v>0.92749999999999999</v>
          </cell>
          <cell r="M124">
            <v>3.3399999999999999E-2</v>
          </cell>
          <cell r="N124">
            <v>0.1593</v>
          </cell>
        </row>
        <row r="125">
          <cell r="A125">
            <v>37834</v>
          </cell>
          <cell r="B125">
            <v>20</v>
          </cell>
          <cell r="C125">
            <v>220</v>
          </cell>
          <cell r="D125" t="str">
            <v>Fifth</v>
          </cell>
          <cell r="E125">
            <v>1.38E-2</v>
          </cell>
          <cell r="F125">
            <v>1.19</v>
          </cell>
          <cell r="G125">
            <v>0.65900000000000003</v>
          </cell>
          <cell r="H125">
            <v>0.43</v>
          </cell>
          <cell r="I125">
            <v>0.53</v>
          </cell>
          <cell r="J125">
            <v>0.35909999999999997</v>
          </cell>
          <cell r="K125">
            <v>4.6295999999999999</v>
          </cell>
          <cell r="L125">
            <v>0.91820000000000002</v>
          </cell>
          <cell r="M125">
            <v>3.95E-2</v>
          </cell>
          <cell r="N125">
            <v>0.1578</v>
          </cell>
        </row>
        <row r="126">
          <cell r="A126">
            <v>37865</v>
          </cell>
          <cell r="B126">
            <v>20</v>
          </cell>
          <cell r="C126">
            <v>220</v>
          </cell>
          <cell r="D126" t="str">
            <v>Fifth</v>
          </cell>
          <cell r="E126">
            <v>1.38E-2</v>
          </cell>
          <cell r="F126">
            <v>1.19</v>
          </cell>
          <cell r="G126">
            <v>0.65900000000000003</v>
          </cell>
          <cell r="H126">
            <v>0.43</v>
          </cell>
          <cell r="I126">
            <v>0.53</v>
          </cell>
          <cell r="J126">
            <v>0.35909999999999997</v>
          </cell>
          <cell r="K126">
            <v>4.6295999999999999</v>
          </cell>
          <cell r="L126">
            <v>0.91820000000000002</v>
          </cell>
          <cell r="M126">
            <v>3.95E-2</v>
          </cell>
          <cell r="N126">
            <v>0.1578</v>
          </cell>
        </row>
        <row r="127">
          <cell r="A127">
            <v>37895</v>
          </cell>
          <cell r="B127">
            <v>20</v>
          </cell>
          <cell r="C127">
            <v>220</v>
          </cell>
          <cell r="D127" t="str">
            <v>Fifth</v>
          </cell>
          <cell r="E127">
            <v>1.38E-2</v>
          </cell>
          <cell r="F127">
            <v>1.19</v>
          </cell>
          <cell r="G127">
            <v>0.65900000000000003</v>
          </cell>
          <cell r="H127">
            <v>0.43</v>
          </cell>
          <cell r="I127">
            <v>0.53</v>
          </cell>
          <cell r="J127">
            <v>0.35909999999999997</v>
          </cell>
          <cell r="K127">
            <v>4.6295999999999999</v>
          </cell>
          <cell r="L127">
            <v>0.91820000000000002</v>
          </cell>
          <cell r="M127">
            <v>3.95E-2</v>
          </cell>
          <cell r="N127">
            <v>0.1578</v>
          </cell>
        </row>
        <row r="128">
          <cell r="A128">
            <v>37926</v>
          </cell>
          <cell r="B128">
            <v>20</v>
          </cell>
          <cell r="C128">
            <v>220</v>
          </cell>
          <cell r="D128" t="str">
            <v>Sixth</v>
          </cell>
          <cell r="E128">
            <v>1.38E-2</v>
          </cell>
          <cell r="F128">
            <v>1.19</v>
          </cell>
          <cell r="G128">
            <v>0.65900000000000003</v>
          </cell>
          <cell r="H128">
            <v>0.43</v>
          </cell>
          <cell r="I128">
            <v>0.53</v>
          </cell>
          <cell r="J128">
            <v>0.35909999999999997</v>
          </cell>
          <cell r="K128">
            <v>4.6387</v>
          </cell>
          <cell r="L128">
            <v>0.92830000000000001</v>
          </cell>
          <cell r="M128">
            <v>3.95E-2</v>
          </cell>
          <cell r="N128">
            <v>0.1578</v>
          </cell>
        </row>
        <row r="129">
          <cell r="A129">
            <v>37956</v>
          </cell>
          <cell r="B129">
            <v>20</v>
          </cell>
          <cell r="C129">
            <v>220</v>
          </cell>
          <cell r="D129" t="str">
            <v>Sixth</v>
          </cell>
          <cell r="E129">
            <v>1.38E-2</v>
          </cell>
          <cell r="F129">
            <v>1.19</v>
          </cell>
          <cell r="G129">
            <v>0.65900000000000003</v>
          </cell>
          <cell r="H129">
            <v>0.43</v>
          </cell>
          <cell r="I129">
            <v>0.53</v>
          </cell>
          <cell r="J129">
            <v>0.35909999999999997</v>
          </cell>
          <cell r="K129">
            <v>4.6387</v>
          </cell>
          <cell r="L129">
            <v>0.92830000000000001</v>
          </cell>
          <cell r="M129">
            <v>3.95E-2</v>
          </cell>
          <cell r="N129">
            <v>0.1578</v>
          </cell>
        </row>
        <row r="130">
          <cell r="A130">
            <v>37987</v>
          </cell>
          <cell r="B130">
            <v>20</v>
          </cell>
          <cell r="C130">
            <v>220</v>
          </cell>
          <cell r="D130" t="str">
            <v>Sixth</v>
          </cell>
          <cell r="E130">
            <v>1.38E-2</v>
          </cell>
          <cell r="F130">
            <v>1.19</v>
          </cell>
          <cell r="G130">
            <v>0.65900000000000003</v>
          </cell>
          <cell r="H130">
            <v>0.43</v>
          </cell>
          <cell r="I130">
            <v>0.53</v>
          </cell>
          <cell r="J130">
            <v>0.35909999999999997</v>
          </cell>
          <cell r="K130">
            <v>4.6387</v>
          </cell>
          <cell r="L130">
            <v>0.92830000000000001</v>
          </cell>
          <cell r="M130">
            <v>3.95E-2</v>
          </cell>
          <cell r="N130">
            <v>0.1578</v>
          </cell>
        </row>
        <row r="131">
          <cell r="A131">
            <v>38018</v>
          </cell>
          <cell r="B131">
            <v>20</v>
          </cell>
          <cell r="C131">
            <v>220</v>
          </cell>
          <cell r="D131" t="str">
            <v>Seventh</v>
          </cell>
          <cell r="E131">
            <v>1.38E-2</v>
          </cell>
          <cell r="F131">
            <v>1.19</v>
          </cell>
          <cell r="G131">
            <v>0.65900000000000003</v>
          </cell>
          <cell r="H131">
            <v>0.43</v>
          </cell>
          <cell r="I131">
            <v>0.53</v>
          </cell>
          <cell r="J131">
            <v>0.35909999999999997</v>
          </cell>
          <cell r="K131">
            <v>4.6387</v>
          </cell>
          <cell r="L131">
            <v>1.0759000000000001</v>
          </cell>
          <cell r="M131">
            <v>0.18709999999999999</v>
          </cell>
          <cell r="N131">
            <v>0.18709999999999999</v>
          </cell>
        </row>
        <row r="132">
          <cell r="A132">
            <v>38047</v>
          </cell>
          <cell r="B132">
            <v>20</v>
          </cell>
          <cell r="C132">
            <v>220</v>
          </cell>
          <cell r="D132" t="str">
            <v>Seventh</v>
          </cell>
          <cell r="E132">
            <v>1.38E-2</v>
          </cell>
          <cell r="F132">
            <v>1.19</v>
          </cell>
          <cell r="G132">
            <v>0.65900000000000003</v>
          </cell>
          <cell r="H132">
            <v>0.43</v>
          </cell>
          <cell r="I132">
            <v>0.53</v>
          </cell>
          <cell r="J132">
            <v>0.35909999999999997</v>
          </cell>
          <cell r="K132">
            <v>4.6387</v>
          </cell>
          <cell r="L132">
            <v>1.0759000000000001</v>
          </cell>
          <cell r="M132">
            <v>0.18709999999999999</v>
          </cell>
          <cell r="N132">
            <v>0.18709999999999999</v>
          </cell>
        </row>
        <row r="133">
          <cell r="A133">
            <v>38078</v>
          </cell>
          <cell r="B133">
            <v>20</v>
          </cell>
          <cell r="C133">
            <v>220</v>
          </cell>
          <cell r="D133" t="str">
            <v>Seventh</v>
          </cell>
          <cell r="E133">
            <v>1.38E-2</v>
          </cell>
          <cell r="F133">
            <v>1.19</v>
          </cell>
          <cell r="G133">
            <v>0.65900000000000003</v>
          </cell>
          <cell r="H133">
            <v>0.43</v>
          </cell>
          <cell r="I133">
            <v>0.53</v>
          </cell>
          <cell r="J133">
            <v>0.35909999999999997</v>
          </cell>
          <cell r="K133">
            <v>4.6387</v>
          </cell>
          <cell r="L133">
            <v>1.0759000000000001</v>
          </cell>
          <cell r="M133">
            <v>0.18709999999999999</v>
          </cell>
          <cell r="N133">
            <v>0.18709999999999999</v>
          </cell>
        </row>
        <row r="134">
          <cell r="A134">
            <v>38108</v>
          </cell>
          <cell r="B134">
            <v>20</v>
          </cell>
          <cell r="C134">
            <v>220</v>
          </cell>
          <cell r="D134" t="str">
            <v>Eighth</v>
          </cell>
          <cell r="E134">
            <v>1.38E-2</v>
          </cell>
          <cell r="F134">
            <v>1.19</v>
          </cell>
          <cell r="G134">
            <v>0.65900000000000003</v>
          </cell>
          <cell r="H134">
            <v>0.43</v>
          </cell>
          <cell r="I134">
            <v>0.53</v>
          </cell>
          <cell r="J134">
            <v>0.35909999999999997</v>
          </cell>
          <cell r="K134">
            <v>4.6387</v>
          </cell>
          <cell r="L134">
            <v>1.0759000000000001</v>
          </cell>
          <cell r="M134">
            <v>0.18709999999999999</v>
          </cell>
          <cell r="N134">
            <v>0.18709999999999999</v>
          </cell>
        </row>
        <row r="135">
          <cell r="A135">
            <v>38139</v>
          </cell>
          <cell r="B135">
            <v>20</v>
          </cell>
          <cell r="C135">
            <v>220</v>
          </cell>
          <cell r="D135" t="str">
            <v>Eighth</v>
          </cell>
          <cell r="E135">
            <v>1.38E-2</v>
          </cell>
          <cell r="F135">
            <v>1.19</v>
          </cell>
          <cell r="G135">
            <v>0.65900000000000003</v>
          </cell>
          <cell r="H135">
            <v>0.43</v>
          </cell>
          <cell r="I135">
            <v>0.53</v>
          </cell>
          <cell r="J135">
            <v>0.35909999999999997</v>
          </cell>
          <cell r="K135">
            <v>4.6387</v>
          </cell>
          <cell r="L135">
            <v>1.0759000000000001</v>
          </cell>
          <cell r="M135">
            <v>0.18709999999999999</v>
          </cell>
          <cell r="N135">
            <v>0.18709999999999999</v>
          </cell>
        </row>
        <row r="136">
          <cell r="A136">
            <v>38169</v>
          </cell>
          <cell r="B136">
            <v>20</v>
          </cell>
          <cell r="C136">
            <v>220</v>
          </cell>
          <cell r="D136" t="str">
            <v>Eighth</v>
          </cell>
          <cell r="E136">
            <v>1.38E-2</v>
          </cell>
          <cell r="F136">
            <v>1.19</v>
          </cell>
          <cell r="G136">
            <v>0.65900000000000003</v>
          </cell>
          <cell r="H136">
            <v>0.43</v>
          </cell>
          <cell r="I136">
            <v>0.53</v>
          </cell>
          <cell r="J136">
            <v>0.35909999999999997</v>
          </cell>
          <cell r="K136">
            <v>4.6387</v>
          </cell>
          <cell r="L136">
            <v>1.0759000000000001</v>
          </cell>
          <cell r="M136">
            <v>0.18709999999999999</v>
          </cell>
          <cell r="N136">
            <v>0.18709999999999999</v>
          </cell>
        </row>
        <row r="137">
          <cell r="A137">
            <v>38200</v>
          </cell>
          <cell r="B137">
            <v>20</v>
          </cell>
          <cell r="C137">
            <v>220</v>
          </cell>
          <cell r="D137" t="str">
            <v>Ninth</v>
          </cell>
          <cell r="E137">
            <v>1.38E-2</v>
          </cell>
          <cell r="F137">
            <v>1.19</v>
          </cell>
          <cell r="G137">
            <v>0.65900000000000003</v>
          </cell>
          <cell r="H137">
            <v>0.43</v>
          </cell>
          <cell r="I137">
            <v>0.53</v>
          </cell>
          <cell r="J137">
            <v>0.35909999999999997</v>
          </cell>
          <cell r="K137">
            <v>4.6387</v>
          </cell>
          <cell r="L137">
            <v>1.0759000000000001</v>
          </cell>
          <cell r="M137">
            <v>0.18709999999999999</v>
          </cell>
          <cell r="N137">
            <v>0.18709999999999999</v>
          </cell>
        </row>
        <row r="138">
          <cell r="A138">
            <v>38231</v>
          </cell>
          <cell r="B138">
            <v>20</v>
          </cell>
          <cell r="C138">
            <v>220</v>
          </cell>
          <cell r="D138" t="str">
            <v>Ninth</v>
          </cell>
          <cell r="E138">
            <v>1.38E-2</v>
          </cell>
          <cell r="F138">
            <v>1.19</v>
          </cell>
          <cell r="G138">
            <v>0.65900000000000003</v>
          </cell>
          <cell r="H138">
            <v>0.43</v>
          </cell>
          <cell r="I138">
            <v>0.53</v>
          </cell>
          <cell r="J138">
            <v>0.35909999999999997</v>
          </cell>
          <cell r="K138">
            <v>4.6387</v>
          </cell>
          <cell r="L138">
            <v>1.0759000000000001</v>
          </cell>
          <cell r="M138">
            <v>0.18709999999999999</v>
          </cell>
          <cell r="N138">
            <v>0.18709999999999999</v>
          </cell>
        </row>
        <row r="139">
          <cell r="A139">
            <v>38261</v>
          </cell>
          <cell r="B139">
            <v>20</v>
          </cell>
          <cell r="C139">
            <v>220</v>
          </cell>
          <cell r="D139" t="str">
            <v>Ninth</v>
          </cell>
          <cell r="E139">
            <v>1.38E-2</v>
          </cell>
          <cell r="F139">
            <v>1.19</v>
          </cell>
          <cell r="G139">
            <v>0.65900000000000003</v>
          </cell>
          <cell r="H139">
            <v>0.43</v>
          </cell>
          <cell r="I139">
            <v>0.53</v>
          </cell>
          <cell r="J139">
            <v>0.35909999999999997</v>
          </cell>
          <cell r="K139">
            <v>4.6387</v>
          </cell>
          <cell r="L139">
            <v>1.0759000000000001</v>
          </cell>
          <cell r="M139">
            <v>0.18709999999999999</v>
          </cell>
          <cell r="N139">
            <v>0.18709999999999999</v>
          </cell>
        </row>
        <row r="140">
          <cell r="A140">
            <v>38292</v>
          </cell>
          <cell r="B140">
            <v>20</v>
          </cell>
          <cell r="C140">
            <v>220</v>
          </cell>
          <cell r="D140" t="str">
            <v>Tenth</v>
          </cell>
          <cell r="E140">
            <v>1.38E-2</v>
          </cell>
          <cell r="F140">
            <v>1.19</v>
          </cell>
          <cell r="G140">
            <v>0.65900000000000003</v>
          </cell>
          <cell r="H140">
            <v>0.43</v>
          </cell>
          <cell r="I140">
            <v>0.53</v>
          </cell>
          <cell r="J140">
            <v>0.35909999999999997</v>
          </cell>
          <cell r="K140">
            <v>4.6207000000000003</v>
          </cell>
          <cell r="L140">
            <v>1.0718000000000001</v>
          </cell>
          <cell r="M140">
            <v>0.18640000000000001</v>
          </cell>
          <cell r="N140">
            <v>0.18640000000000001</v>
          </cell>
        </row>
        <row r="141">
          <cell r="A141">
            <v>38322</v>
          </cell>
          <cell r="B141">
            <v>20</v>
          </cell>
          <cell r="C141">
            <v>220</v>
          </cell>
          <cell r="D141" t="str">
            <v>Tenth</v>
          </cell>
          <cell r="E141">
            <v>1.38E-2</v>
          </cell>
          <cell r="F141">
            <v>1.19</v>
          </cell>
          <cell r="G141">
            <v>0.65900000000000003</v>
          </cell>
          <cell r="H141">
            <v>0.43</v>
          </cell>
          <cell r="I141">
            <v>0.53</v>
          </cell>
          <cell r="J141">
            <v>0.35909999999999997</v>
          </cell>
          <cell r="K141">
            <v>4.6207000000000003</v>
          </cell>
          <cell r="L141">
            <v>1.0718000000000001</v>
          </cell>
          <cell r="M141">
            <v>0.18640000000000001</v>
          </cell>
          <cell r="N141">
            <v>0.18640000000000001</v>
          </cell>
        </row>
        <row r="142">
          <cell r="A142">
            <v>38353</v>
          </cell>
          <cell r="B142">
            <v>20</v>
          </cell>
          <cell r="C142">
            <v>220</v>
          </cell>
          <cell r="D142" t="str">
            <v>Tenth</v>
          </cell>
          <cell r="E142">
            <v>1.38E-2</v>
          </cell>
          <cell r="F142">
            <v>1.19</v>
          </cell>
          <cell r="G142">
            <v>0.65900000000000003</v>
          </cell>
          <cell r="H142">
            <v>0.43</v>
          </cell>
          <cell r="I142">
            <v>0.53</v>
          </cell>
          <cell r="J142">
            <v>0.35909999999999997</v>
          </cell>
          <cell r="K142">
            <v>4.6207000000000003</v>
          </cell>
          <cell r="L142">
            <v>1.0718000000000001</v>
          </cell>
          <cell r="M142">
            <v>0.18640000000000001</v>
          </cell>
          <cell r="N142">
            <v>0.18640000000000001</v>
          </cell>
        </row>
        <row r="143">
          <cell r="A143">
            <v>38384</v>
          </cell>
          <cell r="B143">
            <v>20</v>
          </cell>
          <cell r="C143">
            <v>220</v>
          </cell>
          <cell r="D143" t="str">
            <v>Eleventh</v>
          </cell>
          <cell r="E143">
            <v>1.38E-2</v>
          </cell>
          <cell r="F143">
            <v>1.19</v>
          </cell>
          <cell r="G143">
            <v>0.65900000000000003</v>
          </cell>
          <cell r="H143">
            <v>0.43</v>
          </cell>
          <cell r="I143">
            <v>0.53</v>
          </cell>
          <cell r="J143">
            <v>0.35909999999999997</v>
          </cell>
          <cell r="K143">
            <v>4.6207000000000003</v>
          </cell>
          <cell r="L143">
            <v>1.0718000000000001</v>
          </cell>
          <cell r="M143">
            <v>0.18640000000000001</v>
          </cell>
          <cell r="N143">
            <v>0.18640000000000001</v>
          </cell>
        </row>
        <row r="144">
          <cell r="A144">
            <v>54789</v>
          </cell>
          <cell r="B144">
            <v>13.6</v>
          </cell>
          <cell r="C144">
            <v>150</v>
          </cell>
          <cell r="D144" t="str">
            <v>Sixty-seventh</v>
          </cell>
          <cell r="E144">
            <v>1.9E-2</v>
          </cell>
          <cell r="F144">
            <v>1.0615000000000001</v>
          </cell>
          <cell r="G144">
            <v>0.5585</v>
          </cell>
          <cell r="H144">
            <v>0.40849999999999997</v>
          </cell>
          <cell r="I144">
            <v>0.49359999999999998</v>
          </cell>
          <cell r="J144">
            <v>0.34360000000000002</v>
          </cell>
          <cell r="K144">
            <v>4.2808999999999999</v>
          </cell>
          <cell r="L144">
            <v>0.76990000000000003</v>
          </cell>
          <cell r="M144">
            <v>0.215</v>
          </cell>
          <cell r="N144">
            <v>0.2172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itchell Template"/>
      <sheetName val="A.1"/>
      <sheetName val="A.2"/>
      <sheetName val="B.1"/>
      <sheetName val="B.2"/>
      <sheetName val="B.3"/>
      <sheetName val="B.4"/>
      <sheetName val="B.5"/>
      <sheetName val="B.6"/>
      <sheetName val="B.7"/>
      <sheetName val="B.8"/>
      <sheetName val="C.1"/>
      <sheetName val="C.2"/>
      <sheetName val="D.1"/>
      <sheetName val="D.2"/>
      <sheetName val="D.3"/>
      <sheetName val="D.4"/>
      <sheetName val="D.5"/>
      <sheetName val="D.6"/>
      <sheetName val="E.1"/>
      <sheetName val="E.2"/>
      <sheetName val="WorkPaper"/>
      <sheetName val="WP-E.1"/>
      <sheetName val="Data Mart Inputs"/>
      <sheetName val="Holidays"/>
      <sheetName val="Rate Validation"/>
    </sheetNames>
    <sheetDataSet>
      <sheetData sheetId="0" refreshError="1"/>
      <sheetData sheetId="1">
        <row r="20">
          <cell r="G20">
            <v>4.5525000000000002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"/>
      <sheetName val="Main Inputs"/>
      <sheetName val="D1 (Summary)"/>
      <sheetName val="D2 (Purchase Volumes)"/>
      <sheetName val="D3 (Purchase Costs)"/>
      <sheetName val="D4 (Recoveries)"/>
      <sheetName val="D5 (Supply Detail)"/>
      <sheetName val="D6 (Bad Debt)"/>
      <sheetName val="PBR Savings"/>
    </sheetNames>
    <sheetDataSet>
      <sheetData sheetId="0"/>
      <sheetData sheetId="1">
        <row r="5">
          <cell r="C5">
            <v>40513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Summary (SI)"/>
      <sheetName val="EGC (SII)"/>
      <sheetName val="Actual Adjustment (IV)"/>
      <sheetName val="EXAMPLE Actual Adjustment (SIV)"/>
      <sheetName val="FUTURE BA (SV)"/>
      <sheetName val="Balance Adjustment (V)"/>
      <sheetName val="Purchases 2409"/>
      <sheetName val="Sales"/>
      <sheetName val="PAST GCR RIDER"/>
      <sheetName val="Purchases (replaced)"/>
      <sheetName val="SCH III B&amp;S Oil FloydCo N-D-J"/>
      <sheetName val="SCH III B&amp;S Oil FloydCo A-S-O"/>
      <sheetName val="Purch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7">
          <cell r="AG57">
            <v>1.1100000000000001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655A6-9EBB-43AF-800B-6CD36734C9AE}">
  <dimension ref="A1:I35"/>
  <sheetViews>
    <sheetView zoomScale="115" zoomScaleNormal="115" workbookViewId="0">
      <selection activeCell="E8" sqref="E8"/>
    </sheetView>
  </sheetViews>
  <sheetFormatPr defaultRowHeight="15"/>
  <cols>
    <col min="1" max="1" width="11.33203125" style="49" customWidth="1"/>
    <col min="2" max="2" width="10.109375" style="49" customWidth="1"/>
    <col min="3" max="5" width="9.109375" style="49"/>
    <col min="6" max="6" width="11" style="49" customWidth="1"/>
    <col min="7" max="256" width="9.109375" style="49"/>
    <col min="257" max="257" width="11.33203125" style="49" customWidth="1"/>
    <col min="258" max="258" width="10.109375" style="49" customWidth="1"/>
    <col min="259" max="261" width="9.109375" style="49"/>
    <col min="262" max="262" width="11" style="49" customWidth="1"/>
    <col min="263" max="512" width="9.109375" style="49"/>
    <col min="513" max="513" width="11.33203125" style="49" customWidth="1"/>
    <col min="514" max="514" width="10.109375" style="49" customWidth="1"/>
    <col min="515" max="517" width="9.109375" style="49"/>
    <col min="518" max="518" width="11" style="49" customWidth="1"/>
    <col min="519" max="768" width="9.109375" style="49"/>
    <col min="769" max="769" width="11.33203125" style="49" customWidth="1"/>
    <col min="770" max="770" width="10.109375" style="49" customWidth="1"/>
    <col min="771" max="773" width="9.109375" style="49"/>
    <col min="774" max="774" width="11" style="49" customWidth="1"/>
    <col min="775" max="1024" width="9.109375" style="49"/>
    <col min="1025" max="1025" width="11.33203125" style="49" customWidth="1"/>
    <col min="1026" max="1026" width="10.109375" style="49" customWidth="1"/>
    <col min="1027" max="1029" width="9.109375" style="49"/>
    <col min="1030" max="1030" width="11" style="49" customWidth="1"/>
    <col min="1031" max="1280" width="9.109375" style="49"/>
    <col min="1281" max="1281" width="11.33203125" style="49" customWidth="1"/>
    <col min="1282" max="1282" width="10.109375" style="49" customWidth="1"/>
    <col min="1283" max="1285" width="9.109375" style="49"/>
    <col min="1286" max="1286" width="11" style="49" customWidth="1"/>
    <col min="1287" max="1536" width="9.109375" style="49"/>
    <col min="1537" max="1537" width="11.33203125" style="49" customWidth="1"/>
    <col min="1538" max="1538" width="10.109375" style="49" customWidth="1"/>
    <col min="1539" max="1541" width="9.109375" style="49"/>
    <col min="1542" max="1542" width="11" style="49" customWidth="1"/>
    <col min="1543" max="1792" width="9.109375" style="49"/>
    <col min="1793" max="1793" width="11.33203125" style="49" customWidth="1"/>
    <col min="1794" max="1794" width="10.109375" style="49" customWidth="1"/>
    <col min="1795" max="1797" width="9.109375" style="49"/>
    <col min="1798" max="1798" width="11" style="49" customWidth="1"/>
    <col min="1799" max="2048" width="9.109375" style="49"/>
    <col min="2049" max="2049" width="11.33203125" style="49" customWidth="1"/>
    <col min="2050" max="2050" width="10.109375" style="49" customWidth="1"/>
    <col min="2051" max="2053" width="9.109375" style="49"/>
    <col min="2054" max="2054" width="11" style="49" customWidth="1"/>
    <col min="2055" max="2304" width="9.109375" style="49"/>
    <col min="2305" max="2305" width="11.33203125" style="49" customWidth="1"/>
    <col min="2306" max="2306" width="10.109375" style="49" customWidth="1"/>
    <col min="2307" max="2309" width="9.109375" style="49"/>
    <col min="2310" max="2310" width="11" style="49" customWidth="1"/>
    <col min="2311" max="2560" width="9.109375" style="49"/>
    <col min="2561" max="2561" width="11.33203125" style="49" customWidth="1"/>
    <col min="2562" max="2562" width="10.109375" style="49" customWidth="1"/>
    <col min="2563" max="2565" width="9.109375" style="49"/>
    <col min="2566" max="2566" width="11" style="49" customWidth="1"/>
    <col min="2567" max="2816" width="9.109375" style="49"/>
    <col min="2817" max="2817" width="11.33203125" style="49" customWidth="1"/>
    <col min="2818" max="2818" width="10.109375" style="49" customWidth="1"/>
    <col min="2819" max="2821" width="9.109375" style="49"/>
    <col min="2822" max="2822" width="11" style="49" customWidth="1"/>
    <col min="2823" max="3072" width="9.109375" style="49"/>
    <col min="3073" max="3073" width="11.33203125" style="49" customWidth="1"/>
    <col min="3074" max="3074" width="10.109375" style="49" customWidth="1"/>
    <col min="3075" max="3077" width="9.109375" style="49"/>
    <col min="3078" max="3078" width="11" style="49" customWidth="1"/>
    <col min="3079" max="3328" width="9.109375" style="49"/>
    <col min="3329" max="3329" width="11.33203125" style="49" customWidth="1"/>
    <col min="3330" max="3330" width="10.109375" style="49" customWidth="1"/>
    <col min="3331" max="3333" width="9.109375" style="49"/>
    <col min="3334" max="3334" width="11" style="49" customWidth="1"/>
    <col min="3335" max="3584" width="9.109375" style="49"/>
    <col min="3585" max="3585" width="11.33203125" style="49" customWidth="1"/>
    <col min="3586" max="3586" width="10.109375" style="49" customWidth="1"/>
    <col min="3587" max="3589" width="9.109375" style="49"/>
    <col min="3590" max="3590" width="11" style="49" customWidth="1"/>
    <col min="3591" max="3840" width="9.109375" style="49"/>
    <col min="3841" max="3841" width="11.33203125" style="49" customWidth="1"/>
    <col min="3842" max="3842" width="10.109375" style="49" customWidth="1"/>
    <col min="3843" max="3845" width="9.109375" style="49"/>
    <col min="3846" max="3846" width="11" style="49" customWidth="1"/>
    <col min="3847" max="4096" width="9.109375" style="49"/>
    <col min="4097" max="4097" width="11.33203125" style="49" customWidth="1"/>
    <col min="4098" max="4098" width="10.109375" style="49" customWidth="1"/>
    <col min="4099" max="4101" width="9.109375" style="49"/>
    <col min="4102" max="4102" width="11" style="49" customWidth="1"/>
    <col min="4103" max="4352" width="9.109375" style="49"/>
    <col min="4353" max="4353" width="11.33203125" style="49" customWidth="1"/>
    <col min="4354" max="4354" width="10.109375" style="49" customWidth="1"/>
    <col min="4355" max="4357" width="9.109375" style="49"/>
    <col min="4358" max="4358" width="11" style="49" customWidth="1"/>
    <col min="4359" max="4608" width="9.109375" style="49"/>
    <col min="4609" max="4609" width="11.33203125" style="49" customWidth="1"/>
    <col min="4610" max="4610" width="10.109375" style="49" customWidth="1"/>
    <col min="4611" max="4613" width="9.109375" style="49"/>
    <col min="4614" max="4614" width="11" style="49" customWidth="1"/>
    <col min="4615" max="4864" width="9.109375" style="49"/>
    <col min="4865" max="4865" width="11.33203125" style="49" customWidth="1"/>
    <col min="4866" max="4866" width="10.109375" style="49" customWidth="1"/>
    <col min="4867" max="4869" width="9.109375" style="49"/>
    <col min="4870" max="4870" width="11" style="49" customWidth="1"/>
    <col min="4871" max="5120" width="9.109375" style="49"/>
    <col min="5121" max="5121" width="11.33203125" style="49" customWidth="1"/>
    <col min="5122" max="5122" width="10.109375" style="49" customWidth="1"/>
    <col min="5123" max="5125" width="9.109375" style="49"/>
    <col min="5126" max="5126" width="11" style="49" customWidth="1"/>
    <col min="5127" max="5376" width="9.109375" style="49"/>
    <col min="5377" max="5377" width="11.33203125" style="49" customWidth="1"/>
    <col min="5378" max="5378" width="10.109375" style="49" customWidth="1"/>
    <col min="5379" max="5381" width="9.109375" style="49"/>
    <col min="5382" max="5382" width="11" style="49" customWidth="1"/>
    <col min="5383" max="5632" width="9.109375" style="49"/>
    <col min="5633" max="5633" width="11.33203125" style="49" customWidth="1"/>
    <col min="5634" max="5634" width="10.109375" style="49" customWidth="1"/>
    <col min="5635" max="5637" width="9.109375" style="49"/>
    <col min="5638" max="5638" width="11" style="49" customWidth="1"/>
    <col min="5639" max="5888" width="9.109375" style="49"/>
    <col min="5889" max="5889" width="11.33203125" style="49" customWidth="1"/>
    <col min="5890" max="5890" width="10.109375" style="49" customWidth="1"/>
    <col min="5891" max="5893" width="9.109375" style="49"/>
    <col min="5894" max="5894" width="11" style="49" customWidth="1"/>
    <col min="5895" max="6144" width="9.109375" style="49"/>
    <col min="6145" max="6145" width="11.33203125" style="49" customWidth="1"/>
    <col min="6146" max="6146" width="10.109375" style="49" customWidth="1"/>
    <col min="6147" max="6149" width="9.109375" style="49"/>
    <col min="6150" max="6150" width="11" style="49" customWidth="1"/>
    <col min="6151" max="6400" width="9.109375" style="49"/>
    <col min="6401" max="6401" width="11.33203125" style="49" customWidth="1"/>
    <col min="6402" max="6402" width="10.109375" style="49" customWidth="1"/>
    <col min="6403" max="6405" width="9.109375" style="49"/>
    <col min="6406" max="6406" width="11" style="49" customWidth="1"/>
    <col min="6407" max="6656" width="9.109375" style="49"/>
    <col min="6657" max="6657" width="11.33203125" style="49" customWidth="1"/>
    <col min="6658" max="6658" width="10.109375" style="49" customWidth="1"/>
    <col min="6659" max="6661" width="9.109375" style="49"/>
    <col min="6662" max="6662" width="11" style="49" customWidth="1"/>
    <col min="6663" max="6912" width="9.109375" style="49"/>
    <col min="6913" max="6913" width="11.33203125" style="49" customWidth="1"/>
    <col min="6914" max="6914" width="10.109375" style="49" customWidth="1"/>
    <col min="6915" max="6917" width="9.109375" style="49"/>
    <col min="6918" max="6918" width="11" style="49" customWidth="1"/>
    <col min="6919" max="7168" width="9.109375" style="49"/>
    <col min="7169" max="7169" width="11.33203125" style="49" customWidth="1"/>
    <col min="7170" max="7170" width="10.109375" style="49" customWidth="1"/>
    <col min="7171" max="7173" width="9.109375" style="49"/>
    <col min="7174" max="7174" width="11" style="49" customWidth="1"/>
    <col min="7175" max="7424" width="9.109375" style="49"/>
    <col min="7425" max="7425" width="11.33203125" style="49" customWidth="1"/>
    <col min="7426" max="7426" width="10.109375" style="49" customWidth="1"/>
    <col min="7427" max="7429" width="9.109375" style="49"/>
    <col min="7430" max="7430" width="11" style="49" customWidth="1"/>
    <col min="7431" max="7680" width="9.109375" style="49"/>
    <col min="7681" max="7681" width="11.33203125" style="49" customWidth="1"/>
    <col min="7682" max="7682" width="10.109375" style="49" customWidth="1"/>
    <col min="7683" max="7685" width="9.109375" style="49"/>
    <col min="7686" max="7686" width="11" style="49" customWidth="1"/>
    <col min="7687" max="7936" width="9.109375" style="49"/>
    <col min="7937" max="7937" width="11.33203125" style="49" customWidth="1"/>
    <col min="7938" max="7938" width="10.109375" style="49" customWidth="1"/>
    <col min="7939" max="7941" width="9.109375" style="49"/>
    <col min="7942" max="7942" width="11" style="49" customWidth="1"/>
    <col min="7943" max="8192" width="9.109375" style="49"/>
    <col min="8193" max="8193" width="11.33203125" style="49" customWidth="1"/>
    <col min="8194" max="8194" width="10.109375" style="49" customWidth="1"/>
    <col min="8195" max="8197" width="9.109375" style="49"/>
    <col min="8198" max="8198" width="11" style="49" customWidth="1"/>
    <col min="8199" max="8448" width="9.109375" style="49"/>
    <col min="8449" max="8449" width="11.33203125" style="49" customWidth="1"/>
    <col min="8450" max="8450" width="10.109375" style="49" customWidth="1"/>
    <col min="8451" max="8453" width="9.109375" style="49"/>
    <col min="8454" max="8454" width="11" style="49" customWidth="1"/>
    <col min="8455" max="8704" width="9.109375" style="49"/>
    <col min="8705" max="8705" width="11.33203125" style="49" customWidth="1"/>
    <col min="8706" max="8706" width="10.109375" style="49" customWidth="1"/>
    <col min="8707" max="8709" width="9.109375" style="49"/>
    <col min="8710" max="8710" width="11" style="49" customWidth="1"/>
    <col min="8711" max="8960" width="9.109375" style="49"/>
    <col min="8961" max="8961" width="11.33203125" style="49" customWidth="1"/>
    <col min="8962" max="8962" width="10.109375" style="49" customWidth="1"/>
    <col min="8963" max="8965" width="9.109375" style="49"/>
    <col min="8966" max="8966" width="11" style="49" customWidth="1"/>
    <col min="8967" max="9216" width="9.109375" style="49"/>
    <col min="9217" max="9217" width="11.33203125" style="49" customWidth="1"/>
    <col min="9218" max="9218" width="10.109375" style="49" customWidth="1"/>
    <col min="9219" max="9221" width="9.109375" style="49"/>
    <col min="9222" max="9222" width="11" style="49" customWidth="1"/>
    <col min="9223" max="9472" width="9.109375" style="49"/>
    <col min="9473" max="9473" width="11.33203125" style="49" customWidth="1"/>
    <col min="9474" max="9474" width="10.109375" style="49" customWidth="1"/>
    <col min="9475" max="9477" width="9.109375" style="49"/>
    <col min="9478" max="9478" width="11" style="49" customWidth="1"/>
    <col min="9479" max="9728" width="9.109375" style="49"/>
    <col min="9729" max="9729" width="11.33203125" style="49" customWidth="1"/>
    <col min="9730" max="9730" width="10.109375" style="49" customWidth="1"/>
    <col min="9731" max="9733" width="9.109375" style="49"/>
    <col min="9734" max="9734" width="11" style="49" customWidth="1"/>
    <col min="9735" max="9984" width="9.109375" style="49"/>
    <col min="9985" max="9985" width="11.33203125" style="49" customWidth="1"/>
    <col min="9986" max="9986" width="10.109375" style="49" customWidth="1"/>
    <col min="9987" max="9989" width="9.109375" style="49"/>
    <col min="9990" max="9990" width="11" style="49" customWidth="1"/>
    <col min="9991" max="10240" width="9.109375" style="49"/>
    <col min="10241" max="10241" width="11.33203125" style="49" customWidth="1"/>
    <col min="10242" max="10242" width="10.109375" style="49" customWidth="1"/>
    <col min="10243" max="10245" width="9.109375" style="49"/>
    <col min="10246" max="10246" width="11" style="49" customWidth="1"/>
    <col min="10247" max="10496" width="9.109375" style="49"/>
    <col min="10497" max="10497" width="11.33203125" style="49" customWidth="1"/>
    <col min="10498" max="10498" width="10.109375" style="49" customWidth="1"/>
    <col min="10499" max="10501" width="9.109375" style="49"/>
    <col min="10502" max="10502" width="11" style="49" customWidth="1"/>
    <col min="10503" max="10752" width="9.109375" style="49"/>
    <col min="10753" max="10753" width="11.33203125" style="49" customWidth="1"/>
    <col min="10754" max="10754" width="10.109375" style="49" customWidth="1"/>
    <col min="10755" max="10757" width="9.109375" style="49"/>
    <col min="10758" max="10758" width="11" style="49" customWidth="1"/>
    <col min="10759" max="11008" width="9.109375" style="49"/>
    <col min="11009" max="11009" width="11.33203125" style="49" customWidth="1"/>
    <col min="11010" max="11010" width="10.109375" style="49" customWidth="1"/>
    <col min="11011" max="11013" width="9.109375" style="49"/>
    <col min="11014" max="11014" width="11" style="49" customWidth="1"/>
    <col min="11015" max="11264" width="9.109375" style="49"/>
    <col min="11265" max="11265" width="11.33203125" style="49" customWidth="1"/>
    <col min="11266" max="11266" width="10.109375" style="49" customWidth="1"/>
    <col min="11267" max="11269" width="9.109375" style="49"/>
    <col min="11270" max="11270" width="11" style="49" customWidth="1"/>
    <col min="11271" max="11520" width="9.109375" style="49"/>
    <col min="11521" max="11521" width="11.33203125" style="49" customWidth="1"/>
    <col min="11522" max="11522" width="10.109375" style="49" customWidth="1"/>
    <col min="11523" max="11525" width="9.109375" style="49"/>
    <col min="11526" max="11526" width="11" style="49" customWidth="1"/>
    <col min="11527" max="11776" width="9.109375" style="49"/>
    <col min="11777" max="11777" width="11.33203125" style="49" customWidth="1"/>
    <col min="11778" max="11778" width="10.109375" style="49" customWidth="1"/>
    <col min="11779" max="11781" width="9.109375" style="49"/>
    <col min="11782" max="11782" width="11" style="49" customWidth="1"/>
    <col min="11783" max="12032" width="9.109375" style="49"/>
    <col min="12033" max="12033" width="11.33203125" style="49" customWidth="1"/>
    <col min="12034" max="12034" width="10.109375" style="49" customWidth="1"/>
    <col min="12035" max="12037" width="9.109375" style="49"/>
    <col min="12038" max="12038" width="11" style="49" customWidth="1"/>
    <col min="12039" max="12288" width="9.109375" style="49"/>
    <col min="12289" max="12289" width="11.33203125" style="49" customWidth="1"/>
    <col min="12290" max="12290" width="10.109375" style="49" customWidth="1"/>
    <col min="12291" max="12293" width="9.109375" style="49"/>
    <col min="12294" max="12294" width="11" style="49" customWidth="1"/>
    <col min="12295" max="12544" width="9.109375" style="49"/>
    <col min="12545" max="12545" width="11.33203125" style="49" customWidth="1"/>
    <col min="12546" max="12546" width="10.109375" style="49" customWidth="1"/>
    <col min="12547" max="12549" width="9.109375" style="49"/>
    <col min="12550" max="12550" width="11" style="49" customWidth="1"/>
    <col min="12551" max="12800" width="9.109375" style="49"/>
    <col min="12801" max="12801" width="11.33203125" style="49" customWidth="1"/>
    <col min="12802" max="12802" width="10.109375" style="49" customWidth="1"/>
    <col min="12803" max="12805" width="9.109375" style="49"/>
    <col min="12806" max="12806" width="11" style="49" customWidth="1"/>
    <col min="12807" max="13056" width="9.109375" style="49"/>
    <col min="13057" max="13057" width="11.33203125" style="49" customWidth="1"/>
    <col min="13058" max="13058" width="10.109375" style="49" customWidth="1"/>
    <col min="13059" max="13061" width="9.109375" style="49"/>
    <col min="13062" max="13062" width="11" style="49" customWidth="1"/>
    <col min="13063" max="13312" width="9.109375" style="49"/>
    <col min="13313" max="13313" width="11.33203125" style="49" customWidth="1"/>
    <col min="13314" max="13314" width="10.109375" style="49" customWidth="1"/>
    <col min="13315" max="13317" width="9.109375" style="49"/>
    <col min="13318" max="13318" width="11" style="49" customWidth="1"/>
    <col min="13319" max="13568" width="9.109375" style="49"/>
    <col min="13569" max="13569" width="11.33203125" style="49" customWidth="1"/>
    <col min="13570" max="13570" width="10.109375" style="49" customWidth="1"/>
    <col min="13571" max="13573" width="9.109375" style="49"/>
    <col min="13574" max="13574" width="11" style="49" customWidth="1"/>
    <col min="13575" max="13824" width="9.109375" style="49"/>
    <col min="13825" max="13825" width="11.33203125" style="49" customWidth="1"/>
    <col min="13826" max="13826" width="10.109375" style="49" customWidth="1"/>
    <col min="13827" max="13829" width="9.109375" style="49"/>
    <col min="13830" max="13830" width="11" style="49" customWidth="1"/>
    <col min="13831" max="14080" width="9.109375" style="49"/>
    <col min="14081" max="14081" width="11.33203125" style="49" customWidth="1"/>
    <col min="14082" max="14082" width="10.109375" style="49" customWidth="1"/>
    <col min="14083" max="14085" width="9.109375" style="49"/>
    <col min="14086" max="14086" width="11" style="49" customWidth="1"/>
    <col min="14087" max="14336" width="9.109375" style="49"/>
    <col min="14337" max="14337" width="11.33203125" style="49" customWidth="1"/>
    <col min="14338" max="14338" width="10.109375" style="49" customWidth="1"/>
    <col min="14339" max="14341" width="9.109375" style="49"/>
    <col min="14342" max="14342" width="11" style="49" customWidth="1"/>
    <col min="14343" max="14592" width="9.109375" style="49"/>
    <col min="14593" max="14593" width="11.33203125" style="49" customWidth="1"/>
    <col min="14594" max="14594" width="10.109375" style="49" customWidth="1"/>
    <col min="14595" max="14597" width="9.109375" style="49"/>
    <col min="14598" max="14598" width="11" style="49" customWidth="1"/>
    <col min="14599" max="14848" width="9.109375" style="49"/>
    <col min="14849" max="14849" width="11.33203125" style="49" customWidth="1"/>
    <col min="14850" max="14850" width="10.109375" style="49" customWidth="1"/>
    <col min="14851" max="14853" width="9.109375" style="49"/>
    <col min="14854" max="14854" width="11" style="49" customWidth="1"/>
    <col min="14855" max="15104" width="9.109375" style="49"/>
    <col min="15105" max="15105" width="11.33203125" style="49" customWidth="1"/>
    <col min="15106" max="15106" width="10.109375" style="49" customWidth="1"/>
    <col min="15107" max="15109" width="9.109375" style="49"/>
    <col min="15110" max="15110" width="11" style="49" customWidth="1"/>
    <col min="15111" max="15360" width="9.109375" style="49"/>
    <col min="15361" max="15361" width="11.33203125" style="49" customWidth="1"/>
    <col min="15362" max="15362" width="10.109375" style="49" customWidth="1"/>
    <col min="15363" max="15365" width="9.109375" style="49"/>
    <col min="15366" max="15366" width="11" style="49" customWidth="1"/>
    <col min="15367" max="15616" width="9.109375" style="49"/>
    <col min="15617" max="15617" width="11.33203125" style="49" customWidth="1"/>
    <col min="15618" max="15618" width="10.109375" style="49" customWidth="1"/>
    <col min="15619" max="15621" width="9.109375" style="49"/>
    <col min="15622" max="15622" width="11" style="49" customWidth="1"/>
    <col min="15623" max="15872" width="9.109375" style="49"/>
    <col min="15873" max="15873" width="11.33203125" style="49" customWidth="1"/>
    <col min="15874" max="15874" width="10.109375" style="49" customWidth="1"/>
    <col min="15875" max="15877" width="9.109375" style="49"/>
    <col min="15878" max="15878" width="11" style="49" customWidth="1"/>
    <col min="15879" max="16128" width="9.109375" style="49"/>
    <col min="16129" max="16129" width="11.33203125" style="49" customWidth="1"/>
    <col min="16130" max="16130" width="10.109375" style="49" customWidth="1"/>
    <col min="16131" max="16133" width="9.109375" style="49"/>
    <col min="16134" max="16134" width="11" style="49" customWidth="1"/>
    <col min="16135" max="16384" width="9.109375" style="49"/>
  </cols>
  <sheetData>
    <row r="1" spans="1:9">
      <c r="A1" s="48"/>
      <c r="B1" s="48"/>
      <c r="C1" s="48"/>
      <c r="D1" s="48"/>
      <c r="E1" s="48"/>
      <c r="F1" s="48"/>
      <c r="G1" s="48"/>
      <c r="H1" s="48"/>
      <c r="I1" s="48"/>
    </row>
    <row r="2" spans="1:9">
      <c r="A2" s="48"/>
      <c r="B2" s="48"/>
      <c r="C2" s="48"/>
      <c r="D2" s="48"/>
      <c r="E2" s="48"/>
      <c r="F2" s="48"/>
      <c r="G2" s="48"/>
      <c r="H2" s="48"/>
      <c r="I2" s="48"/>
    </row>
    <row r="3" spans="1:9">
      <c r="A3" s="48"/>
      <c r="B3" s="48"/>
      <c r="C3" s="48"/>
      <c r="D3" s="48"/>
      <c r="E3" s="48"/>
      <c r="F3" s="48"/>
      <c r="G3" s="48"/>
      <c r="H3" s="50"/>
      <c r="I3" s="48"/>
    </row>
    <row r="4" spans="1:9">
      <c r="A4" s="48"/>
      <c r="B4" s="48"/>
      <c r="C4" s="48"/>
      <c r="D4" s="48"/>
      <c r="E4" s="48"/>
      <c r="F4" s="48"/>
      <c r="G4" s="48"/>
      <c r="H4" s="50"/>
      <c r="I4" s="48"/>
    </row>
    <row r="5" spans="1:9">
      <c r="A5" s="48"/>
      <c r="B5" s="48"/>
      <c r="C5" s="48"/>
      <c r="D5" s="48"/>
      <c r="E5" s="48"/>
      <c r="F5" s="48"/>
      <c r="G5" s="48"/>
      <c r="H5" s="48"/>
      <c r="I5" s="48"/>
    </row>
    <row r="6" spans="1:9">
      <c r="A6" s="48"/>
      <c r="B6" s="48"/>
      <c r="C6" s="48"/>
      <c r="D6" s="48"/>
      <c r="E6" s="48"/>
      <c r="F6" s="48"/>
      <c r="G6" s="48"/>
      <c r="H6" s="48"/>
      <c r="I6" s="48"/>
    </row>
    <row r="7" spans="1:9">
      <c r="A7" s="48"/>
      <c r="B7" s="48"/>
      <c r="C7" s="224" t="s">
        <v>128</v>
      </c>
      <c r="D7" s="224"/>
      <c r="E7" s="224"/>
      <c r="F7" s="224"/>
      <c r="G7" s="224"/>
      <c r="H7" s="48"/>
      <c r="I7" s="48"/>
    </row>
    <row r="8" spans="1:9">
      <c r="A8" s="48"/>
      <c r="B8" s="48"/>
      <c r="C8" s="48"/>
      <c r="D8" s="48"/>
      <c r="E8" s="48"/>
      <c r="F8" s="48"/>
      <c r="G8" s="48"/>
      <c r="H8" s="48"/>
      <c r="I8" s="48"/>
    </row>
    <row r="9" spans="1:9">
      <c r="A9" s="48"/>
      <c r="B9" s="48"/>
      <c r="C9" s="48"/>
      <c r="D9" s="48"/>
      <c r="E9" s="48"/>
      <c r="F9" s="48"/>
      <c r="G9" s="48"/>
      <c r="H9" s="48"/>
      <c r="I9" s="48"/>
    </row>
    <row r="10" spans="1:9">
      <c r="A10" s="48"/>
      <c r="B10" s="48"/>
      <c r="C10" s="51" t="s">
        <v>117</v>
      </c>
      <c r="D10" s="51"/>
      <c r="E10" s="51"/>
      <c r="F10" s="51"/>
      <c r="G10" s="51"/>
      <c r="H10" s="48"/>
      <c r="I10" s="48"/>
    </row>
    <row r="11" spans="1:9">
      <c r="A11" s="48"/>
      <c r="B11" s="48"/>
      <c r="C11" s="51" t="s">
        <v>118</v>
      </c>
      <c r="D11" s="51"/>
      <c r="E11" s="51"/>
      <c r="F11" s="51"/>
      <c r="G11" s="51"/>
      <c r="H11" s="48"/>
      <c r="I11" s="48"/>
    </row>
    <row r="12" spans="1:9">
      <c r="A12" s="48"/>
      <c r="B12" s="48"/>
      <c r="C12" s="48"/>
      <c r="D12" s="48"/>
      <c r="E12" s="48"/>
      <c r="F12" s="48"/>
      <c r="G12" s="48"/>
      <c r="H12" s="48"/>
      <c r="I12" s="48"/>
    </row>
    <row r="13" spans="1:9">
      <c r="A13" s="48"/>
      <c r="B13" s="48"/>
      <c r="C13" s="48"/>
      <c r="D13" s="48"/>
      <c r="E13" s="48"/>
      <c r="F13" s="48"/>
      <c r="G13" s="48"/>
      <c r="H13" s="48"/>
      <c r="I13" s="48"/>
    </row>
    <row r="14" spans="1:9">
      <c r="A14" s="48"/>
      <c r="B14" s="48"/>
      <c r="C14" s="48"/>
      <c r="D14" s="48"/>
      <c r="E14" s="48"/>
      <c r="F14" s="48"/>
      <c r="G14" s="48"/>
      <c r="H14" s="48"/>
      <c r="I14" s="48"/>
    </row>
    <row r="15" spans="1:9" s="54" customFormat="1" ht="13.8">
      <c r="A15" s="52" t="s">
        <v>119</v>
      </c>
      <c r="B15" s="53"/>
      <c r="C15" s="52"/>
      <c r="D15" s="52"/>
      <c r="E15" s="52"/>
      <c r="F15" s="52"/>
      <c r="G15" s="52"/>
      <c r="H15" s="52"/>
      <c r="I15" s="52"/>
    </row>
    <row r="16" spans="1:9">
      <c r="A16" s="48"/>
      <c r="B16" s="48"/>
      <c r="C16" s="48"/>
      <c r="D16" s="48"/>
      <c r="E16" s="48"/>
      <c r="F16" s="48"/>
      <c r="G16" s="48"/>
      <c r="H16" s="48"/>
      <c r="I16" s="48"/>
    </row>
    <row r="17" spans="1:9" s="55" customFormat="1">
      <c r="A17" s="225">
        <v>45838</v>
      </c>
      <c r="B17" s="225"/>
      <c r="C17" s="225"/>
      <c r="D17" s="225"/>
      <c r="E17" s="225"/>
      <c r="F17" s="225"/>
      <c r="G17" s="225"/>
      <c r="H17" s="225"/>
      <c r="I17" s="225"/>
    </row>
    <row r="18" spans="1:9">
      <c r="A18" s="48"/>
      <c r="B18" s="48"/>
      <c r="C18" s="48"/>
      <c r="D18" s="48"/>
      <c r="E18" s="48"/>
      <c r="F18" s="48"/>
      <c r="G18" s="48"/>
      <c r="H18" s="48"/>
      <c r="I18" s="48"/>
    </row>
    <row r="19" spans="1:9">
      <c r="A19" s="48"/>
      <c r="B19" s="48"/>
      <c r="C19" s="48"/>
      <c r="D19" s="48"/>
      <c r="E19" s="48"/>
      <c r="F19" s="48"/>
      <c r="G19" s="48"/>
      <c r="H19" s="48"/>
      <c r="I19" s="48"/>
    </row>
    <row r="20" spans="1:9">
      <c r="A20" s="48"/>
      <c r="B20" s="48"/>
      <c r="C20" s="48"/>
      <c r="D20" s="48"/>
      <c r="E20" s="48"/>
      <c r="F20" s="48"/>
      <c r="G20" s="48"/>
      <c r="H20" s="48"/>
      <c r="I20" s="48"/>
    </row>
    <row r="21" spans="1:9">
      <c r="A21" s="48"/>
      <c r="B21" s="48"/>
      <c r="C21" s="48"/>
      <c r="D21" s="48"/>
      <c r="E21" s="48"/>
      <c r="F21" s="48"/>
      <c r="G21" s="48"/>
      <c r="H21" s="48"/>
      <c r="I21" s="48"/>
    </row>
    <row r="22" spans="1:9">
      <c r="A22" s="48" t="s">
        <v>120</v>
      </c>
      <c r="B22" s="48"/>
      <c r="C22" s="48"/>
      <c r="D22" s="56"/>
      <c r="E22" s="56"/>
      <c r="F22" s="56"/>
      <c r="G22" s="56"/>
      <c r="H22" s="48"/>
      <c r="I22" s="48"/>
    </row>
    <row r="23" spans="1:9">
      <c r="A23" s="48"/>
      <c r="B23" s="48"/>
      <c r="C23" s="48"/>
      <c r="D23" s="48" t="s">
        <v>121</v>
      </c>
      <c r="E23" s="48"/>
      <c r="F23" s="48"/>
      <c r="G23" s="48"/>
      <c r="H23" s="48"/>
      <c r="I23" s="48"/>
    </row>
    <row r="24" spans="1:9">
      <c r="A24" s="226">
        <v>45870</v>
      </c>
      <c r="B24" s="227"/>
      <c r="C24" s="227"/>
      <c r="D24" s="227"/>
      <c r="E24" s="227"/>
      <c r="F24" s="227"/>
      <c r="G24" s="227"/>
      <c r="H24" s="227"/>
      <c r="I24" s="227"/>
    </row>
    <row r="25" spans="1:9">
      <c r="A25" s="48"/>
      <c r="B25" s="48"/>
      <c r="C25" s="48"/>
      <c r="D25" s="48"/>
      <c r="E25" s="48"/>
      <c r="F25" s="48"/>
      <c r="G25" s="48"/>
      <c r="H25" s="48"/>
      <c r="I25" s="48"/>
    </row>
    <row r="26" spans="1:9">
      <c r="A26" s="48"/>
      <c r="B26" s="48"/>
      <c r="C26" s="48"/>
      <c r="D26" s="48"/>
      <c r="E26" s="48"/>
      <c r="F26" s="48"/>
      <c r="G26" s="48"/>
      <c r="H26" s="48"/>
      <c r="I26" s="48"/>
    </row>
    <row r="27" spans="1:9">
      <c r="A27" s="48"/>
      <c r="B27" s="48"/>
      <c r="C27" s="48"/>
      <c r="D27" s="48"/>
      <c r="E27" s="48"/>
      <c r="F27" s="48"/>
      <c r="G27" s="48"/>
      <c r="H27" s="48"/>
      <c r="I27" s="48"/>
    </row>
    <row r="28" spans="1:9">
      <c r="A28" s="48"/>
      <c r="B28" s="48"/>
      <c r="C28" s="48"/>
      <c r="D28" s="48"/>
      <c r="E28" s="48"/>
      <c r="F28" s="48"/>
      <c r="G28" s="48"/>
      <c r="H28" s="48"/>
      <c r="I28" s="48"/>
    </row>
    <row r="29" spans="1:9">
      <c r="A29" s="48" t="s">
        <v>122</v>
      </c>
      <c r="B29" s="48"/>
      <c r="C29" s="48"/>
      <c r="D29" s="48"/>
      <c r="E29" s="57"/>
      <c r="F29" s="58"/>
      <c r="G29" s="48"/>
      <c r="H29" s="48"/>
      <c r="I29" s="48"/>
    </row>
    <row r="30" spans="1:9">
      <c r="A30" s="48"/>
      <c r="B30" s="48"/>
      <c r="C30" s="48"/>
      <c r="D30" s="48"/>
      <c r="E30" s="48"/>
      <c r="F30" s="48"/>
      <c r="G30" s="48"/>
      <c r="H30" s="48"/>
      <c r="I30" s="48"/>
    </row>
    <row r="31" spans="1:9">
      <c r="A31" s="225">
        <v>45777</v>
      </c>
      <c r="B31" s="228"/>
      <c r="C31" s="228"/>
      <c r="D31" s="228"/>
      <c r="E31" s="228"/>
      <c r="F31" s="228"/>
      <c r="G31" s="228"/>
      <c r="H31" s="228"/>
      <c r="I31" s="228"/>
    </row>
    <row r="32" spans="1:9">
      <c r="A32" s="48"/>
      <c r="B32" s="48"/>
      <c r="C32" s="48"/>
      <c r="D32" s="48"/>
      <c r="E32" s="48"/>
      <c r="F32" s="48"/>
      <c r="G32" s="48"/>
      <c r="H32" s="48"/>
      <c r="I32" s="48"/>
    </row>
    <row r="33" spans="1:1">
      <c r="A33" s="49" t="s">
        <v>129</v>
      </c>
    </row>
    <row r="34" spans="1:1">
      <c r="A34" s="49" t="s">
        <v>130</v>
      </c>
    </row>
    <row r="35" spans="1:1">
      <c r="A35" s="49" t="s">
        <v>131</v>
      </c>
    </row>
  </sheetData>
  <mergeCells count="4">
    <mergeCell ref="C7:G7"/>
    <mergeCell ref="A17:I17"/>
    <mergeCell ref="A24:I24"/>
    <mergeCell ref="A31:I31"/>
  </mergeCells>
  <printOptions horizontalCentered="1"/>
  <pageMargins left="0.75" right="0.75" top="1" bottom="1" header="0.5" footer="0.5"/>
  <pageSetup scale="99" orientation="portrait" r:id="rId1"/>
  <headerFooter alignWithMargins="0">
    <oddHeader>&amp;RPage &amp;P</oddHeader>
    <oddFooter>&amp;LNavitas KYNG, LLC&amp;C&amp;F&amp;R&amp;D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J48"/>
  <sheetViews>
    <sheetView workbookViewId="0">
      <selection activeCell="E8" sqref="E8"/>
    </sheetView>
  </sheetViews>
  <sheetFormatPr defaultColWidth="9.109375" defaultRowHeight="15"/>
  <cols>
    <col min="1" max="1" width="1.77734375" style="1" customWidth="1"/>
    <col min="2" max="5" width="9.109375" style="1"/>
    <col min="6" max="6" width="13.6640625" style="1" customWidth="1"/>
    <col min="7" max="7" width="21.109375" style="1" customWidth="1"/>
    <col min="8" max="8" width="11.44140625" style="1" customWidth="1"/>
    <col min="9" max="9" width="4.33203125" style="1" customWidth="1"/>
    <col min="10" max="10" width="15.5546875" style="1" customWidth="1"/>
    <col min="11" max="11" width="1.77734375" style="1" customWidth="1"/>
    <col min="12" max="13" width="9.109375" style="1"/>
    <col min="14" max="14" width="14.6640625" style="1" customWidth="1"/>
    <col min="15" max="16384" width="9.109375" style="1"/>
  </cols>
  <sheetData>
    <row r="4" spans="2:10">
      <c r="B4" s="229" t="s">
        <v>0</v>
      </c>
      <c r="C4" s="229"/>
      <c r="D4" s="229"/>
      <c r="E4" s="229"/>
      <c r="F4" s="229"/>
      <c r="G4" s="229"/>
      <c r="H4" s="229"/>
      <c r="I4" s="229"/>
      <c r="J4" s="229"/>
    </row>
    <row r="6" spans="2:10">
      <c r="B6" s="230" t="s">
        <v>1</v>
      </c>
      <c r="C6" s="230"/>
      <c r="D6" s="230"/>
      <c r="E6" s="230"/>
      <c r="F6" s="230"/>
      <c r="G6" s="230"/>
      <c r="H6" s="230"/>
      <c r="I6" s="230"/>
      <c r="J6" s="230"/>
    </row>
    <row r="8" spans="2:10">
      <c r="B8" s="4" t="s">
        <v>2</v>
      </c>
      <c r="H8" s="5" t="s">
        <v>3</v>
      </c>
      <c r="J8" s="5" t="s">
        <v>4</v>
      </c>
    </row>
    <row r="10" spans="2:10">
      <c r="B10" s="1" t="s">
        <v>85</v>
      </c>
      <c r="H10" s="6" t="s">
        <v>5</v>
      </c>
      <c r="J10" s="212">
        <f>ROUND(J24,4)</f>
        <v>9.0627999999999993</v>
      </c>
    </row>
    <row r="11" spans="2:10">
      <c r="B11" s="1" t="s">
        <v>6</v>
      </c>
      <c r="H11" s="6" t="s">
        <v>5</v>
      </c>
      <c r="J11" s="212">
        <f>ROUND(J32,4)</f>
        <v>0</v>
      </c>
    </row>
    <row r="12" spans="2:10">
      <c r="B12" s="1" t="s">
        <v>7</v>
      </c>
      <c r="H12" s="6" t="s">
        <v>5</v>
      </c>
      <c r="J12" s="212">
        <f>ROUND(J40,4)</f>
        <v>2.9316</v>
      </c>
    </row>
    <row r="13" spans="2:10">
      <c r="B13" s="8" t="s">
        <v>8</v>
      </c>
      <c r="C13" s="8"/>
      <c r="D13" s="8"/>
      <c r="E13" s="8"/>
      <c r="F13" s="8"/>
      <c r="G13" s="8"/>
      <c r="H13" s="9" t="s">
        <v>5</v>
      </c>
      <c r="I13" s="8"/>
      <c r="J13" s="213">
        <f>ROUND(J48,4)</f>
        <v>1.0024999999999999</v>
      </c>
    </row>
    <row r="14" spans="2:10">
      <c r="B14" s="1" t="s">
        <v>9</v>
      </c>
      <c r="H14" s="6" t="s">
        <v>5</v>
      </c>
      <c r="J14" s="211">
        <f>SUM(J10:J13)</f>
        <v>12.996899999999998</v>
      </c>
    </row>
    <row r="16" spans="2:10">
      <c r="B16" s="1" t="s">
        <v>113</v>
      </c>
      <c r="G16" s="42">
        <v>45870</v>
      </c>
    </row>
    <row r="18" spans="2:10" ht="15.6" thickBot="1">
      <c r="B18" s="10"/>
      <c r="C18" s="10"/>
      <c r="D18" s="10"/>
      <c r="E18" s="10"/>
      <c r="F18" s="10"/>
      <c r="G18" s="10"/>
      <c r="H18" s="10"/>
      <c r="I18" s="10"/>
      <c r="J18" s="10"/>
    </row>
    <row r="19" spans="2:10" ht="15.6" thickTop="1"/>
    <row r="20" spans="2:10">
      <c r="B20" s="1" t="s">
        <v>10</v>
      </c>
      <c r="H20" s="5" t="s">
        <v>3</v>
      </c>
      <c r="J20" s="5" t="s">
        <v>4</v>
      </c>
    </row>
    <row r="22" spans="2:10">
      <c r="B22" s="1" t="s">
        <v>11</v>
      </c>
      <c r="H22" s="6" t="s">
        <v>5</v>
      </c>
      <c r="J22" s="210">
        <f>'Sch II ECG'!G47</f>
        <v>707601.09040666779</v>
      </c>
    </row>
    <row r="23" spans="2:10">
      <c r="B23" s="12" t="s">
        <v>84</v>
      </c>
      <c r="C23" s="8"/>
      <c r="D23" s="8"/>
      <c r="E23" s="8"/>
      <c r="F23" s="8"/>
      <c r="G23" s="8"/>
      <c r="H23" s="9" t="s">
        <v>5</v>
      </c>
      <c r="I23" s="8"/>
      <c r="J23" s="193">
        <f>'Sch II ECG'!C40</f>
        <v>78077.83</v>
      </c>
    </row>
    <row r="24" spans="2:10">
      <c r="B24" s="1" t="s">
        <v>12</v>
      </c>
      <c r="H24" s="6" t="s">
        <v>5</v>
      </c>
      <c r="J24" s="211">
        <f>ROUND(J22/J23,4)</f>
        <v>9.0627999999999993</v>
      </c>
    </row>
    <row r="25" spans="2:10">
      <c r="H25" s="6"/>
    </row>
    <row r="26" spans="2:10">
      <c r="B26" s="1" t="s">
        <v>13</v>
      </c>
      <c r="H26" s="5" t="s">
        <v>3</v>
      </c>
      <c r="J26" s="5" t="s">
        <v>4</v>
      </c>
    </row>
    <row r="28" spans="2:10">
      <c r="B28" s="1" t="s">
        <v>14</v>
      </c>
      <c r="H28" s="6" t="s">
        <v>5</v>
      </c>
      <c r="J28" s="212">
        <f>'Sch III Sup. Ref.'!E14</f>
        <v>0</v>
      </c>
    </row>
    <row r="29" spans="2:10">
      <c r="B29" s="14" t="s">
        <v>15</v>
      </c>
      <c r="H29" s="6" t="s">
        <v>5</v>
      </c>
      <c r="J29" s="29"/>
    </row>
    <row r="30" spans="2:10">
      <c r="B30" s="14" t="s">
        <v>16</v>
      </c>
      <c r="H30" s="6" t="s">
        <v>5</v>
      </c>
      <c r="J30" s="29"/>
    </row>
    <row r="31" spans="2:10">
      <c r="B31" s="12" t="s">
        <v>17</v>
      </c>
      <c r="C31" s="8"/>
      <c r="D31" s="8"/>
      <c r="E31" s="8"/>
      <c r="F31" s="8"/>
      <c r="G31" s="8"/>
      <c r="H31" s="9" t="s">
        <v>5</v>
      </c>
      <c r="I31" s="8"/>
      <c r="J31" s="34"/>
    </row>
    <row r="32" spans="2:10">
      <c r="B32" s="14" t="s">
        <v>18</v>
      </c>
      <c r="H32" s="6" t="s">
        <v>19</v>
      </c>
      <c r="J32" s="211">
        <f>ROUND(SUM(J28:J31),4)</f>
        <v>0</v>
      </c>
    </row>
    <row r="34" spans="2:10">
      <c r="B34" s="1" t="s">
        <v>20</v>
      </c>
      <c r="H34" s="5" t="s">
        <v>3</v>
      </c>
      <c r="J34" s="5" t="s">
        <v>4</v>
      </c>
    </row>
    <row r="36" spans="2:10">
      <c r="B36" s="1" t="s">
        <v>21</v>
      </c>
      <c r="H36" s="6" t="s">
        <v>5</v>
      </c>
      <c r="J36" s="7">
        <f>'Sch IV AA'!I25</f>
        <v>-0.14269999999999999</v>
      </c>
    </row>
    <row r="37" spans="2:10">
      <c r="B37" s="14" t="s">
        <v>22</v>
      </c>
      <c r="H37" s="6" t="s">
        <v>5</v>
      </c>
      <c r="J37" s="29">
        <f>'AA BA Ladder'!CU16</f>
        <v>1.7060999999999999</v>
      </c>
    </row>
    <row r="38" spans="2:10">
      <c r="B38" s="14" t="s">
        <v>23</v>
      </c>
      <c r="H38" s="6" t="s">
        <v>5</v>
      </c>
      <c r="J38" s="29">
        <f>'AA BA Ladder'!CU15</f>
        <v>1.3682000000000001</v>
      </c>
    </row>
    <row r="39" spans="2:10">
      <c r="B39" s="12" t="s">
        <v>24</v>
      </c>
      <c r="C39" s="8"/>
      <c r="D39" s="8"/>
      <c r="E39" s="8"/>
      <c r="F39" s="8"/>
      <c r="G39" s="8"/>
      <c r="H39" s="9" t="s">
        <v>5</v>
      </c>
      <c r="I39" s="8"/>
      <c r="J39" s="34"/>
    </row>
    <row r="40" spans="2:10">
      <c r="B40" s="14" t="s">
        <v>25</v>
      </c>
      <c r="H40" s="6" t="s">
        <v>19</v>
      </c>
      <c r="J40" s="7">
        <f>ROUND(SUM(J36:J39),4)</f>
        <v>2.9316</v>
      </c>
    </row>
    <row r="42" spans="2:10">
      <c r="B42" s="1" t="s">
        <v>26</v>
      </c>
      <c r="H42" s="5" t="s">
        <v>3</v>
      </c>
      <c r="J42" s="5" t="s">
        <v>4</v>
      </c>
    </row>
    <row r="44" spans="2:10">
      <c r="B44" s="1" t="s">
        <v>27</v>
      </c>
      <c r="H44" s="6" t="s">
        <v>5</v>
      </c>
      <c r="J44" s="7">
        <f>'Sch V BA'!J49</f>
        <v>9.6100000000000005E-2</v>
      </c>
    </row>
    <row r="45" spans="2:10">
      <c r="B45" s="14" t="s">
        <v>28</v>
      </c>
      <c r="H45" s="6" t="s">
        <v>5</v>
      </c>
      <c r="J45" s="29">
        <f>'AA BA Ladder'!CU10</f>
        <v>0.2908</v>
      </c>
    </row>
    <row r="46" spans="2:10">
      <c r="B46" s="14" t="s">
        <v>29</v>
      </c>
      <c r="H46" s="6" t="s">
        <v>5</v>
      </c>
      <c r="J46" s="29">
        <f>'AA BA Ladder'!CU9</f>
        <v>0.61560000000000004</v>
      </c>
    </row>
    <row r="47" spans="2:10">
      <c r="B47" s="12" t="s">
        <v>30</v>
      </c>
      <c r="C47" s="8"/>
      <c r="D47" s="8"/>
      <c r="E47" s="8"/>
      <c r="F47" s="8"/>
      <c r="G47" s="8"/>
      <c r="H47" s="9" t="s">
        <v>5</v>
      </c>
      <c r="I47" s="8"/>
      <c r="J47" s="34"/>
    </row>
    <row r="48" spans="2:10">
      <c r="B48" s="14" t="s">
        <v>31</v>
      </c>
      <c r="H48" s="6" t="s">
        <v>19</v>
      </c>
      <c r="J48" s="7">
        <f>ROUND(SUM(J44:J47),4)</f>
        <v>1.0024999999999999</v>
      </c>
    </row>
  </sheetData>
  <mergeCells count="2">
    <mergeCell ref="B4:J4"/>
    <mergeCell ref="B6:J6"/>
  </mergeCells>
  <phoneticPr fontId="4" type="noConversion"/>
  <pageMargins left="0.75" right="0.75" top="1" bottom="1" header="0.5" footer="0.5"/>
  <pageSetup scale="88" orientation="portrait" r:id="rId1"/>
  <headerFooter alignWithMargins="0">
    <oddFooter>&amp;LNavitas KYNG, LLC&amp;C&amp;F&amp;R&amp;D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AG49"/>
  <sheetViews>
    <sheetView topLeftCell="A4" zoomScale="82" workbookViewId="0">
      <selection activeCell="E8" sqref="E8"/>
    </sheetView>
  </sheetViews>
  <sheetFormatPr defaultColWidth="9.109375" defaultRowHeight="15"/>
  <cols>
    <col min="1" max="1" width="1.77734375" style="1" customWidth="1"/>
    <col min="2" max="2" width="30.88671875" style="1" customWidth="1"/>
    <col min="3" max="3" width="13.5546875" style="1" customWidth="1"/>
    <col min="4" max="4" width="20.33203125" style="1" customWidth="1"/>
    <col min="5" max="5" width="12.88671875" style="1" bestFit="1" customWidth="1"/>
    <col min="6" max="6" width="13.77734375" style="1" bestFit="1" customWidth="1"/>
    <col min="7" max="7" width="15.5546875" style="1" customWidth="1"/>
    <col min="8" max="8" width="1.77734375" style="1" customWidth="1"/>
    <col min="9" max="9" width="9.109375" style="1"/>
    <col min="10" max="10" width="0.88671875" style="1" customWidth="1"/>
    <col min="11" max="11" width="11.77734375" style="50" customWidth="1"/>
    <col min="12" max="12" width="0.88671875" style="50" customWidth="1"/>
    <col min="13" max="13" width="11.77734375" style="50" customWidth="1"/>
    <col min="14" max="14" width="0.88671875" style="50" customWidth="1"/>
    <col min="15" max="15" width="11.77734375" style="50" customWidth="1"/>
    <col min="16" max="16" width="0.88671875" style="50" customWidth="1"/>
    <col min="17" max="17" width="11.77734375" style="50" customWidth="1"/>
    <col min="18" max="18" width="0.88671875" style="50" customWidth="1"/>
    <col min="19" max="19" width="11.77734375" style="50" customWidth="1"/>
    <col min="20" max="20" width="0.88671875" style="50" customWidth="1"/>
    <col min="21" max="21" width="11.77734375" style="50" customWidth="1"/>
    <col min="22" max="22" width="0.88671875" style="50" customWidth="1"/>
    <col min="23" max="23" width="11.77734375" style="50" customWidth="1"/>
    <col min="24" max="24" width="0.88671875" style="50" customWidth="1"/>
    <col min="25" max="25" width="11.77734375" style="50" customWidth="1"/>
    <col min="26" max="26" width="0.88671875" style="50" customWidth="1"/>
    <col min="27" max="27" width="11.77734375" style="50" customWidth="1"/>
    <col min="28" max="28" width="0.88671875" style="50" customWidth="1"/>
    <col min="29" max="29" width="11.77734375" style="50" customWidth="1"/>
    <col min="30" max="30" width="0.88671875" style="50" customWidth="1"/>
    <col min="31" max="31" width="11.77734375" style="50" customWidth="1"/>
    <col min="32" max="32" width="0.88671875" style="50" customWidth="1"/>
    <col min="33" max="33" width="11.77734375" style="50" customWidth="1"/>
    <col min="34" max="34" width="0.88671875" style="1" customWidth="1"/>
    <col min="35" max="35" width="9.109375" style="1"/>
    <col min="36" max="36" width="0.88671875" style="1" customWidth="1"/>
    <col min="37" max="16384" width="9.109375" style="1"/>
  </cols>
  <sheetData>
    <row r="4" spans="2:33">
      <c r="B4" s="229" t="s">
        <v>32</v>
      </c>
      <c r="C4" s="229"/>
      <c r="D4" s="229"/>
      <c r="E4" s="229"/>
      <c r="F4" s="229"/>
      <c r="G4" s="229"/>
    </row>
    <row r="5" spans="2:33" ht="7.95" customHeight="1"/>
    <row r="6" spans="2:33">
      <c r="B6" s="229" t="s">
        <v>33</v>
      </c>
      <c r="C6" s="229"/>
      <c r="D6" s="229"/>
      <c r="E6" s="229"/>
      <c r="F6" s="229"/>
      <c r="G6" s="229"/>
    </row>
    <row r="7" spans="2:33" ht="7.95" customHeight="1"/>
    <row r="8" spans="2:33" ht="7.95" customHeight="1">
      <c r="K8" s="188"/>
      <c r="L8" s="188"/>
      <c r="M8" s="188"/>
      <c r="N8" s="188"/>
      <c r="O8" s="188"/>
      <c r="Q8" s="188"/>
      <c r="R8" s="188"/>
      <c r="S8" s="188"/>
      <c r="T8" s="188"/>
      <c r="U8" s="188"/>
      <c r="W8" s="188"/>
      <c r="X8" s="188"/>
      <c r="Y8" s="188"/>
      <c r="Z8" s="188"/>
      <c r="AA8" s="188"/>
      <c r="AC8" s="188"/>
      <c r="AD8" s="188"/>
      <c r="AE8" s="188"/>
      <c r="AF8" s="188"/>
      <c r="AG8" s="188"/>
    </row>
    <row r="9" spans="2:33">
      <c r="B9" s="1" t="s">
        <v>34</v>
      </c>
      <c r="D9" s="194">
        <v>45777</v>
      </c>
      <c r="K9" s="189" t="s">
        <v>187</v>
      </c>
      <c r="M9" s="189" t="s">
        <v>186</v>
      </c>
      <c r="O9" s="189" t="s">
        <v>185</v>
      </c>
      <c r="Q9" s="189" t="s">
        <v>184</v>
      </c>
      <c r="S9" s="189" t="s">
        <v>195</v>
      </c>
      <c r="U9" s="189" t="s">
        <v>194</v>
      </c>
      <c r="W9" s="189" t="s">
        <v>193</v>
      </c>
      <c r="Y9" s="189" t="s">
        <v>192</v>
      </c>
      <c r="AA9" s="189" t="s">
        <v>191</v>
      </c>
      <c r="AC9" s="189" t="s">
        <v>190</v>
      </c>
      <c r="AE9" s="189" t="s">
        <v>189</v>
      </c>
      <c r="AG9" s="189" t="s">
        <v>188</v>
      </c>
    </row>
    <row r="10" spans="2:33">
      <c r="M10" s="190" t="s">
        <v>221</v>
      </c>
      <c r="S10" s="190" t="s">
        <v>222</v>
      </c>
      <c r="Y10" s="190" t="s">
        <v>223</v>
      </c>
      <c r="AE10" s="190" t="s">
        <v>224</v>
      </c>
    </row>
    <row r="11" spans="2:33">
      <c r="B11" s="6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</row>
    <row r="12" spans="2:33">
      <c r="B12" s="2"/>
      <c r="C12" s="2"/>
      <c r="D12" s="2" t="s">
        <v>41</v>
      </c>
      <c r="E12" s="2"/>
      <c r="F12" s="2"/>
      <c r="G12" s="6" t="s">
        <v>42</v>
      </c>
    </row>
    <row r="13" spans="2:33">
      <c r="B13" s="5" t="s">
        <v>43</v>
      </c>
      <c r="C13" s="5" t="s">
        <v>44</v>
      </c>
      <c r="D13" s="5" t="s">
        <v>45</v>
      </c>
      <c r="E13" s="5" t="s">
        <v>46</v>
      </c>
      <c r="F13" s="5" t="s">
        <v>47</v>
      </c>
      <c r="G13" s="5" t="s">
        <v>48</v>
      </c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</row>
    <row r="14" spans="2:33" ht="15.6">
      <c r="B14" s="185" t="s">
        <v>171</v>
      </c>
      <c r="C14" s="186"/>
      <c r="E14" s="186"/>
      <c r="F14" s="11"/>
      <c r="G14" s="11"/>
      <c r="L14" s="99"/>
      <c r="N14" s="99"/>
      <c r="P14" s="99"/>
      <c r="R14" s="99"/>
      <c r="T14" s="99"/>
      <c r="V14" s="99"/>
      <c r="X14" s="99"/>
      <c r="Z14" s="99"/>
      <c r="AB14" s="99"/>
      <c r="AC14" s="99"/>
      <c r="AD14" s="99"/>
      <c r="AE14" s="99"/>
      <c r="AF14" s="99"/>
      <c r="AG14" s="99"/>
    </row>
    <row r="15" spans="2:33" ht="15.6">
      <c r="B15" s="68" t="s">
        <v>215</v>
      </c>
      <c r="C15" s="186"/>
      <c r="E15" s="186"/>
      <c r="F15" s="11"/>
      <c r="G15" s="11"/>
      <c r="L15" s="199"/>
      <c r="N15" s="199"/>
      <c r="P15" s="199"/>
      <c r="R15" s="199"/>
      <c r="T15" s="199"/>
      <c r="V15" s="199"/>
      <c r="X15" s="199"/>
      <c r="Z15" s="199"/>
      <c r="AB15" s="199"/>
      <c r="AC15" s="199"/>
      <c r="AD15" s="199"/>
      <c r="AE15" s="199"/>
      <c r="AF15" s="199"/>
      <c r="AG15" s="199"/>
    </row>
    <row r="16" spans="2:33">
      <c r="B16" s="187" t="s">
        <v>125</v>
      </c>
      <c r="C16" s="186"/>
      <c r="E16" s="186"/>
      <c r="F16" s="11"/>
      <c r="G16" s="197">
        <f>SUM(K16:AG16)</f>
        <v>377006.22000000003</v>
      </c>
      <c r="K16" s="196">
        <v>22949.15</v>
      </c>
      <c r="L16" s="99"/>
      <c r="M16" s="196">
        <v>38779.449999999997</v>
      </c>
      <c r="N16" s="99"/>
      <c r="O16" s="196">
        <v>48818.8</v>
      </c>
      <c r="P16" s="99"/>
      <c r="Q16" s="203">
        <v>84288.6</v>
      </c>
      <c r="R16" s="99"/>
      <c r="S16" s="203">
        <v>46762.65</v>
      </c>
      <c r="T16" s="99"/>
      <c r="U16" s="203">
        <v>36131.4</v>
      </c>
      <c r="V16" s="99"/>
      <c r="W16" s="203">
        <v>39854.699999999997</v>
      </c>
      <c r="X16" s="99"/>
      <c r="Y16" s="203">
        <v>30567.39</v>
      </c>
      <c r="Z16" s="99"/>
      <c r="AA16" s="203">
        <v>10371.200000000001</v>
      </c>
      <c r="AB16" s="99"/>
      <c r="AC16" s="203">
        <v>11383.68</v>
      </c>
      <c r="AD16" s="99"/>
      <c r="AE16" s="203">
        <v>6072</v>
      </c>
      <c r="AF16" s="99"/>
      <c r="AG16" s="203">
        <v>1027.2</v>
      </c>
    </row>
    <row r="17" spans="2:33">
      <c r="B17" s="187" t="s">
        <v>216</v>
      </c>
      <c r="C17" s="186"/>
      <c r="E17" s="186"/>
      <c r="F17" s="11"/>
      <c r="G17" s="197">
        <f>SUM(K17:AG17)</f>
        <v>167700.94999999998</v>
      </c>
      <c r="K17" s="196">
        <v>18420.45</v>
      </c>
      <c r="L17" s="99"/>
      <c r="M17" s="196">
        <v>18620.46</v>
      </c>
      <c r="N17" s="99"/>
      <c r="O17" s="196">
        <v>18063.3</v>
      </c>
      <c r="P17" s="99"/>
      <c r="Q17" s="196">
        <v>17738.82</v>
      </c>
      <c r="R17" s="99"/>
      <c r="S17" s="196">
        <v>14510.64</v>
      </c>
      <c r="T17" s="99"/>
      <c r="U17" s="196">
        <v>12375.15</v>
      </c>
      <c r="V17" s="99"/>
      <c r="W17" s="196">
        <v>13284.08</v>
      </c>
      <c r="X17" s="99"/>
      <c r="Y17" s="196">
        <v>14539.68</v>
      </c>
      <c r="Z17" s="99"/>
      <c r="AA17" s="196">
        <v>12556.35</v>
      </c>
      <c r="AB17" s="99"/>
      <c r="AC17" s="196">
        <v>12612.6</v>
      </c>
      <c r="AD17" s="99"/>
      <c r="AE17" s="196">
        <v>7405.37</v>
      </c>
      <c r="AF17" s="99"/>
      <c r="AG17" s="196">
        <v>7574.05</v>
      </c>
    </row>
    <row r="18" spans="2:33">
      <c r="B18" s="187" t="s">
        <v>217</v>
      </c>
      <c r="C18" s="186"/>
      <c r="E18" s="186"/>
      <c r="F18" s="11"/>
      <c r="G18" s="197">
        <f>SUM(K18:AG18)</f>
        <v>-1330.26</v>
      </c>
      <c r="K18" s="196">
        <v>0</v>
      </c>
      <c r="L18" s="99"/>
      <c r="M18" s="196">
        <v>-365.36</v>
      </c>
      <c r="N18" s="99"/>
      <c r="O18" s="196">
        <v>-823.13</v>
      </c>
      <c r="P18" s="99"/>
      <c r="Q18" s="203">
        <v>-141.77000000000001</v>
      </c>
      <c r="R18" s="99"/>
      <c r="S18" s="196">
        <v>0</v>
      </c>
      <c r="T18" s="99"/>
      <c r="U18" s="196">
        <v>0</v>
      </c>
      <c r="V18" s="99"/>
      <c r="W18" s="196">
        <v>0</v>
      </c>
      <c r="X18" s="99"/>
      <c r="Y18" s="196">
        <v>0</v>
      </c>
      <c r="Z18" s="99"/>
      <c r="AA18" s="196">
        <v>0</v>
      </c>
      <c r="AB18" s="99"/>
      <c r="AC18" s="196">
        <v>0</v>
      </c>
      <c r="AD18" s="99"/>
      <c r="AE18" s="196">
        <v>0</v>
      </c>
      <c r="AF18" s="99"/>
      <c r="AG18" s="196">
        <v>0</v>
      </c>
    </row>
    <row r="19" spans="2:33">
      <c r="B19" s="187" t="s">
        <v>218</v>
      </c>
      <c r="C19" s="186"/>
      <c r="E19" s="186"/>
      <c r="F19" s="11"/>
      <c r="G19" s="197">
        <f>SUM(K19:AG19)</f>
        <v>0</v>
      </c>
      <c r="K19" s="196">
        <v>0</v>
      </c>
      <c r="L19" s="99"/>
      <c r="M19" s="196">
        <v>0</v>
      </c>
      <c r="N19" s="99"/>
      <c r="O19" s="196">
        <v>0</v>
      </c>
      <c r="P19" s="99"/>
      <c r="Q19" s="196">
        <v>0</v>
      </c>
      <c r="R19" s="99"/>
      <c r="S19" s="196">
        <v>0</v>
      </c>
      <c r="T19" s="99"/>
      <c r="U19" s="196">
        <v>0</v>
      </c>
      <c r="V19" s="99"/>
      <c r="W19" s="196">
        <v>0</v>
      </c>
      <c r="X19" s="99"/>
      <c r="Y19" s="196">
        <v>0</v>
      </c>
      <c r="Z19" s="99"/>
      <c r="AA19" s="196">
        <v>0</v>
      </c>
      <c r="AB19" s="99"/>
      <c r="AC19" s="196">
        <v>0</v>
      </c>
      <c r="AD19" s="99"/>
      <c r="AE19" s="196">
        <v>0</v>
      </c>
      <c r="AF19" s="99"/>
      <c r="AG19" s="196">
        <v>0</v>
      </c>
    </row>
    <row r="20" spans="2:33" ht="15.6">
      <c r="B20" s="183" t="s">
        <v>219</v>
      </c>
      <c r="C20" s="27"/>
      <c r="D20" s="26"/>
      <c r="E20" s="27"/>
      <c r="F20" s="29"/>
      <c r="G20" s="201">
        <f>SUM(G16:G19)</f>
        <v>543376.91</v>
      </c>
      <c r="K20" s="200"/>
      <c r="L20" s="131"/>
      <c r="M20" s="200"/>
      <c r="N20" s="131"/>
      <c r="O20" s="200"/>
      <c r="P20" s="131"/>
      <c r="Q20" s="200"/>
      <c r="R20" s="131"/>
      <c r="S20" s="200"/>
      <c r="T20" s="131"/>
      <c r="U20" s="200"/>
      <c r="V20" s="131"/>
      <c r="W20" s="200"/>
      <c r="X20" s="131"/>
      <c r="Y20" s="200"/>
      <c r="Z20" s="131"/>
      <c r="AB20" s="131"/>
      <c r="AC20" s="200"/>
      <c r="AD20" s="131"/>
      <c r="AE20" s="200"/>
      <c r="AF20" s="131"/>
      <c r="AG20" s="200"/>
    </row>
    <row r="21" spans="2:33" ht="15.6">
      <c r="B21" s="184" t="s">
        <v>220</v>
      </c>
      <c r="C21" s="27"/>
      <c r="D21" s="26"/>
      <c r="E21" s="27"/>
      <c r="F21" s="29"/>
      <c r="G21" s="11"/>
      <c r="L21" s="199"/>
      <c r="N21" s="199"/>
      <c r="P21" s="199"/>
      <c r="R21" s="199"/>
      <c r="T21" s="199"/>
      <c r="V21" s="199"/>
      <c r="X21" s="199"/>
      <c r="Z21" s="199"/>
      <c r="AB21" s="199"/>
      <c r="AC21" s="199"/>
      <c r="AD21" s="199"/>
      <c r="AE21" s="199"/>
      <c r="AF21" s="199"/>
      <c r="AG21" s="199"/>
    </row>
    <row r="22" spans="2:33">
      <c r="B22" s="187" t="s">
        <v>225</v>
      </c>
      <c r="C22" s="186"/>
      <c r="E22" s="186"/>
      <c r="F22" s="7"/>
      <c r="G22" s="197">
        <f>SUM(K22:AG22)</f>
        <v>24751.059999999998</v>
      </c>
      <c r="K22" s="196">
        <v>2123.75</v>
      </c>
      <c r="L22" s="99"/>
      <c r="M22" s="196">
        <v>2144.91</v>
      </c>
      <c r="N22" s="99"/>
      <c r="O22" s="196">
        <v>2131.56</v>
      </c>
      <c r="P22" s="99"/>
      <c r="Q22" s="203">
        <v>2155.63</v>
      </c>
      <c r="R22" s="99"/>
      <c r="S22" s="203">
        <f>2131.59+264.42</f>
        <v>2396.0100000000002</v>
      </c>
      <c r="T22" s="99"/>
      <c r="U22" s="203">
        <f>2116.09-180.47</f>
        <v>1935.6200000000001</v>
      </c>
      <c r="V22" s="99"/>
      <c r="W22" s="203">
        <v>1389.07</v>
      </c>
      <c r="X22" s="99"/>
      <c r="Y22" s="203">
        <v>2038.64</v>
      </c>
      <c r="Z22" s="99"/>
      <c r="AA22" s="203">
        <v>2145.0500000000002</v>
      </c>
      <c r="AB22" s="99"/>
      <c r="AC22" s="203">
        <v>2107.77</v>
      </c>
      <c r="AD22" s="99"/>
      <c r="AE22" s="203">
        <v>2099.37</v>
      </c>
      <c r="AF22" s="99"/>
      <c r="AG22" s="203">
        <v>2083.6799999999998</v>
      </c>
    </row>
    <row r="23" spans="2:33">
      <c r="B23" s="187" t="s">
        <v>226</v>
      </c>
      <c r="C23" s="186"/>
      <c r="E23" s="186"/>
      <c r="F23" s="7"/>
      <c r="G23" s="197">
        <f>SUM(K23:AG23)</f>
        <v>220525.24</v>
      </c>
      <c r="K23" s="196">
        <v>16917.29</v>
      </c>
      <c r="L23" s="99"/>
      <c r="M23" s="196">
        <v>19911.64</v>
      </c>
      <c r="N23" s="99"/>
      <c r="O23" s="196">
        <v>20452.36</v>
      </c>
      <c r="P23" s="99"/>
      <c r="Q23" s="204">
        <v>29948.98</v>
      </c>
      <c r="R23" s="99"/>
      <c r="S23" s="204">
        <v>22112.57</v>
      </c>
      <c r="T23" s="99"/>
      <c r="U23" s="204">
        <v>21740.32</v>
      </c>
      <c r="V23" s="99"/>
      <c r="W23" s="204">
        <v>25253.66</v>
      </c>
      <c r="X23" s="99"/>
      <c r="Y23" s="204">
        <v>23395.09</v>
      </c>
      <c r="Z23" s="99"/>
      <c r="AA23" s="204">
        <v>13890.33</v>
      </c>
      <c r="AB23" s="99"/>
      <c r="AC23" s="204">
        <v>12798.01</v>
      </c>
      <c r="AD23" s="99"/>
      <c r="AE23" s="204">
        <v>7667.94</v>
      </c>
      <c r="AF23" s="99"/>
      <c r="AG23" s="204">
        <v>6437.05</v>
      </c>
    </row>
    <row r="24" spans="2:33">
      <c r="B24" s="187" t="s">
        <v>227</v>
      </c>
      <c r="C24" s="186"/>
      <c r="E24" s="186"/>
      <c r="F24" s="7"/>
      <c r="G24" s="197">
        <f>SUM(K24:AG24)</f>
        <v>0</v>
      </c>
      <c r="K24" s="196">
        <v>0</v>
      </c>
      <c r="L24" s="99"/>
      <c r="M24" s="196">
        <v>0</v>
      </c>
      <c r="N24" s="99"/>
      <c r="O24" s="196">
        <v>0</v>
      </c>
      <c r="P24" s="99"/>
      <c r="Q24" s="196">
        <v>0</v>
      </c>
      <c r="R24" s="99"/>
      <c r="S24" s="196">
        <v>0</v>
      </c>
      <c r="T24" s="99"/>
      <c r="U24" s="196">
        <v>0</v>
      </c>
      <c r="V24" s="99"/>
      <c r="W24" s="196">
        <v>0</v>
      </c>
      <c r="X24" s="99"/>
      <c r="Y24" s="196">
        <v>0</v>
      </c>
      <c r="Z24" s="99"/>
      <c r="AA24" s="196">
        <v>0</v>
      </c>
      <c r="AB24" s="99"/>
      <c r="AC24" s="196">
        <v>0</v>
      </c>
      <c r="AD24" s="99"/>
      <c r="AE24" s="196">
        <v>0</v>
      </c>
      <c r="AF24" s="99"/>
      <c r="AG24" s="196">
        <v>0</v>
      </c>
    </row>
    <row r="25" spans="2:33" ht="15.6">
      <c r="B25" s="183" t="s">
        <v>219</v>
      </c>
      <c r="C25" s="27"/>
      <c r="D25" s="30"/>
      <c r="E25" s="29"/>
      <c r="F25" s="29"/>
      <c r="G25" s="198">
        <f>SUM(G22:G24)</f>
        <v>245276.3</v>
      </c>
      <c r="L25" s="104"/>
      <c r="N25" s="104"/>
      <c r="P25" s="104"/>
      <c r="R25" s="104"/>
      <c r="T25" s="104"/>
      <c r="V25" s="104"/>
      <c r="X25" s="104"/>
      <c r="Z25" s="104"/>
      <c r="AB25" s="104"/>
      <c r="AC25" s="104"/>
      <c r="AD25" s="104"/>
      <c r="AE25" s="104"/>
      <c r="AF25" s="104"/>
      <c r="AG25" s="104"/>
    </row>
    <row r="26" spans="2:33">
      <c r="B26" s="26"/>
      <c r="C26" s="26"/>
      <c r="D26" s="26"/>
      <c r="E26" s="207">
        <f>Purchases!L61</f>
        <v>85891.226723315762</v>
      </c>
      <c r="F26" s="28">
        <f>G26/E26</f>
        <v>9.1819996067877163</v>
      </c>
      <c r="G26" s="198">
        <f>G20+G25</f>
        <v>788653.21</v>
      </c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</row>
    <row r="27" spans="2:33">
      <c r="B27" s="26"/>
      <c r="C27" s="26"/>
      <c r="D27" s="26"/>
      <c r="E27" s="27"/>
      <c r="F27" s="28"/>
      <c r="G27" s="11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</row>
    <row r="28" spans="2:33" ht="15.6">
      <c r="B28" s="181" t="s">
        <v>126</v>
      </c>
      <c r="C28" s="26"/>
      <c r="D28" s="26"/>
      <c r="E28" s="27"/>
      <c r="F28" s="28"/>
      <c r="G28" s="11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</row>
    <row r="29" spans="2:33" ht="15.6">
      <c r="B29" s="26" t="s">
        <v>124</v>
      </c>
      <c r="C29" s="26"/>
      <c r="D29" s="26"/>
      <c r="E29" s="27">
        <f>Purchases!L88</f>
        <v>4506</v>
      </c>
      <c r="F29" s="28">
        <f>G29/E29</f>
        <v>7.0336640035508209</v>
      </c>
      <c r="G29" s="198">
        <f>SUM(K29:AG29)</f>
        <v>31693.69</v>
      </c>
      <c r="K29" s="196">
        <v>10466.61</v>
      </c>
      <c r="L29" s="99"/>
      <c r="M29" s="196">
        <v>5641.32</v>
      </c>
      <c r="N29" s="99"/>
      <c r="O29" s="196">
        <v>4701.79</v>
      </c>
      <c r="P29" s="99"/>
      <c r="Q29" s="203">
        <v>1575.05</v>
      </c>
      <c r="R29" s="99"/>
      <c r="S29" s="203">
        <v>2029.62</v>
      </c>
      <c r="T29" s="99"/>
      <c r="U29" s="205">
        <v>1369.93</v>
      </c>
      <c r="V29" s="99"/>
      <c r="W29" s="203">
        <f>158.89+1418.08</f>
        <v>1576.9699999999998</v>
      </c>
      <c r="X29" s="99"/>
      <c r="Y29" s="203">
        <v>32.26</v>
      </c>
      <c r="Z29" s="99"/>
      <c r="AA29" s="205">
        <v>422.02</v>
      </c>
      <c r="AB29" s="99"/>
      <c r="AC29" s="203">
        <v>1461.43</v>
      </c>
      <c r="AD29" s="99"/>
      <c r="AE29" s="203">
        <v>438.39</v>
      </c>
      <c r="AF29" s="99"/>
      <c r="AG29" s="205">
        <f>1978.3+0</f>
        <v>1978.3</v>
      </c>
    </row>
    <row r="30" spans="2:33">
      <c r="B30" s="26"/>
      <c r="C30" s="26"/>
      <c r="D30" s="26"/>
      <c r="E30" s="27"/>
      <c r="F30" s="28"/>
      <c r="G30" s="11"/>
      <c r="K30" s="99"/>
      <c r="L30" s="99"/>
      <c r="M30" s="99"/>
      <c r="N30" s="99"/>
      <c r="O30" s="99"/>
      <c r="P30" s="99"/>
      <c r="Q30" s="99"/>
      <c r="R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</row>
    <row r="31" spans="2:33" ht="15.6">
      <c r="B31" s="182" t="s">
        <v>127</v>
      </c>
      <c r="C31" s="47"/>
      <c r="D31" s="47"/>
      <c r="E31" s="59"/>
      <c r="F31" s="66"/>
      <c r="G31" s="11"/>
      <c r="L31" s="131"/>
      <c r="N31" s="131"/>
      <c r="P31" s="131"/>
      <c r="R31" s="131"/>
      <c r="T31" s="131"/>
      <c r="V31" s="131"/>
      <c r="X31" s="131"/>
      <c r="Z31" s="131"/>
      <c r="AB31" s="131"/>
      <c r="AC31" s="206"/>
      <c r="AD31" s="131"/>
      <c r="AE31" s="200"/>
      <c r="AF31" s="131"/>
      <c r="AG31" s="200"/>
    </row>
    <row r="32" spans="2:33" ht="15.6">
      <c r="B32" s="47" t="s">
        <v>124</v>
      </c>
      <c r="C32" s="47"/>
      <c r="D32" s="47"/>
      <c r="E32" s="59"/>
      <c r="F32" s="47"/>
      <c r="G32" s="197">
        <f>SUM(K32:AG32)</f>
        <v>25512.149999999998</v>
      </c>
      <c r="K32" s="196">
        <v>1775.59</v>
      </c>
      <c r="L32" s="99"/>
      <c r="M32" s="196">
        <v>3276.87</v>
      </c>
      <c r="N32" s="99"/>
      <c r="O32" s="196">
        <v>4495.76</v>
      </c>
      <c r="P32" s="99"/>
      <c r="Q32" s="203">
        <v>6391.39</v>
      </c>
      <c r="R32" s="99"/>
      <c r="S32" s="203">
        <v>4267.91</v>
      </c>
      <c r="T32" s="99"/>
      <c r="U32" s="205">
        <v>1692.07</v>
      </c>
      <c r="V32" s="99"/>
      <c r="W32" s="203">
        <v>992.44</v>
      </c>
      <c r="X32" s="99"/>
      <c r="Y32" s="203">
        <v>535.74</v>
      </c>
      <c r="Z32" s="99"/>
      <c r="AA32" s="205">
        <v>495.78</v>
      </c>
      <c r="AB32" s="99"/>
      <c r="AC32" s="203">
        <v>550.39</v>
      </c>
      <c r="AD32" s="99"/>
      <c r="AE32" s="203">
        <v>505.51</v>
      </c>
      <c r="AF32" s="99"/>
      <c r="AG32" s="205">
        <v>532.70000000000005</v>
      </c>
    </row>
    <row r="33" spans="2:33">
      <c r="B33" s="47" t="s">
        <v>125</v>
      </c>
      <c r="C33" s="47"/>
      <c r="D33" s="47"/>
      <c r="E33" s="59"/>
      <c r="F33" s="47"/>
      <c r="G33" s="197">
        <f>SUM(K33:AG33)</f>
        <v>69530.37</v>
      </c>
      <c r="K33" s="196">
        <v>11040</v>
      </c>
      <c r="L33" s="99"/>
      <c r="M33" s="196">
        <v>16301.48</v>
      </c>
      <c r="N33" s="99"/>
      <c r="O33" s="196">
        <v>14134.6</v>
      </c>
      <c r="P33" s="99"/>
      <c r="Q33" s="203">
        <v>2558.5</v>
      </c>
      <c r="R33" s="99"/>
      <c r="S33" s="203">
        <v>6515.04</v>
      </c>
      <c r="T33" s="99"/>
      <c r="U33" s="203">
        <v>5746.95</v>
      </c>
      <c r="V33" s="99"/>
      <c r="W33" s="203">
        <v>3574.45</v>
      </c>
      <c r="X33" s="99"/>
      <c r="Y33" s="203">
        <v>1250.22</v>
      </c>
      <c r="Z33" s="99"/>
      <c r="AA33" s="203">
        <v>1454.64</v>
      </c>
      <c r="AB33" s="99"/>
      <c r="AC33" s="203">
        <v>1101.49</v>
      </c>
      <c r="AD33" s="99"/>
      <c r="AE33" s="203">
        <v>2138.4</v>
      </c>
      <c r="AF33" s="99"/>
      <c r="AG33" s="203">
        <v>3714.6</v>
      </c>
    </row>
    <row r="34" spans="2:33" ht="15.6">
      <c r="B34" s="183" t="s">
        <v>219</v>
      </c>
      <c r="C34" s="27"/>
      <c r="D34" s="30"/>
      <c r="E34" s="31">
        <f>Purchases!L131</f>
        <v>15924.378378378378</v>
      </c>
      <c r="F34" s="28">
        <f>G34/E34</f>
        <v>5.9683660951592143</v>
      </c>
      <c r="G34" s="198">
        <f>SUM(G32:G33)</f>
        <v>95042.51999999999</v>
      </c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</row>
    <row r="35" spans="2:33" ht="15.6">
      <c r="B35" s="47"/>
      <c r="C35" s="47"/>
      <c r="D35" s="47"/>
      <c r="E35" s="59"/>
      <c r="F35" s="47"/>
      <c r="G35" s="11"/>
      <c r="L35" s="131"/>
      <c r="N35" s="131"/>
      <c r="P35" s="131"/>
      <c r="R35" s="131"/>
      <c r="T35" s="131"/>
      <c r="V35" s="131"/>
      <c r="X35" s="131"/>
      <c r="Z35" s="131"/>
      <c r="AB35" s="131"/>
      <c r="AC35" s="202"/>
      <c r="AD35" s="131"/>
      <c r="AE35" s="200"/>
      <c r="AF35" s="131"/>
      <c r="AG35" s="200"/>
    </row>
    <row r="36" spans="2:33">
      <c r="B36" s="8"/>
      <c r="C36" s="8"/>
      <c r="D36" s="8"/>
      <c r="E36" s="16"/>
      <c r="F36" s="8"/>
      <c r="G36" s="8"/>
      <c r="K36" s="200"/>
      <c r="L36" s="131"/>
      <c r="M36" s="200"/>
      <c r="N36" s="131"/>
      <c r="O36" s="200"/>
      <c r="P36" s="131"/>
      <c r="Q36" s="200"/>
      <c r="R36" s="131"/>
      <c r="S36" s="200"/>
      <c r="T36" s="131"/>
      <c r="U36" s="200"/>
      <c r="V36" s="131"/>
      <c r="W36" s="200"/>
      <c r="X36" s="131"/>
      <c r="Y36" s="200"/>
      <c r="Z36" s="131"/>
      <c r="AA36" s="200"/>
      <c r="AB36" s="131"/>
      <c r="AC36" s="200"/>
      <c r="AD36" s="131"/>
      <c r="AE36" s="200"/>
      <c r="AF36" s="131"/>
      <c r="AG36" s="200"/>
    </row>
    <row r="37" spans="2:33">
      <c r="B37" s="1" t="s">
        <v>49</v>
      </c>
      <c r="E37" s="15">
        <f>SUM(E14:E35)</f>
        <v>106321.60510169413</v>
      </c>
      <c r="F37" s="209">
        <f>G37/E37</f>
        <v>8.6096275458261875</v>
      </c>
      <c r="G37" s="197">
        <f>G34+G29+G26</f>
        <v>915389.41999999993</v>
      </c>
      <c r="K37" s="215">
        <f>SUM(K16:K36)</f>
        <v>83692.84</v>
      </c>
      <c r="L37" s="131"/>
      <c r="M37" s="215">
        <f>SUM(M16:M36)</f>
        <v>104310.76999999997</v>
      </c>
      <c r="N37" s="131"/>
      <c r="O37" s="215">
        <f>SUM(O16:O36)</f>
        <v>111975.03999999999</v>
      </c>
      <c r="P37" s="131"/>
      <c r="Q37" s="200"/>
      <c r="R37" s="131"/>
      <c r="S37" s="200"/>
      <c r="T37" s="131"/>
      <c r="U37" s="200"/>
      <c r="V37" s="131"/>
      <c r="X37" s="131"/>
      <c r="Z37" s="131"/>
      <c r="AB37" s="131"/>
      <c r="AC37" s="200"/>
      <c r="AD37" s="131"/>
      <c r="AE37" s="200"/>
      <c r="AF37" s="131"/>
      <c r="AG37" s="200"/>
    </row>
    <row r="39" spans="2:33">
      <c r="B39" s="1" t="s">
        <v>50</v>
      </c>
      <c r="C39" s="195" t="s">
        <v>228</v>
      </c>
      <c r="D39" s="1" t="s">
        <v>51</v>
      </c>
      <c r="F39" s="208">
        <f>Purchases!L142</f>
        <v>106321.60510169413</v>
      </c>
    </row>
    <row r="40" spans="2:33">
      <c r="B40" s="1" t="s">
        <v>52</v>
      </c>
      <c r="C40" s="192">
        <f>Sales!L61</f>
        <v>78077.83</v>
      </c>
      <c r="D40" s="1" t="s">
        <v>53</v>
      </c>
      <c r="E40" s="191">
        <f>(F39-C40)/F39</f>
        <v>0.26564473960564855</v>
      </c>
    </row>
    <row r="42" spans="2:33">
      <c r="F42" s="3" t="s">
        <v>3</v>
      </c>
      <c r="G42" s="3" t="s">
        <v>4</v>
      </c>
    </row>
    <row r="43" spans="2:33">
      <c r="B43" s="1" t="s">
        <v>54</v>
      </c>
      <c r="G43" s="11">
        <f>G37</f>
        <v>915389.41999999993</v>
      </c>
    </row>
    <row r="44" spans="2:33">
      <c r="B44" s="12" t="s">
        <v>55</v>
      </c>
      <c r="C44" s="8"/>
      <c r="D44" s="8"/>
      <c r="E44" s="8"/>
      <c r="F44" s="8"/>
      <c r="G44" s="17">
        <f>F39</f>
        <v>106321.60510169413</v>
      </c>
    </row>
    <row r="45" spans="2:33">
      <c r="B45" s="14" t="s">
        <v>56</v>
      </c>
      <c r="G45" s="7">
        <f>G43/G44</f>
        <v>8.6096275458261875</v>
      </c>
    </row>
    <row r="46" spans="2:33">
      <c r="B46" s="12" t="s">
        <v>57</v>
      </c>
      <c r="C46" s="8"/>
      <c r="D46" s="8"/>
      <c r="E46" s="8"/>
      <c r="F46" s="8"/>
      <c r="G46" s="13">
        <f>IF(((F39-C40)/F39)&lt;=0.05,F39,(C40/0.95))</f>
        <v>82187.189473684222</v>
      </c>
    </row>
    <row r="47" spans="2:33">
      <c r="B47" s="14" t="s">
        <v>58</v>
      </c>
      <c r="G47" s="11">
        <f>G45*G46</f>
        <v>707601.09040666779</v>
      </c>
    </row>
    <row r="49" spans="2:2">
      <c r="B49" s="14"/>
    </row>
  </sheetData>
  <mergeCells count="2">
    <mergeCell ref="B4:G4"/>
    <mergeCell ref="B6:G6"/>
  </mergeCells>
  <phoneticPr fontId="4" type="noConversion"/>
  <pageMargins left="0.75" right="0.75" top="1" bottom="1" header="0.5" footer="0.5"/>
  <pageSetup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4:AQ31"/>
  <sheetViews>
    <sheetView topLeftCell="A3" zoomScale="83" workbookViewId="0">
      <selection activeCell="E8" sqref="E8"/>
    </sheetView>
  </sheetViews>
  <sheetFormatPr defaultColWidth="9.109375" defaultRowHeight="15"/>
  <cols>
    <col min="1" max="1" width="1.77734375" style="1" customWidth="1"/>
    <col min="2" max="4" width="9.109375" style="1"/>
    <col min="5" max="5" width="11.88671875" style="1" customWidth="1"/>
    <col min="6" max="6" width="22.33203125" style="1" bestFit="1" customWidth="1"/>
    <col min="7" max="7" width="14.88671875" style="1" bestFit="1" customWidth="1"/>
    <col min="8" max="8" width="13.77734375" style="1" bestFit="1" customWidth="1"/>
    <col min="9" max="9" width="14.33203125" style="1" bestFit="1" customWidth="1"/>
    <col min="10" max="10" width="9.109375" style="1" customWidth="1"/>
    <col min="11" max="11" width="1.77734375" style="1" customWidth="1"/>
    <col min="12" max="12" width="13.5546875" style="1" bestFit="1" customWidth="1"/>
    <col min="13" max="13" width="1.77734375" style="1" customWidth="1"/>
    <col min="14" max="14" width="14.6640625" style="1" bestFit="1" customWidth="1"/>
    <col min="15" max="15" width="13.44140625" style="1" bestFit="1" customWidth="1"/>
    <col min="16" max="16" width="15" style="1" customWidth="1"/>
    <col min="17" max="17" width="14.6640625" style="1" bestFit="1" customWidth="1"/>
    <col min="18" max="18" width="11.5546875" style="1" customWidth="1"/>
    <col min="19" max="19" width="12.33203125" style="1" customWidth="1"/>
    <col min="20" max="21" width="11.109375" style="1" customWidth="1"/>
    <col min="22" max="23" width="11.33203125" style="1" customWidth="1"/>
    <col min="24" max="24" width="11" style="1" customWidth="1"/>
    <col min="25" max="25" width="10.5546875" style="1" customWidth="1"/>
    <col min="26" max="26" width="11" style="1" customWidth="1"/>
    <col min="27" max="27" width="10.88671875" style="1" customWidth="1"/>
    <col min="28" max="28" width="11.33203125" style="1" customWidth="1"/>
    <col min="29" max="29" width="11.5546875" style="1" customWidth="1"/>
    <col min="30" max="30" width="10" style="1" customWidth="1"/>
    <col min="31" max="31" width="10.44140625" style="1" customWidth="1"/>
    <col min="32" max="32" width="11" style="1" customWidth="1"/>
    <col min="33" max="33" width="10" style="1" customWidth="1"/>
    <col min="34" max="34" width="10.88671875" style="1" customWidth="1"/>
    <col min="35" max="35" width="10.109375" style="1" customWidth="1"/>
    <col min="36" max="36" width="10.5546875" style="1" customWidth="1"/>
    <col min="37" max="37" width="10.33203125" style="1" customWidth="1"/>
    <col min="38" max="38" width="10.6640625" style="1" customWidth="1"/>
    <col min="39" max="39" width="10.44140625" style="1" customWidth="1"/>
    <col min="40" max="40" width="10.33203125" style="1" customWidth="1"/>
    <col min="41" max="41" width="10.33203125" style="1" bestFit="1" customWidth="1"/>
    <col min="42" max="43" width="11.5546875" style="1" bestFit="1" customWidth="1"/>
    <col min="44" max="16384" width="9.109375" style="1"/>
  </cols>
  <sheetData>
    <row r="4" spans="2:43">
      <c r="B4" s="231" t="s">
        <v>59</v>
      </c>
      <c r="C4" s="231"/>
      <c r="D4" s="231"/>
      <c r="E4" s="231"/>
      <c r="F4" s="231"/>
      <c r="G4" s="231"/>
      <c r="H4" s="231"/>
      <c r="I4" s="231"/>
      <c r="J4"/>
      <c r="K4"/>
      <c r="L4"/>
      <c r="M4"/>
      <c r="N4"/>
      <c r="O4"/>
      <c r="P4"/>
    </row>
    <row r="6" spans="2:43">
      <c r="B6" s="231" t="s">
        <v>60</v>
      </c>
      <c r="C6" s="231"/>
      <c r="D6" s="231"/>
      <c r="E6" s="231"/>
      <c r="F6" s="231"/>
      <c r="G6" s="231"/>
      <c r="H6" s="231"/>
      <c r="I6" s="231"/>
      <c r="J6"/>
      <c r="K6"/>
      <c r="L6"/>
      <c r="M6"/>
      <c r="N6"/>
      <c r="O6"/>
      <c r="P6"/>
    </row>
    <row r="9" spans="2:43">
      <c r="B9" s="1" t="s">
        <v>82</v>
      </c>
      <c r="F9" s="42">
        <v>45777</v>
      </c>
    </row>
    <row r="11" spans="2:43">
      <c r="G11" s="18" t="s">
        <v>185</v>
      </c>
      <c r="H11" s="18" t="s">
        <v>186</v>
      </c>
      <c r="I11" s="18" t="s">
        <v>187</v>
      </c>
    </row>
    <row r="12" spans="2:43">
      <c r="B12" s="4" t="s">
        <v>61</v>
      </c>
      <c r="F12" s="5" t="s">
        <v>3</v>
      </c>
      <c r="G12" s="46" t="s">
        <v>114</v>
      </c>
      <c r="H12" s="46" t="s">
        <v>115</v>
      </c>
      <c r="I12" s="46" t="s">
        <v>116</v>
      </c>
      <c r="J12" s="43"/>
      <c r="K12" s="43"/>
      <c r="L12" s="63" t="s">
        <v>123</v>
      </c>
      <c r="M12" s="43"/>
      <c r="N12" s="43" t="s">
        <v>116</v>
      </c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2:43">
      <c r="B13" s="1" t="s">
        <v>62</v>
      </c>
      <c r="F13" s="2" t="s">
        <v>46</v>
      </c>
      <c r="G13" s="214">
        <f>Purchases!H140</f>
        <v>11015.655777475866</v>
      </c>
      <c r="H13" s="214">
        <f>Purchases!J140</f>
        <v>11092.137754642426</v>
      </c>
      <c r="I13" s="214">
        <f>Purchases!L140</f>
        <v>9574.5257334078524</v>
      </c>
      <c r="L13" s="219">
        <f>SUM(G13:I13)</f>
        <v>31682.319265526145</v>
      </c>
    </row>
    <row r="14" spans="2:43">
      <c r="B14" s="1" t="s">
        <v>63</v>
      </c>
      <c r="F14" s="2" t="s">
        <v>64</v>
      </c>
      <c r="G14" s="216">
        <f>'Sch II ECG'!O37</f>
        <v>111975.03999999999</v>
      </c>
      <c r="H14" s="216">
        <f>'Sch II ECG'!M37</f>
        <v>104310.76999999997</v>
      </c>
      <c r="I14" s="216">
        <f>'Sch II ECG'!K37</f>
        <v>83692.84</v>
      </c>
      <c r="J14" s="11"/>
      <c r="K14" s="11"/>
      <c r="L14" s="219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2:43">
      <c r="B15" s="12" t="s">
        <v>65</v>
      </c>
      <c r="C15" s="8"/>
      <c r="D15" s="8"/>
      <c r="E15" s="8"/>
      <c r="F15" s="5" t="s">
        <v>46</v>
      </c>
      <c r="G15" s="217">
        <f>IF((G13*0.95)&lt;=G19,G19,G13*0.95)</f>
        <v>10965.1</v>
      </c>
      <c r="H15" s="217">
        <f>IF((H13*0.95)&lt;=H19,H19,H13*0.95)</f>
        <v>10537.530866910305</v>
      </c>
      <c r="I15" s="217">
        <f>IF((I13*0.95)&lt;=I19,I19,I13*0.95)</f>
        <v>9095.7994467374592</v>
      </c>
      <c r="J15" s="44"/>
      <c r="K15" s="44"/>
      <c r="L15" s="220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</row>
    <row r="16" spans="2:43">
      <c r="B16" s="14" t="s">
        <v>66</v>
      </c>
      <c r="F16" s="6" t="s">
        <v>5</v>
      </c>
      <c r="G16" s="218">
        <f>G14/G15</f>
        <v>10.211948819436211</v>
      </c>
      <c r="H16" s="218">
        <f>H14/H15</f>
        <v>9.8989764601832952</v>
      </c>
      <c r="I16" s="218">
        <f>I14/I15</f>
        <v>9.2012626806563436</v>
      </c>
      <c r="J16" s="7"/>
      <c r="K16" s="7"/>
      <c r="L16" s="219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</row>
    <row r="17" spans="2:43">
      <c r="B17" s="12" t="s">
        <v>67</v>
      </c>
      <c r="C17" s="8"/>
      <c r="D17" s="8"/>
      <c r="E17" s="8"/>
      <c r="F17" s="9" t="s">
        <v>5</v>
      </c>
      <c r="G17" s="34">
        <v>10.3948</v>
      </c>
      <c r="H17" s="34">
        <v>10.3948</v>
      </c>
      <c r="I17" s="34">
        <v>10.3948</v>
      </c>
      <c r="J17" s="7"/>
      <c r="K17" s="7"/>
      <c r="L17" s="219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</row>
    <row r="18" spans="2:43">
      <c r="B18" s="14" t="s">
        <v>68</v>
      </c>
      <c r="F18" s="6" t="s">
        <v>5</v>
      </c>
      <c r="G18" s="7">
        <f>G16-G17</f>
        <v>-0.18285118056378913</v>
      </c>
      <c r="H18" s="7">
        <f>H16-H17</f>
        <v>-0.49582353981670479</v>
      </c>
      <c r="I18" s="7">
        <f>I16-I17</f>
        <v>-1.1935373193436565</v>
      </c>
      <c r="J18" s="7"/>
      <c r="K18" s="7"/>
      <c r="L18" s="219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2:43">
      <c r="B19" s="12" t="s">
        <v>69</v>
      </c>
      <c r="C19" s="8"/>
      <c r="D19" s="8"/>
      <c r="E19" s="8"/>
      <c r="F19" s="5" t="s">
        <v>46</v>
      </c>
      <c r="G19" s="33">
        <f>Sales!H59</f>
        <v>10965.1</v>
      </c>
      <c r="H19" s="33">
        <f>Sales!J59</f>
        <v>7556.3</v>
      </c>
      <c r="I19" s="33">
        <f>Sales!L59</f>
        <v>4514.4000000000005</v>
      </c>
      <c r="J19" s="44"/>
      <c r="K19" s="44"/>
      <c r="L19" s="219">
        <f>SUM(G19:I19)</f>
        <v>23035.800000000003</v>
      </c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</row>
    <row r="20" spans="2:43">
      <c r="B20" s="14" t="s">
        <v>70</v>
      </c>
      <c r="F20" s="2" t="s">
        <v>64</v>
      </c>
      <c r="G20" s="11">
        <f>G18*G19</f>
        <v>-2004.9814800000042</v>
      </c>
      <c r="H20" s="11">
        <f>H18*H19</f>
        <v>-3746.5914139169663</v>
      </c>
      <c r="I20" s="11">
        <f>I18*I19</f>
        <v>-5388.1048744450036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</row>
    <row r="21" spans="2:43">
      <c r="P21" s="11"/>
    </row>
    <row r="22" spans="2:43">
      <c r="B22" s="14"/>
      <c r="F22" s="2"/>
      <c r="G22" s="2"/>
      <c r="H22" s="2"/>
      <c r="I22" s="2"/>
      <c r="J22" s="2"/>
      <c r="K22" s="2"/>
      <c r="L22" s="2"/>
      <c r="M22" s="2"/>
    </row>
    <row r="23" spans="2:43">
      <c r="B23" s="1" t="s">
        <v>71</v>
      </c>
      <c r="F23" s="2"/>
      <c r="G23" s="2"/>
      <c r="H23" s="2" t="s">
        <v>64</v>
      </c>
      <c r="I23" s="11">
        <f>SUM(G20:I20)</f>
        <v>-11139.677768361973</v>
      </c>
      <c r="J23" s="11"/>
      <c r="K23" s="11"/>
      <c r="L23" s="11"/>
      <c r="M23" s="11"/>
    </row>
    <row r="24" spans="2:43">
      <c r="B24" s="12" t="s">
        <v>83</v>
      </c>
      <c r="C24" s="8"/>
      <c r="D24" s="8"/>
      <c r="E24" s="8"/>
      <c r="F24" s="8"/>
      <c r="G24" s="8"/>
      <c r="H24" s="5" t="s">
        <v>46</v>
      </c>
      <c r="I24" s="19">
        <f>Sales!L61</f>
        <v>78077.83</v>
      </c>
      <c r="J24" s="45"/>
      <c r="K24" s="45"/>
      <c r="L24" s="45"/>
      <c r="M24" s="45"/>
    </row>
    <row r="25" spans="2:43">
      <c r="B25" s="14" t="s">
        <v>72</v>
      </c>
      <c r="I25" s="7">
        <f>ROUND(I23/I24,4)</f>
        <v>-0.14269999999999999</v>
      </c>
      <c r="J25" s="7"/>
      <c r="K25" s="7"/>
      <c r="M25" s="7"/>
    </row>
    <row r="27" spans="2:43">
      <c r="B27" s="1" t="s">
        <v>73</v>
      </c>
      <c r="G27" s="61">
        <f>G15/G13</f>
        <v>0.9954105521725507</v>
      </c>
      <c r="L27" s="62">
        <f>L19/L13</f>
        <v>0.72708692210754566</v>
      </c>
    </row>
    <row r="29" spans="2:43" ht="15.6">
      <c r="L29" s="67"/>
    </row>
    <row r="30" spans="2:43" ht="15.6">
      <c r="L30" s="67"/>
    </row>
    <row r="31" spans="2:43" ht="15.6">
      <c r="L31" s="68"/>
    </row>
  </sheetData>
  <mergeCells count="2">
    <mergeCell ref="B4:I4"/>
    <mergeCell ref="B6:I6"/>
  </mergeCells>
  <phoneticPr fontId="4" type="noConversion"/>
  <pageMargins left="0.75" right="0.75" top="1" bottom="1" header="0.5" footer="0.5"/>
  <pageSetup scale="68" orientation="portrait" r:id="rId1"/>
  <headerFooter alignWithMargins="0">
    <oddFooter>&amp;LNavitas KYNG, LLC&amp;C&amp;F&amp;R&amp;D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J50"/>
  <sheetViews>
    <sheetView tabSelected="1" topLeftCell="A16" workbookViewId="0">
      <selection activeCell="J40" sqref="J40"/>
    </sheetView>
  </sheetViews>
  <sheetFormatPr defaultRowHeight="13.2"/>
  <cols>
    <col min="1" max="1" width="1.77734375" customWidth="1"/>
    <col min="5" max="5" width="9.33203125" bestFit="1" customWidth="1"/>
    <col min="7" max="7" width="9.33203125" bestFit="1" customWidth="1"/>
    <col min="10" max="10" width="10.109375" bestFit="1" customWidth="1"/>
    <col min="11" max="11" width="1.77734375" customWidth="1"/>
  </cols>
  <sheetData>
    <row r="4" spans="2:10">
      <c r="B4" s="231" t="s">
        <v>86</v>
      </c>
      <c r="C4" s="231"/>
      <c r="D4" s="231"/>
      <c r="E4" s="231"/>
      <c r="F4" s="231"/>
      <c r="G4" s="231"/>
      <c r="H4" s="231"/>
      <c r="I4" s="231"/>
      <c r="J4" s="231"/>
    </row>
    <row r="6" spans="2:10">
      <c r="B6" s="231" t="s">
        <v>87</v>
      </c>
      <c r="C6" s="231"/>
      <c r="D6" s="231"/>
      <c r="E6" s="231"/>
      <c r="F6" s="231"/>
      <c r="G6" s="231"/>
      <c r="H6" s="231"/>
      <c r="I6" s="231"/>
      <c r="J6" s="231"/>
    </row>
    <row r="8" spans="2:10">
      <c r="B8" t="s">
        <v>88</v>
      </c>
      <c r="E8" s="60">
        <v>45777</v>
      </c>
    </row>
    <row r="10" spans="2:10">
      <c r="C10" s="35" t="s">
        <v>61</v>
      </c>
      <c r="J10" s="21" t="s">
        <v>4</v>
      </c>
    </row>
    <row r="12" spans="2:10">
      <c r="B12" s="36" t="s">
        <v>35</v>
      </c>
      <c r="C12" t="s">
        <v>89</v>
      </c>
    </row>
    <row r="13" spans="2:10">
      <c r="C13" t="s">
        <v>90</v>
      </c>
      <c r="J13" s="39">
        <v>0</v>
      </c>
    </row>
    <row r="14" spans="2:10">
      <c r="B14" s="65" t="s">
        <v>231</v>
      </c>
    </row>
    <row r="15" spans="2:10">
      <c r="C15" t="s">
        <v>91</v>
      </c>
      <c r="H15" s="40">
        <v>0</v>
      </c>
    </row>
    <row r="16" spans="2:10">
      <c r="C16" t="s">
        <v>92</v>
      </c>
    </row>
    <row r="17" spans="2:10">
      <c r="C17" t="s">
        <v>93</v>
      </c>
    </row>
    <row r="18" spans="2:10">
      <c r="C18" t="s">
        <v>94</v>
      </c>
      <c r="H18" s="41"/>
    </row>
    <row r="19" spans="2:10">
      <c r="C19" t="s">
        <v>95</v>
      </c>
      <c r="J19" s="38">
        <f>+H15*H18</f>
        <v>0</v>
      </c>
    </row>
    <row r="21" spans="2:10">
      <c r="C21" t="s">
        <v>96</v>
      </c>
      <c r="J21" s="38">
        <f>+J13-J19</f>
        <v>0</v>
      </c>
    </row>
    <row r="23" spans="2:10">
      <c r="B23" s="36" t="s">
        <v>36</v>
      </c>
      <c r="C23" t="s">
        <v>97</v>
      </c>
    </row>
    <row r="24" spans="2:10">
      <c r="C24" t="s">
        <v>98</v>
      </c>
      <c r="J24" s="39">
        <v>0</v>
      </c>
    </row>
    <row r="25" spans="2:10">
      <c r="C25" t="s">
        <v>99</v>
      </c>
    </row>
    <row r="27" spans="2:10">
      <c r="C27" t="s">
        <v>100</v>
      </c>
      <c r="H27" s="40">
        <v>0</v>
      </c>
    </row>
    <row r="28" spans="2:10">
      <c r="C28" t="s">
        <v>101</v>
      </c>
    </row>
    <row r="29" spans="2:10">
      <c r="C29" t="s">
        <v>102</v>
      </c>
      <c r="I29" s="41"/>
    </row>
    <row r="30" spans="2:10">
      <c r="C30" t="s">
        <v>103</v>
      </c>
      <c r="J30" s="38">
        <f>+H27*I29</f>
        <v>0</v>
      </c>
    </row>
    <row r="32" spans="2:10">
      <c r="C32" t="s">
        <v>104</v>
      </c>
      <c r="J32" s="37">
        <f>+J24-J30</f>
        <v>0</v>
      </c>
    </row>
    <row r="34" spans="2:10">
      <c r="B34" s="36" t="s">
        <v>37</v>
      </c>
      <c r="C34" t="s">
        <v>105</v>
      </c>
    </row>
    <row r="35" spans="2:10">
      <c r="C35" t="s">
        <v>90</v>
      </c>
      <c r="J35" s="39">
        <f>'AA BA Ladder'!CM38</f>
        <v>7502.0459724989087</v>
      </c>
    </row>
    <row r="37" spans="2:10">
      <c r="C37" t="s">
        <v>106</v>
      </c>
      <c r="H37" s="40">
        <v>0</v>
      </c>
    </row>
    <row r="38" spans="2:10">
      <c r="C38" t="s">
        <v>92</v>
      </c>
    </row>
    <row r="39" spans="2:10">
      <c r="C39" t="s">
        <v>93</v>
      </c>
    </row>
    <row r="40" spans="2:10">
      <c r="C40" t="s">
        <v>94</v>
      </c>
      <c r="G40" s="64">
        <f>SUM('AA BA Ladder'!BQ5:CM5)</f>
        <v>78077.83</v>
      </c>
    </row>
    <row r="41" spans="2:10">
      <c r="C41" t="s">
        <v>107</v>
      </c>
      <c r="J41" s="38">
        <f>+H37*G40</f>
        <v>0</v>
      </c>
    </row>
    <row r="43" spans="2:10">
      <c r="C43" t="s">
        <v>108</v>
      </c>
      <c r="J43" s="37">
        <f>+J35-J41</f>
        <v>7502.0459724989087</v>
      </c>
    </row>
    <row r="45" spans="2:10">
      <c r="C45" t="s">
        <v>109</v>
      </c>
      <c r="J45" s="37">
        <f>+J21+J32+J43</f>
        <v>7502.0459724989087</v>
      </c>
    </row>
    <row r="47" spans="2:10">
      <c r="C47" t="s">
        <v>112</v>
      </c>
      <c r="G47" s="223">
        <v>45777</v>
      </c>
      <c r="J47" s="64">
        <f>Sales!L61</f>
        <v>78077.83</v>
      </c>
    </row>
    <row r="49" spans="3:10">
      <c r="C49" t="s">
        <v>110</v>
      </c>
      <c r="J49">
        <f>ROUND(+J45/J47,4)</f>
        <v>9.6100000000000005E-2</v>
      </c>
    </row>
    <row r="50" spans="3:10">
      <c r="D50" t="s">
        <v>111</v>
      </c>
    </row>
  </sheetData>
  <mergeCells count="2">
    <mergeCell ref="B4:J4"/>
    <mergeCell ref="B6:J6"/>
  </mergeCells>
  <phoneticPr fontId="4" type="noConversion"/>
  <pageMargins left="0.75" right="0.75" top="1" bottom="1" header="0.5" footer="0.5"/>
  <pageSetup orientation="portrait" r:id="rId1"/>
  <headerFooter alignWithMargins="0">
    <oddFooter>&amp;LNavitas KYNG, LLC&amp;C&amp;F&amp;R&amp;D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58A1-8D4A-4C02-803B-3AE52621BC6A}">
  <dimension ref="A1:FA78"/>
  <sheetViews>
    <sheetView topLeftCell="BO1" zoomScale="75" zoomScaleNormal="75" workbookViewId="0">
      <selection activeCell="CU12" sqref="CU12"/>
    </sheetView>
  </sheetViews>
  <sheetFormatPr defaultRowHeight="13.2"/>
  <cols>
    <col min="1" max="2" width="1.6640625" customWidth="1"/>
    <col min="3" max="3" width="20.6640625" customWidth="1"/>
    <col min="4" max="6" width="1.6640625" customWidth="1"/>
    <col min="7" max="7" width="10.6640625" customWidth="1"/>
    <col min="8" max="8" width="1.33203125" customWidth="1"/>
    <col min="9" max="9" width="8.6640625" customWidth="1"/>
    <col min="10" max="10" width="1.33203125" customWidth="1"/>
    <col min="11" max="11" width="8.6640625" customWidth="1"/>
    <col min="12" max="12" width="1.33203125" customWidth="1"/>
    <col min="13" max="13" width="10.6640625" customWidth="1"/>
    <col min="14" max="14" width="1.33203125" customWidth="1"/>
    <col min="15" max="15" width="10.6640625" customWidth="1"/>
    <col min="16" max="16" width="1.33203125" customWidth="1"/>
    <col min="17" max="17" width="10.6640625" customWidth="1"/>
    <col min="18" max="18" width="1.33203125" customWidth="1"/>
    <col min="19" max="19" width="10.6640625" customWidth="1"/>
    <col min="20" max="20" width="1.33203125" customWidth="1"/>
    <col min="21" max="21" width="10.6640625" customWidth="1"/>
    <col min="22" max="22" width="1.33203125" customWidth="1"/>
    <col min="23" max="23" width="10.6640625" customWidth="1"/>
    <col min="24" max="24" width="1.33203125" customWidth="1"/>
    <col min="25" max="25" width="10.6640625" customWidth="1"/>
    <col min="26" max="26" width="1.33203125" customWidth="1"/>
    <col min="27" max="27" width="10.6640625" customWidth="1"/>
    <col min="28" max="28" width="1.33203125" customWidth="1"/>
    <col min="29" max="29" width="10.6640625" customWidth="1"/>
    <col min="30" max="30" width="1.33203125" customWidth="1"/>
    <col min="31" max="31" width="10.6640625" customWidth="1"/>
    <col min="32" max="32" width="1.33203125" customWidth="1"/>
    <col min="33" max="33" width="11.88671875" customWidth="1"/>
    <col min="34" max="34" width="1.33203125" customWidth="1"/>
    <col min="35" max="35" width="13" customWidth="1"/>
    <col min="36" max="36" width="1.33203125" customWidth="1"/>
    <col min="37" max="37" width="12.6640625" customWidth="1"/>
    <col min="38" max="38" width="1.33203125" customWidth="1"/>
    <col min="39" max="39" width="12.6640625" customWidth="1"/>
    <col min="40" max="40" width="1.33203125" customWidth="1"/>
    <col min="41" max="41" width="12.6640625" customWidth="1"/>
    <col min="42" max="42" width="1.33203125" customWidth="1"/>
    <col min="43" max="43" width="13.88671875" customWidth="1"/>
    <col min="44" max="44" width="1.33203125" customWidth="1"/>
    <col min="45" max="45" width="12.6640625" customWidth="1"/>
    <col min="46" max="46" width="1.33203125" customWidth="1"/>
    <col min="47" max="47" width="12.6640625" customWidth="1"/>
    <col min="48" max="48" width="1.33203125" customWidth="1"/>
    <col min="49" max="49" width="12.6640625" customWidth="1"/>
    <col min="50" max="50" width="1.33203125" customWidth="1"/>
    <col min="51" max="51" width="14.33203125" customWidth="1"/>
    <col min="52" max="52" width="1.33203125" customWidth="1"/>
    <col min="53" max="53" width="13.6640625" customWidth="1"/>
    <col min="54" max="54" width="1.33203125" customWidth="1"/>
    <col min="55" max="55" width="12.6640625" customWidth="1"/>
    <col min="56" max="56" width="1.33203125" customWidth="1"/>
    <col min="57" max="57" width="12.6640625" customWidth="1"/>
    <col min="58" max="58" width="1.33203125" customWidth="1"/>
    <col min="59" max="59" width="12.6640625" customWidth="1"/>
    <col min="60" max="60" width="1.33203125" customWidth="1"/>
    <col min="61" max="61" width="12.6640625" customWidth="1"/>
    <col min="62" max="62" width="1.33203125" customWidth="1"/>
    <col min="63" max="63" width="12.6640625" customWidth="1"/>
    <col min="64" max="64" width="1.33203125" customWidth="1"/>
    <col min="65" max="65" width="12.6640625" customWidth="1"/>
    <col min="66" max="66" width="1.33203125" customWidth="1"/>
    <col min="67" max="67" width="12.6640625" customWidth="1"/>
    <col min="68" max="68" width="1.33203125" customWidth="1"/>
    <col min="69" max="69" width="12.6640625" customWidth="1"/>
    <col min="70" max="70" width="1.33203125" customWidth="1"/>
    <col min="71" max="71" width="12.6640625" customWidth="1"/>
    <col min="72" max="72" width="1.33203125" customWidth="1"/>
    <col min="73" max="73" width="12.6640625" customWidth="1"/>
    <col min="74" max="74" width="1.33203125" customWidth="1"/>
    <col min="75" max="75" width="12.6640625" customWidth="1"/>
    <col min="76" max="76" width="1.33203125" customWidth="1"/>
    <col min="77" max="77" width="12.6640625" customWidth="1"/>
    <col min="78" max="78" width="1.33203125" customWidth="1"/>
    <col min="79" max="79" width="12.6640625" customWidth="1"/>
    <col min="80" max="80" width="1.33203125" customWidth="1"/>
    <col min="81" max="81" width="12.6640625" customWidth="1"/>
    <col min="82" max="82" width="1.33203125" customWidth="1"/>
    <col min="83" max="83" width="12.6640625" customWidth="1"/>
    <col min="84" max="84" width="1.33203125" customWidth="1"/>
    <col min="85" max="85" width="12.6640625" customWidth="1"/>
    <col min="86" max="86" width="1.33203125" customWidth="1"/>
    <col min="87" max="87" width="12.6640625" customWidth="1"/>
    <col min="88" max="88" width="1.33203125" customWidth="1"/>
    <col min="89" max="89" width="12.6640625" customWidth="1"/>
    <col min="90" max="90" width="1.33203125" customWidth="1"/>
    <col min="91" max="91" width="12.6640625" customWidth="1"/>
    <col min="92" max="92" width="1.33203125" customWidth="1"/>
    <col min="93" max="93" width="12.6640625" customWidth="1"/>
    <col min="94" max="94" width="1.33203125" customWidth="1"/>
    <col min="95" max="95" width="12.6640625" customWidth="1"/>
    <col min="96" max="96" width="1.33203125" customWidth="1"/>
    <col min="97" max="97" width="12.6640625" customWidth="1"/>
    <col min="98" max="98" width="1.33203125" customWidth="1"/>
    <col min="99" max="99" width="12.6640625" customWidth="1"/>
    <col min="100" max="100" width="1.33203125" customWidth="1"/>
    <col min="101" max="101" width="12.6640625" customWidth="1"/>
    <col min="102" max="102" width="1.33203125" customWidth="1"/>
    <col min="103" max="103" width="12.6640625" customWidth="1"/>
    <col min="104" max="104" width="1.33203125" customWidth="1"/>
    <col min="105" max="105" width="12.6640625" customWidth="1"/>
    <col min="106" max="106" width="1.33203125" customWidth="1"/>
    <col min="107" max="107" width="12.6640625" customWidth="1"/>
    <col min="108" max="108" width="1.33203125" customWidth="1"/>
    <col min="109" max="109" width="12.6640625" customWidth="1"/>
    <col min="110" max="110" width="1.33203125" customWidth="1"/>
    <col min="111" max="111" width="12.6640625" customWidth="1"/>
    <col min="112" max="112" width="1.33203125" customWidth="1"/>
    <col min="113" max="113" width="12.6640625" customWidth="1"/>
    <col min="114" max="114" width="1.33203125" customWidth="1"/>
    <col min="115" max="115" width="12.6640625" customWidth="1"/>
    <col min="116" max="116" width="1.33203125" customWidth="1"/>
    <col min="117" max="117" width="12.6640625" customWidth="1"/>
    <col min="118" max="118" width="1.33203125" customWidth="1"/>
    <col min="119" max="119" width="12.6640625" customWidth="1"/>
    <col min="120" max="120" width="1.33203125" customWidth="1"/>
    <col min="121" max="121" width="12.6640625" customWidth="1"/>
    <col min="122" max="122" width="1.33203125" customWidth="1"/>
    <col min="123" max="123" width="12.6640625" customWidth="1"/>
    <col min="124" max="124" width="1.33203125" customWidth="1"/>
    <col min="125" max="125" width="12.6640625" customWidth="1"/>
    <col min="126" max="126" width="1.33203125" customWidth="1"/>
    <col min="127" max="127" width="12.6640625" customWidth="1"/>
    <col min="128" max="128" width="1.33203125" customWidth="1"/>
    <col min="129" max="129" width="12.6640625" customWidth="1"/>
    <col min="130" max="130" width="1.33203125" customWidth="1"/>
    <col min="131" max="131" width="12.6640625" customWidth="1"/>
    <col min="132" max="132" width="1.33203125" customWidth="1"/>
    <col min="133" max="133" width="12.6640625" customWidth="1"/>
    <col min="134" max="134" width="1.33203125" customWidth="1"/>
    <col min="135" max="135" width="12.6640625" customWidth="1"/>
    <col min="136" max="136" width="1.33203125" customWidth="1"/>
    <col min="137" max="137" width="12.6640625" customWidth="1"/>
    <col min="138" max="138" width="1.33203125" customWidth="1"/>
    <col min="139" max="139" width="12.6640625" customWidth="1"/>
    <col min="140" max="140" width="1.33203125" customWidth="1"/>
    <col min="141" max="141" width="12.6640625" customWidth="1"/>
    <col min="142" max="142" width="1.33203125" customWidth="1"/>
    <col min="143" max="143" width="12.6640625" customWidth="1"/>
    <col min="144" max="144" width="1.33203125" customWidth="1"/>
    <col min="145" max="145" width="12.6640625" customWidth="1"/>
    <col min="146" max="146" width="1.33203125" customWidth="1"/>
    <col min="147" max="147" width="12.6640625" customWidth="1"/>
    <col min="148" max="148" width="1.33203125" customWidth="1"/>
    <col min="149" max="149" width="12.6640625" customWidth="1"/>
    <col min="150" max="150" width="1.33203125" customWidth="1"/>
    <col min="151" max="151" width="12.6640625" customWidth="1"/>
    <col min="152" max="152" width="1.33203125" customWidth="1"/>
    <col min="153" max="153" width="12.6640625" customWidth="1"/>
    <col min="154" max="154" width="1.33203125" customWidth="1"/>
    <col min="155" max="155" width="12.6640625" customWidth="1"/>
    <col min="156" max="156" width="1.33203125" customWidth="1"/>
    <col min="157" max="157" width="12.6640625" customWidth="1"/>
  </cols>
  <sheetData>
    <row r="1" spans="1:157">
      <c r="G1" s="69"/>
      <c r="I1" s="69"/>
      <c r="K1" s="69"/>
      <c r="M1" s="69"/>
      <c r="O1" s="70">
        <v>19603.639553852514</v>
      </c>
      <c r="P1" s="70"/>
      <c r="Q1" s="70">
        <v>18053.193953852515</v>
      </c>
      <c r="R1" s="70"/>
      <c r="S1" s="70">
        <v>17080.540553852516</v>
      </c>
      <c r="U1" s="70">
        <v>108250.25848254043</v>
      </c>
      <c r="W1" s="70">
        <v>106205.71864254044</v>
      </c>
      <c r="Y1" s="70">
        <v>103611.80862254044</v>
      </c>
      <c r="AA1" s="70">
        <v>159925.85801052063</v>
      </c>
      <c r="AC1" s="70">
        <v>157022.58638052063</v>
      </c>
      <c r="AE1" s="70">
        <v>150225.77035052062</v>
      </c>
      <c r="AG1" s="70">
        <v>188791.34591585706</v>
      </c>
      <c r="AI1" s="70">
        <v>167186.43150585706</v>
      </c>
      <c r="AK1" s="70">
        <v>148408.08109585708</v>
      </c>
      <c r="AM1" s="70">
        <v>155336.60167835598</v>
      </c>
      <c r="AO1" s="70">
        <v>139510.68940835597</v>
      </c>
      <c r="AQ1" s="70">
        <v>127123.04686835594</v>
      </c>
      <c r="AS1" s="70">
        <v>-15335.001322386524</v>
      </c>
      <c r="AT1" s="70"/>
      <c r="AU1" s="70">
        <v>-15302.440122386528</v>
      </c>
      <c r="AW1" s="70">
        <v>-15274.317372386548</v>
      </c>
      <c r="AY1" s="70">
        <v>-91634.052665011928</v>
      </c>
      <c r="BA1" s="70">
        <v>-87843.2634650119</v>
      </c>
      <c r="BC1" s="70">
        <v>-79182.053435011912</v>
      </c>
      <c r="BE1" s="70">
        <v>-37789.811242143172</v>
      </c>
      <c r="BG1" s="70">
        <v>-5946.962322143183</v>
      </c>
      <c r="BI1" s="70">
        <v>28087.538837856828</v>
      </c>
      <c r="BK1" s="70">
        <v>99439.503691494145</v>
      </c>
      <c r="BM1" s="70">
        <v>120621.99725149416</v>
      </c>
      <c r="BO1" s="70">
        <v>135840.54853149416</v>
      </c>
      <c r="BQ1" s="70">
        <v>172539.84363890684</v>
      </c>
      <c r="BS1" s="70">
        <v>176766.30363890686</v>
      </c>
      <c r="BU1" s="70">
        <v>183285.11503890681</v>
      </c>
      <c r="BW1" s="70">
        <v>199981.27843229228</v>
      </c>
      <c r="BY1" s="70">
        <v>201528.32005229229</v>
      </c>
      <c r="CA1" s="70">
        <v>203253.80405229228</v>
      </c>
      <c r="CC1" s="70">
        <v>285964.18161547044</v>
      </c>
      <c r="CE1" s="70">
        <v>285964.18161547044</v>
      </c>
      <c r="CG1" s="70">
        <v>461578.97470967809</v>
      </c>
      <c r="CI1" s="69">
        <f>CI38+CI42+CI46+CI50+CI54+CI58+CI62+CI66+CI70+CI74</f>
        <v>439826.40932967805</v>
      </c>
      <c r="CK1" s="69">
        <f>CK38+CK42+CK46+CK50+CK54+CK58+CK62+CK66+CK70+CK74</f>
        <v>424836.22138967807</v>
      </c>
      <c r="CM1" s="69">
        <f>CM38+CM42+CM46+CM50+CM54+CM58+CM62+CM66+CM70+CM74</f>
        <v>415880.55466967798</v>
      </c>
      <c r="CO1" s="69"/>
      <c r="CQ1" s="69"/>
      <c r="CS1" s="69"/>
      <c r="CU1" s="69"/>
      <c r="CW1" s="69"/>
      <c r="CY1" s="69"/>
      <c r="DA1" s="69"/>
      <c r="DC1" s="69"/>
      <c r="DE1" s="69"/>
      <c r="DG1" s="69"/>
      <c r="DI1" s="69"/>
      <c r="DK1" s="69"/>
      <c r="DM1" s="69"/>
      <c r="DO1" s="69"/>
      <c r="DQ1" s="69"/>
      <c r="DS1" s="69"/>
      <c r="DU1" s="69"/>
      <c r="DW1" s="69"/>
      <c r="DY1" s="69"/>
      <c r="EA1" s="69"/>
      <c r="EC1" s="69"/>
      <c r="EE1" s="69"/>
      <c r="EG1" s="69"/>
      <c r="EI1" s="69"/>
      <c r="EK1" s="69"/>
      <c r="EM1" s="69"/>
      <c r="EO1" s="69"/>
      <c r="EQ1" s="69"/>
      <c r="ES1" s="69"/>
      <c r="EU1" s="69"/>
      <c r="EW1" s="69"/>
      <c r="EY1" s="69"/>
      <c r="FA1" s="69"/>
    </row>
    <row r="2" spans="1:157">
      <c r="B2" s="71" t="s">
        <v>132</v>
      </c>
      <c r="C2" s="50" t="s">
        <v>133</v>
      </c>
      <c r="CG2" s="69"/>
      <c r="CK2" s="72"/>
    </row>
    <row r="3" spans="1:157">
      <c r="B3" s="71" t="s">
        <v>134</v>
      </c>
      <c r="C3" s="50" t="s">
        <v>135</v>
      </c>
      <c r="AO3" s="69"/>
      <c r="BC3" s="73"/>
      <c r="CG3" s="73"/>
      <c r="CM3" s="73" t="s">
        <v>136</v>
      </c>
      <c r="CO3" t="s">
        <v>137</v>
      </c>
      <c r="DK3" s="74"/>
      <c r="DM3" s="50"/>
      <c r="DQ3" s="74"/>
      <c r="DS3" s="50"/>
      <c r="DW3" s="74"/>
      <c r="DY3" s="50"/>
      <c r="EC3" s="74"/>
      <c r="EE3" s="50"/>
      <c r="EI3" s="74"/>
      <c r="EK3" s="50"/>
      <c r="EO3" s="74"/>
      <c r="EQ3" s="50"/>
      <c r="EU3" s="74"/>
      <c r="EW3" s="50"/>
      <c r="FA3" s="74"/>
    </row>
    <row r="4" spans="1:157" s="76" customFormat="1">
      <c r="A4" s="75"/>
      <c r="G4" s="77">
        <v>44500</v>
      </c>
      <c r="H4" s="77"/>
      <c r="I4" s="77">
        <v>44530</v>
      </c>
      <c r="J4" s="77"/>
      <c r="K4" s="77">
        <v>44561</v>
      </c>
      <c r="L4" s="77"/>
      <c r="M4" s="77">
        <v>44592</v>
      </c>
      <c r="N4" s="77"/>
      <c r="O4" s="77">
        <v>44620</v>
      </c>
      <c r="P4" s="77"/>
      <c r="Q4" s="77">
        <v>44651</v>
      </c>
      <c r="R4" s="77"/>
      <c r="S4" s="77">
        <v>44681</v>
      </c>
      <c r="T4" s="77"/>
      <c r="U4" s="77">
        <v>44712</v>
      </c>
      <c r="V4" s="77"/>
      <c r="W4" s="77">
        <v>44742</v>
      </c>
      <c r="X4" s="77"/>
      <c r="Y4" s="77">
        <v>44773</v>
      </c>
      <c r="Z4" s="77"/>
      <c r="AA4" s="77">
        <v>44804</v>
      </c>
      <c r="AB4" s="77"/>
      <c r="AC4" s="77">
        <v>44834</v>
      </c>
      <c r="AD4" s="77"/>
      <c r="AE4" s="77">
        <v>44865</v>
      </c>
      <c r="AF4" s="77"/>
      <c r="AG4" s="77">
        <v>44895</v>
      </c>
      <c r="AH4" s="77"/>
      <c r="AI4" s="77">
        <v>44926</v>
      </c>
      <c r="AJ4" s="77"/>
      <c r="AK4" s="77">
        <v>44957</v>
      </c>
      <c r="AL4" s="77"/>
      <c r="AM4" s="77">
        <v>44985</v>
      </c>
      <c r="AN4" s="77"/>
      <c r="AO4" s="77">
        <v>45016</v>
      </c>
      <c r="AP4" s="77"/>
      <c r="AQ4" s="77">
        <v>45046</v>
      </c>
      <c r="AR4" s="77"/>
      <c r="AS4" s="77">
        <v>45077</v>
      </c>
      <c r="AT4" s="77"/>
      <c r="AU4" s="77">
        <v>45107</v>
      </c>
      <c r="AV4" s="77"/>
      <c r="AW4" s="77">
        <v>45138</v>
      </c>
      <c r="AX4" s="77"/>
      <c r="AY4" s="77">
        <v>45169</v>
      </c>
      <c r="AZ4" s="77"/>
      <c r="BA4" s="77">
        <v>45199</v>
      </c>
      <c r="BB4" s="77"/>
      <c r="BC4" s="77">
        <v>45230</v>
      </c>
      <c r="BD4" s="77"/>
      <c r="BE4" s="77">
        <v>45260</v>
      </c>
      <c r="BF4" s="77"/>
      <c r="BG4" s="77">
        <v>45291</v>
      </c>
      <c r="BH4" s="77"/>
      <c r="BI4" s="77">
        <v>45322</v>
      </c>
      <c r="BJ4" s="77"/>
      <c r="BK4" s="77">
        <v>45342</v>
      </c>
      <c r="BL4" s="77"/>
      <c r="BM4" s="77">
        <v>45382</v>
      </c>
      <c r="BN4" s="77"/>
      <c r="BO4" s="77">
        <v>45412</v>
      </c>
      <c r="BP4" s="77"/>
      <c r="BQ4" s="77">
        <v>45443</v>
      </c>
      <c r="BR4" s="77"/>
      <c r="BS4" s="77">
        <v>45473</v>
      </c>
      <c r="BT4" s="77"/>
      <c r="BU4" s="77">
        <v>45504</v>
      </c>
      <c r="BV4" s="77"/>
      <c r="BW4" s="77">
        <v>45535</v>
      </c>
      <c r="BX4" s="77"/>
      <c r="BY4" s="77">
        <v>45565</v>
      </c>
      <c r="BZ4" s="77"/>
      <c r="CA4" s="77">
        <v>45596</v>
      </c>
      <c r="CB4" s="77"/>
      <c r="CC4" s="77">
        <v>45626</v>
      </c>
      <c r="CD4" s="77"/>
      <c r="CE4" s="77">
        <v>45657</v>
      </c>
      <c r="CF4" s="77"/>
      <c r="CG4" s="77">
        <v>45688</v>
      </c>
      <c r="CH4" s="77"/>
      <c r="CI4" s="77">
        <v>45716</v>
      </c>
      <c r="CJ4" s="77"/>
      <c r="CK4" s="77">
        <v>45747</v>
      </c>
      <c r="CL4" s="77"/>
      <c r="CM4" s="77">
        <v>45777</v>
      </c>
      <c r="CN4" s="77"/>
      <c r="CO4" s="77">
        <v>45808</v>
      </c>
      <c r="CP4" s="77"/>
      <c r="CQ4" s="77">
        <v>45838</v>
      </c>
      <c r="CR4" s="77"/>
      <c r="CS4" s="77">
        <v>45869</v>
      </c>
      <c r="CT4" s="77"/>
      <c r="CU4" s="77">
        <v>45900</v>
      </c>
      <c r="CV4" s="77"/>
      <c r="CW4" s="77">
        <v>45930</v>
      </c>
      <c r="CX4" s="77"/>
      <c r="CY4" s="77">
        <v>45961</v>
      </c>
      <c r="CZ4" s="77"/>
      <c r="DA4" s="77">
        <v>45991</v>
      </c>
      <c r="DB4" s="77"/>
      <c r="DC4" s="77">
        <v>46022</v>
      </c>
      <c r="DD4" s="77"/>
      <c r="DE4" s="77">
        <v>46053</v>
      </c>
      <c r="DF4" s="77"/>
      <c r="DG4" s="77">
        <v>46081</v>
      </c>
      <c r="DH4" s="77"/>
      <c r="DI4" s="77">
        <v>46112</v>
      </c>
      <c r="DJ4" s="77"/>
      <c r="DK4" s="77">
        <v>46142</v>
      </c>
      <c r="DL4" s="77"/>
      <c r="DM4" s="77">
        <v>46173</v>
      </c>
      <c r="DN4" s="77"/>
      <c r="DO4" s="77">
        <v>46203</v>
      </c>
      <c r="DP4" s="77"/>
      <c r="DQ4" s="77">
        <v>46234</v>
      </c>
      <c r="DR4" s="77"/>
      <c r="DS4" s="77">
        <v>46265</v>
      </c>
      <c r="DT4" s="77"/>
      <c r="DU4" s="77">
        <v>46295</v>
      </c>
      <c r="DV4" s="77"/>
      <c r="DW4" s="77">
        <v>46326</v>
      </c>
      <c r="DX4" s="77"/>
      <c r="DY4" s="77">
        <v>46356</v>
      </c>
      <c r="DZ4" s="77"/>
      <c r="EA4" s="77">
        <v>46387</v>
      </c>
      <c r="EB4" s="77"/>
      <c r="EC4" s="77">
        <v>46418</v>
      </c>
      <c r="ED4" s="77"/>
      <c r="EE4" s="77">
        <v>46446</v>
      </c>
      <c r="EF4" s="77"/>
      <c r="EG4" s="77">
        <v>46477</v>
      </c>
      <c r="EH4" s="77"/>
      <c r="EI4" s="77">
        <v>46507</v>
      </c>
      <c r="EJ4" s="77"/>
      <c r="EK4" s="77">
        <v>46538</v>
      </c>
      <c r="EL4" s="77"/>
      <c r="EM4" s="77">
        <v>46568</v>
      </c>
      <c r="EN4" s="77"/>
      <c r="EO4" s="77">
        <v>46599</v>
      </c>
      <c r="EP4" s="77"/>
      <c r="EQ4" s="77">
        <v>46630</v>
      </c>
      <c r="ER4" s="77"/>
      <c r="ES4" s="77">
        <v>46660</v>
      </c>
      <c r="ET4" s="77"/>
      <c r="EU4" s="77">
        <v>46691</v>
      </c>
      <c r="EV4" s="77"/>
      <c r="EW4" s="77">
        <v>46721</v>
      </c>
      <c r="EX4" s="77"/>
      <c r="EY4" s="77">
        <v>46752</v>
      </c>
      <c r="EZ4" s="77"/>
      <c r="FA4" s="77">
        <v>46783</v>
      </c>
    </row>
    <row r="5" spans="1:157">
      <c r="A5" s="50" t="s">
        <v>138</v>
      </c>
      <c r="G5" s="78"/>
      <c r="I5" s="78"/>
      <c r="K5" s="78"/>
      <c r="M5" s="78"/>
      <c r="O5" s="79">
        <v>11254</v>
      </c>
      <c r="Q5" s="79">
        <v>9196</v>
      </c>
      <c r="S5" s="79">
        <v>5769</v>
      </c>
      <c r="U5" s="79">
        <v>2820.4</v>
      </c>
      <c r="W5" s="79">
        <v>2251.1999999999998</v>
      </c>
      <c r="Y5" s="79">
        <v>2856.1000000000004</v>
      </c>
      <c r="AA5" s="79">
        <v>1623.3999999999999</v>
      </c>
      <c r="AC5" s="79">
        <v>2114.6999999999998</v>
      </c>
      <c r="AE5" s="79">
        <v>4950.7</v>
      </c>
      <c r="AG5" s="79">
        <v>7174.2999999999993</v>
      </c>
      <c r="AI5" s="79">
        <v>11923.9</v>
      </c>
      <c r="AK5" s="79">
        <v>10363.900000000001</v>
      </c>
      <c r="AM5" s="79">
        <v>7501.9000000000005</v>
      </c>
      <c r="AO5" s="79">
        <v>8593.1</v>
      </c>
      <c r="AQ5" s="79">
        <v>6726.2</v>
      </c>
      <c r="AS5" s="79">
        <v>2512.1999999999998</v>
      </c>
      <c r="AU5" s="79">
        <v>2245.6</v>
      </c>
      <c r="AW5" s="79">
        <v>1939.5</v>
      </c>
      <c r="AY5" s="79">
        <v>1617</v>
      </c>
      <c r="BA5" s="79">
        <v>1836</v>
      </c>
      <c r="BC5" s="79">
        <v>4194.8999999999996</v>
      </c>
      <c r="BE5" s="79">
        <v>7103.6</v>
      </c>
      <c r="BG5" s="79">
        <v>10864.900000000001</v>
      </c>
      <c r="BI5" s="79">
        <v>11612.7</v>
      </c>
      <c r="BK5" s="79">
        <v>10050.4</v>
      </c>
      <c r="BM5" s="79">
        <v>6769.3</v>
      </c>
      <c r="BO5" s="79">
        <v>4863.4000000000005</v>
      </c>
      <c r="BQ5" s="79">
        <f>Sales!N58</f>
        <v>2874.4</v>
      </c>
      <c r="BS5" s="79">
        <f>Sales!P58</f>
        <v>2100</v>
      </c>
      <c r="BU5" s="79">
        <f>Sales!R58</f>
        <v>3239</v>
      </c>
      <c r="BW5" s="79">
        <f>Sales!T58</f>
        <v>5502.73</v>
      </c>
      <c r="BY5" s="79">
        <f>Sales!V58</f>
        <v>3622.2</v>
      </c>
      <c r="CA5" s="79">
        <f>Sales!X58</f>
        <v>4040</v>
      </c>
      <c r="CC5" s="79">
        <f>Sales!Z58</f>
        <v>6516</v>
      </c>
      <c r="CE5" s="79">
        <f>Sales!AB58</f>
        <v>10533.8</v>
      </c>
      <c r="CG5" s="79">
        <f>Sales!F59</f>
        <v>16613.900000000001</v>
      </c>
      <c r="CI5" s="79">
        <f>Sales!H59</f>
        <v>10965.1</v>
      </c>
      <c r="CK5" s="79">
        <f>Sales!J59</f>
        <v>7556.3</v>
      </c>
      <c r="CM5" s="79">
        <f>Sales!L59</f>
        <v>4514.4000000000005</v>
      </c>
      <c r="CO5" s="79">
        <f>Sales!N48</f>
        <v>5229.3400000000011</v>
      </c>
      <c r="CQ5" s="79">
        <f>Sales!P48</f>
        <v>4058.8800000000006</v>
      </c>
      <c r="CS5" s="79">
        <f>Sales!R48</f>
        <v>3692.2400000000002</v>
      </c>
      <c r="CU5" s="79">
        <f>Sales!T48</f>
        <v>3403.0460000000003</v>
      </c>
      <c r="CW5" s="79">
        <f>Sales!V48</f>
        <v>3420</v>
      </c>
      <c r="CY5" s="79">
        <f>Sales!X48</f>
        <v>5354.119999999999</v>
      </c>
      <c r="DA5" s="79">
        <f>Sales!Z48</f>
        <v>8302.7999999999993</v>
      </c>
      <c r="DC5" s="79">
        <f>Sales!AB48</f>
        <v>11937.039999999997</v>
      </c>
      <c r="DE5" s="79">
        <f>Sales!F48</f>
        <v>13620.48</v>
      </c>
      <c r="DG5" s="79">
        <f>Sales!H48</f>
        <v>12217.419999999998</v>
      </c>
      <c r="DI5" s="79">
        <f>Sales!J48</f>
        <v>9562.2200000000012</v>
      </c>
      <c r="DK5" s="79">
        <f>Sales!L48</f>
        <v>6855.6200000000008</v>
      </c>
      <c r="DM5" s="79">
        <v>5229.3400000000011</v>
      </c>
      <c r="DO5" s="79">
        <v>4058.8800000000006</v>
      </c>
      <c r="DQ5" s="79">
        <v>3692.2400000000002</v>
      </c>
      <c r="DS5" s="79">
        <v>3403.0460000000003</v>
      </c>
      <c r="DU5" s="79">
        <v>3420</v>
      </c>
      <c r="DW5" s="79">
        <v>5354.119999999999</v>
      </c>
      <c r="DY5" s="79">
        <v>8302.7999999999993</v>
      </c>
      <c r="EA5" s="79">
        <v>11937.039999999997</v>
      </c>
      <c r="EC5" s="79">
        <v>13620.48</v>
      </c>
      <c r="EE5" s="79">
        <v>12217.419999999998</v>
      </c>
      <c r="EG5" s="79">
        <v>9562.2200000000012</v>
      </c>
      <c r="EI5" s="79">
        <v>6855.6200000000008</v>
      </c>
      <c r="EK5" s="79">
        <v>5229.3400000000011</v>
      </c>
      <c r="EM5" s="79">
        <v>4058.8800000000006</v>
      </c>
      <c r="EO5" s="79">
        <v>3692.2400000000002</v>
      </c>
      <c r="EQ5" s="79">
        <v>3403.0460000000003</v>
      </c>
      <c r="ES5" s="79">
        <v>3420</v>
      </c>
      <c r="EU5" s="79">
        <v>5354.119999999999</v>
      </c>
      <c r="EW5" s="79">
        <v>8302.7999999999993</v>
      </c>
      <c r="EY5" s="79">
        <v>11937.039999999997</v>
      </c>
      <c r="FA5" s="79">
        <v>13620.48</v>
      </c>
    </row>
    <row r="6" spans="1:157">
      <c r="A6" s="50"/>
      <c r="S6" s="80"/>
      <c r="Y6" s="80"/>
      <c r="AE6" s="80"/>
      <c r="AK6" s="80"/>
      <c r="AQ6" s="80"/>
      <c r="AX6" s="81"/>
      <c r="BC6" s="80"/>
      <c r="BI6" s="80"/>
      <c r="BO6" s="80"/>
      <c r="BU6" s="80"/>
      <c r="CA6" s="80"/>
      <c r="CG6" s="80"/>
      <c r="CM6" s="80"/>
      <c r="CS6" s="80"/>
      <c r="CT6" s="81"/>
      <c r="CY6" s="80"/>
      <c r="DE6" s="80"/>
      <c r="DK6" s="80"/>
      <c r="DQ6" s="80"/>
      <c r="DW6" s="80"/>
      <c r="EC6" s="80"/>
      <c r="EI6" s="80"/>
      <c r="EO6" s="80"/>
      <c r="EU6" s="80"/>
      <c r="FA6" s="80"/>
    </row>
    <row r="7" spans="1:157">
      <c r="B7" s="50" t="s">
        <v>139</v>
      </c>
      <c r="S7" s="80"/>
      <c r="Y7" s="80"/>
      <c r="AE7" s="80"/>
      <c r="AK7" s="80"/>
      <c r="AQ7" s="80"/>
      <c r="AX7" s="81"/>
      <c r="BC7" s="80"/>
      <c r="BI7" s="80"/>
      <c r="BO7" s="80"/>
      <c r="BU7" s="80"/>
      <c r="CA7" s="80"/>
      <c r="CG7" s="80"/>
      <c r="CN7" s="81"/>
      <c r="CS7" s="80"/>
      <c r="CT7" s="81"/>
      <c r="CY7" s="80"/>
      <c r="DE7" s="80"/>
      <c r="DK7" s="80"/>
      <c r="DQ7" s="80"/>
      <c r="DW7" s="80"/>
      <c r="EC7" s="80"/>
      <c r="EI7" s="80"/>
      <c r="EO7" s="80"/>
      <c r="EU7" s="80"/>
      <c r="FA7" s="80"/>
    </row>
    <row r="8" spans="1:157">
      <c r="C8" s="50" t="s">
        <v>140</v>
      </c>
      <c r="G8" s="82"/>
      <c r="I8" s="82"/>
      <c r="K8" s="82"/>
      <c r="M8" s="82"/>
      <c r="O8" s="82"/>
      <c r="Q8" s="82"/>
      <c r="S8" s="82"/>
      <c r="T8" s="81"/>
      <c r="U8" s="82"/>
      <c r="W8" s="82"/>
      <c r="Y8" s="82"/>
      <c r="Z8" s="81"/>
      <c r="AA8" s="82"/>
      <c r="AC8" s="82"/>
      <c r="AE8" s="82"/>
      <c r="AF8" s="81"/>
      <c r="AG8" s="82"/>
      <c r="AI8" s="82"/>
      <c r="AK8" s="82"/>
      <c r="AL8" s="81"/>
      <c r="AM8" s="82"/>
      <c r="AO8" s="82"/>
      <c r="AQ8" s="82"/>
      <c r="AR8" s="81"/>
      <c r="AS8" s="82"/>
      <c r="AU8" s="82"/>
      <c r="AW8" s="82"/>
      <c r="AX8" s="81"/>
      <c r="AY8" s="82"/>
      <c r="BA8" s="82"/>
      <c r="BC8" s="82"/>
      <c r="BD8" s="81"/>
      <c r="BE8" s="82"/>
      <c r="BG8" s="82"/>
      <c r="BI8" s="82"/>
      <c r="BJ8" s="81"/>
      <c r="BK8" s="82">
        <v>7.8100000000000003E-2</v>
      </c>
      <c r="BM8" s="82">
        <v>7.8100000000000003E-2</v>
      </c>
      <c r="BO8" s="82">
        <v>7.8100000000000003E-2</v>
      </c>
      <c r="BP8" s="81"/>
      <c r="BQ8" s="82">
        <v>0.28189999999999998</v>
      </c>
      <c r="BS8" s="82">
        <v>0.28189999999999998</v>
      </c>
      <c r="BU8" s="82">
        <v>0.28189999999999998</v>
      </c>
      <c r="BV8" s="81"/>
      <c r="BW8" s="82">
        <v>0.1434</v>
      </c>
      <c r="BY8" s="82">
        <v>0.1434</v>
      </c>
      <c r="CA8" s="82">
        <v>0.1434</v>
      </c>
      <c r="CB8" s="81"/>
      <c r="CC8" s="82">
        <v>0</v>
      </c>
      <c r="CE8" s="82">
        <v>0</v>
      </c>
      <c r="CG8" s="82">
        <v>0</v>
      </c>
      <c r="CH8" s="81"/>
      <c r="CI8" s="82"/>
      <c r="CK8" s="82"/>
      <c r="CM8" s="82"/>
      <c r="CN8" s="81"/>
      <c r="CO8" s="82"/>
      <c r="CQ8" s="82"/>
      <c r="CS8" s="83"/>
      <c r="CT8" s="81"/>
      <c r="CU8" s="82"/>
      <c r="CV8" s="82"/>
      <c r="CW8" s="82"/>
      <c r="CY8" s="83"/>
      <c r="DA8" s="82"/>
      <c r="DC8" s="82"/>
      <c r="DE8" s="83"/>
      <c r="DG8" s="82"/>
      <c r="DI8" s="82"/>
      <c r="DK8" s="82"/>
      <c r="DL8" s="81"/>
      <c r="DM8" s="82"/>
      <c r="DO8" s="82"/>
      <c r="DQ8" s="83"/>
      <c r="DS8" s="82"/>
      <c r="DU8" s="82"/>
      <c r="DW8" s="83"/>
      <c r="DY8" s="82"/>
      <c r="EA8" s="82"/>
      <c r="EC8" s="83"/>
      <c r="EE8" s="82"/>
      <c r="EG8" s="82"/>
      <c r="EI8" s="83"/>
      <c r="EK8" s="82"/>
      <c r="EM8" s="82"/>
      <c r="EO8" s="83"/>
      <c r="EQ8" s="82"/>
      <c r="ES8" s="82"/>
      <c r="EU8" s="83"/>
      <c r="EW8" s="82"/>
      <c r="EY8" s="82"/>
      <c r="FA8" s="83"/>
    </row>
    <row r="9" spans="1:157">
      <c r="C9" s="50" t="s">
        <v>141</v>
      </c>
      <c r="G9" s="82"/>
      <c r="I9" s="82"/>
      <c r="K9" s="82"/>
      <c r="M9" s="82"/>
      <c r="O9" s="82"/>
      <c r="Q9" s="82"/>
      <c r="S9" s="82"/>
      <c r="T9" s="81"/>
      <c r="U9" s="82"/>
      <c r="W9" s="82"/>
      <c r="Y9" s="82"/>
      <c r="Z9" s="81"/>
      <c r="AA9" s="82"/>
      <c r="AC9" s="82"/>
      <c r="AE9" s="82"/>
      <c r="AF9" s="81"/>
      <c r="AG9" s="82"/>
      <c r="AI9" s="82"/>
      <c r="AK9" s="82"/>
      <c r="AL9" s="81"/>
      <c r="AM9" s="82"/>
      <c r="AO9" s="82"/>
      <c r="AQ9" s="82"/>
      <c r="AR9" s="81"/>
      <c r="AS9" s="82"/>
      <c r="AU9" s="82"/>
      <c r="AW9" s="82"/>
      <c r="AX9" s="81"/>
      <c r="AY9" s="82"/>
      <c r="BA9" s="82"/>
      <c r="BC9" s="82"/>
      <c r="BD9" s="81"/>
      <c r="BE9" s="82">
        <v>7.8100000000000003E-2</v>
      </c>
      <c r="BG9" s="82">
        <v>7.8100000000000003E-2</v>
      </c>
      <c r="BI9" s="82">
        <v>7.8100000000000003E-2</v>
      </c>
      <c r="BJ9" s="81"/>
      <c r="BK9" s="82">
        <v>0.28189999999999998</v>
      </c>
      <c r="BM9" s="82">
        <v>0.28189999999999998</v>
      </c>
      <c r="BO9" s="82">
        <v>0.28189999999999998</v>
      </c>
      <c r="BP9" s="81"/>
      <c r="BQ9" s="82">
        <v>0.1434</v>
      </c>
      <c r="BS9" s="82">
        <v>0.1434</v>
      </c>
      <c r="BU9" s="82">
        <v>0.1434</v>
      </c>
      <c r="BV9" s="81"/>
      <c r="BW9" s="82">
        <v>0</v>
      </c>
      <c r="BY9" s="82">
        <v>0</v>
      </c>
      <c r="CA9" s="82">
        <v>0</v>
      </c>
      <c r="CB9" s="81"/>
      <c r="CC9" s="82">
        <v>0</v>
      </c>
      <c r="CE9" s="82">
        <v>0</v>
      </c>
      <c r="CG9" s="82">
        <v>0</v>
      </c>
      <c r="CH9" s="81"/>
      <c r="CI9" s="82"/>
      <c r="CK9" s="82"/>
      <c r="CM9" s="82"/>
      <c r="CN9" s="81"/>
      <c r="CO9" s="82"/>
      <c r="CQ9" s="82"/>
      <c r="CS9" s="83"/>
      <c r="CT9" s="81"/>
      <c r="CU9" s="82">
        <f>CU49</f>
        <v>0.61560000000000004</v>
      </c>
      <c r="CV9" s="82"/>
      <c r="CW9" s="82"/>
      <c r="CY9" s="83"/>
      <c r="DA9" s="82"/>
      <c r="DC9" s="82"/>
      <c r="DE9" s="83"/>
      <c r="DG9" s="82"/>
      <c r="DI9" s="82"/>
      <c r="DK9" s="82"/>
      <c r="DL9" s="81"/>
      <c r="DM9" s="82"/>
      <c r="DO9" s="82"/>
      <c r="DQ9" s="83"/>
      <c r="DS9" s="82"/>
      <c r="DU9" s="82"/>
      <c r="DW9" s="83"/>
      <c r="DY9" s="82"/>
      <c r="EA9" s="82"/>
      <c r="EC9" s="83"/>
      <c r="EE9" s="82"/>
      <c r="EG9" s="82"/>
      <c r="EI9" s="83"/>
      <c r="EK9" s="82"/>
      <c r="EM9" s="82"/>
      <c r="EO9" s="83"/>
      <c r="EQ9" s="82"/>
      <c r="ES9" s="82"/>
      <c r="EU9" s="83"/>
      <c r="EW9" s="82"/>
      <c r="EY9" s="82"/>
      <c r="FA9" s="83"/>
    </row>
    <row r="10" spans="1:157">
      <c r="C10" s="50" t="s">
        <v>142</v>
      </c>
      <c r="G10" s="82"/>
      <c r="I10" s="82"/>
      <c r="K10" s="82"/>
      <c r="M10" s="82"/>
      <c r="O10" s="82"/>
      <c r="Q10" s="82"/>
      <c r="S10" s="82"/>
      <c r="T10" s="81"/>
      <c r="U10" s="82"/>
      <c r="W10" s="82"/>
      <c r="Y10" s="82"/>
      <c r="Z10" s="81"/>
      <c r="AA10" s="82"/>
      <c r="AC10" s="82"/>
      <c r="AE10" s="82"/>
      <c r="AF10" s="81"/>
      <c r="AG10" s="82"/>
      <c r="AI10" s="82"/>
      <c r="AK10" s="82"/>
      <c r="AL10" s="81"/>
      <c r="AM10" s="82"/>
      <c r="AO10" s="82"/>
      <c r="AQ10" s="82"/>
      <c r="AR10" s="81"/>
      <c r="AS10" s="82"/>
      <c r="AU10" s="82"/>
      <c r="AW10" s="82"/>
      <c r="AX10" s="81"/>
      <c r="AY10" s="82">
        <v>7.8100000000000003E-2</v>
      </c>
      <c r="BA10" s="82">
        <v>7.8100000000000003E-2</v>
      </c>
      <c r="BC10" s="82">
        <v>7.8100000000000003E-2</v>
      </c>
      <c r="BD10" s="81"/>
      <c r="BE10" s="82">
        <v>0.28189999999999998</v>
      </c>
      <c r="BG10" s="82">
        <v>0.28189999999999998</v>
      </c>
      <c r="BI10" s="82">
        <v>0.28189999999999998</v>
      </c>
      <c r="BJ10" s="81"/>
      <c r="BK10" s="82">
        <v>0.1434</v>
      </c>
      <c r="BM10" s="82">
        <v>0.1434</v>
      </c>
      <c r="BO10" s="82">
        <v>0.1434</v>
      </c>
      <c r="BP10" s="81"/>
      <c r="BQ10" s="82">
        <v>0</v>
      </c>
      <c r="BS10" s="82">
        <v>0</v>
      </c>
      <c r="BU10" s="82">
        <v>0</v>
      </c>
      <c r="BV10" s="81"/>
      <c r="BW10" s="82">
        <v>0</v>
      </c>
      <c r="BY10" s="82">
        <v>0</v>
      </c>
      <c r="CA10" s="82">
        <v>0</v>
      </c>
      <c r="CB10" s="81"/>
      <c r="CC10" s="82">
        <v>0</v>
      </c>
      <c r="CE10" s="82">
        <v>0</v>
      </c>
      <c r="CG10" s="82">
        <v>0</v>
      </c>
      <c r="CH10" s="81"/>
      <c r="CI10" s="82"/>
      <c r="CK10" s="82"/>
      <c r="CM10" s="82"/>
      <c r="CN10" s="81"/>
      <c r="CO10" s="82">
        <f>CO49</f>
        <v>0.61560000000000004</v>
      </c>
      <c r="CQ10" s="82">
        <f>CQ49</f>
        <v>0.61560000000000004</v>
      </c>
      <c r="CS10" s="82">
        <f>CS49</f>
        <v>0.61560000000000004</v>
      </c>
      <c r="CT10" s="81"/>
      <c r="CU10" s="82">
        <f>CU53</f>
        <v>0.2908</v>
      </c>
      <c r="CV10" s="82"/>
      <c r="CW10" s="82"/>
      <c r="CY10" s="83"/>
      <c r="DA10" s="82"/>
      <c r="DC10" s="82"/>
      <c r="DE10" s="83"/>
      <c r="DG10" s="82"/>
      <c r="DI10" s="82"/>
      <c r="DK10" s="82"/>
      <c r="DL10" s="81"/>
      <c r="DM10" s="82"/>
      <c r="DO10" s="82"/>
      <c r="DQ10" s="83"/>
      <c r="DS10" s="82"/>
      <c r="DU10" s="82"/>
      <c r="DW10" s="83"/>
      <c r="DY10" s="82"/>
      <c r="EA10" s="82"/>
      <c r="EC10" s="83"/>
      <c r="EE10" s="82"/>
      <c r="EG10" s="82"/>
      <c r="EI10" s="83"/>
      <c r="EK10" s="82"/>
      <c r="EM10" s="82"/>
      <c r="EO10" s="83"/>
      <c r="EQ10" s="82"/>
      <c r="ES10" s="82"/>
      <c r="EU10" s="83"/>
      <c r="EW10" s="82"/>
      <c r="EY10" s="82"/>
      <c r="FA10" s="83"/>
    </row>
    <row r="11" spans="1:157">
      <c r="C11" s="50" t="s">
        <v>143</v>
      </c>
      <c r="G11" s="82"/>
      <c r="I11" s="82"/>
      <c r="K11" s="82"/>
      <c r="M11" s="82"/>
      <c r="O11" s="82"/>
      <c r="Q11" s="82"/>
      <c r="S11" s="82"/>
      <c r="T11" s="81"/>
      <c r="U11" s="82"/>
      <c r="W11" s="82"/>
      <c r="Y11" s="82"/>
      <c r="Z11" s="81"/>
      <c r="AA11" s="82"/>
      <c r="AC11" s="82"/>
      <c r="AE11" s="82"/>
      <c r="AF11" s="81"/>
      <c r="AG11" s="82"/>
      <c r="AI11" s="82"/>
      <c r="AK11" s="82"/>
      <c r="AL11" s="81"/>
      <c r="AM11" s="82"/>
      <c r="AO11" s="82"/>
      <c r="AQ11" s="82"/>
      <c r="AR11" s="81"/>
      <c r="AS11" s="82">
        <v>7.8100000000000003E-2</v>
      </c>
      <c r="AU11" s="82">
        <v>7.8100000000000003E-2</v>
      </c>
      <c r="AW11" s="82">
        <v>7.8100000000000003E-2</v>
      </c>
      <c r="AX11" s="81"/>
      <c r="AY11" s="82">
        <v>0.28189999999999998</v>
      </c>
      <c r="BA11" s="82">
        <v>0.28189999999999998</v>
      </c>
      <c r="BC11" s="82">
        <v>0.28189999999999998</v>
      </c>
      <c r="BD11" s="81"/>
      <c r="BE11" s="82">
        <v>0.1434</v>
      </c>
      <c r="BG11" s="82">
        <v>0.1434</v>
      </c>
      <c r="BI11" s="82">
        <v>0.1434</v>
      </c>
      <c r="BJ11" s="81"/>
      <c r="BK11" s="82">
        <v>0</v>
      </c>
      <c r="BM11" s="82">
        <v>0</v>
      </c>
      <c r="BO11" s="82">
        <v>0</v>
      </c>
      <c r="BP11" s="81"/>
      <c r="BQ11" s="82">
        <v>0</v>
      </c>
      <c r="BS11" s="82">
        <v>0</v>
      </c>
      <c r="BU11" s="82">
        <v>0</v>
      </c>
      <c r="BV11" s="81"/>
      <c r="BW11" s="82">
        <v>0</v>
      </c>
      <c r="BY11" s="82">
        <v>0</v>
      </c>
      <c r="CA11" s="82">
        <v>0</v>
      </c>
      <c r="CB11" s="81"/>
      <c r="CC11" s="82">
        <v>0</v>
      </c>
      <c r="CE11" s="82">
        <v>0</v>
      </c>
      <c r="CG11" s="82">
        <v>0</v>
      </c>
      <c r="CH11" s="81"/>
      <c r="CI11" s="82">
        <f>CI49</f>
        <v>0.61560000000000004</v>
      </c>
      <c r="CK11" s="82">
        <f>CK49</f>
        <v>0.61560000000000004</v>
      </c>
      <c r="CM11" s="82">
        <f>CM49</f>
        <v>0.61560000000000004</v>
      </c>
      <c r="CN11" s="81"/>
      <c r="CO11" s="82">
        <f>CO53</f>
        <v>0.2908</v>
      </c>
      <c r="CQ11" s="82">
        <f>CQ53</f>
        <v>0.2908</v>
      </c>
      <c r="CS11" s="82">
        <f>CS53</f>
        <v>0.2908</v>
      </c>
      <c r="CT11" s="81"/>
      <c r="CU11" s="82">
        <f>CU57</f>
        <v>9.6100000000000005E-2</v>
      </c>
      <c r="CW11" s="82"/>
      <c r="CY11" s="83"/>
      <c r="DA11" s="82"/>
      <c r="DC11" s="82"/>
      <c r="DE11" s="83"/>
      <c r="DG11" s="82"/>
      <c r="DI11" s="82"/>
      <c r="DK11" s="82"/>
      <c r="DL11" s="81"/>
      <c r="DM11" s="82"/>
      <c r="DO11" s="82"/>
      <c r="DQ11" s="83"/>
      <c r="DS11" s="82"/>
      <c r="DU11" s="82"/>
      <c r="DW11" s="83"/>
      <c r="DY11" s="82"/>
      <c r="EA11" s="82"/>
      <c r="EC11" s="83"/>
      <c r="EE11" s="82"/>
      <c r="EG11" s="82"/>
      <c r="EI11" s="83"/>
      <c r="EK11" s="82"/>
      <c r="EM11" s="82"/>
      <c r="EO11" s="83"/>
      <c r="EQ11" s="82"/>
      <c r="ES11" s="82"/>
      <c r="EU11" s="83"/>
      <c r="EW11" s="82"/>
      <c r="EY11" s="82"/>
      <c r="FA11" s="83"/>
    </row>
    <row r="12" spans="1:157">
      <c r="G12" s="82"/>
      <c r="I12" s="82"/>
      <c r="K12" s="82"/>
      <c r="M12" s="82"/>
      <c r="O12" s="84"/>
      <c r="Q12" s="84"/>
      <c r="S12" s="84"/>
      <c r="T12" s="81"/>
      <c r="U12" s="84"/>
      <c r="W12" s="84"/>
      <c r="Y12" s="84"/>
      <c r="Z12" s="81"/>
      <c r="AA12" s="84"/>
      <c r="AC12" s="84"/>
      <c r="AE12" s="84"/>
      <c r="AF12" s="81"/>
      <c r="AG12" s="84"/>
      <c r="AI12" s="84"/>
      <c r="AK12" s="84"/>
      <c r="AL12" s="81"/>
      <c r="AM12" s="84"/>
      <c r="AO12" s="84"/>
      <c r="AQ12" s="84"/>
      <c r="AR12" s="81"/>
      <c r="AS12" s="84">
        <v>7.8100000000000003E-2</v>
      </c>
      <c r="AU12" s="84">
        <v>7.8100000000000003E-2</v>
      </c>
      <c r="AW12" s="84">
        <v>7.8100000000000003E-2</v>
      </c>
      <c r="AX12" s="81"/>
      <c r="AY12" s="84">
        <v>0.36</v>
      </c>
      <c r="BA12" s="84">
        <v>0.36</v>
      </c>
      <c r="BC12" s="84">
        <v>0.36</v>
      </c>
      <c r="BD12" s="81"/>
      <c r="BE12" s="84">
        <v>0.50339999999999996</v>
      </c>
      <c r="BG12" s="84">
        <v>0.50339999999999996</v>
      </c>
      <c r="BI12" s="84">
        <v>0.50339999999999996</v>
      </c>
      <c r="BJ12" s="81"/>
      <c r="BK12" s="84">
        <v>0.50339999999999996</v>
      </c>
      <c r="BM12" s="84">
        <v>0.50339999999999996</v>
      </c>
      <c r="BO12" s="84">
        <v>0.50339999999999996</v>
      </c>
      <c r="BP12" s="81"/>
      <c r="BQ12" s="84">
        <v>0.42530000000000001</v>
      </c>
      <c r="BS12" s="84">
        <v>0.42530000000000001</v>
      </c>
      <c r="BU12" s="84">
        <v>0.42530000000000001</v>
      </c>
      <c r="BV12" s="81"/>
      <c r="BW12" s="84">
        <v>0.1434</v>
      </c>
      <c r="BY12" s="84">
        <v>0.1434</v>
      </c>
      <c r="CA12" s="84">
        <v>0.1434</v>
      </c>
      <c r="CB12" s="81"/>
      <c r="CC12" s="84">
        <v>0</v>
      </c>
      <c r="CE12" s="84">
        <v>0</v>
      </c>
      <c r="CG12" s="84">
        <v>0</v>
      </c>
      <c r="CH12" s="81"/>
      <c r="CI12" s="82"/>
      <c r="CK12" s="82"/>
      <c r="CM12" s="83"/>
      <c r="CO12" s="82"/>
      <c r="CQ12" s="82"/>
      <c r="CS12" s="82"/>
      <c r="CT12" s="81"/>
      <c r="CW12" s="84"/>
      <c r="CY12" s="85"/>
      <c r="DA12" s="84"/>
      <c r="DC12" s="84"/>
      <c r="DE12" s="85"/>
      <c r="DG12" s="84"/>
      <c r="DI12" s="84"/>
      <c r="DK12" s="84"/>
      <c r="DL12" s="81"/>
      <c r="DM12" s="84"/>
      <c r="DO12" s="84"/>
      <c r="DQ12" s="85"/>
      <c r="DS12" s="84"/>
      <c r="DU12" s="84"/>
      <c r="DW12" s="85"/>
      <c r="DY12" s="84"/>
      <c r="EA12" s="84"/>
      <c r="EC12" s="85"/>
      <c r="EE12" s="84"/>
      <c r="EG12" s="84"/>
      <c r="EI12" s="85"/>
      <c r="EK12" s="84"/>
      <c r="EM12" s="84"/>
      <c r="EO12" s="85"/>
      <c r="EQ12" s="84"/>
      <c r="ES12" s="84"/>
      <c r="EU12" s="85"/>
      <c r="EW12" s="84"/>
      <c r="EY12" s="84"/>
      <c r="FA12" s="85"/>
    </row>
    <row r="13" spans="1:157">
      <c r="T13" s="81"/>
      <c r="Z13" s="81"/>
      <c r="AF13" s="81"/>
      <c r="AL13" s="81"/>
      <c r="AR13" s="81"/>
      <c r="AX13" s="81"/>
      <c r="BD13" s="81"/>
      <c r="BJ13" s="81"/>
      <c r="BP13" s="81"/>
      <c r="BV13" s="81"/>
      <c r="CB13" s="81"/>
      <c r="CH13" s="81"/>
      <c r="CN13" s="81"/>
      <c r="CT13" s="81"/>
      <c r="CU13" s="82"/>
      <c r="CY13" s="80"/>
      <c r="DE13" s="80"/>
      <c r="DL13" s="81"/>
      <c r="DQ13" s="80"/>
      <c r="DW13" s="80"/>
      <c r="EC13" s="80"/>
      <c r="EI13" s="80"/>
      <c r="EO13" s="80"/>
      <c r="EU13" s="80"/>
      <c r="FA13" s="80"/>
    </row>
    <row r="14" spans="1:157">
      <c r="C14" s="50" t="s">
        <v>144</v>
      </c>
      <c r="G14" s="82"/>
      <c r="I14" s="82"/>
      <c r="K14" s="82"/>
      <c r="M14" s="82"/>
      <c r="O14" s="82"/>
      <c r="Q14" s="82"/>
      <c r="S14" s="82"/>
      <c r="T14" s="81"/>
      <c r="U14" s="82"/>
      <c r="W14" s="82"/>
      <c r="Y14" s="82"/>
      <c r="Z14" s="81"/>
      <c r="AA14" s="82"/>
      <c r="AC14" s="82"/>
      <c r="AE14" s="82"/>
      <c r="AF14" s="81"/>
      <c r="AG14" s="82">
        <v>0.1686</v>
      </c>
      <c r="AI14" s="82">
        <v>0.1686</v>
      </c>
      <c r="AK14" s="82">
        <v>0.1686</v>
      </c>
      <c r="AL14" s="81"/>
      <c r="AM14" s="82">
        <v>0.73960000000000004</v>
      </c>
      <c r="AO14" s="82">
        <v>0.73960000000000004</v>
      </c>
      <c r="AQ14" s="82">
        <v>0.73960000000000004</v>
      </c>
      <c r="AR14" s="81"/>
      <c r="AS14" s="82">
        <v>0.4647</v>
      </c>
      <c r="AU14" s="82">
        <v>0.4647</v>
      </c>
      <c r="AW14" s="82">
        <v>0.4647</v>
      </c>
      <c r="AX14" s="81"/>
      <c r="AY14" s="82">
        <v>0.439</v>
      </c>
      <c r="BA14" s="82">
        <v>0.439</v>
      </c>
      <c r="BC14" s="82">
        <v>0.439</v>
      </c>
      <c r="BD14" s="81"/>
      <c r="BE14" s="82">
        <v>0.19839999999999999</v>
      </c>
      <c r="BG14" s="82">
        <v>0.19839999999999999</v>
      </c>
      <c r="BI14" s="82">
        <v>0.19839999999999999</v>
      </c>
      <c r="BJ14" s="81"/>
      <c r="BK14" s="82">
        <v>-1.1947000000000001</v>
      </c>
      <c r="BM14" s="82">
        <v>-1.1947000000000001</v>
      </c>
      <c r="BO14" s="82">
        <v>-1.1947000000000001</v>
      </c>
      <c r="BP14" s="81"/>
      <c r="BQ14" s="82">
        <v>-1.8673999999999999</v>
      </c>
      <c r="BS14" s="82">
        <v>-1.8673999999999999</v>
      </c>
      <c r="BU14" s="82">
        <v>-1.8673999999999999</v>
      </c>
      <c r="BV14" s="81"/>
      <c r="BW14" s="82">
        <v>-0.57050000000000001</v>
      </c>
      <c r="BY14" s="82">
        <v>-0.57050000000000001</v>
      </c>
      <c r="CA14" s="82">
        <v>-0.57050000000000001</v>
      </c>
      <c r="CB14" s="81"/>
      <c r="CC14" s="82">
        <v>0</v>
      </c>
      <c r="CE14" s="82">
        <v>0</v>
      </c>
      <c r="CG14" s="82">
        <v>0</v>
      </c>
      <c r="CH14" s="81"/>
      <c r="CI14" s="82"/>
      <c r="CK14" s="82"/>
      <c r="CM14" s="82"/>
      <c r="CN14" s="81"/>
      <c r="CO14" s="82"/>
      <c r="CQ14" s="82"/>
      <c r="CS14" s="82"/>
      <c r="CT14" s="81"/>
      <c r="CU14" s="82"/>
      <c r="CV14" s="82"/>
      <c r="CW14" s="82"/>
      <c r="CY14" s="83"/>
      <c r="DA14" s="82"/>
      <c r="DC14" s="82"/>
      <c r="DE14" s="83"/>
      <c r="DG14" s="82"/>
      <c r="DI14" s="82"/>
      <c r="DK14" s="82"/>
      <c r="DL14" s="81"/>
      <c r="DM14" s="82"/>
      <c r="DO14" s="82"/>
      <c r="DQ14" s="83"/>
      <c r="DS14" s="82"/>
      <c r="DU14" s="82"/>
      <c r="DW14" s="83"/>
      <c r="DY14" s="82"/>
      <c r="EA14" s="82"/>
      <c r="EC14" s="83"/>
      <c r="EE14" s="82"/>
      <c r="EG14" s="82"/>
      <c r="EI14" s="83"/>
      <c r="EK14" s="82"/>
      <c r="EM14" s="82"/>
      <c r="EO14" s="83"/>
      <c r="EQ14" s="82"/>
      <c r="ES14" s="82"/>
      <c r="EU14" s="83"/>
      <c r="EW14" s="82"/>
      <c r="EY14" s="82"/>
      <c r="FA14" s="83"/>
    </row>
    <row r="15" spans="1:157">
      <c r="C15" s="50" t="s">
        <v>145</v>
      </c>
      <c r="G15" s="82"/>
      <c r="I15" s="82"/>
      <c r="K15" s="82"/>
      <c r="M15" s="82"/>
      <c r="O15" s="82"/>
      <c r="Q15" s="82"/>
      <c r="S15" s="82"/>
      <c r="T15" s="81"/>
      <c r="U15" s="82"/>
      <c r="W15" s="82"/>
      <c r="Y15" s="82"/>
      <c r="Z15" s="81"/>
      <c r="AA15" s="82">
        <v>0.1686</v>
      </c>
      <c r="AC15" s="82">
        <v>0.1686</v>
      </c>
      <c r="AE15" s="82">
        <v>0.1686</v>
      </c>
      <c r="AF15" s="81"/>
      <c r="AG15" s="82">
        <v>0.73960000000000004</v>
      </c>
      <c r="AI15" s="82">
        <v>0.73960000000000004</v>
      </c>
      <c r="AK15" s="82">
        <v>0.73960000000000004</v>
      </c>
      <c r="AL15" s="81"/>
      <c r="AM15" s="82">
        <v>0.4647</v>
      </c>
      <c r="AO15" s="82">
        <v>0.4647</v>
      </c>
      <c r="AQ15" s="82">
        <v>0.4647</v>
      </c>
      <c r="AR15" s="81"/>
      <c r="AS15" s="82">
        <v>0.439</v>
      </c>
      <c r="AU15" s="82">
        <v>0.439</v>
      </c>
      <c r="AW15" s="82">
        <v>0.439</v>
      </c>
      <c r="AX15" s="81"/>
      <c r="AY15" s="82">
        <v>0.19839999999999999</v>
      </c>
      <c r="BA15" s="82">
        <v>0.19839999999999999</v>
      </c>
      <c r="BC15" s="82">
        <v>0.19839999999999999</v>
      </c>
      <c r="BD15" s="81"/>
      <c r="BE15" s="82">
        <v>-1.1947000000000001</v>
      </c>
      <c r="BG15" s="82">
        <v>-1.1947000000000001</v>
      </c>
      <c r="BI15" s="82">
        <v>-1.1947000000000001</v>
      </c>
      <c r="BJ15" s="81"/>
      <c r="BK15" s="82">
        <v>-1.8673999999999999</v>
      </c>
      <c r="BM15" s="82">
        <v>-1.8673999999999999</v>
      </c>
      <c r="BO15" s="82">
        <v>-1.8673999999999999</v>
      </c>
      <c r="BP15" s="81"/>
      <c r="BQ15" s="82">
        <v>-0.57050000000000001</v>
      </c>
      <c r="BS15" s="82">
        <v>-0.57050000000000001</v>
      </c>
      <c r="BU15" s="82">
        <v>-0.57050000000000001</v>
      </c>
      <c r="BV15" s="81"/>
      <c r="BW15" s="82">
        <v>0</v>
      </c>
      <c r="BY15" s="82">
        <v>0</v>
      </c>
      <c r="CA15" s="82">
        <v>0</v>
      </c>
      <c r="CB15" s="81"/>
      <c r="CC15" s="82">
        <v>0</v>
      </c>
      <c r="CE15" s="82">
        <v>0</v>
      </c>
      <c r="CG15" s="82">
        <v>0</v>
      </c>
      <c r="CH15" s="81"/>
      <c r="CI15" s="82"/>
      <c r="CK15" s="82"/>
      <c r="CM15" s="82"/>
      <c r="CN15" s="81"/>
      <c r="CO15" s="82"/>
      <c r="CQ15" s="82"/>
      <c r="CS15" s="82"/>
      <c r="CT15" s="81"/>
      <c r="CU15" s="82">
        <f>CU69</f>
        <v>1.3682000000000001</v>
      </c>
      <c r="CV15" s="82"/>
      <c r="CW15" s="82"/>
      <c r="CY15" s="83"/>
      <c r="DA15" s="82"/>
      <c r="DC15" s="82"/>
      <c r="DE15" s="83"/>
      <c r="DG15" s="82"/>
      <c r="DI15" s="82"/>
      <c r="DK15" s="82"/>
      <c r="DL15" s="81"/>
      <c r="DM15" s="82"/>
      <c r="DO15" s="82"/>
      <c r="DQ15" s="83"/>
      <c r="DS15" s="82"/>
      <c r="DU15" s="82"/>
      <c r="DW15" s="83"/>
      <c r="DY15" s="82"/>
      <c r="EA15" s="82"/>
      <c r="EC15" s="83"/>
      <c r="EE15" s="82"/>
      <c r="EG15" s="82"/>
      <c r="EI15" s="83"/>
      <c r="EK15" s="82"/>
      <c r="EM15" s="82"/>
      <c r="EO15" s="83"/>
      <c r="EQ15" s="82"/>
      <c r="ES15" s="82"/>
      <c r="EU15" s="83"/>
      <c r="EW15" s="82"/>
      <c r="EY15" s="82"/>
      <c r="FA15" s="83"/>
    </row>
    <row r="16" spans="1:157">
      <c r="C16" s="50" t="s">
        <v>146</v>
      </c>
      <c r="G16" s="82"/>
      <c r="I16" s="82"/>
      <c r="K16" s="82"/>
      <c r="M16" s="82"/>
      <c r="O16" s="82"/>
      <c r="Q16" s="82"/>
      <c r="S16" s="82"/>
      <c r="T16" s="81"/>
      <c r="U16" s="82">
        <v>0.1686</v>
      </c>
      <c r="W16" s="82">
        <v>0.1686</v>
      </c>
      <c r="Y16" s="82">
        <v>0.1686</v>
      </c>
      <c r="Z16" s="81"/>
      <c r="AA16" s="82">
        <v>0.73960000000000004</v>
      </c>
      <c r="AC16" s="82">
        <v>0.73960000000000004</v>
      </c>
      <c r="AE16" s="82">
        <v>0.73960000000000004</v>
      </c>
      <c r="AF16" s="81"/>
      <c r="AG16" s="82">
        <v>0.4647</v>
      </c>
      <c r="AI16" s="82">
        <v>0.4647</v>
      </c>
      <c r="AK16" s="82">
        <v>0.4647</v>
      </c>
      <c r="AL16" s="81"/>
      <c r="AM16" s="82">
        <v>0.439</v>
      </c>
      <c r="AO16" s="82">
        <v>0.439</v>
      </c>
      <c r="AQ16" s="82">
        <v>0.439</v>
      </c>
      <c r="AR16" s="81"/>
      <c r="AS16" s="82">
        <v>0.19839999999999999</v>
      </c>
      <c r="AU16" s="82">
        <v>0.19839999999999999</v>
      </c>
      <c r="AW16" s="82">
        <v>0.19839999999999999</v>
      </c>
      <c r="AX16" s="81"/>
      <c r="AY16" s="82">
        <v>-1.1947000000000001</v>
      </c>
      <c r="BA16" s="82">
        <v>-1.1947000000000001</v>
      </c>
      <c r="BC16" s="82">
        <v>-1.1947000000000001</v>
      </c>
      <c r="BD16" s="81"/>
      <c r="BE16" s="82">
        <v>-1.8673999999999999</v>
      </c>
      <c r="BG16" s="82">
        <v>-1.8673999999999999</v>
      </c>
      <c r="BI16" s="82">
        <v>-1.8673999999999999</v>
      </c>
      <c r="BJ16" s="81"/>
      <c r="BK16" s="82">
        <v>-0.57050000000000001</v>
      </c>
      <c r="BM16" s="82">
        <v>-0.57050000000000001</v>
      </c>
      <c r="BO16" s="82">
        <v>-0.57050000000000001</v>
      </c>
      <c r="BP16" s="81"/>
      <c r="BQ16" s="82">
        <v>0</v>
      </c>
      <c r="BS16" s="82">
        <v>0</v>
      </c>
      <c r="BU16" s="82">
        <v>0</v>
      </c>
      <c r="BV16" s="81"/>
      <c r="BW16" s="82">
        <v>0</v>
      </c>
      <c r="BY16" s="82">
        <v>0</v>
      </c>
      <c r="CA16" s="82">
        <v>0</v>
      </c>
      <c r="CB16" s="81"/>
      <c r="CC16" s="82">
        <v>0</v>
      </c>
      <c r="CE16" s="82">
        <v>0</v>
      </c>
      <c r="CG16" s="82">
        <v>0</v>
      </c>
      <c r="CH16" s="81"/>
      <c r="CI16" s="82"/>
      <c r="CK16" s="82"/>
      <c r="CM16" s="82"/>
      <c r="CN16" s="81"/>
      <c r="CO16" s="82">
        <f>CO69</f>
        <v>1.3682000000000001</v>
      </c>
      <c r="CQ16" s="82">
        <f>CQ69</f>
        <v>1.3682000000000001</v>
      </c>
      <c r="CS16" s="82">
        <f>CS69</f>
        <v>1.3682000000000001</v>
      </c>
      <c r="CT16" s="81"/>
      <c r="CU16" s="82">
        <f>CU73</f>
        <v>1.7060999999999999</v>
      </c>
      <c r="CV16" s="82"/>
      <c r="CW16" s="82"/>
      <c r="CY16" s="83"/>
      <c r="DA16" s="82"/>
      <c r="DC16" s="82"/>
      <c r="DE16" s="83"/>
      <c r="DG16" s="82"/>
      <c r="DI16" s="82"/>
      <c r="DK16" s="82"/>
      <c r="DL16" s="81"/>
      <c r="DM16" s="82"/>
      <c r="DO16" s="82"/>
      <c r="DQ16" s="83"/>
      <c r="DS16" s="82"/>
      <c r="DU16" s="82"/>
      <c r="DW16" s="83"/>
      <c r="DY16" s="82"/>
      <c r="EA16" s="82"/>
      <c r="EC16" s="83"/>
      <c r="EE16" s="82"/>
      <c r="EG16" s="82"/>
      <c r="EI16" s="83"/>
      <c r="EK16" s="82"/>
      <c r="EM16" s="82"/>
      <c r="EO16" s="83"/>
      <c r="EQ16" s="82"/>
      <c r="ES16" s="82"/>
      <c r="EU16" s="83"/>
      <c r="EW16" s="82"/>
      <c r="EY16" s="82"/>
      <c r="FA16" s="83"/>
    </row>
    <row r="17" spans="3:157">
      <c r="C17" s="50" t="s">
        <v>147</v>
      </c>
      <c r="G17" s="82"/>
      <c r="I17" s="82"/>
      <c r="K17" s="82"/>
      <c r="M17" s="82"/>
      <c r="O17" s="82">
        <v>0.1686</v>
      </c>
      <c r="Q17" s="82">
        <v>0.1686</v>
      </c>
      <c r="S17" s="82">
        <v>0.1686</v>
      </c>
      <c r="T17" s="81"/>
      <c r="U17" s="82">
        <v>0.73960000000000004</v>
      </c>
      <c r="W17" s="82">
        <v>0.73960000000000004</v>
      </c>
      <c r="Y17" s="82">
        <v>0.73960000000000004</v>
      </c>
      <c r="Z17" s="81"/>
      <c r="AA17" s="82">
        <v>0.4647</v>
      </c>
      <c r="AC17" s="82">
        <v>0.4647</v>
      </c>
      <c r="AE17" s="82">
        <v>0.4647</v>
      </c>
      <c r="AF17" s="81"/>
      <c r="AG17" s="82">
        <v>0.439</v>
      </c>
      <c r="AI17" s="82">
        <v>0.439</v>
      </c>
      <c r="AK17" s="82">
        <v>0.439</v>
      </c>
      <c r="AL17" s="81"/>
      <c r="AM17" s="82">
        <v>0.19839999999999999</v>
      </c>
      <c r="AO17" s="82">
        <v>0.19839999999999999</v>
      </c>
      <c r="AQ17" s="82">
        <v>0.19839999999999999</v>
      </c>
      <c r="AR17" s="81"/>
      <c r="AS17" s="82">
        <v>-1.1947000000000001</v>
      </c>
      <c r="AU17" s="82">
        <v>-1.1947000000000001</v>
      </c>
      <c r="AW17" s="82">
        <v>-1.1947000000000001</v>
      </c>
      <c r="AX17" s="81"/>
      <c r="AY17" s="82">
        <v>-1.8673999999999999</v>
      </c>
      <c r="BA17" s="82">
        <v>-1.8673999999999999</v>
      </c>
      <c r="BC17" s="82">
        <v>-1.8673999999999999</v>
      </c>
      <c r="BD17" s="81"/>
      <c r="BE17" s="82">
        <v>-0.57050000000000001</v>
      </c>
      <c r="BG17" s="82">
        <v>-0.57050000000000001</v>
      </c>
      <c r="BI17" s="82">
        <v>-0.57050000000000001</v>
      </c>
      <c r="BJ17" s="81"/>
      <c r="BK17" s="82">
        <v>0</v>
      </c>
      <c r="BM17" s="82">
        <v>0</v>
      </c>
      <c r="BO17" s="82">
        <v>0</v>
      </c>
      <c r="BP17" s="81"/>
      <c r="BQ17" s="82">
        <v>0</v>
      </c>
      <c r="BS17" s="82">
        <v>0</v>
      </c>
      <c r="BU17" s="82">
        <v>0</v>
      </c>
      <c r="BV17" s="81"/>
      <c r="BW17" s="82">
        <v>0</v>
      </c>
      <c r="BY17" s="82">
        <v>0</v>
      </c>
      <c r="CA17" s="82">
        <v>0</v>
      </c>
      <c r="CB17" s="81"/>
      <c r="CC17" s="82">
        <v>0</v>
      </c>
      <c r="CE17" s="82">
        <v>0</v>
      </c>
      <c r="CG17" s="82">
        <v>0</v>
      </c>
      <c r="CH17" s="81"/>
      <c r="CI17" s="82">
        <f>CI69</f>
        <v>1.3682000000000001</v>
      </c>
      <c r="CK17" s="82">
        <f>CK69</f>
        <v>1.3682000000000001</v>
      </c>
      <c r="CM17" s="83">
        <f>CM69</f>
        <v>1.3682000000000001</v>
      </c>
      <c r="CO17" s="82">
        <f>CO73</f>
        <v>1.7060999999999999</v>
      </c>
      <c r="CQ17" s="82">
        <f>CQ73</f>
        <v>1.7060999999999999</v>
      </c>
      <c r="CS17" s="82">
        <f>CS73</f>
        <v>1.7060999999999999</v>
      </c>
      <c r="CT17" s="81"/>
      <c r="CU17" s="82">
        <f>CU77</f>
        <v>-0.14269999999999999</v>
      </c>
      <c r="CW17" s="82"/>
      <c r="CY17" s="83"/>
      <c r="DA17" s="82"/>
      <c r="DC17" s="82"/>
      <c r="DE17" s="83"/>
      <c r="DG17" s="82"/>
      <c r="DI17" s="82"/>
      <c r="DK17" s="82"/>
      <c r="DL17" s="81"/>
      <c r="DM17" s="82"/>
      <c r="DO17" s="82"/>
      <c r="DQ17" s="83"/>
      <c r="DS17" s="82"/>
      <c r="DU17" s="82"/>
      <c r="DW17" s="83"/>
      <c r="DY17" s="82"/>
      <c r="EA17" s="82"/>
      <c r="EC17" s="83"/>
      <c r="EE17" s="82"/>
      <c r="EG17" s="82"/>
      <c r="EI17" s="83"/>
      <c r="EK17" s="82"/>
      <c r="EM17" s="82"/>
      <c r="EO17" s="83"/>
      <c r="EQ17" s="82"/>
      <c r="ES17" s="82"/>
      <c r="EU17" s="83"/>
      <c r="EW17" s="82"/>
      <c r="EY17" s="82"/>
      <c r="FA17" s="83"/>
    </row>
    <row r="18" spans="3:157">
      <c r="G18" s="82"/>
      <c r="I18" s="82"/>
      <c r="K18" s="82"/>
      <c r="M18" s="82"/>
      <c r="O18" s="84">
        <v>0.1686</v>
      </c>
      <c r="Q18" s="84">
        <v>0.1686</v>
      </c>
      <c r="S18" s="84">
        <v>0.1686</v>
      </c>
      <c r="T18" s="81"/>
      <c r="U18" s="84">
        <v>0.90820000000000001</v>
      </c>
      <c r="W18" s="84">
        <v>0.90820000000000001</v>
      </c>
      <c r="Y18" s="84">
        <v>0.90820000000000001</v>
      </c>
      <c r="Z18" s="81"/>
      <c r="AA18" s="84">
        <v>1.3729</v>
      </c>
      <c r="AC18" s="84">
        <v>1.3729</v>
      </c>
      <c r="AE18" s="84">
        <v>1.3729</v>
      </c>
      <c r="AF18" s="81"/>
      <c r="AG18" s="84">
        <v>1.8119000000000001</v>
      </c>
      <c r="AI18" s="84">
        <v>1.8119000000000001</v>
      </c>
      <c r="AK18" s="84">
        <v>1.8119000000000001</v>
      </c>
      <c r="AL18" s="81"/>
      <c r="AM18" s="84">
        <v>1.8416999999999999</v>
      </c>
      <c r="AO18" s="84">
        <v>1.8416999999999999</v>
      </c>
      <c r="AQ18" s="84">
        <v>1.8416999999999999</v>
      </c>
      <c r="AR18" s="81"/>
      <c r="AS18" s="84">
        <v>-9.2600000000000238E-2</v>
      </c>
      <c r="AU18" s="84">
        <v>-9.2600000000000238E-2</v>
      </c>
      <c r="AW18" s="84">
        <v>-9.2600000000000238E-2</v>
      </c>
      <c r="AX18" s="81"/>
      <c r="AY18" s="84">
        <v>-2.4247000000000001</v>
      </c>
      <c r="BA18" s="84">
        <v>-2.4247000000000001</v>
      </c>
      <c r="BC18" s="84">
        <v>-2.4247000000000001</v>
      </c>
      <c r="BD18" s="81"/>
      <c r="BE18" s="84">
        <v>-3.4342000000000001</v>
      </c>
      <c r="BG18" s="84">
        <v>-3.4342000000000001</v>
      </c>
      <c r="BI18" s="84">
        <v>-3.4342000000000001</v>
      </c>
      <c r="BJ18" s="81"/>
      <c r="BK18" s="84">
        <v>-3.6326000000000001</v>
      </c>
      <c r="BM18" s="84">
        <v>-3.6326000000000001</v>
      </c>
      <c r="BO18" s="84">
        <v>-3.6326000000000001</v>
      </c>
      <c r="BP18" s="81"/>
      <c r="BQ18" s="84">
        <v>-2.4379</v>
      </c>
      <c r="BS18" s="84">
        <v>-2.4379</v>
      </c>
      <c r="BU18" s="84">
        <v>-2.4379</v>
      </c>
      <c r="BV18" s="81"/>
      <c r="BW18" s="84">
        <v>-0.57050000000000001</v>
      </c>
      <c r="BY18" s="84">
        <v>-0.57050000000000001</v>
      </c>
      <c r="CA18" s="84">
        <v>-0.57050000000000001</v>
      </c>
      <c r="CB18" s="81"/>
      <c r="CC18" s="84">
        <v>0</v>
      </c>
      <c r="CE18" s="84">
        <v>0</v>
      </c>
      <c r="CG18" s="84">
        <v>0</v>
      </c>
      <c r="CH18" s="81"/>
      <c r="CI18" s="82"/>
      <c r="CK18" s="82"/>
      <c r="CM18" s="82"/>
      <c r="CN18" s="81"/>
      <c r="CO18" s="82"/>
      <c r="CQ18" s="82"/>
      <c r="CS18" s="83"/>
      <c r="CW18" s="84"/>
      <c r="CY18" s="85"/>
      <c r="DA18" s="84"/>
      <c r="DC18" s="84"/>
      <c r="DE18" s="85"/>
      <c r="DG18" s="84"/>
      <c r="DI18" s="84"/>
      <c r="DK18" s="84"/>
      <c r="DL18" s="81"/>
      <c r="DM18" s="84"/>
      <c r="DO18" s="84"/>
      <c r="DQ18" s="85"/>
      <c r="DS18" s="84"/>
      <c r="DU18" s="84"/>
      <c r="DW18" s="85"/>
      <c r="DY18" s="84"/>
      <c r="EA18" s="84"/>
      <c r="EC18" s="85"/>
      <c r="EE18" s="84"/>
      <c r="EG18" s="84"/>
      <c r="EI18" s="85"/>
      <c r="EK18" s="84"/>
      <c r="EM18" s="84"/>
      <c r="EO18" s="85"/>
      <c r="EQ18" s="84"/>
      <c r="ES18" s="84"/>
      <c r="EU18" s="85"/>
      <c r="EW18" s="84"/>
      <c r="EY18" s="84"/>
      <c r="FA18" s="85"/>
    </row>
    <row r="19" spans="3:157">
      <c r="S19" s="80"/>
      <c r="Y19" s="80"/>
      <c r="AE19" s="80"/>
      <c r="AK19" s="80"/>
      <c r="AQ19" s="80"/>
      <c r="AW19" s="80"/>
      <c r="BC19" s="80"/>
      <c r="BI19" s="80"/>
      <c r="BO19" s="80"/>
      <c r="BU19" s="80"/>
      <c r="CA19" s="80"/>
      <c r="CG19" s="80"/>
      <c r="CM19" s="80"/>
      <c r="CS19" s="80"/>
      <c r="CT19" s="81"/>
      <c r="CY19" s="80"/>
      <c r="DE19" s="80"/>
      <c r="DK19" s="80"/>
      <c r="DQ19" s="80"/>
      <c r="DW19" s="80"/>
      <c r="EC19" s="80"/>
      <c r="EI19" s="80"/>
      <c r="EO19" s="80"/>
      <c r="EU19" s="80"/>
      <c r="FA19" s="80"/>
    </row>
    <row r="20" spans="3:157">
      <c r="T20" s="81"/>
      <c r="Z20" s="81"/>
      <c r="AF20" s="81"/>
      <c r="AL20" s="81"/>
      <c r="AR20" s="81"/>
      <c r="AX20" s="81"/>
      <c r="BD20" s="81"/>
      <c r="BI20" s="80"/>
      <c r="BO20" s="80"/>
      <c r="BU20" s="80"/>
      <c r="CA20" s="80"/>
      <c r="CG20" s="80"/>
      <c r="CM20" s="80"/>
      <c r="CS20" s="80"/>
      <c r="CT20" s="81"/>
      <c r="CY20" s="80"/>
      <c r="DE20" s="80"/>
      <c r="DK20" s="80"/>
      <c r="DQ20" s="80"/>
      <c r="DW20" s="80"/>
      <c r="EC20" s="80"/>
      <c r="EI20" s="80"/>
      <c r="EO20" s="80"/>
      <c r="EU20" s="80"/>
      <c r="FA20" s="80"/>
    </row>
    <row r="21" spans="3:157">
      <c r="C21" s="86"/>
      <c r="G21" s="50" t="s">
        <v>148</v>
      </c>
      <c r="O21" s="87">
        <v>0.1686</v>
      </c>
      <c r="P21" s="88"/>
      <c r="Q21" s="89">
        <v>0.1686</v>
      </c>
      <c r="R21" s="82"/>
      <c r="S21" s="90">
        <v>0.1686</v>
      </c>
      <c r="T21" s="82"/>
      <c r="U21" s="89">
        <v>0.1686</v>
      </c>
      <c r="V21" s="82"/>
      <c r="W21" s="89">
        <v>0.1686</v>
      </c>
      <c r="X21" s="82"/>
      <c r="Y21" s="90">
        <v>0.1686</v>
      </c>
      <c r="Z21" s="82"/>
      <c r="AA21" s="89">
        <v>0.1686</v>
      </c>
      <c r="AB21" s="82"/>
      <c r="AC21" s="89">
        <v>0.1686</v>
      </c>
      <c r="AD21" s="82"/>
      <c r="AE21" s="90">
        <v>0.1686</v>
      </c>
      <c r="AF21" s="82"/>
      <c r="AG21" s="89">
        <v>0.1686</v>
      </c>
      <c r="AH21" s="82"/>
      <c r="AI21" s="89">
        <v>0.1686</v>
      </c>
      <c r="AJ21" s="82"/>
      <c r="AK21" s="90">
        <v>0.1686</v>
      </c>
      <c r="AL21" s="91"/>
      <c r="AM21" s="82"/>
      <c r="AN21" s="82"/>
      <c r="AO21" s="82"/>
      <c r="AP21" s="82"/>
      <c r="AQ21" s="50" t="s">
        <v>149</v>
      </c>
      <c r="AR21" s="82"/>
      <c r="AS21" s="92">
        <v>7.8100000000000003E-2</v>
      </c>
      <c r="AT21" s="82"/>
      <c r="AU21" s="89">
        <v>7.8100000000000003E-2</v>
      </c>
      <c r="AV21" s="82"/>
      <c r="AW21" s="90">
        <v>7.8100000000000003E-2</v>
      </c>
      <c r="AX21" s="82"/>
      <c r="AY21" s="89">
        <v>7.8100000000000003E-2</v>
      </c>
      <c r="AZ21" s="82"/>
      <c r="BA21" s="89">
        <v>7.8100000000000003E-2</v>
      </c>
      <c r="BB21" s="82"/>
      <c r="BC21" s="90">
        <v>7.8100000000000003E-2</v>
      </c>
      <c r="BD21" s="82"/>
      <c r="BE21" s="89">
        <v>7.8100000000000003E-2</v>
      </c>
      <c r="BF21" s="82"/>
      <c r="BG21" s="89">
        <v>7.8100000000000003E-2</v>
      </c>
      <c r="BH21" s="82"/>
      <c r="BI21" s="90">
        <v>7.8100000000000003E-2</v>
      </c>
      <c r="BJ21" s="82"/>
      <c r="BK21" s="89">
        <v>7.8100000000000003E-2</v>
      </c>
      <c r="BL21" s="82"/>
      <c r="BM21" s="89">
        <v>7.8100000000000003E-2</v>
      </c>
      <c r="BN21" s="82"/>
      <c r="BO21" s="90">
        <v>7.8100000000000003E-2</v>
      </c>
      <c r="BQ21" s="82"/>
      <c r="BR21" s="82"/>
      <c r="BS21" s="82"/>
      <c r="BT21" s="82"/>
      <c r="BU21" s="83"/>
      <c r="BW21" s="82"/>
      <c r="BX21" s="82"/>
      <c r="BY21" s="82"/>
      <c r="BZ21" s="82"/>
      <c r="CA21" s="83"/>
      <c r="CC21" s="82"/>
      <c r="CD21" s="82"/>
      <c r="CE21" s="82"/>
      <c r="CF21" s="82"/>
      <c r="CG21" s="83"/>
      <c r="CI21" s="82"/>
      <c r="CJ21" s="82"/>
      <c r="CK21" s="82"/>
      <c r="CL21" s="82"/>
      <c r="CM21" s="83"/>
      <c r="CO21" s="82"/>
      <c r="CP21" s="82"/>
      <c r="CQ21" s="82"/>
      <c r="CR21" s="82"/>
      <c r="CS21" s="83"/>
      <c r="CT21" s="81"/>
      <c r="CU21" s="82"/>
      <c r="CV21" s="82"/>
      <c r="CW21" s="82"/>
      <c r="CX21" s="82"/>
      <c r="CY21" s="83"/>
      <c r="DA21" s="82"/>
      <c r="DB21" s="82"/>
      <c r="DC21" s="82"/>
      <c r="DD21" s="82"/>
      <c r="DE21" s="83"/>
      <c r="DG21" s="82"/>
      <c r="DH21" s="82"/>
      <c r="DI21" s="82"/>
      <c r="DJ21" s="82"/>
      <c r="DK21" s="83"/>
      <c r="DM21" s="82"/>
      <c r="DN21" s="82"/>
      <c r="DO21" s="82"/>
      <c r="DP21" s="82"/>
      <c r="DQ21" s="83"/>
      <c r="DS21" s="82"/>
      <c r="DT21" s="82"/>
      <c r="DU21" s="82"/>
      <c r="DV21" s="82"/>
      <c r="DW21" s="83"/>
      <c r="DY21" s="82"/>
      <c r="DZ21" s="82"/>
      <c r="EA21" s="82"/>
      <c r="EB21" s="82"/>
      <c r="EC21" s="83"/>
      <c r="EE21" s="82"/>
      <c r="EF21" s="82"/>
      <c r="EG21" s="82"/>
      <c r="EH21" s="82"/>
      <c r="EI21" s="83"/>
      <c r="EK21" s="82"/>
      <c r="EL21" s="82"/>
      <c r="EM21" s="82"/>
      <c r="EN21" s="82"/>
      <c r="EO21" s="83"/>
      <c r="EQ21" s="82"/>
      <c r="ER21" s="82"/>
      <c r="ES21" s="82"/>
      <c r="ET21" s="82"/>
      <c r="EU21" s="83"/>
      <c r="EW21" s="82"/>
      <c r="EX21" s="82"/>
      <c r="EY21" s="82"/>
      <c r="EZ21" s="82"/>
      <c r="FA21" s="83"/>
    </row>
    <row r="22" spans="3:157">
      <c r="G22" s="93">
        <v>21501.063953852514</v>
      </c>
      <c r="O22" s="94">
        <v>19603.639553852514</v>
      </c>
      <c r="Q22" s="94">
        <v>18053.193953852515</v>
      </c>
      <c r="S22" s="95">
        <v>17080.540553852516</v>
      </c>
      <c r="U22" s="94">
        <v>16605.021113852516</v>
      </c>
      <c r="W22" s="94">
        <v>16225.468793852515</v>
      </c>
      <c r="Y22" s="95">
        <v>15743.930333852515</v>
      </c>
      <c r="AA22" s="94">
        <v>15470.225093852516</v>
      </c>
      <c r="AC22" s="94">
        <v>15113.686673852515</v>
      </c>
      <c r="AE22" s="95">
        <v>14278.998653852515</v>
      </c>
      <c r="AG22" s="94">
        <v>13069.411673852515</v>
      </c>
      <c r="AI22" s="94">
        <v>11059.042133852516</v>
      </c>
      <c r="AK22" s="95">
        <v>9311.6885938525156</v>
      </c>
      <c r="AL22" s="96"/>
      <c r="AM22" s="69">
        <v>9311.6885938525156</v>
      </c>
      <c r="AN22" s="69"/>
      <c r="AO22" s="69">
        <v>9311.6885938525156</v>
      </c>
      <c r="AP22" s="69"/>
      <c r="AQ22" s="97">
        <v>9311.6885938525156</v>
      </c>
      <c r="AS22" s="94">
        <v>9115.4857738525152</v>
      </c>
      <c r="AU22" s="94">
        <v>8940.1044138525158</v>
      </c>
      <c r="AW22" s="95">
        <v>8788.629463852516</v>
      </c>
      <c r="AY22" s="94">
        <v>8662.3417638525152</v>
      </c>
      <c r="BA22" s="94">
        <v>8518.9501638525144</v>
      </c>
      <c r="BC22" s="95">
        <v>8191.3284738525144</v>
      </c>
      <c r="BE22" s="94">
        <v>7636.5373138525147</v>
      </c>
      <c r="BG22" s="94">
        <v>6787.9886238525141</v>
      </c>
      <c r="BI22" s="95">
        <v>5881.0367538525143</v>
      </c>
      <c r="BK22" s="94">
        <v>5096.1005138525143</v>
      </c>
      <c r="BM22" s="94">
        <v>4567.4181838525146</v>
      </c>
      <c r="BO22" s="98">
        <v>4187.5866438525145</v>
      </c>
      <c r="BQ22" s="99" t="s">
        <v>150</v>
      </c>
      <c r="BS22" s="69"/>
      <c r="BU22" s="100"/>
      <c r="BW22" s="69"/>
      <c r="BY22" s="69"/>
      <c r="CA22" s="100"/>
      <c r="CC22" s="69"/>
      <c r="CE22" s="69"/>
      <c r="CG22" s="100"/>
      <c r="CI22" s="69"/>
      <c r="CK22" s="69"/>
      <c r="CM22" s="100"/>
      <c r="CO22" s="69"/>
      <c r="CQ22" s="69"/>
      <c r="CS22" s="100"/>
      <c r="CT22" s="81"/>
      <c r="CU22" s="69"/>
      <c r="CW22" s="69"/>
      <c r="CY22" s="100"/>
      <c r="DA22" s="69"/>
      <c r="DC22" s="69"/>
      <c r="DE22" s="100"/>
      <c r="DG22" s="69"/>
      <c r="DI22" s="69"/>
      <c r="DK22" s="100"/>
      <c r="DM22" s="69"/>
      <c r="DO22" s="69"/>
      <c r="DQ22" s="100"/>
      <c r="DS22" s="69"/>
      <c r="DU22" s="69"/>
      <c r="DW22" s="100"/>
      <c r="DY22" s="69"/>
      <c r="EA22" s="69"/>
      <c r="EC22" s="100"/>
      <c r="EE22" s="69"/>
      <c r="EG22" s="69"/>
      <c r="EI22" s="100"/>
      <c r="EK22" s="69"/>
      <c r="EM22" s="69"/>
      <c r="EO22" s="100"/>
      <c r="EQ22" s="69"/>
      <c r="ES22" s="69"/>
      <c r="EU22" s="100"/>
      <c r="EW22" s="69"/>
      <c r="EY22" s="69"/>
      <c r="FA22" s="100"/>
    </row>
    <row r="23" spans="3:157">
      <c r="S23" s="80"/>
      <c r="Y23" s="80"/>
      <c r="AE23" s="80"/>
      <c r="AK23" s="101"/>
      <c r="AQ23" s="102">
        <v>7.8100000000000003E-2</v>
      </c>
      <c r="AW23" s="80"/>
      <c r="BC23" s="80"/>
      <c r="BI23" s="80"/>
      <c r="BO23" s="80"/>
      <c r="BU23" s="80"/>
      <c r="CA23" s="80"/>
      <c r="CG23" s="80"/>
      <c r="CM23" s="80"/>
      <c r="CS23" s="80"/>
      <c r="CT23" s="81"/>
      <c r="CY23" s="80"/>
      <c r="DE23" s="80"/>
      <c r="DK23" s="80"/>
      <c r="DQ23" s="80"/>
      <c r="DW23" s="80"/>
      <c r="EC23" s="80"/>
      <c r="EI23" s="80"/>
      <c r="EO23" s="80"/>
      <c r="EU23" s="80"/>
      <c r="FA23" s="80"/>
    </row>
    <row r="24" spans="3:157">
      <c r="Z24" s="81"/>
      <c r="AF24" s="81"/>
      <c r="AL24" s="81"/>
      <c r="AR24" s="81"/>
      <c r="AX24" s="81"/>
      <c r="BD24" s="81"/>
      <c r="BJ24" s="81"/>
      <c r="BP24" s="81"/>
      <c r="BV24" s="81"/>
      <c r="CB24" s="81"/>
      <c r="CH24" s="81"/>
      <c r="CN24" s="81"/>
      <c r="CS24" s="80"/>
      <c r="CT24" s="81"/>
      <c r="CZ24" s="81"/>
      <c r="DF24" s="81"/>
      <c r="DL24" s="81"/>
      <c r="DR24" s="81"/>
      <c r="DX24" s="81"/>
      <c r="ED24" s="81"/>
      <c r="EJ24" s="81"/>
      <c r="EP24" s="81"/>
      <c r="EV24" s="81"/>
      <c r="FA24" s="80"/>
    </row>
    <row r="25" spans="3:157">
      <c r="C25" s="86"/>
      <c r="M25" s="50" t="s">
        <v>151</v>
      </c>
      <c r="U25" s="87">
        <v>0.73960000000000004</v>
      </c>
      <c r="V25" s="88"/>
      <c r="W25" s="89">
        <v>0.73960000000000004</v>
      </c>
      <c r="X25" s="82"/>
      <c r="Y25" s="90">
        <v>0.73960000000000004</v>
      </c>
      <c r="Z25" s="82"/>
      <c r="AA25" s="89">
        <v>0.73960000000000004</v>
      </c>
      <c r="AB25" s="82"/>
      <c r="AC25" s="89">
        <v>0.73960000000000004</v>
      </c>
      <c r="AD25" s="82"/>
      <c r="AE25" s="90">
        <v>0.73960000000000004</v>
      </c>
      <c r="AF25" s="82"/>
      <c r="AG25" s="89">
        <v>0.73960000000000004</v>
      </c>
      <c r="AH25" s="82"/>
      <c r="AI25" s="89">
        <v>0.73960000000000004</v>
      </c>
      <c r="AJ25" s="82"/>
      <c r="AK25" s="90">
        <v>0.73960000000000004</v>
      </c>
      <c r="AL25" s="82"/>
      <c r="AM25" s="89">
        <v>0.73960000000000004</v>
      </c>
      <c r="AN25" s="82"/>
      <c r="AO25" s="89">
        <v>0.73960000000000004</v>
      </c>
      <c r="AP25" s="82"/>
      <c r="AQ25" s="90">
        <v>0.73960000000000004</v>
      </c>
      <c r="AR25" s="91"/>
      <c r="AS25" s="82"/>
      <c r="AT25" s="82"/>
      <c r="AU25" s="82"/>
      <c r="AV25" s="82"/>
      <c r="AW25" s="50" t="s">
        <v>152</v>
      </c>
      <c r="AX25" s="82"/>
      <c r="AY25" s="92">
        <v>0.28189999999999998</v>
      </c>
      <c r="AZ25" s="82"/>
      <c r="BA25" s="89">
        <v>0.28189999999999998</v>
      </c>
      <c r="BB25" s="82"/>
      <c r="BC25" s="90">
        <v>0.28189999999999998</v>
      </c>
      <c r="BD25" s="82"/>
      <c r="BE25" s="89">
        <v>0.28189999999999998</v>
      </c>
      <c r="BF25" s="82"/>
      <c r="BG25" s="89">
        <v>0.28189999999999998</v>
      </c>
      <c r="BH25" s="82"/>
      <c r="BI25" s="90">
        <v>0.28189999999999998</v>
      </c>
      <c r="BJ25" s="82"/>
      <c r="BK25" s="89">
        <v>0.28189999999999998</v>
      </c>
      <c r="BL25" s="82"/>
      <c r="BM25" s="89">
        <v>0.28189999999999998</v>
      </c>
      <c r="BN25" s="82"/>
      <c r="BO25" s="90">
        <v>0.28189999999999998</v>
      </c>
      <c r="BP25" s="82"/>
      <c r="BQ25" s="89">
        <v>0.28189999999999998</v>
      </c>
      <c r="BR25" s="82"/>
      <c r="BS25" s="89">
        <v>0.28189999999999998</v>
      </c>
      <c r="BT25" s="82"/>
      <c r="BU25" s="90">
        <v>0.28189999999999998</v>
      </c>
      <c r="BW25" s="82"/>
      <c r="BX25" s="82"/>
      <c r="BY25" s="82"/>
      <c r="BZ25" s="82"/>
      <c r="CA25" s="83"/>
      <c r="CC25" s="82"/>
      <c r="CD25" s="82"/>
      <c r="CE25" s="82"/>
      <c r="CF25" s="82"/>
      <c r="CG25" s="83"/>
      <c r="CI25" s="82"/>
      <c r="CJ25" s="82"/>
      <c r="CK25" s="82"/>
      <c r="CL25" s="82"/>
      <c r="CM25" s="83"/>
      <c r="CO25" s="82"/>
      <c r="CP25" s="82"/>
      <c r="CQ25" s="82"/>
      <c r="CR25" s="82"/>
      <c r="CS25" s="83"/>
      <c r="CT25" s="81"/>
      <c r="CU25" s="82"/>
      <c r="CV25" s="82"/>
      <c r="CW25" s="82"/>
      <c r="CX25" s="82"/>
      <c r="CY25" s="83"/>
      <c r="DA25" s="82"/>
      <c r="DB25" s="82"/>
      <c r="DC25" s="82"/>
      <c r="DD25" s="82"/>
      <c r="DE25" s="83"/>
      <c r="DG25" s="82"/>
      <c r="DH25" s="82"/>
      <c r="DI25" s="82"/>
      <c r="DJ25" s="82"/>
      <c r="DK25" s="83"/>
      <c r="DM25" s="82"/>
      <c r="DN25" s="82"/>
      <c r="DO25" s="82"/>
      <c r="DP25" s="82"/>
      <c r="DQ25" s="83"/>
      <c r="DS25" s="82"/>
      <c r="DT25" s="82"/>
      <c r="DU25" s="82"/>
      <c r="DV25" s="82"/>
      <c r="DW25" s="83"/>
      <c r="DY25" s="82"/>
      <c r="DZ25" s="82"/>
      <c r="EA25" s="82"/>
      <c r="EB25" s="82"/>
      <c r="EC25" s="83"/>
      <c r="EE25" s="82"/>
      <c r="EF25" s="82"/>
      <c r="EG25" s="82"/>
      <c r="EH25" s="82"/>
      <c r="EI25" s="83"/>
      <c r="EK25" s="82"/>
      <c r="EL25" s="82"/>
      <c r="EM25" s="82"/>
      <c r="EN25" s="82"/>
      <c r="EO25" s="83"/>
      <c r="EQ25" s="82"/>
      <c r="ER25" s="82"/>
      <c r="ES25" s="82"/>
      <c r="ET25" s="82"/>
      <c r="EU25" s="83"/>
      <c r="EW25" s="82"/>
      <c r="EX25" s="82"/>
      <c r="EY25" s="82"/>
      <c r="EZ25" s="82"/>
      <c r="FA25" s="83"/>
    </row>
    <row r="26" spans="3:157">
      <c r="M26" s="93">
        <v>93731.205208687912</v>
      </c>
      <c r="U26" s="94">
        <v>91645.237368687915</v>
      </c>
      <c r="W26" s="94">
        <v>89980.249848687919</v>
      </c>
      <c r="Y26" s="95">
        <v>87867.87828868792</v>
      </c>
      <c r="AA26" s="94">
        <v>86667.211648687924</v>
      </c>
      <c r="AC26" s="94">
        <v>85103.179528687921</v>
      </c>
      <c r="AE26" s="95">
        <v>81441.641808687913</v>
      </c>
      <c r="AG26" s="94">
        <v>76135.529528687912</v>
      </c>
      <c r="AI26" s="94">
        <v>67316.613088687911</v>
      </c>
      <c r="AK26" s="95">
        <v>59651.472648687908</v>
      </c>
      <c r="AM26" s="94">
        <v>54103.067408687908</v>
      </c>
      <c r="AO26" s="94">
        <v>47747.610648687907</v>
      </c>
      <c r="AQ26" s="95">
        <v>42772.913128687906</v>
      </c>
      <c r="AR26" s="96"/>
      <c r="AS26" s="69">
        <v>42772.913128687906</v>
      </c>
      <c r="AT26" s="69"/>
      <c r="AU26" s="69">
        <v>42772.913128687906</v>
      </c>
      <c r="AV26" s="69"/>
      <c r="AW26" s="97">
        <v>42772.913128687906</v>
      </c>
      <c r="AY26" s="94">
        <v>42317.080828687904</v>
      </c>
      <c r="BA26" s="94">
        <v>41799.512428687907</v>
      </c>
      <c r="BC26" s="95">
        <v>40616.97011868791</v>
      </c>
      <c r="BE26" s="94">
        <v>38614.465278687909</v>
      </c>
      <c r="BG26" s="94">
        <v>35551.649968687911</v>
      </c>
      <c r="BI26" s="95">
        <v>32278.029838687911</v>
      </c>
      <c r="BK26" s="94">
        <v>29444.82207868791</v>
      </c>
      <c r="BM26" s="94">
        <v>27536.556408687909</v>
      </c>
      <c r="BO26" s="95">
        <v>26165.563948687908</v>
      </c>
      <c r="BQ26" s="94">
        <v>25355.270588687908</v>
      </c>
      <c r="BS26" s="94">
        <v>24763.280588687907</v>
      </c>
      <c r="BU26" s="98">
        <v>23850.206488687905</v>
      </c>
      <c r="BW26" s="99" t="s">
        <v>150</v>
      </c>
      <c r="BY26" s="69"/>
      <c r="CA26" s="100"/>
      <c r="CC26" s="69"/>
      <c r="CE26" s="69"/>
      <c r="CG26" s="100"/>
      <c r="CI26" s="69"/>
      <c r="CK26" s="69"/>
      <c r="CM26" s="100"/>
      <c r="CO26" s="69"/>
      <c r="CQ26" s="69"/>
      <c r="CS26" s="100"/>
      <c r="CT26" s="81"/>
      <c r="CU26" s="69"/>
      <c r="CW26" s="69"/>
      <c r="CY26" s="100"/>
      <c r="DA26" s="69"/>
      <c r="DC26" s="69"/>
      <c r="DE26" s="100"/>
      <c r="DG26" s="69"/>
      <c r="DI26" s="69"/>
      <c r="DK26" s="100"/>
      <c r="DM26" s="69"/>
      <c r="DO26" s="69"/>
      <c r="DQ26" s="100"/>
      <c r="DS26" s="69"/>
      <c r="DU26" s="69"/>
      <c r="DW26" s="100"/>
      <c r="DY26" s="69"/>
      <c r="EA26" s="69"/>
      <c r="EC26" s="100"/>
      <c r="EE26" s="69"/>
      <c r="EG26" s="69"/>
      <c r="EI26" s="100"/>
      <c r="EK26" s="69"/>
      <c r="EM26" s="69"/>
      <c r="EO26" s="100"/>
      <c r="EQ26" s="69"/>
      <c r="ES26" s="69"/>
      <c r="EU26" s="100"/>
      <c r="EW26" s="69"/>
      <c r="EY26" s="69"/>
      <c r="FA26" s="100"/>
    </row>
    <row r="27" spans="3:157">
      <c r="Y27" s="80"/>
      <c r="AE27" s="80"/>
      <c r="AK27" s="80"/>
      <c r="AQ27" s="101"/>
      <c r="AW27" s="102">
        <v>0.63720716282145562</v>
      </c>
      <c r="BC27" s="80"/>
      <c r="BI27" s="80"/>
      <c r="BO27" s="80"/>
      <c r="BU27" s="80"/>
      <c r="CA27" s="80"/>
      <c r="CG27" s="80"/>
      <c r="CM27" s="80"/>
      <c r="CS27" s="80"/>
      <c r="CT27" s="81"/>
      <c r="CY27" s="80"/>
      <c r="DE27" s="80"/>
      <c r="DK27" s="80"/>
      <c r="DQ27" s="80"/>
      <c r="DW27" s="80"/>
      <c r="EC27" s="80"/>
      <c r="EI27" s="80"/>
      <c r="EO27" s="80"/>
      <c r="EU27" s="80"/>
      <c r="FA27" s="80"/>
    </row>
    <row r="28" spans="3:157">
      <c r="Z28" s="81"/>
      <c r="AF28" s="81"/>
      <c r="AL28" s="81"/>
      <c r="AR28" s="81"/>
      <c r="AX28" s="81"/>
      <c r="BD28" s="81"/>
      <c r="BJ28" s="81"/>
      <c r="BP28" s="81"/>
      <c r="BV28" s="81"/>
      <c r="CB28" s="81"/>
      <c r="CH28" s="81"/>
      <c r="CN28" s="81"/>
      <c r="CS28" s="80"/>
      <c r="CT28" s="81"/>
      <c r="CZ28" s="81"/>
      <c r="DF28" s="81"/>
      <c r="DL28" s="81"/>
      <c r="DR28" s="81"/>
      <c r="DX28" s="81"/>
      <c r="ED28" s="81"/>
      <c r="EJ28" s="81"/>
      <c r="EP28" s="81"/>
      <c r="EV28" s="81"/>
      <c r="FA28" s="80"/>
    </row>
    <row r="29" spans="3:157">
      <c r="C29" s="86"/>
      <c r="S29" s="50" t="s">
        <v>153</v>
      </c>
      <c r="AA29" s="87">
        <v>0.4647</v>
      </c>
      <c r="AB29" s="88"/>
      <c r="AC29" s="89">
        <v>0.4647</v>
      </c>
      <c r="AD29" s="82"/>
      <c r="AE29" s="90">
        <v>0.4647</v>
      </c>
      <c r="AF29" s="82"/>
      <c r="AG29" s="89">
        <v>0.4647</v>
      </c>
      <c r="AH29" s="82"/>
      <c r="AI29" s="89">
        <v>0.4647</v>
      </c>
      <c r="AJ29" s="82"/>
      <c r="AK29" s="90">
        <v>0.4647</v>
      </c>
      <c r="AL29" s="82"/>
      <c r="AM29" s="89">
        <v>0.4647</v>
      </c>
      <c r="AN29" s="82"/>
      <c r="AO29" s="89">
        <v>0.4647</v>
      </c>
      <c r="AP29" s="82"/>
      <c r="AQ29" s="90">
        <v>0.4647</v>
      </c>
      <c r="AR29" s="82"/>
      <c r="AS29" s="89">
        <v>0.4647</v>
      </c>
      <c r="AT29" s="82"/>
      <c r="AU29" s="89">
        <v>0.4647</v>
      </c>
      <c r="AV29" s="82"/>
      <c r="AW29" s="90">
        <v>0.4647</v>
      </c>
      <c r="AX29" s="91"/>
      <c r="AY29" s="82"/>
      <c r="AZ29" s="82"/>
      <c r="BA29" s="82"/>
      <c r="BB29" s="82"/>
      <c r="BC29" s="50" t="s">
        <v>154</v>
      </c>
      <c r="BD29" s="82"/>
      <c r="BE29" s="92">
        <v>0.1434</v>
      </c>
      <c r="BF29" s="82"/>
      <c r="BG29" s="89">
        <v>0.1434</v>
      </c>
      <c r="BH29" s="82"/>
      <c r="BI29" s="90">
        <v>0.1434</v>
      </c>
      <c r="BJ29" s="82"/>
      <c r="BK29" s="89">
        <v>0.1434</v>
      </c>
      <c r="BL29" s="82"/>
      <c r="BM29" s="89">
        <v>0.1434</v>
      </c>
      <c r="BN29" s="82"/>
      <c r="BO29" s="90">
        <v>0.1434</v>
      </c>
      <c r="BP29" s="82"/>
      <c r="BQ29" s="89">
        <v>0.1434</v>
      </c>
      <c r="BR29" s="82"/>
      <c r="BS29" s="89">
        <v>0.1434</v>
      </c>
      <c r="BT29" s="82"/>
      <c r="BU29" s="90">
        <v>0.1434</v>
      </c>
      <c r="BV29" s="82"/>
      <c r="BW29" s="89">
        <v>0.1434</v>
      </c>
      <c r="BX29" s="82"/>
      <c r="BY29" s="89">
        <v>0.1434</v>
      </c>
      <c r="BZ29" s="82"/>
      <c r="CA29" s="90">
        <v>0.1434</v>
      </c>
      <c r="CC29" s="82"/>
      <c r="CD29" s="82"/>
      <c r="CE29" s="82"/>
      <c r="CF29" s="82"/>
      <c r="CG29" s="83"/>
      <c r="CI29" s="82"/>
      <c r="CJ29" s="82"/>
      <c r="CK29" s="82"/>
      <c r="CL29" s="82"/>
      <c r="CM29" s="83"/>
      <c r="CO29" s="82"/>
      <c r="CP29" s="82"/>
      <c r="CQ29" s="82"/>
      <c r="CR29" s="82"/>
      <c r="CS29" s="83"/>
      <c r="CT29" s="81"/>
      <c r="CU29" s="82"/>
      <c r="CV29" s="82"/>
      <c r="CW29" s="82"/>
      <c r="CX29" s="82"/>
      <c r="CY29" s="83"/>
      <c r="DA29" s="82"/>
      <c r="DB29" s="82"/>
      <c r="DC29" s="82"/>
      <c r="DD29" s="82"/>
      <c r="DE29" s="83"/>
      <c r="DG29" s="82"/>
      <c r="DH29" s="82"/>
      <c r="DI29" s="82"/>
      <c r="DJ29" s="82"/>
      <c r="DK29" s="83"/>
      <c r="DM29" s="82"/>
      <c r="DN29" s="82"/>
      <c r="DO29" s="82"/>
      <c r="DP29" s="82"/>
      <c r="DQ29" s="83"/>
      <c r="DS29" s="82"/>
      <c r="DT29" s="82"/>
      <c r="DU29" s="82"/>
      <c r="DV29" s="82"/>
      <c r="DW29" s="83"/>
      <c r="DY29" s="82"/>
      <c r="DZ29" s="82"/>
      <c r="EA29" s="82"/>
      <c r="EB29" s="82"/>
      <c r="EC29" s="83"/>
      <c r="EE29" s="82"/>
      <c r="EF29" s="82"/>
      <c r="EG29" s="82"/>
      <c r="EH29" s="82"/>
      <c r="EI29" s="83"/>
      <c r="EK29" s="82"/>
      <c r="EL29" s="82"/>
      <c r="EM29" s="82"/>
      <c r="EN29" s="82"/>
      <c r="EO29" s="83"/>
      <c r="EQ29" s="82"/>
      <c r="ER29" s="82"/>
      <c r="ES29" s="82"/>
      <c r="ET29" s="82"/>
      <c r="EU29" s="83"/>
      <c r="EW29" s="82"/>
      <c r="EX29" s="82"/>
      <c r="EY29" s="82"/>
      <c r="EZ29" s="82"/>
      <c r="FA29" s="83"/>
    </row>
    <row r="30" spans="3:157">
      <c r="S30" s="93">
        <v>58542.815247980208</v>
      </c>
      <c r="AA30" s="94">
        <v>57788.421267980208</v>
      </c>
      <c r="AC30" s="94">
        <v>56805.720177980205</v>
      </c>
      <c r="AE30" s="95">
        <v>54505.129887980205</v>
      </c>
      <c r="AG30" s="94">
        <v>51171.232677980202</v>
      </c>
      <c r="AI30" s="94">
        <v>45630.1963479802</v>
      </c>
      <c r="AK30" s="95">
        <v>40814.092017980198</v>
      </c>
      <c r="AM30" s="94">
        <v>37327.959087980198</v>
      </c>
      <c r="AO30" s="94">
        <v>33334.745517980198</v>
      </c>
      <c r="AQ30" s="95">
        <v>30209.080377980197</v>
      </c>
      <c r="AS30" s="94">
        <v>29041.661037980197</v>
      </c>
      <c r="AU30" s="94">
        <v>27998.130717980195</v>
      </c>
      <c r="AW30" s="95">
        <v>27096.845067980194</v>
      </c>
      <c r="AX30" s="96"/>
      <c r="AY30" s="69">
        <v>27096.845067980194</v>
      </c>
      <c r="AZ30" s="69"/>
      <c r="BA30" s="69">
        <v>27096.845067980194</v>
      </c>
      <c r="BB30" s="69"/>
      <c r="BC30" s="97">
        <v>27096.845067980194</v>
      </c>
      <c r="BE30" s="94">
        <v>26078.188827980193</v>
      </c>
      <c r="BG30" s="94">
        <v>24520.162167980194</v>
      </c>
      <c r="BI30" s="95">
        <v>22854.900987980192</v>
      </c>
      <c r="BK30" s="94">
        <v>21413.673627980192</v>
      </c>
      <c r="BM30" s="94">
        <v>20442.956007980192</v>
      </c>
      <c r="BO30" s="95">
        <v>19745.544447980192</v>
      </c>
      <c r="BQ30" s="94">
        <v>19333.355487980192</v>
      </c>
      <c r="BS30" s="94">
        <v>19032.215487980193</v>
      </c>
      <c r="BU30" s="95">
        <v>18567.742887980192</v>
      </c>
      <c r="BW30" s="94">
        <v>17778.651405980192</v>
      </c>
      <c r="BY30" s="94">
        <v>17259.227925980191</v>
      </c>
      <c r="CA30" s="98">
        <v>16679.891925980191</v>
      </c>
      <c r="CC30" s="99" t="s">
        <v>150</v>
      </c>
      <c r="CE30" s="69"/>
      <c r="CG30" s="100"/>
      <c r="CI30" s="69"/>
      <c r="CK30" s="69"/>
      <c r="CM30" s="100"/>
      <c r="CO30" s="69"/>
      <c r="CQ30" s="69"/>
      <c r="CS30" s="100"/>
      <c r="CT30" s="81"/>
      <c r="CU30" s="69"/>
      <c r="CW30" s="69"/>
      <c r="CY30" s="100"/>
      <c r="DA30" s="69"/>
      <c r="DC30" s="69"/>
      <c r="DE30" s="100"/>
      <c r="DG30" s="69"/>
      <c r="DI30" s="69"/>
      <c r="DK30" s="100"/>
      <c r="DM30" s="69"/>
      <c r="DO30" s="69"/>
      <c r="DQ30" s="100"/>
      <c r="DS30" s="69"/>
      <c r="DU30" s="69"/>
      <c r="DW30" s="100"/>
      <c r="DY30" s="69"/>
      <c r="EA30" s="69"/>
      <c r="EC30" s="100"/>
      <c r="EE30" s="69"/>
      <c r="EG30" s="69"/>
      <c r="EI30" s="100"/>
      <c r="EK30" s="69"/>
      <c r="EM30" s="69"/>
      <c r="EO30" s="100"/>
      <c r="EQ30" s="69"/>
      <c r="ES30" s="69"/>
      <c r="EU30" s="100"/>
      <c r="EW30" s="69"/>
      <c r="EY30" s="69"/>
      <c r="FA30" s="100"/>
    </row>
    <row r="31" spans="3:157">
      <c r="AE31" s="80"/>
      <c r="AK31" s="80"/>
      <c r="AQ31" s="80"/>
      <c r="AW31" s="101"/>
      <c r="BC31" s="102">
        <v>0.37301574940197224</v>
      </c>
      <c r="BI31" s="80"/>
      <c r="BO31" s="80"/>
      <c r="BU31" s="80"/>
      <c r="CA31" s="80"/>
      <c r="CG31" s="80"/>
      <c r="CM31" s="80"/>
      <c r="CS31" s="80"/>
      <c r="CT31" s="81"/>
      <c r="CY31" s="80"/>
      <c r="DE31" s="80"/>
      <c r="DK31" s="80"/>
      <c r="DQ31" s="80"/>
      <c r="DW31" s="80"/>
      <c r="EC31" s="80"/>
      <c r="EI31" s="80"/>
      <c r="EO31" s="80"/>
      <c r="EU31" s="80"/>
      <c r="FA31" s="80"/>
    </row>
    <row r="32" spans="3:157">
      <c r="U32" s="69"/>
      <c r="AF32" s="81"/>
      <c r="AL32" s="81"/>
      <c r="AR32" s="81"/>
      <c r="AX32" s="81"/>
      <c r="BD32" s="81"/>
      <c r="BJ32" s="81"/>
      <c r="BP32" s="81"/>
      <c r="BV32" s="81"/>
      <c r="CB32" s="81"/>
      <c r="CH32" s="81"/>
      <c r="CN32" s="81"/>
      <c r="CS32" s="80"/>
      <c r="CT32" s="81"/>
      <c r="CZ32" s="81"/>
      <c r="DF32" s="81"/>
      <c r="DL32" s="81"/>
      <c r="DR32" s="81"/>
      <c r="DX32" s="81"/>
      <c r="ED32" s="81"/>
      <c r="EJ32" s="81"/>
      <c r="EP32" s="81"/>
      <c r="EV32" s="81"/>
      <c r="FA32" s="80"/>
    </row>
    <row r="33" spans="3:157">
      <c r="C33" s="86"/>
      <c r="W33" s="69"/>
      <c r="Y33" s="50" t="s">
        <v>155</v>
      </c>
      <c r="AG33" s="87">
        <v>0.439</v>
      </c>
      <c r="AH33" s="88"/>
      <c r="AI33" s="89">
        <v>0.439</v>
      </c>
      <c r="AJ33" s="82"/>
      <c r="AK33" s="90">
        <v>0.439</v>
      </c>
      <c r="AL33" s="82"/>
      <c r="AM33" s="89">
        <v>0.439</v>
      </c>
      <c r="AN33" s="82"/>
      <c r="AO33" s="89">
        <v>0.439</v>
      </c>
      <c r="AP33" s="82"/>
      <c r="AQ33" s="90">
        <v>0.439</v>
      </c>
      <c r="AR33" s="82"/>
      <c r="AS33" s="89">
        <v>0.439</v>
      </c>
      <c r="AT33" s="82"/>
      <c r="AU33" s="89">
        <v>0.439</v>
      </c>
      <c r="AV33" s="82"/>
      <c r="AW33" s="90">
        <v>0.439</v>
      </c>
      <c r="AX33" s="82"/>
      <c r="AY33" s="89">
        <v>0.439</v>
      </c>
      <c r="AZ33" s="82"/>
      <c r="BA33" s="89">
        <v>0.439</v>
      </c>
      <c r="BB33" s="82"/>
      <c r="BC33" s="90">
        <v>0.439</v>
      </c>
      <c r="BD33" s="91"/>
      <c r="BE33" s="82"/>
      <c r="BF33" s="82"/>
      <c r="BG33" s="82"/>
      <c r="BH33" s="82"/>
      <c r="BI33" s="83"/>
      <c r="BJ33" s="82"/>
      <c r="BK33" s="92">
        <v>0</v>
      </c>
      <c r="BL33" s="82"/>
      <c r="BM33" s="89">
        <v>0</v>
      </c>
      <c r="BN33" s="82"/>
      <c r="BO33" s="90">
        <v>0</v>
      </c>
      <c r="BP33" s="82"/>
      <c r="BQ33" s="89">
        <v>0</v>
      </c>
      <c r="BR33" s="82"/>
      <c r="BS33" s="89">
        <v>0</v>
      </c>
      <c r="BT33" s="82"/>
      <c r="BU33" s="90">
        <v>0</v>
      </c>
      <c r="BV33" s="82"/>
      <c r="BW33" s="89">
        <v>0</v>
      </c>
      <c r="BX33" s="82"/>
      <c r="BY33" s="89">
        <v>0</v>
      </c>
      <c r="BZ33" s="82"/>
      <c r="CA33" s="90">
        <v>0</v>
      </c>
      <c r="CB33" s="82"/>
      <c r="CC33" s="89">
        <v>0</v>
      </c>
      <c r="CD33" s="82"/>
      <c r="CE33" s="89">
        <v>0</v>
      </c>
      <c r="CF33" s="82"/>
      <c r="CG33" s="90">
        <v>0</v>
      </c>
      <c r="CI33" s="82"/>
      <c r="CJ33" s="82"/>
      <c r="CK33" s="82"/>
      <c r="CL33" s="82"/>
      <c r="CM33" s="83"/>
      <c r="CO33" s="82"/>
      <c r="CP33" s="82"/>
      <c r="CQ33" s="82"/>
      <c r="CR33" s="82"/>
      <c r="CS33" s="83"/>
      <c r="CT33" s="81"/>
      <c r="CU33" s="82"/>
      <c r="CV33" s="82"/>
      <c r="CW33" s="82"/>
      <c r="CX33" s="82"/>
      <c r="CY33" s="83"/>
      <c r="DA33" s="82"/>
      <c r="DB33" s="82"/>
      <c r="DC33" s="82"/>
      <c r="DD33" s="82"/>
      <c r="DE33" s="83"/>
      <c r="DG33" s="82"/>
      <c r="DH33" s="82"/>
      <c r="DI33" s="82"/>
      <c r="DJ33" s="82"/>
      <c r="DK33" s="83"/>
      <c r="DM33" s="82"/>
      <c r="DN33" s="82"/>
      <c r="DO33" s="82"/>
      <c r="DP33" s="82"/>
      <c r="DQ33" s="83"/>
      <c r="DS33" s="82"/>
      <c r="DT33" s="82"/>
      <c r="DU33" s="82"/>
      <c r="DV33" s="82"/>
      <c r="DW33" s="83"/>
      <c r="DY33" s="82"/>
      <c r="DZ33" s="82"/>
      <c r="EA33" s="82"/>
      <c r="EB33" s="82"/>
      <c r="EC33" s="83"/>
      <c r="EE33" s="82"/>
      <c r="EF33" s="82"/>
      <c r="EG33" s="82"/>
      <c r="EH33" s="82"/>
      <c r="EI33" s="83"/>
      <c r="EK33" s="82"/>
      <c r="EL33" s="82"/>
      <c r="EM33" s="82"/>
      <c r="EN33" s="82"/>
      <c r="EO33" s="83"/>
      <c r="EQ33" s="82"/>
      <c r="ER33" s="82"/>
      <c r="ES33" s="82"/>
      <c r="ET33" s="82"/>
      <c r="EU33" s="83"/>
      <c r="EW33" s="82"/>
      <c r="EX33" s="82"/>
      <c r="EY33" s="82"/>
      <c r="EZ33" s="82"/>
      <c r="FA33" s="83"/>
    </row>
    <row r="34" spans="3:157">
      <c r="Y34" s="93">
        <v>51564.689735336426</v>
      </c>
      <c r="AG34" s="94">
        <v>48415.172035336429</v>
      </c>
      <c r="AI34" s="94">
        <v>43180.579935336427</v>
      </c>
      <c r="AK34" s="95">
        <v>38630.827835336429</v>
      </c>
      <c r="AM34" s="94">
        <v>35337.493735336429</v>
      </c>
      <c r="AO34" s="94">
        <v>31565.122835336428</v>
      </c>
      <c r="AQ34" s="95">
        <v>28612.321035336427</v>
      </c>
      <c r="AS34" s="94">
        <v>27509.465235336425</v>
      </c>
      <c r="AU34" s="94">
        <v>26523.646835336425</v>
      </c>
      <c r="AW34" s="95">
        <v>25672.206335336425</v>
      </c>
      <c r="AY34" s="94">
        <v>24962.343335336423</v>
      </c>
      <c r="BA34" s="94">
        <v>24156.339335336423</v>
      </c>
      <c r="BC34" s="95">
        <v>22314.778235336424</v>
      </c>
      <c r="BD34" s="96"/>
      <c r="BE34" s="69">
        <v>22314.778235336424</v>
      </c>
      <c r="BF34" s="69"/>
      <c r="BG34" s="69">
        <v>22314.778235336424</v>
      </c>
      <c r="BH34" s="69"/>
      <c r="BI34" s="97">
        <v>22314.778235336424</v>
      </c>
      <c r="BK34" s="94">
        <v>22314.778235336424</v>
      </c>
      <c r="BM34" s="94">
        <v>22314.778235336424</v>
      </c>
      <c r="BO34" s="95">
        <v>22314.778235336424</v>
      </c>
      <c r="BQ34" s="94">
        <v>22314.778235336424</v>
      </c>
      <c r="BS34" s="94">
        <v>22314.778235336424</v>
      </c>
      <c r="BU34" s="95">
        <v>22314.778235336424</v>
      </c>
      <c r="BW34" s="94">
        <v>22314.778235336424</v>
      </c>
      <c r="BY34" s="94">
        <v>22314.778235336424</v>
      </c>
      <c r="CA34" s="95">
        <v>22314.778235336424</v>
      </c>
      <c r="CC34" s="94">
        <v>22314.778235336424</v>
      </c>
      <c r="CE34" s="94">
        <v>22314.778235336424</v>
      </c>
      <c r="CG34" s="98">
        <v>22314.778235336424</v>
      </c>
      <c r="CI34" s="99" t="s">
        <v>166</v>
      </c>
      <c r="CK34" s="69"/>
      <c r="CM34" s="100"/>
      <c r="CO34" s="69"/>
      <c r="CQ34" s="69"/>
      <c r="CS34" s="100"/>
      <c r="CT34" s="81"/>
      <c r="CU34" s="69"/>
      <c r="CW34" s="69"/>
      <c r="CY34" s="100"/>
      <c r="DA34" s="69"/>
      <c r="DC34" s="69"/>
      <c r="DE34" s="100"/>
      <c r="DG34" s="69"/>
      <c r="DI34" s="69"/>
      <c r="DK34" s="100"/>
      <c r="DM34" s="69"/>
      <c r="DO34" s="69"/>
      <c r="DQ34" s="100"/>
      <c r="DS34" s="69"/>
      <c r="DU34" s="69"/>
      <c r="DW34" s="100"/>
      <c r="DY34" s="69"/>
      <c r="EA34" s="69"/>
      <c r="EC34" s="100"/>
      <c r="EE34" s="69"/>
      <c r="EG34" s="69"/>
      <c r="EI34" s="100"/>
      <c r="EK34" s="69"/>
      <c r="EM34" s="69"/>
      <c r="EO34" s="100"/>
      <c r="EQ34" s="69"/>
      <c r="ES34" s="69"/>
      <c r="EU34" s="100"/>
      <c r="EW34" s="69"/>
      <c r="EY34" s="69"/>
      <c r="FA34" s="100"/>
    </row>
    <row r="35" spans="3:157">
      <c r="AK35" s="80"/>
      <c r="AQ35" s="80"/>
      <c r="AW35" s="80"/>
      <c r="BC35" s="101"/>
      <c r="BI35" s="102"/>
      <c r="BO35" s="80"/>
      <c r="BU35" s="80"/>
      <c r="CA35" s="80"/>
      <c r="CG35" s="80"/>
      <c r="CM35" s="80"/>
      <c r="CS35" s="80"/>
      <c r="CT35" s="81"/>
      <c r="CY35" s="80"/>
      <c r="DE35" s="80"/>
      <c r="DK35" s="80"/>
      <c r="DQ35" s="80"/>
      <c r="DW35" s="80"/>
      <c r="EC35" s="80"/>
      <c r="EI35" s="80"/>
      <c r="EO35" s="80"/>
      <c r="EU35" s="80"/>
      <c r="FA35" s="80"/>
    </row>
    <row r="36" spans="3:157">
      <c r="AK36" s="80"/>
      <c r="AM36" s="82"/>
      <c r="AO36" s="82"/>
      <c r="AP36" s="82"/>
      <c r="AQ36" s="83"/>
      <c r="AR36" s="82"/>
      <c r="AS36" s="82"/>
      <c r="AT36" s="82"/>
      <c r="AU36" s="82"/>
      <c r="AV36" s="82"/>
      <c r="AW36" s="83"/>
      <c r="AX36" s="82"/>
      <c r="AY36" s="82"/>
      <c r="AZ36" s="82"/>
      <c r="BA36" s="82"/>
      <c r="BB36" s="82"/>
      <c r="BC36" s="83"/>
      <c r="BD36" s="82"/>
      <c r="BE36" s="82"/>
      <c r="BF36" s="82"/>
      <c r="BG36" s="82"/>
      <c r="BH36" s="82"/>
      <c r="BI36" s="83"/>
      <c r="BJ36" s="91"/>
      <c r="BK36" s="82"/>
      <c r="BL36" s="82"/>
      <c r="BM36" s="82"/>
      <c r="BN36" s="82"/>
      <c r="BO36" s="83"/>
      <c r="BP36" s="82"/>
      <c r="BR36" s="82"/>
      <c r="BS36" s="82"/>
      <c r="BT36" s="82"/>
      <c r="BU36" s="83"/>
      <c r="BV36" s="82"/>
      <c r="BW36" s="82"/>
      <c r="BX36" s="82"/>
      <c r="BY36" s="82"/>
      <c r="BZ36" s="82"/>
      <c r="CA36" s="83"/>
      <c r="CB36" s="82"/>
      <c r="CC36" s="82"/>
      <c r="CD36" s="82"/>
      <c r="CE36" s="82"/>
      <c r="CF36" s="82"/>
      <c r="CG36" s="83"/>
      <c r="CH36" s="82"/>
      <c r="CI36" s="82"/>
      <c r="CJ36" s="82"/>
      <c r="CK36" s="82"/>
      <c r="CL36" s="82"/>
      <c r="CM36" s="83"/>
      <c r="CO36" s="82"/>
      <c r="CP36" s="82"/>
      <c r="CQ36" s="82"/>
      <c r="CR36" s="82"/>
      <c r="CS36" s="83"/>
      <c r="CT36" s="81"/>
      <c r="CU36" s="82"/>
      <c r="CV36" s="82"/>
      <c r="CW36" s="82"/>
      <c r="CX36" s="82"/>
      <c r="CY36" s="83"/>
      <c r="DA36" s="82"/>
      <c r="DB36" s="82"/>
      <c r="DC36" s="82"/>
      <c r="DD36" s="82"/>
      <c r="DE36" s="83"/>
      <c r="DG36" s="82"/>
      <c r="DH36" s="82"/>
      <c r="DI36" s="82"/>
      <c r="DJ36" s="82"/>
      <c r="DK36" s="83"/>
      <c r="DM36" s="82"/>
      <c r="DN36" s="82"/>
      <c r="DO36" s="82"/>
      <c r="DP36" s="82"/>
      <c r="DQ36" s="83"/>
      <c r="DS36" s="82"/>
      <c r="DT36" s="82"/>
      <c r="DU36" s="82"/>
      <c r="DV36" s="82"/>
      <c r="DW36" s="83"/>
      <c r="DY36" s="82"/>
      <c r="DZ36" s="82"/>
      <c r="EA36" s="82"/>
      <c r="EB36" s="82"/>
      <c r="EC36" s="83"/>
      <c r="EE36" s="82"/>
      <c r="EF36" s="82"/>
      <c r="EG36" s="82"/>
      <c r="EH36" s="82"/>
      <c r="EI36" s="83"/>
      <c r="EK36" s="82"/>
      <c r="EL36" s="82"/>
      <c r="EM36" s="82"/>
      <c r="EN36" s="82"/>
      <c r="EO36" s="83"/>
      <c r="EQ36" s="82"/>
      <c r="ER36" s="82"/>
      <c r="ES36" s="82"/>
      <c r="ET36" s="82"/>
      <c r="EU36" s="83"/>
      <c r="EW36" s="82"/>
      <c r="EX36" s="82"/>
      <c r="EY36" s="82"/>
      <c r="EZ36" s="82"/>
      <c r="FA36" s="83"/>
    </row>
    <row r="37" spans="3:157">
      <c r="C37" s="86"/>
      <c r="AE37" s="50" t="s">
        <v>156</v>
      </c>
      <c r="AM37" s="87">
        <v>0.19839999999999999</v>
      </c>
      <c r="AN37" s="88"/>
      <c r="AO37" s="89">
        <v>0.19839999999999999</v>
      </c>
      <c r="AP37" s="82"/>
      <c r="AQ37" s="90">
        <v>0.19839999999999999</v>
      </c>
      <c r="AR37" s="82"/>
      <c r="AS37" s="89">
        <v>0.19839999999999999</v>
      </c>
      <c r="AT37" s="82"/>
      <c r="AU37" s="89">
        <v>0.19839999999999999</v>
      </c>
      <c r="AV37" s="82"/>
      <c r="AW37" s="90">
        <v>0.19839999999999999</v>
      </c>
      <c r="AX37" s="82"/>
      <c r="AY37" s="89">
        <v>0.19839999999999999</v>
      </c>
      <c r="AZ37" s="82"/>
      <c r="BA37" s="89">
        <v>0.19839999999999999</v>
      </c>
      <c r="BB37" s="82"/>
      <c r="BC37" s="90">
        <v>0.19839999999999999</v>
      </c>
      <c r="BD37" s="82"/>
      <c r="BE37" s="89">
        <v>0.19839999999999999</v>
      </c>
      <c r="BF37" s="82"/>
      <c r="BG37" s="89">
        <v>0.19839999999999999</v>
      </c>
      <c r="BH37" s="82"/>
      <c r="BI37" s="90">
        <v>0.19839999999999999</v>
      </c>
      <c r="BJ37" s="91"/>
      <c r="BK37" s="82"/>
      <c r="BL37" s="82"/>
      <c r="BM37" s="82"/>
      <c r="BN37" s="82"/>
      <c r="BO37" s="83"/>
      <c r="BP37" s="82"/>
      <c r="BQ37" s="92">
        <v>0</v>
      </c>
      <c r="BR37" s="82"/>
      <c r="BS37" s="89">
        <v>0</v>
      </c>
      <c r="BT37" s="82"/>
      <c r="BU37" s="90">
        <v>0</v>
      </c>
      <c r="BV37" s="82"/>
      <c r="BW37" s="89">
        <v>0</v>
      </c>
      <c r="BX37" s="82"/>
      <c r="BY37" s="89">
        <v>0</v>
      </c>
      <c r="BZ37" s="82"/>
      <c r="CA37" s="90">
        <v>0</v>
      </c>
      <c r="CB37" s="82"/>
      <c r="CC37" s="89">
        <v>0</v>
      </c>
      <c r="CD37" s="82"/>
      <c r="CE37" s="89">
        <v>0</v>
      </c>
      <c r="CF37" s="82"/>
      <c r="CG37" s="90">
        <v>0</v>
      </c>
      <c r="CH37" s="82"/>
      <c r="CI37" s="89">
        <v>0</v>
      </c>
      <c r="CJ37" s="82"/>
      <c r="CK37" s="89">
        <v>0</v>
      </c>
      <c r="CL37" s="82"/>
      <c r="CM37" s="90">
        <v>0</v>
      </c>
      <c r="CO37" s="82"/>
      <c r="CP37" s="82"/>
      <c r="CQ37" s="82"/>
      <c r="CR37" s="82"/>
      <c r="CS37" s="83"/>
      <c r="CT37" s="81"/>
      <c r="CU37" s="82"/>
      <c r="CV37" s="82"/>
      <c r="CW37" s="82"/>
      <c r="CX37" s="82"/>
      <c r="CY37" s="83"/>
      <c r="DA37" s="82"/>
      <c r="DB37" s="82"/>
      <c r="DC37" s="82"/>
      <c r="DD37" s="82"/>
      <c r="DE37" s="83"/>
      <c r="DG37" s="82"/>
      <c r="DH37" s="82"/>
      <c r="DI37" s="82"/>
      <c r="DJ37" s="82"/>
      <c r="DK37" s="83"/>
      <c r="DM37" s="82"/>
      <c r="DN37" s="82"/>
      <c r="DO37" s="82"/>
      <c r="DP37" s="82"/>
      <c r="DQ37" s="83"/>
      <c r="DS37" s="82"/>
      <c r="DT37" s="82"/>
      <c r="DU37" s="82"/>
      <c r="DV37" s="82"/>
      <c r="DW37" s="83"/>
      <c r="DY37" s="82"/>
      <c r="DZ37" s="82"/>
      <c r="EA37" s="82"/>
      <c r="EB37" s="82"/>
      <c r="EC37" s="83"/>
      <c r="EE37" s="82"/>
      <c r="EF37" s="82"/>
      <c r="EG37" s="82"/>
      <c r="EH37" s="82"/>
      <c r="EI37" s="83"/>
      <c r="EK37" s="82"/>
      <c r="EL37" s="82"/>
      <c r="EM37" s="82"/>
      <c r="EN37" s="82"/>
      <c r="EO37" s="83"/>
      <c r="EQ37" s="82"/>
      <c r="ER37" s="82"/>
      <c r="ES37" s="82"/>
      <c r="ET37" s="82"/>
      <c r="EU37" s="83"/>
      <c r="EW37" s="82"/>
      <c r="EX37" s="82"/>
      <c r="EY37" s="82"/>
      <c r="EZ37" s="82"/>
      <c r="FA37" s="83"/>
    </row>
    <row r="38" spans="3:157">
      <c r="AE38" s="93">
        <v>20744.769812498915</v>
      </c>
      <c r="AM38" s="94">
        <v>19256.392852498913</v>
      </c>
      <c r="AO38" s="94">
        <v>17551.521812498911</v>
      </c>
      <c r="AQ38" s="95">
        <v>16217.043732498911</v>
      </c>
      <c r="AS38" s="94">
        <v>15718.62325249891</v>
      </c>
      <c r="AU38" s="94">
        <v>15273.096212498909</v>
      </c>
      <c r="AW38" s="95">
        <v>14888.299412498909</v>
      </c>
      <c r="AY38" s="94">
        <v>14567.486612498909</v>
      </c>
      <c r="BA38" s="94">
        <v>14203.22421249891</v>
      </c>
      <c r="BC38" s="95">
        <v>13370.95605249891</v>
      </c>
      <c r="BE38" s="94">
        <v>11961.60181249891</v>
      </c>
      <c r="BG38" s="94">
        <v>9806.0056524989086</v>
      </c>
      <c r="BI38" s="95">
        <v>7502.0459724989087</v>
      </c>
      <c r="BJ38" s="96"/>
      <c r="BK38" s="69">
        <v>7502.0459724989087</v>
      </c>
      <c r="BL38" s="69"/>
      <c r="BM38" s="69">
        <v>7502.0459724989087</v>
      </c>
      <c r="BN38" s="69"/>
      <c r="BO38" s="97">
        <v>7502.0459724989087</v>
      </c>
      <c r="BQ38" s="94">
        <v>7502.0459724989087</v>
      </c>
      <c r="BS38" s="94">
        <v>7502.0459724989087</v>
      </c>
      <c r="BU38" s="95">
        <v>7502.0459724989087</v>
      </c>
      <c r="BW38" s="94">
        <v>7502.0459724989087</v>
      </c>
      <c r="BY38" s="94">
        <v>7502.0459724989087</v>
      </c>
      <c r="CA38" s="95">
        <v>7502.0459724989087</v>
      </c>
      <c r="CC38" s="94">
        <v>7502.0459724989087</v>
      </c>
      <c r="CE38" s="94">
        <v>7502.0459724989087</v>
      </c>
      <c r="CG38" s="95">
        <v>7502.0459724989087</v>
      </c>
      <c r="CI38" s="94">
        <v>7502.0459724989087</v>
      </c>
      <c r="CK38" s="94">
        <v>7502.0459724989087</v>
      </c>
      <c r="CM38" s="98">
        <v>7502.0459724989087</v>
      </c>
      <c r="CO38" s="99" t="s">
        <v>229</v>
      </c>
      <c r="CQ38" s="69"/>
      <c r="CS38" s="100"/>
      <c r="CT38" s="81"/>
      <c r="CU38" s="69"/>
      <c r="CW38" s="69"/>
      <c r="CY38" s="100"/>
      <c r="DA38" s="69"/>
      <c r="DC38" s="69"/>
      <c r="DE38" s="100"/>
      <c r="DG38" s="69"/>
      <c r="DI38" s="69"/>
      <c r="DK38" s="100"/>
      <c r="DM38" s="69"/>
      <c r="DO38" s="69"/>
      <c r="DQ38" s="100"/>
      <c r="DS38" s="69"/>
      <c r="DU38" s="69"/>
      <c r="DW38" s="100"/>
      <c r="DY38" s="69"/>
      <c r="EA38" s="69"/>
      <c r="EC38" s="100"/>
      <c r="EE38" s="69"/>
      <c r="EG38" s="69"/>
      <c r="EI38" s="100"/>
      <c r="EK38" s="69"/>
      <c r="EM38" s="69"/>
      <c r="EO38" s="100"/>
      <c r="EQ38" s="69"/>
      <c r="ES38" s="69"/>
      <c r="EU38" s="100"/>
      <c r="EW38" s="69"/>
      <c r="EY38" s="69"/>
      <c r="FA38" s="100"/>
    </row>
    <row r="39" spans="3:157">
      <c r="AQ39" s="80"/>
      <c r="AW39" s="80"/>
      <c r="BC39" s="80"/>
      <c r="BI39" s="101"/>
      <c r="BO39" s="102"/>
      <c r="BU39" s="80"/>
      <c r="CA39" s="80"/>
      <c r="CG39" s="80"/>
      <c r="CM39" s="80"/>
      <c r="CN39" s="81"/>
      <c r="CS39" s="80"/>
      <c r="CT39" s="81"/>
      <c r="CY39" s="80"/>
      <c r="DE39" s="80"/>
      <c r="DK39" s="80"/>
      <c r="DQ39" s="80"/>
      <c r="DW39" s="80"/>
      <c r="EC39" s="80"/>
      <c r="EI39" s="80"/>
      <c r="EO39" s="80"/>
      <c r="EU39" s="80"/>
      <c r="FA39" s="80"/>
    </row>
    <row r="40" spans="3:157">
      <c r="AR40" s="81"/>
      <c r="AX40" s="81"/>
      <c r="BD40" s="81"/>
      <c r="BJ40" s="81"/>
      <c r="BO40" s="80"/>
      <c r="BV40" s="81"/>
      <c r="CB40" s="81"/>
      <c r="CH40" s="81"/>
      <c r="CN40" s="81"/>
      <c r="CS40" s="80"/>
      <c r="CT40" s="81"/>
      <c r="CZ40" s="81"/>
      <c r="DF40" s="81"/>
      <c r="DL40" s="81"/>
      <c r="DR40" s="81"/>
      <c r="DX40" s="81"/>
      <c r="ED40" s="81"/>
      <c r="EJ40" s="81"/>
      <c r="EP40" s="81"/>
      <c r="EV40" s="81"/>
      <c r="FA40" s="80"/>
    </row>
    <row r="41" spans="3:157">
      <c r="C41" s="86"/>
      <c r="AK41" s="50" t="s">
        <v>149</v>
      </c>
      <c r="AS41" s="87">
        <v>-1.1947000000000001</v>
      </c>
      <c r="AT41" s="88"/>
      <c r="AU41" s="89">
        <v>-1.1947000000000001</v>
      </c>
      <c r="AV41" s="82"/>
      <c r="AW41" s="90">
        <v>-1.1947000000000001</v>
      </c>
      <c r="AX41" s="82"/>
      <c r="AY41" s="89">
        <v>-1.1947000000000001</v>
      </c>
      <c r="AZ41" s="82"/>
      <c r="BA41" s="89">
        <v>-1.1947000000000001</v>
      </c>
      <c r="BB41" s="82"/>
      <c r="BC41" s="90">
        <v>-1.1947000000000001</v>
      </c>
      <c r="BD41" s="82"/>
      <c r="BE41" s="89">
        <v>-1.1947000000000001</v>
      </c>
      <c r="BF41" s="82"/>
      <c r="BG41" s="89">
        <v>-1.1947000000000001</v>
      </c>
      <c r="BH41" s="82"/>
      <c r="BI41" s="90">
        <v>-1.1947000000000001</v>
      </c>
      <c r="BJ41" s="82"/>
      <c r="BK41" s="89">
        <v>-1.1947000000000001</v>
      </c>
      <c r="BL41" s="82"/>
      <c r="BM41" s="89">
        <v>-1.1947000000000001</v>
      </c>
      <c r="BN41" s="82"/>
      <c r="BO41" s="90">
        <v>-1.1947000000000001</v>
      </c>
      <c r="BP41" s="91"/>
      <c r="BQ41" s="82"/>
      <c r="BR41" s="82"/>
      <c r="BS41" s="82"/>
      <c r="BT41" s="82"/>
      <c r="BU41" s="83"/>
      <c r="BV41" s="82"/>
      <c r="BW41" s="92">
        <v>0</v>
      </c>
      <c r="BX41" s="82"/>
      <c r="BY41" s="89">
        <v>0</v>
      </c>
      <c r="BZ41" s="82"/>
      <c r="CA41" s="90">
        <v>0</v>
      </c>
      <c r="CB41" s="82"/>
      <c r="CC41" s="89">
        <v>0</v>
      </c>
      <c r="CD41" s="82"/>
      <c r="CE41" s="89">
        <v>0</v>
      </c>
      <c r="CF41" s="82"/>
      <c r="CG41" s="90">
        <v>0</v>
      </c>
      <c r="CH41" s="82"/>
      <c r="CI41" s="89">
        <v>0</v>
      </c>
      <c r="CJ41" s="82"/>
      <c r="CK41" s="89">
        <v>0</v>
      </c>
      <c r="CL41" s="82"/>
      <c r="CM41" s="90">
        <v>0</v>
      </c>
      <c r="CN41" s="82"/>
      <c r="CO41" s="89">
        <v>0</v>
      </c>
      <c r="CP41" s="82"/>
      <c r="CQ41" s="89">
        <v>0</v>
      </c>
      <c r="CR41" s="82"/>
      <c r="CS41" s="90">
        <v>0</v>
      </c>
      <c r="CT41" s="81"/>
      <c r="CU41" s="82"/>
      <c r="CV41" s="82"/>
      <c r="CW41" s="82"/>
      <c r="CX41" s="82"/>
      <c r="CY41" s="82"/>
      <c r="CZ41" s="81"/>
      <c r="DA41" s="82"/>
      <c r="DB41" s="82"/>
      <c r="DC41" s="82"/>
      <c r="DD41" s="82"/>
      <c r="DE41" s="82"/>
      <c r="DF41" s="81"/>
      <c r="DG41" s="82"/>
      <c r="DH41" s="82"/>
      <c r="DI41" s="82"/>
      <c r="DJ41" s="82"/>
      <c r="DK41" s="82"/>
      <c r="DL41" s="81"/>
      <c r="DM41" s="82"/>
      <c r="DN41" s="82"/>
      <c r="DO41" s="82"/>
      <c r="DP41" s="82"/>
      <c r="DQ41" s="82"/>
      <c r="DR41" s="81"/>
      <c r="DS41" s="82"/>
      <c r="DT41" s="82"/>
      <c r="DU41" s="82"/>
      <c r="DV41" s="82"/>
      <c r="DW41" s="82"/>
      <c r="DX41" s="81"/>
      <c r="DY41" s="82"/>
      <c r="DZ41" s="82"/>
      <c r="EA41" s="82"/>
      <c r="EB41" s="82"/>
      <c r="EC41" s="82"/>
      <c r="ED41" s="81"/>
      <c r="EE41" s="82"/>
      <c r="EF41" s="82"/>
      <c r="EG41" s="82"/>
      <c r="EH41" s="82"/>
      <c r="EI41" s="82"/>
      <c r="EJ41" s="81"/>
      <c r="EK41" s="82"/>
      <c r="EL41" s="82"/>
      <c r="EM41" s="82"/>
      <c r="EN41" s="82"/>
      <c r="EO41" s="82"/>
      <c r="EP41" s="81"/>
      <c r="EQ41" s="82"/>
      <c r="ER41" s="82"/>
      <c r="ES41" s="82"/>
      <c r="ET41" s="82"/>
      <c r="EU41" s="82"/>
      <c r="EV41" s="81"/>
      <c r="EW41" s="82"/>
      <c r="EX41" s="82"/>
      <c r="EY41" s="82"/>
      <c r="EZ41" s="82"/>
      <c r="FA41" s="83"/>
    </row>
    <row r="42" spans="3:157">
      <c r="AK42" s="93">
        <v>-142494.47509074249</v>
      </c>
      <c r="AS42" s="94">
        <v>-139493.14975074248</v>
      </c>
      <c r="AU42" s="94">
        <v>-136810.33143074249</v>
      </c>
      <c r="AW42" s="95">
        <v>-134493.21078074249</v>
      </c>
      <c r="AY42" s="94">
        <v>-132561.38088074248</v>
      </c>
      <c r="BA42" s="94">
        <v>-130367.91168074247</v>
      </c>
      <c r="BC42" s="95">
        <v>-125356.26465074247</v>
      </c>
      <c r="BE42" s="94">
        <v>-116869.59373074246</v>
      </c>
      <c r="BG42" s="94">
        <v>-103889.29770074246</v>
      </c>
      <c r="BI42" s="95">
        <v>-90015.605010742467</v>
      </c>
      <c r="BK42" s="94">
        <v>-78008.392130742461</v>
      </c>
      <c r="BM42" s="94">
        <v>-69921.109420742461</v>
      </c>
      <c r="BO42" s="95">
        <v>-64110.805440742457</v>
      </c>
      <c r="BP42" s="96"/>
      <c r="BQ42" s="69">
        <v>-64110.805440742457</v>
      </c>
      <c r="BR42" s="69"/>
      <c r="BS42" s="69">
        <v>-64110.805440742457</v>
      </c>
      <c r="BT42" s="69"/>
      <c r="BU42" s="97">
        <v>-64110.805440742457</v>
      </c>
      <c r="BW42" s="94">
        <v>-64110.805440742457</v>
      </c>
      <c r="BY42" s="94">
        <v>-64110.805440742457</v>
      </c>
      <c r="CA42" s="95">
        <v>-64110.805440742457</v>
      </c>
      <c r="CC42" s="94">
        <v>-64110.805440742457</v>
      </c>
      <c r="CE42" s="94">
        <v>-64110.805440742457</v>
      </c>
      <c r="CG42" s="95">
        <v>-64110.805440742457</v>
      </c>
      <c r="CI42" s="94">
        <v>-64110.805440742457</v>
      </c>
      <c r="CK42" s="94">
        <v>-64110.805440742457</v>
      </c>
      <c r="CM42" s="95">
        <v>-64110.805440742457</v>
      </c>
      <c r="CO42" s="94">
        <v>-64110.805440742457</v>
      </c>
      <c r="CQ42" s="94">
        <v>-64110.805440742457</v>
      </c>
      <c r="CS42" s="98">
        <v>-64110.805440742457</v>
      </c>
      <c r="CT42" s="81"/>
      <c r="CU42" s="69"/>
      <c r="CW42" s="69"/>
      <c r="CY42" s="69"/>
      <c r="CZ42" s="81"/>
      <c r="DA42" s="69"/>
      <c r="DC42" s="69"/>
      <c r="DE42" s="69"/>
      <c r="DF42" s="81"/>
      <c r="DG42" s="69"/>
      <c r="DI42" s="69"/>
      <c r="DK42" s="69"/>
      <c r="DL42" s="81"/>
      <c r="DM42" s="69"/>
      <c r="DO42" s="69"/>
      <c r="DQ42" s="69"/>
      <c r="DR42" s="81"/>
      <c r="DS42" s="69"/>
      <c r="DU42" s="69"/>
      <c r="DW42" s="69"/>
      <c r="DX42" s="81"/>
      <c r="DY42" s="69"/>
      <c r="EA42" s="69"/>
      <c r="EC42" s="69"/>
      <c r="ED42" s="81"/>
      <c r="EE42" s="69"/>
      <c r="EG42" s="69"/>
      <c r="EI42" s="69"/>
      <c r="EJ42" s="81"/>
      <c r="EK42" s="69"/>
      <c r="EM42" s="69"/>
      <c r="EO42" s="69"/>
      <c r="EP42" s="81"/>
      <c r="EQ42" s="69"/>
      <c r="ES42" s="69"/>
      <c r="EU42" s="69"/>
      <c r="EV42" s="81"/>
      <c r="EW42" s="69"/>
      <c r="EY42" s="69"/>
      <c r="FA42" s="100"/>
    </row>
    <row r="43" spans="3:157">
      <c r="AW43" s="80"/>
      <c r="BC43" s="80"/>
      <c r="BI43" s="80"/>
      <c r="BO43" s="101"/>
      <c r="BU43" s="102"/>
      <c r="CA43" s="80"/>
      <c r="CG43" s="80"/>
      <c r="CM43" s="80"/>
      <c r="CS43" s="80"/>
      <c r="CT43" s="81"/>
      <c r="CZ43" s="81"/>
      <c r="DF43" s="81"/>
      <c r="DL43" s="81"/>
      <c r="DR43" s="81"/>
      <c r="DX43" s="81"/>
      <c r="ED43" s="81"/>
      <c r="EJ43" s="81"/>
      <c r="EP43" s="81"/>
      <c r="EV43" s="81"/>
      <c r="FA43" s="80"/>
    </row>
    <row r="44" spans="3:157">
      <c r="AX44" s="81"/>
      <c r="BD44" s="81"/>
      <c r="BJ44" s="81"/>
      <c r="BP44" s="81"/>
      <c r="BU44" s="80"/>
      <c r="BV44" s="81"/>
      <c r="CB44" s="81"/>
      <c r="CH44" s="81"/>
      <c r="CN44" s="81"/>
      <c r="CS44" s="80"/>
      <c r="CT44" s="81"/>
      <c r="CZ44" s="81"/>
      <c r="DF44" s="81"/>
      <c r="DL44" s="81"/>
      <c r="DR44" s="81"/>
      <c r="DX44" s="81"/>
      <c r="ED44" s="81"/>
      <c r="EJ44" s="81"/>
      <c r="EP44" s="81"/>
      <c r="EV44" s="81"/>
      <c r="FA44" s="80"/>
    </row>
    <row r="45" spans="3:157">
      <c r="C45" s="86"/>
      <c r="AQ45" s="50" t="s">
        <v>152</v>
      </c>
      <c r="AY45" s="87">
        <v>-1.8673999999999999</v>
      </c>
      <c r="AZ45" s="88"/>
      <c r="BA45" s="89">
        <v>-1.8673999999999999</v>
      </c>
      <c r="BB45" s="82"/>
      <c r="BC45" s="90">
        <v>-1.8673999999999999</v>
      </c>
      <c r="BD45" s="82"/>
      <c r="BE45" s="89">
        <v>-1.8673999999999999</v>
      </c>
      <c r="BF45" s="82"/>
      <c r="BG45" s="89">
        <v>-1.8673999999999999</v>
      </c>
      <c r="BH45" s="82"/>
      <c r="BI45" s="90">
        <v>-1.8673999999999999</v>
      </c>
      <c r="BJ45" s="82"/>
      <c r="BK45" s="89">
        <v>-1.8673999999999999</v>
      </c>
      <c r="BL45" s="82"/>
      <c r="BM45" s="89">
        <v>-1.8673999999999999</v>
      </c>
      <c r="BN45" s="82"/>
      <c r="BO45" s="90">
        <v>-1.8673999999999999</v>
      </c>
      <c r="BP45" s="82"/>
      <c r="BQ45" s="89">
        <v>-1.8673999999999999</v>
      </c>
      <c r="BR45" s="82"/>
      <c r="BS45" s="89">
        <v>-1.8673999999999999</v>
      </c>
      <c r="BT45" s="82"/>
      <c r="BU45" s="90">
        <v>-1.8673999999999999</v>
      </c>
      <c r="BV45" s="91"/>
      <c r="BW45" s="82"/>
      <c r="BX45" s="82"/>
      <c r="BY45" s="82"/>
      <c r="BZ45" s="82"/>
      <c r="CA45" s="83"/>
      <c r="CB45" s="82"/>
      <c r="CC45" s="92">
        <v>0</v>
      </c>
      <c r="CD45" s="82"/>
      <c r="CE45" s="89">
        <v>0</v>
      </c>
      <c r="CF45" s="82"/>
      <c r="CG45" s="90">
        <v>0</v>
      </c>
      <c r="CH45" s="82"/>
      <c r="CI45" s="89">
        <v>0</v>
      </c>
      <c r="CJ45" s="82"/>
      <c r="CK45" s="89">
        <v>0</v>
      </c>
      <c r="CL45" s="82"/>
      <c r="CM45" s="90">
        <v>0</v>
      </c>
      <c r="CN45" s="82"/>
      <c r="CO45" s="89">
        <v>0</v>
      </c>
      <c r="CP45" s="82"/>
      <c r="CQ45" s="89">
        <v>0</v>
      </c>
      <c r="CR45" s="82"/>
      <c r="CS45" s="90">
        <v>0</v>
      </c>
      <c r="CT45" s="82"/>
      <c r="CU45" s="89">
        <v>0</v>
      </c>
      <c r="CV45" s="82"/>
      <c r="CW45" s="89">
        <v>0</v>
      </c>
      <c r="CX45" s="82"/>
      <c r="CY45" s="90">
        <v>0</v>
      </c>
      <c r="CZ45" s="81"/>
      <c r="DA45" s="82"/>
      <c r="DB45" s="82"/>
      <c r="DC45" s="82"/>
      <c r="DD45" s="82"/>
      <c r="DE45" s="82"/>
      <c r="DF45" s="81"/>
      <c r="DG45" s="82"/>
      <c r="DH45" s="82"/>
      <c r="DI45" s="82"/>
      <c r="DJ45" s="82"/>
      <c r="DK45" s="82"/>
      <c r="DL45" s="81"/>
      <c r="DM45" s="82"/>
      <c r="DN45" s="82"/>
      <c r="DO45" s="82"/>
      <c r="DP45" s="82"/>
      <c r="DQ45" s="82"/>
      <c r="DR45" s="81"/>
      <c r="DS45" s="82"/>
      <c r="DT45" s="82"/>
      <c r="DU45" s="82"/>
      <c r="DV45" s="82"/>
      <c r="DW45" s="82"/>
      <c r="DX45" s="81"/>
      <c r="DY45" s="82"/>
      <c r="DZ45" s="82"/>
      <c r="EA45" s="82"/>
      <c r="EB45" s="82"/>
      <c r="EC45" s="82"/>
      <c r="ED45" s="81"/>
      <c r="EE45" s="82"/>
      <c r="EF45" s="82"/>
      <c r="EG45" s="82"/>
      <c r="EH45" s="82"/>
      <c r="EI45" s="82"/>
      <c r="EJ45" s="81"/>
      <c r="EK45" s="82"/>
      <c r="EL45" s="82"/>
      <c r="EM45" s="82"/>
      <c r="EN45" s="82"/>
      <c r="EO45" s="82"/>
      <c r="EP45" s="81"/>
      <c r="EQ45" s="82"/>
      <c r="ER45" s="82"/>
      <c r="ES45" s="82"/>
      <c r="ET45" s="82"/>
      <c r="EU45" s="82"/>
      <c r="EV45" s="81"/>
      <c r="EW45" s="82"/>
      <c r="EX45" s="82"/>
      <c r="EY45" s="82"/>
      <c r="EZ45" s="82"/>
      <c r="FA45" s="83"/>
    </row>
    <row r="46" spans="3:157">
      <c r="C46" s="86"/>
      <c r="AQ46" s="93">
        <v>-79698.355192625386</v>
      </c>
      <c r="AY46" s="94">
        <v>-76678.769392625385</v>
      </c>
      <c r="BA46" s="94">
        <v>-73250.222992625379</v>
      </c>
      <c r="BC46" s="95">
        <v>-65416.666732625381</v>
      </c>
      <c r="BE46" s="94">
        <v>-52151.40409262538</v>
      </c>
      <c r="BG46" s="94">
        <v>-31862.289832625378</v>
      </c>
      <c r="BI46" s="95">
        <v>-10176.733852625377</v>
      </c>
      <c r="BK46" s="94">
        <v>8591.3831073746223</v>
      </c>
      <c r="BM46" s="94">
        <v>21232.373927374625</v>
      </c>
      <c r="BO46" s="95">
        <v>30314.287087374625</v>
      </c>
      <c r="BQ46" s="94">
        <v>35681.941647374624</v>
      </c>
      <c r="BS46" s="94">
        <v>39603.481647374625</v>
      </c>
      <c r="BU46" s="95">
        <v>45651.990247374626</v>
      </c>
      <c r="BV46" s="96"/>
      <c r="BW46" s="69">
        <v>45651.990247374626</v>
      </c>
      <c r="BX46" s="69"/>
      <c r="BY46" s="69">
        <v>45651.990247374626</v>
      </c>
      <c r="BZ46" s="69"/>
      <c r="CA46" s="97">
        <v>45651.990247374626</v>
      </c>
      <c r="CC46" s="94">
        <v>45651.990247374626</v>
      </c>
      <c r="CE46" s="94">
        <v>45651.990247374626</v>
      </c>
      <c r="CG46" s="95">
        <v>45651.990247374626</v>
      </c>
      <c r="CI46" s="94">
        <v>45651.990247374626</v>
      </c>
      <c r="CK46" s="94">
        <v>45651.990247374626</v>
      </c>
      <c r="CM46" s="95">
        <v>45651.990247374626</v>
      </c>
      <c r="CO46" s="94">
        <v>45651.990247374626</v>
      </c>
      <c r="CQ46" s="94">
        <v>45651.990247374626</v>
      </c>
      <c r="CS46" s="95">
        <v>45651.990247374626</v>
      </c>
      <c r="CU46" s="94">
        <v>45651.990247374626</v>
      </c>
      <c r="CW46" s="94">
        <v>45651.990247374626</v>
      </c>
      <c r="CY46" s="98">
        <v>45651.990247374626</v>
      </c>
      <c r="CZ46" s="81"/>
      <c r="DA46" s="69"/>
      <c r="DC46" s="69"/>
      <c r="DE46" s="69"/>
      <c r="DF46" s="81"/>
      <c r="DG46" s="69"/>
      <c r="DI46" s="69"/>
      <c r="DK46" s="69"/>
      <c r="DL46" s="81"/>
      <c r="DM46" s="69"/>
      <c r="DO46" s="69"/>
      <c r="DQ46" s="69"/>
      <c r="DR46" s="81"/>
      <c r="DS46" s="69"/>
      <c r="DU46" s="69"/>
      <c r="DW46" s="69"/>
      <c r="DX46" s="81"/>
      <c r="DY46" s="69"/>
      <c r="EA46" s="69"/>
      <c r="EC46" s="69"/>
      <c r="ED46" s="81"/>
      <c r="EE46" s="69"/>
      <c r="EG46" s="69"/>
      <c r="EI46" s="69"/>
      <c r="EJ46" s="81"/>
      <c r="EK46" s="69"/>
      <c r="EM46" s="69"/>
      <c r="EO46" s="69"/>
      <c r="EP46" s="81"/>
      <c r="EQ46" s="69"/>
      <c r="ES46" s="69"/>
      <c r="EU46" s="69"/>
      <c r="EV46" s="81"/>
      <c r="EW46" s="69"/>
      <c r="EY46" s="69"/>
      <c r="FA46" s="100"/>
    </row>
    <row r="47" spans="3:157">
      <c r="BC47" s="80"/>
      <c r="BI47" s="80"/>
      <c r="BO47" s="80"/>
      <c r="BU47" s="101"/>
      <c r="CA47" s="102"/>
      <c r="CG47" s="80"/>
      <c r="CM47" s="80"/>
      <c r="CS47" s="80"/>
      <c r="CY47" s="80"/>
      <c r="CZ47" s="81"/>
      <c r="DF47" s="81"/>
      <c r="DL47" s="81"/>
      <c r="DR47" s="81"/>
      <c r="DX47" s="81"/>
      <c r="ED47" s="81"/>
      <c r="EJ47" s="81"/>
      <c r="EP47" s="81"/>
      <c r="EV47" s="81"/>
      <c r="FA47" s="80"/>
    </row>
    <row r="48" spans="3:157">
      <c r="BD48" s="81"/>
      <c r="BJ48" s="81"/>
      <c r="BP48" s="81"/>
      <c r="BV48" s="81"/>
      <c r="CB48" s="81"/>
      <c r="CH48" s="81"/>
      <c r="CN48" s="81"/>
      <c r="CS48" s="80"/>
      <c r="CT48" s="81"/>
      <c r="CZ48" s="81"/>
      <c r="DF48" s="81"/>
      <c r="DL48" s="81"/>
      <c r="DR48" s="81"/>
      <c r="DX48" s="81"/>
      <c r="ED48" s="81"/>
      <c r="EJ48" s="81"/>
      <c r="EP48" s="81"/>
      <c r="EV48" s="81"/>
      <c r="FA48" s="80"/>
    </row>
    <row r="49" spans="3:157">
      <c r="C49" s="86" t="s">
        <v>170</v>
      </c>
      <c r="AW49" s="50" t="s">
        <v>154</v>
      </c>
      <c r="BE49" s="87">
        <v>-0.57050000000000001</v>
      </c>
      <c r="BF49" s="88"/>
      <c r="BG49" s="89">
        <v>-0.57050000000000001</v>
      </c>
      <c r="BH49" s="82"/>
      <c r="BI49" s="90">
        <v>-0.57050000000000001</v>
      </c>
      <c r="BJ49" s="82"/>
      <c r="BK49" s="89">
        <v>-0.57050000000000001</v>
      </c>
      <c r="BL49" s="82"/>
      <c r="BM49" s="89">
        <v>-0.57050000000000001</v>
      </c>
      <c r="BN49" s="82"/>
      <c r="BO49" s="90">
        <v>-0.57050000000000001</v>
      </c>
      <c r="BP49" s="82"/>
      <c r="BQ49" s="89">
        <v>-0.57050000000000001</v>
      </c>
      <c r="BR49" s="82"/>
      <c r="BS49" s="89">
        <v>-0.57050000000000001</v>
      </c>
      <c r="BT49" s="82"/>
      <c r="BU49" s="90">
        <v>-0.57050000000000001</v>
      </c>
      <c r="BV49" s="82"/>
      <c r="BW49" s="89">
        <v>-0.57050000000000001</v>
      </c>
      <c r="BX49" s="82"/>
      <c r="BY49" s="89">
        <v>-0.57050000000000001</v>
      </c>
      <c r="BZ49" s="82"/>
      <c r="CA49" s="90">
        <v>-0.57050000000000001</v>
      </c>
      <c r="CB49" s="91"/>
      <c r="CC49" s="82"/>
      <c r="CD49" s="82"/>
      <c r="CE49" s="82"/>
      <c r="CF49" s="82"/>
      <c r="CG49" s="83"/>
      <c r="CH49" s="82"/>
      <c r="CI49" s="92">
        <v>0.61560000000000004</v>
      </c>
      <c r="CJ49" s="82"/>
      <c r="CK49" s="89">
        <f>CI49</f>
        <v>0.61560000000000004</v>
      </c>
      <c r="CL49" s="82"/>
      <c r="CM49" s="90">
        <f>CK49</f>
        <v>0.61560000000000004</v>
      </c>
      <c r="CN49" s="82"/>
      <c r="CO49" s="89">
        <f>CM49</f>
        <v>0.61560000000000004</v>
      </c>
      <c r="CP49" s="82"/>
      <c r="CQ49" s="89">
        <f>CO49</f>
        <v>0.61560000000000004</v>
      </c>
      <c r="CR49" s="82"/>
      <c r="CS49" s="90">
        <f>CQ49</f>
        <v>0.61560000000000004</v>
      </c>
      <c r="CT49" s="82"/>
      <c r="CU49" s="89">
        <f>CS49</f>
        <v>0.61560000000000004</v>
      </c>
      <c r="CV49" s="82"/>
      <c r="CW49" s="89">
        <f>CU49</f>
        <v>0.61560000000000004</v>
      </c>
      <c r="CX49" s="82"/>
      <c r="CY49" s="90">
        <f>CW49</f>
        <v>0.61560000000000004</v>
      </c>
      <c r="CZ49" s="82"/>
      <c r="DA49" s="89">
        <f>CY49</f>
        <v>0.61560000000000004</v>
      </c>
      <c r="DB49" s="82"/>
      <c r="DC49" s="89">
        <f>DA49</f>
        <v>0.61560000000000004</v>
      </c>
      <c r="DD49" s="82"/>
      <c r="DE49" s="90">
        <f>DC49</f>
        <v>0.61560000000000004</v>
      </c>
      <c r="DF49" s="81"/>
      <c r="DG49" s="82"/>
      <c r="DH49" s="82"/>
      <c r="DI49" s="82"/>
      <c r="DJ49" s="82"/>
      <c r="DK49" s="82"/>
      <c r="DL49" s="81"/>
      <c r="DM49" s="82"/>
      <c r="DN49" s="82"/>
      <c r="DO49" s="82"/>
      <c r="DP49" s="82"/>
      <c r="DQ49" s="82"/>
      <c r="DR49" s="81"/>
      <c r="DS49" s="82"/>
      <c r="DT49" s="82"/>
      <c r="DU49" s="82"/>
      <c r="DV49" s="82"/>
      <c r="DW49" s="82"/>
      <c r="DX49" s="81"/>
      <c r="DY49" s="82"/>
      <c r="DZ49" s="82"/>
      <c r="EA49" s="82"/>
      <c r="EB49" s="82"/>
      <c r="EC49" s="82"/>
      <c r="ED49" s="81"/>
      <c r="EE49" s="82"/>
      <c r="EF49" s="82"/>
      <c r="EG49" s="82"/>
      <c r="EH49" s="82"/>
      <c r="EI49" s="82"/>
      <c r="EJ49" s="81"/>
      <c r="EK49" s="82"/>
      <c r="EL49" s="82"/>
      <c r="EM49" s="82"/>
      <c r="EN49" s="82"/>
      <c r="EO49" s="82"/>
      <c r="EP49" s="81"/>
      <c r="EQ49" s="82"/>
      <c r="ER49" s="82"/>
      <c r="ES49" s="82"/>
      <c r="ET49" s="82"/>
      <c r="EU49" s="82"/>
      <c r="EV49" s="81"/>
      <c r="EW49" s="82"/>
      <c r="EX49" s="82"/>
      <c r="EY49" s="82"/>
      <c r="EZ49" s="82"/>
      <c r="FA49" s="83"/>
    </row>
    <row r="50" spans="3:157">
      <c r="C50" s="86"/>
      <c r="AW50" s="93">
        <v>20573.011312868715</v>
      </c>
      <c r="BE50" s="94">
        <v>24625.615112868716</v>
      </c>
      <c r="BG50" s="94">
        <v>30824.040562868715</v>
      </c>
      <c r="BI50" s="95">
        <v>37449.085912868715</v>
      </c>
      <c r="BK50" s="94">
        <v>43182.839112868714</v>
      </c>
      <c r="BM50" s="94">
        <v>47044.724762868718</v>
      </c>
      <c r="BO50" s="95">
        <v>49819.294462868718</v>
      </c>
      <c r="BQ50" s="94">
        <v>51459.139662868722</v>
      </c>
      <c r="BS50" s="94">
        <v>52657.189662868725</v>
      </c>
      <c r="BU50" s="95">
        <v>54505.039162868721</v>
      </c>
      <c r="BW50" s="94">
        <v>57644.346627868719</v>
      </c>
      <c r="BY50" s="94">
        <v>59710.81172786872</v>
      </c>
      <c r="CA50" s="95">
        <v>62015.63172786872</v>
      </c>
      <c r="CB50" s="96"/>
      <c r="CC50" s="69">
        <v>62015.63172786872</v>
      </c>
      <c r="CD50" s="69"/>
      <c r="CE50" s="69">
        <v>62015.63172786872</v>
      </c>
      <c r="CF50" s="69"/>
      <c r="CG50" s="97">
        <f>CE50+(CA30+BU26+BO22)</f>
        <v>106733.31678638933</v>
      </c>
      <c r="CI50" s="94">
        <f>CG50-(CI49*CI$5)</f>
        <v>99983.201226389327</v>
      </c>
      <c r="CK50" s="94">
        <f>CI50-(CK49*CK$5)</f>
        <v>95331.542946389323</v>
      </c>
      <c r="CM50" s="95">
        <f>CK50-(CM49*CM$5)</f>
        <v>92552.478306389326</v>
      </c>
      <c r="CO50" s="94">
        <f>CM50-(CO49*CO$5)</f>
        <v>89333.296602389324</v>
      </c>
      <c r="CQ50" s="94">
        <f>CO50-(CQ49*CQ$5)</f>
        <v>86834.650074389327</v>
      </c>
      <c r="CS50" s="95">
        <f>CQ50-(CS49*CS$5)</f>
        <v>84561.707130389332</v>
      </c>
      <c r="CU50" s="94">
        <f>CS50-(CU49*CU$5)</f>
        <v>82466.79201278933</v>
      </c>
      <c r="CW50" s="94">
        <f>CU50-(CW49*CW$5)</f>
        <v>80361.440012789331</v>
      </c>
      <c r="CY50" s="95">
        <f>CW50-(CY49*CY$5)</f>
        <v>77065.443740789327</v>
      </c>
      <c r="DA50" s="94">
        <f>CY50-(DA49*DA$5)</f>
        <v>71954.240060789321</v>
      </c>
      <c r="DC50" s="94">
        <f>DA50-(DC49*DC$5)</f>
        <v>64605.79823678932</v>
      </c>
      <c r="DE50" s="98">
        <f>DC50-(DE49*DE$5)</f>
        <v>56221.030748789322</v>
      </c>
      <c r="DF50" s="81"/>
      <c r="DG50" s="69"/>
      <c r="DI50" s="69"/>
      <c r="DK50" s="69"/>
      <c r="DL50" s="81"/>
      <c r="DM50" s="69"/>
      <c r="DO50" s="69"/>
      <c r="DQ50" s="69"/>
      <c r="DR50" s="81"/>
      <c r="DS50" s="69"/>
      <c r="DU50" s="69"/>
      <c r="DW50" s="69"/>
      <c r="DX50" s="81"/>
      <c r="DY50" s="69"/>
      <c r="EA50" s="69"/>
      <c r="EC50" s="69"/>
      <c r="ED50" s="81"/>
      <c r="EE50" s="69"/>
      <c r="EG50" s="69"/>
      <c r="EI50" s="69"/>
      <c r="EJ50" s="81"/>
      <c r="EK50" s="69"/>
      <c r="EM50" s="69"/>
      <c r="EO50" s="69"/>
      <c r="EP50" s="81"/>
      <c r="EQ50" s="69"/>
      <c r="ES50" s="69"/>
      <c r="EU50" s="69"/>
      <c r="EV50" s="81"/>
      <c r="EW50" s="69"/>
      <c r="EY50" s="69"/>
      <c r="FA50" s="100"/>
    </row>
    <row r="51" spans="3:157">
      <c r="C51" s="73"/>
      <c r="BI51" s="80"/>
      <c r="BO51" s="80"/>
      <c r="BU51" s="80"/>
      <c r="CA51" s="101"/>
      <c r="CG51" s="102"/>
      <c r="CM51" s="80"/>
      <c r="CS51" s="80"/>
      <c r="CY51" s="80"/>
      <c r="DE51" s="80"/>
      <c r="DF51" s="81"/>
      <c r="DL51" s="81"/>
      <c r="DR51" s="81"/>
      <c r="DX51" s="81"/>
      <c r="ED51" s="81"/>
      <c r="EJ51" s="81"/>
      <c r="EP51" s="81"/>
      <c r="EV51" s="81"/>
      <c r="FA51" s="80"/>
    </row>
    <row r="52" spans="3:157">
      <c r="C52" s="73"/>
      <c r="BJ52" s="81"/>
      <c r="BP52" s="81"/>
      <c r="BV52" s="81"/>
      <c r="CB52" s="81"/>
      <c r="CH52" s="81"/>
      <c r="CN52" s="81"/>
      <c r="CS52" s="80"/>
      <c r="CT52" s="81"/>
      <c r="CZ52" s="81"/>
      <c r="DF52" s="81"/>
      <c r="DL52" s="81"/>
      <c r="DR52" s="81"/>
      <c r="DX52" s="81"/>
      <c r="ED52" s="81"/>
      <c r="EJ52" s="81"/>
      <c r="EP52" s="81"/>
      <c r="EV52" s="81"/>
      <c r="FA52" s="80"/>
    </row>
    <row r="53" spans="3:157">
      <c r="C53" s="103" t="s">
        <v>169</v>
      </c>
      <c r="BC53" s="65" t="s">
        <v>157</v>
      </c>
      <c r="BK53" s="87">
        <v>0</v>
      </c>
      <c r="BL53" s="88"/>
      <c r="BM53" s="89">
        <v>0</v>
      </c>
      <c r="BN53" s="82"/>
      <c r="BO53" s="90">
        <v>0</v>
      </c>
      <c r="BP53" s="82"/>
      <c r="BQ53" s="89">
        <v>0</v>
      </c>
      <c r="BR53" s="82"/>
      <c r="BS53" s="89">
        <v>0</v>
      </c>
      <c r="BT53" s="82"/>
      <c r="BU53" s="90">
        <v>0</v>
      </c>
      <c r="BV53" s="82"/>
      <c r="BW53" s="89">
        <v>0</v>
      </c>
      <c r="BX53" s="82"/>
      <c r="BY53" s="89">
        <v>0</v>
      </c>
      <c r="BZ53" s="82"/>
      <c r="CA53" s="90">
        <v>0</v>
      </c>
      <c r="CB53" s="82"/>
      <c r="CC53" s="89">
        <v>0</v>
      </c>
      <c r="CD53" s="82"/>
      <c r="CE53" s="89">
        <v>0</v>
      </c>
      <c r="CF53" s="82"/>
      <c r="CG53" s="90">
        <v>0</v>
      </c>
      <c r="CH53" s="91"/>
      <c r="CI53" s="82"/>
      <c r="CJ53" s="82"/>
      <c r="CK53" s="82"/>
      <c r="CL53" s="82"/>
      <c r="CM53" s="83"/>
      <c r="CN53" s="82"/>
      <c r="CO53" s="92">
        <v>0.2908</v>
      </c>
      <c r="CP53" s="82"/>
      <c r="CQ53" s="89">
        <f>CO53</f>
        <v>0.2908</v>
      </c>
      <c r="CR53" s="82"/>
      <c r="CS53" s="90">
        <f>CQ53</f>
        <v>0.2908</v>
      </c>
      <c r="CT53" s="82"/>
      <c r="CU53" s="89">
        <f>CS53</f>
        <v>0.2908</v>
      </c>
      <c r="CV53" s="82"/>
      <c r="CW53" s="89">
        <f>CU53</f>
        <v>0.2908</v>
      </c>
      <c r="CX53" s="82"/>
      <c r="CY53" s="90">
        <f>CW53</f>
        <v>0.2908</v>
      </c>
      <c r="CZ53" s="82"/>
      <c r="DA53" s="89">
        <f>CY53</f>
        <v>0.2908</v>
      </c>
      <c r="DB53" s="82"/>
      <c r="DC53" s="89">
        <f>DA53</f>
        <v>0.2908</v>
      </c>
      <c r="DD53" s="82"/>
      <c r="DE53" s="90">
        <f>DC53</f>
        <v>0.2908</v>
      </c>
      <c r="DF53" s="82"/>
      <c r="DG53" s="89">
        <f>DE53</f>
        <v>0.2908</v>
      </c>
      <c r="DH53" s="82"/>
      <c r="DI53" s="89">
        <f>DG53</f>
        <v>0.2908</v>
      </c>
      <c r="DJ53" s="82"/>
      <c r="DK53" s="90">
        <f>DI53</f>
        <v>0.2908</v>
      </c>
      <c r="DL53" s="81"/>
      <c r="DM53" s="82"/>
      <c r="DN53" s="82"/>
      <c r="DO53" s="82"/>
      <c r="DP53" s="82"/>
      <c r="DQ53" s="82"/>
      <c r="DR53" s="81"/>
      <c r="DS53" s="82"/>
      <c r="DT53" s="82"/>
      <c r="DU53" s="82"/>
      <c r="DV53" s="82"/>
      <c r="DW53" s="82"/>
      <c r="DX53" s="81"/>
      <c r="DY53" s="82"/>
      <c r="DZ53" s="82"/>
      <c r="EA53" s="82"/>
      <c r="EB53" s="82"/>
      <c r="EC53" s="82"/>
      <c r="ED53" s="81"/>
      <c r="EE53" s="82"/>
      <c r="EF53" s="82"/>
      <c r="EG53" s="82"/>
      <c r="EH53" s="82"/>
      <c r="EI53" s="82"/>
      <c r="EJ53" s="81"/>
      <c r="EK53" s="82"/>
      <c r="EL53" s="82"/>
      <c r="EM53" s="82"/>
      <c r="EN53" s="82"/>
      <c r="EO53" s="82"/>
      <c r="EP53" s="81"/>
      <c r="EQ53" s="82"/>
      <c r="ER53" s="82"/>
      <c r="ES53" s="82"/>
      <c r="ET53" s="82"/>
      <c r="EU53" s="82"/>
      <c r="EV53" s="81"/>
      <c r="EW53" s="82"/>
      <c r="EX53" s="82"/>
      <c r="EY53" s="82"/>
      <c r="EZ53" s="82"/>
      <c r="FA53" s="83"/>
    </row>
    <row r="54" spans="3:157">
      <c r="C54" s="73"/>
      <c r="BC54" s="93">
        <v>39902.253173637335</v>
      </c>
      <c r="BK54" s="94">
        <v>39902.253173637335</v>
      </c>
      <c r="BM54" s="94">
        <v>39902.253173637335</v>
      </c>
      <c r="BO54" s="95">
        <v>39902.253173637335</v>
      </c>
      <c r="BQ54" s="94">
        <v>39902.253173637335</v>
      </c>
      <c r="BS54" s="94">
        <v>39902.253173637335</v>
      </c>
      <c r="BU54" s="95">
        <v>39902.253173637335</v>
      </c>
      <c r="BW54" s="94">
        <v>39902.253173637335</v>
      </c>
      <c r="BY54" s="94">
        <v>39902.253173637335</v>
      </c>
      <c r="CA54" s="95">
        <v>39902.253173637335</v>
      </c>
      <c r="CC54" s="94">
        <v>39902.253173637335</v>
      </c>
      <c r="CE54" s="94">
        <v>39902.253173637335</v>
      </c>
      <c r="CG54" s="95">
        <v>39902.253173637335</v>
      </c>
      <c r="CH54" s="96"/>
      <c r="CI54" s="222">
        <f>CG54+CG34</f>
        <v>62217.031408973759</v>
      </c>
      <c r="CJ54" s="69"/>
      <c r="CK54" s="69">
        <f>CI54</f>
        <v>62217.031408973759</v>
      </c>
      <c r="CL54" s="69"/>
      <c r="CM54" s="100">
        <f>CK54</f>
        <v>62217.031408973759</v>
      </c>
      <c r="CO54" s="94">
        <f>CM54-(CO53*CO$5)</f>
        <v>60696.339336973761</v>
      </c>
      <c r="CQ54" s="94">
        <f>CO54-(CQ53*CQ$5)</f>
        <v>59516.017032973759</v>
      </c>
      <c r="CS54" s="95">
        <f>CQ54-(CS53*CS$5)</f>
        <v>58442.313640973756</v>
      </c>
      <c r="CU54" s="94">
        <f>CS54-(CU53*CU$5)</f>
        <v>57452.707864173753</v>
      </c>
      <c r="CW54" s="94">
        <f>CU54-(CW53*CW$5)</f>
        <v>56458.171864173753</v>
      </c>
      <c r="CY54" s="95">
        <f>CW54-(CY53*CY$5)</f>
        <v>54901.193768173755</v>
      </c>
      <c r="DA54" s="94">
        <f>CY54-(DA53*DA$5)</f>
        <v>52486.739528173755</v>
      </c>
      <c r="DC54" s="94">
        <f>DA54-(DC53*DC$5)</f>
        <v>49015.448296173759</v>
      </c>
      <c r="DE54" s="95">
        <f>DC54-(DE53*DE$5)</f>
        <v>45054.612712173759</v>
      </c>
      <c r="DG54" s="94">
        <f>DE54-(DG53*DG$5)</f>
        <v>41501.78697617376</v>
      </c>
      <c r="DI54" s="94">
        <f>DG54-(DI53*DI$5)</f>
        <v>38721.093400173762</v>
      </c>
      <c r="DK54" s="98">
        <f>DI54-(DK53*DK$5)</f>
        <v>36727.479104173763</v>
      </c>
      <c r="DR54" s="81"/>
      <c r="DX54" s="81"/>
      <c r="ED54" s="81"/>
      <c r="EJ54" s="81"/>
      <c r="EP54" s="81"/>
      <c r="EV54" s="81"/>
      <c r="FA54" s="80"/>
    </row>
    <row r="55" spans="3:157">
      <c r="C55" s="73"/>
      <c r="BO55" s="80"/>
      <c r="BU55" s="80"/>
      <c r="CA55" s="80"/>
      <c r="CG55" s="101"/>
      <c r="CM55" s="80"/>
      <c r="CS55" s="80"/>
      <c r="CY55" s="80"/>
      <c r="DE55" s="80"/>
      <c r="DK55" s="80"/>
      <c r="DR55" s="81"/>
      <c r="DX55" s="81"/>
      <c r="ED55" s="81"/>
      <c r="EJ55" s="81"/>
      <c r="EP55" s="81"/>
      <c r="EV55" s="81"/>
      <c r="FA55" s="80"/>
    </row>
    <row r="56" spans="3:157">
      <c r="C56" s="73"/>
      <c r="BO56" s="80"/>
      <c r="BU56" s="80"/>
      <c r="CA56" s="80"/>
      <c r="CG56" s="101"/>
      <c r="CM56" s="101"/>
      <c r="CS56" s="80"/>
      <c r="CY56" s="80"/>
      <c r="DE56" s="80"/>
      <c r="DK56" s="80"/>
      <c r="DR56" s="81"/>
      <c r="DX56" s="81"/>
      <c r="ED56" s="81"/>
      <c r="EJ56" s="81"/>
      <c r="EP56" s="81"/>
      <c r="EV56" s="81"/>
      <c r="FA56" s="80"/>
    </row>
    <row r="57" spans="3:157">
      <c r="C57" s="86" t="s">
        <v>167</v>
      </c>
      <c r="BI57" s="65" t="s">
        <v>158</v>
      </c>
      <c r="BQ57" s="87">
        <v>0</v>
      </c>
      <c r="BR57" s="88"/>
      <c r="BS57" s="89">
        <v>0</v>
      </c>
      <c r="BT57" s="82"/>
      <c r="BU57" s="90">
        <v>0</v>
      </c>
      <c r="BV57" s="82"/>
      <c r="BW57" s="89">
        <v>0</v>
      </c>
      <c r="BX57" s="82"/>
      <c r="BY57" s="89">
        <v>0</v>
      </c>
      <c r="BZ57" s="82"/>
      <c r="CA57" s="90">
        <v>0</v>
      </c>
      <c r="CB57" s="82"/>
      <c r="CC57" s="89">
        <v>0</v>
      </c>
      <c r="CD57" s="82"/>
      <c r="CE57" s="89">
        <v>0</v>
      </c>
      <c r="CF57" s="82"/>
      <c r="CG57" s="90">
        <v>0</v>
      </c>
      <c r="CH57" s="82"/>
      <c r="CI57" s="89">
        <v>0</v>
      </c>
      <c r="CJ57" s="82"/>
      <c r="CK57" s="89">
        <v>0</v>
      </c>
      <c r="CL57" s="82"/>
      <c r="CM57" s="90">
        <v>0</v>
      </c>
      <c r="CN57" s="91"/>
      <c r="CO57" s="82"/>
      <c r="CP57" s="82"/>
      <c r="CQ57" s="82"/>
      <c r="CR57" s="82"/>
      <c r="CS57" s="83"/>
      <c r="CT57" s="82"/>
      <c r="CU57" s="92">
        <v>9.6100000000000005E-2</v>
      </c>
      <c r="CV57" s="82"/>
      <c r="CW57" s="89">
        <f>CU57</f>
        <v>9.6100000000000005E-2</v>
      </c>
      <c r="CX57" s="82"/>
      <c r="CY57" s="90">
        <f>CW57</f>
        <v>9.6100000000000005E-2</v>
      </c>
      <c r="CZ57" s="82"/>
      <c r="DA57" s="89">
        <f>CY57</f>
        <v>9.6100000000000005E-2</v>
      </c>
      <c r="DB57" s="82"/>
      <c r="DC57" s="89">
        <f>DA57</f>
        <v>9.6100000000000005E-2</v>
      </c>
      <c r="DD57" s="82"/>
      <c r="DE57" s="90">
        <f>DC57</f>
        <v>9.6100000000000005E-2</v>
      </c>
      <c r="DF57" s="82"/>
      <c r="DG57" s="89">
        <f>DE57</f>
        <v>9.6100000000000005E-2</v>
      </c>
      <c r="DH57" s="82"/>
      <c r="DI57" s="89">
        <f>DG57</f>
        <v>9.6100000000000005E-2</v>
      </c>
      <c r="DJ57" s="82"/>
      <c r="DK57" s="90">
        <f>DI57</f>
        <v>9.6100000000000005E-2</v>
      </c>
      <c r="DL57" s="82"/>
      <c r="DM57" s="89">
        <f>DK57</f>
        <v>9.6100000000000005E-2</v>
      </c>
      <c r="DN57" s="82"/>
      <c r="DO57" s="89">
        <f>DM57</f>
        <v>9.6100000000000005E-2</v>
      </c>
      <c r="DP57" s="82"/>
      <c r="DQ57" s="90">
        <f>DO57</f>
        <v>9.6100000000000005E-2</v>
      </c>
      <c r="DX57" s="81"/>
      <c r="ED57" s="81"/>
      <c r="EJ57" s="81"/>
      <c r="EP57" s="81"/>
      <c r="EV57" s="81"/>
      <c r="FA57" s="80"/>
    </row>
    <row r="58" spans="3:157">
      <c r="C58" s="73"/>
      <c r="BI58" s="93">
        <v>35101.864311265163</v>
      </c>
      <c r="BQ58" s="94">
        <v>35101.864311265163</v>
      </c>
      <c r="BS58" s="94">
        <v>35101.864311265163</v>
      </c>
      <c r="BU58" s="95">
        <v>35101.864311265163</v>
      </c>
      <c r="BW58" s="94">
        <v>35101.864311265163</v>
      </c>
      <c r="BY58" s="94">
        <v>35101.864311265163</v>
      </c>
      <c r="CA58" s="95">
        <v>35101.864311265163</v>
      </c>
      <c r="CC58" s="94">
        <v>35101.864311265163</v>
      </c>
      <c r="CE58" s="94">
        <v>35101.864311265163</v>
      </c>
      <c r="CG58" s="95">
        <v>35101.864311265163</v>
      </c>
      <c r="CI58" s="94">
        <v>35101.864311265163</v>
      </c>
      <c r="CK58" s="94">
        <v>35101.864311265163</v>
      </c>
      <c r="CM58" s="95">
        <v>35101.864311265163</v>
      </c>
      <c r="CN58" s="96"/>
      <c r="CO58" s="222">
        <f>CM58+CM38</f>
        <v>42603.910283764068</v>
      </c>
      <c r="CP58" s="69"/>
      <c r="CQ58" s="69">
        <f>CO58</f>
        <v>42603.910283764068</v>
      </c>
      <c r="CR58" s="69"/>
      <c r="CS58" s="100">
        <f>CQ58</f>
        <v>42603.910283764068</v>
      </c>
      <c r="CU58" s="94">
        <f>CS58-(CU57*CU$5)</f>
        <v>42276.877563164067</v>
      </c>
      <c r="CW58" s="94">
        <f>CU58-(CW57*CW$5)</f>
        <v>41948.215563164071</v>
      </c>
      <c r="CY58" s="95">
        <f>CW58-(CY57*CY$5)</f>
        <v>41433.684631164069</v>
      </c>
      <c r="DA58" s="94">
        <f>CY58-(DA57*DA$5)</f>
        <v>40635.785551164066</v>
      </c>
      <c r="DC58" s="94">
        <f>DA58-(DC57*DC$5)</f>
        <v>39488.636007164067</v>
      </c>
      <c r="DE58" s="95">
        <f>DC58-(DE57*DE$5)</f>
        <v>38179.707879164067</v>
      </c>
      <c r="DG58" s="94">
        <f>DE58-(DG57*DG$5)</f>
        <v>37005.61381716407</v>
      </c>
      <c r="DI58" s="94">
        <f>DG58-(DI57*DI$5)</f>
        <v>36086.684475164067</v>
      </c>
      <c r="DK58" s="95">
        <f>DI58-(DK57*DK$5)</f>
        <v>35427.859393164064</v>
      </c>
      <c r="DM58" s="94">
        <f>DK58-(DM57*DM$5)</f>
        <v>34925.319819164062</v>
      </c>
      <c r="DO58" s="94">
        <f>DM58-(DO57*DO$5)</f>
        <v>34535.261451164064</v>
      </c>
      <c r="DQ58" s="98">
        <f>DO58-(DQ57*DQ$5)</f>
        <v>34180.437187164061</v>
      </c>
      <c r="DX58" s="81"/>
      <c r="ED58" s="81"/>
      <c r="EJ58" s="81"/>
      <c r="EP58" s="81"/>
      <c r="EV58" s="81"/>
      <c r="FA58" s="80"/>
    </row>
    <row r="59" spans="3:157">
      <c r="C59" s="73"/>
      <c r="BU59" s="80"/>
      <c r="CA59" s="80"/>
      <c r="CG59" s="80"/>
      <c r="CM59" s="101"/>
      <c r="CS59" s="80"/>
      <c r="CY59" s="80"/>
      <c r="DE59" s="80"/>
      <c r="DK59" s="80"/>
      <c r="DQ59" s="80"/>
      <c r="DX59" s="81"/>
      <c r="ED59" s="81"/>
      <c r="EJ59" s="81"/>
      <c r="EP59" s="81"/>
      <c r="EV59" s="81"/>
      <c r="FA59" s="80"/>
    </row>
    <row r="60" spans="3:157">
      <c r="C60" s="73"/>
      <c r="BU60" s="80"/>
      <c r="CA60" s="80"/>
      <c r="CG60" s="80"/>
      <c r="CM60" s="101"/>
      <c r="CS60" s="101"/>
      <c r="CY60" s="80"/>
      <c r="DE60" s="80"/>
      <c r="DK60" s="80"/>
      <c r="DQ60" s="80"/>
      <c r="DX60" s="81"/>
      <c r="EC60" s="80"/>
      <c r="EI60" s="80"/>
      <c r="EO60" s="80"/>
      <c r="EU60" s="80"/>
      <c r="FA60" s="80"/>
    </row>
    <row r="61" spans="3:157">
      <c r="C61" s="86" t="s">
        <v>165</v>
      </c>
      <c r="BO61" s="65" t="s">
        <v>159</v>
      </c>
      <c r="BW61" s="87">
        <v>0</v>
      </c>
      <c r="BX61" s="88"/>
      <c r="BY61" s="89">
        <v>0</v>
      </c>
      <c r="BZ61" s="82"/>
      <c r="CA61" s="90">
        <v>0</v>
      </c>
      <c r="CB61" s="82"/>
      <c r="CC61" s="89">
        <v>0</v>
      </c>
      <c r="CD61" s="82"/>
      <c r="CE61" s="89">
        <v>0</v>
      </c>
      <c r="CF61" s="82"/>
      <c r="CG61" s="90">
        <v>0</v>
      </c>
      <c r="CH61" s="82"/>
      <c r="CI61" s="89">
        <v>0</v>
      </c>
      <c r="CJ61" s="82"/>
      <c r="CK61" s="89">
        <v>0</v>
      </c>
      <c r="CL61" s="82"/>
      <c r="CM61" s="90">
        <v>0</v>
      </c>
      <c r="CN61" s="82"/>
      <c r="CO61" s="89">
        <v>0</v>
      </c>
      <c r="CP61" s="82"/>
      <c r="CQ61" s="89">
        <v>0</v>
      </c>
      <c r="CR61" s="82"/>
      <c r="CS61" s="90">
        <v>0</v>
      </c>
      <c r="CT61" s="91"/>
      <c r="CU61" s="82"/>
      <c r="CV61" s="82"/>
      <c r="CW61" s="82"/>
      <c r="CX61" s="82"/>
      <c r="CY61" s="83"/>
      <c r="CZ61" s="82"/>
      <c r="DA61" s="92">
        <f>CU62/SUM(DA$5:DW$5)</f>
        <v>-0.73892409123007319</v>
      </c>
      <c r="DB61" s="82"/>
      <c r="DC61" s="89">
        <f>DA61</f>
        <v>-0.73892409123007319</v>
      </c>
      <c r="DD61" s="82"/>
      <c r="DE61" s="90">
        <f>DC61</f>
        <v>-0.73892409123007319</v>
      </c>
      <c r="DF61" s="82"/>
      <c r="DG61" s="89">
        <f>DE61</f>
        <v>-0.73892409123007319</v>
      </c>
      <c r="DH61" s="82"/>
      <c r="DI61" s="89">
        <f>DG61</f>
        <v>-0.73892409123007319</v>
      </c>
      <c r="DJ61" s="82"/>
      <c r="DK61" s="90">
        <f>DI61</f>
        <v>-0.73892409123007319</v>
      </c>
      <c r="DL61" s="82"/>
      <c r="DM61" s="89">
        <f>DK61</f>
        <v>-0.73892409123007319</v>
      </c>
      <c r="DN61" s="82"/>
      <c r="DO61" s="89">
        <f>DM61</f>
        <v>-0.73892409123007319</v>
      </c>
      <c r="DP61" s="82"/>
      <c r="DQ61" s="90">
        <f>DO61</f>
        <v>-0.73892409123007319</v>
      </c>
      <c r="DR61" s="82"/>
      <c r="DS61" s="89">
        <f>DQ61</f>
        <v>-0.73892409123007319</v>
      </c>
      <c r="DT61" s="82"/>
      <c r="DU61" s="89">
        <f>DS61</f>
        <v>-0.73892409123007319</v>
      </c>
      <c r="DV61" s="82"/>
      <c r="DW61" s="90">
        <f>DU61</f>
        <v>-0.73892409123007319</v>
      </c>
      <c r="DY61" s="82"/>
      <c r="DZ61" s="82"/>
      <c r="EA61" s="82"/>
      <c r="EB61" s="82"/>
      <c r="EC61" s="83"/>
      <c r="EE61" s="82"/>
      <c r="EF61" s="82"/>
      <c r="EG61" s="82"/>
      <c r="EH61" s="82"/>
      <c r="EI61" s="83"/>
      <c r="EK61" s="82"/>
      <c r="EL61" s="82"/>
      <c r="EM61" s="82"/>
      <c r="EN61" s="82"/>
      <c r="EO61" s="83"/>
      <c r="EQ61" s="82"/>
      <c r="ER61" s="82"/>
      <c r="ES61" s="82"/>
      <c r="ET61" s="82"/>
      <c r="EU61" s="83"/>
      <c r="EW61" s="82"/>
      <c r="EX61" s="82"/>
      <c r="EY61" s="82"/>
      <c r="EZ61" s="82"/>
      <c r="FA61" s="83"/>
    </row>
    <row r="62" spans="3:157">
      <c r="C62" s="73"/>
      <c r="BO62" s="93">
        <v>-658.26014620994874</v>
      </c>
      <c r="BW62" s="94">
        <v>-658.26014620994874</v>
      </c>
      <c r="BY62" s="94">
        <v>-658.26014620994874</v>
      </c>
      <c r="CA62" s="95">
        <v>-658.26014620994874</v>
      </c>
      <c r="CC62" s="94">
        <v>-658.26014620994874</v>
      </c>
      <c r="CE62" s="94">
        <v>-658.26014620994874</v>
      </c>
      <c r="CG62" s="95">
        <v>-658.26014620994874</v>
      </c>
      <c r="CI62" s="94">
        <v>-658.26014620994874</v>
      </c>
      <c r="CK62" s="94">
        <v>-658.26014620994874</v>
      </c>
      <c r="CM62" s="95">
        <v>-658.26014620994874</v>
      </c>
      <c r="CO62" s="94">
        <v>-658.26014620994874</v>
      </c>
      <c r="CQ62" s="94">
        <v>-658.26014620994874</v>
      </c>
      <c r="CS62" s="95">
        <v>-658.26014620994874</v>
      </c>
      <c r="CT62" s="96"/>
      <c r="CU62" s="222">
        <f>CS62+CS42</f>
        <v>-64769.065586952405</v>
      </c>
      <c r="CV62" s="69"/>
      <c r="CW62" s="69">
        <f>CU62</f>
        <v>-64769.065586952405</v>
      </c>
      <c r="CX62" s="69"/>
      <c r="CY62" s="100">
        <f>CW62</f>
        <v>-64769.065586952405</v>
      </c>
      <c r="DA62" s="94">
        <f>CY62-(DA61*DA$5)</f>
        <v>-58633.926642287355</v>
      </c>
      <c r="DC62" s="94">
        <f>DA62-(DC61*DC$5)</f>
        <v>-49813.360208310325</v>
      </c>
      <c r="DE62" s="95">
        <f>DC62-(DE61*DE$5)</f>
        <v>-39748.859402192938</v>
      </c>
      <c r="DG62" s="94">
        <f>DE62-(DG61*DG$5)</f>
        <v>-30721.113431516816</v>
      </c>
      <c r="DI62" s="94">
        <f>DG62-(DI61*DI$5)</f>
        <v>-23655.358707874784</v>
      </c>
      <c r="DK62" s="95">
        <f>DI62-(DK61*DK$5)</f>
        <v>-18589.575929556071</v>
      </c>
      <c r="DM62" s="94">
        <f>DK62-(DM61*DM$5)</f>
        <v>-14725.490622322999</v>
      </c>
      <c r="DO62" s="94">
        <f>DM62-(DO61*DO$5)</f>
        <v>-11726.28640691108</v>
      </c>
      <c r="DQ62" s="95">
        <f>DO62-(DQ61*DQ$5)</f>
        <v>-8998.0013203077542</v>
      </c>
      <c r="DS62" s="94">
        <f>DQ62-(DS61*DS$5)</f>
        <v>-6483.4086473436182</v>
      </c>
      <c r="DU62" s="94">
        <f>DS62-(DU61*DU$5)</f>
        <v>-3956.2882553367681</v>
      </c>
      <c r="DW62" s="98">
        <f>DU62-(DW61*DW$5)</f>
        <v>-9.5496943686157465E-12</v>
      </c>
      <c r="DY62" s="69"/>
      <c r="EA62" s="69"/>
      <c r="EC62" s="100"/>
      <c r="EE62" s="69"/>
      <c r="EG62" s="69"/>
      <c r="EI62" s="100"/>
      <c r="EK62" s="69"/>
      <c r="EM62" s="69"/>
      <c r="EO62" s="100"/>
      <c r="EQ62" s="69"/>
      <c r="ES62" s="69"/>
      <c r="EU62" s="100"/>
      <c r="EW62" s="69"/>
      <c r="EY62" s="69"/>
      <c r="FA62" s="100"/>
    </row>
    <row r="63" spans="3:157">
      <c r="C63" s="73"/>
      <c r="CA63" s="80"/>
      <c r="CG63" s="80"/>
      <c r="CM63" s="80"/>
      <c r="CS63" s="101"/>
      <c r="CY63" s="80"/>
      <c r="DE63" s="80"/>
      <c r="DK63" s="80"/>
      <c r="DQ63" s="80"/>
      <c r="DW63" s="80"/>
      <c r="ED63" s="81"/>
      <c r="EJ63" s="81"/>
      <c r="EP63" s="81"/>
      <c r="EV63" s="81"/>
      <c r="FA63" s="80"/>
    </row>
    <row r="64" spans="3:157">
      <c r="C64" s="73"/>
      <c r="CA64" s="80"/>
      <c r="CG64" s="80"/>
      <c r="CM64" s="80"/>
      <c r="CS64" s="101"/>
      <c r="CY64" s="101"/>
      <c r="DE64" s="80"/>
      <c r="DK64" s="80"/>
      <c r="DQ64" s="80"/>
      <c r="DW64" s="80"/>
      <c r="ED64" s="81"/>
      <c r="EJ64" s="81"/>
      <c r="EP64" s="81"/>
      <c r="EV64" s="81"/>
      <c r="FA64" s="80"/>
    </row>
    <row r="65" spans="3:157">
      <c r="C65" s="86" t="s">
        <v>164</v>
      </c>
      <c r="BU65" s="65" t="s">
        <v>160</v>
      </c>
      <c r="CC65" s="87">
        <v>0</v>
      </c>
      <c r="CD65" s="88"/>
      <c r="CE65" s="89">
        <v>0</v>
      </c>
      <c r="CF65" s="82"/>
      <c r="CG65" s="90">
        <v>0</v>
      </c>
      <c r="CH65" s="82"/>
      <c r="CI65" s="89">
        <v>0</v>
      </c>
      <c r="CJ65" s="82"/>
      <c r="CK65" s="89">
        <v>0</v>
      </c>
      <c r="CL65" s="82"/>
      <c r="CM65" s="90">
        <v>0</v>
      </c>
      <c r="CN65" s="82"/>
      <c r="CO65" s="89">
        <v>0</v>
      </c>
      <c r="CP65" s="82"/>
      <c r="CQ65" s="89">
        <v>0</v>
      </c>
      <c r="CR65" s="82"/>
      <c r="CS65" s="90">
        <v>0</v>
      </c>
      <c r="CT65" s="82"/>
      <c r="CU65" s="89">
        <v>0</v>
      </c>
      <c r="CV65" s="82"/>
      <c r="CW65" s="89">
        <v>0</v>
      </c>
      <c r="CX65" s="82"/>
      <c r="CY65" s="90">
        <v>0</v>
      </c>
      <c r="CZ65" s="91"/>
      <c r="DA65" s="82"/>
      <c r="DB65" s="82"/>
      <c r="DC65" s="82"/>
      <c r="DD65" s="82"/>
      <c r="DE65" s="83"/>
      <c r="DF65" s="82"/>
      <c r="DG65" s="92">
        <f>DA66/SUM(DG$5:EC$5)</f>
        <v>0.96409941118021347</v>
      </c>
      <c r="DH65" s="82"/>
      <c r="DI65" s="89">
        <f>DG65</f>
        <v>0.96409941118021347</v>
      </c>
      <c r="DJ65" s="82"/>
      <c r="DK65" s="90">
        <f>DI65</f>
        <v>0.96409941118021347</v>
      </c>
      <c r="DL65" s="82"/>
      <c r="DM65" s="89">
        <f>DK65</f>
        <v>0.96409941118021347</v>
      </c>
      <c r="DN65" s="82"/>
      <c r="DO65" s="89">
        <f>DM65</f>
        <v>0.96409941118021347</v>
      </c>
      <c r="DP65" s="82"/>
      <c r="DQ65" s="90">
        <f>DO65</f>
        <v>0.96409941118021347</v>
      </c>
      <c r="DR65" s="82"/>
      <c r="DS65" s="89">
        <f>DQ65</f>
        <v>0.96409941118021347</v>
      </c>
      <c r="DT65" s="82"/>
      <c r="DU65" s="89">
        <f>DS65</f>
        <v>0.96409941118021347</v>
      </c>
      <c r="DV65" s="82"/>
      <c r="DW65" s="90">
        <f>DU65</f>
        <v>0.96409941118021347</v>
      </c>
      <c r="DX65" s="82"/>
      <c r="DY65" s="89">
        <f>DW65</f>
        <v>0.96409941118021347</v>
      </c>
      <c r="DZ65" s="82"/>
      <c r="EA65" s="89">
        <f>DY65</f>
        <v>0.96409941118021347</v>
      </c>
      <c r="EB65" s="82"/>
      <c r="EC65" s="90">
        <f>EA65</f>
        <v>0.96409941118021347</v>
      </c>
      <c r="EE65" s="82"/>
      <c r="EF65" s="82"/>
      <c r="EG65" s="82"/>
      <c r="EH65" s="82"/>
      <c r="EI65" s="83"/>
      <c r="EK65" s="82"/>
      <c r="EL65" s="82"/>
      <c r="EM65" s="82"/>
      <c r="EN65" s="82"/>
      <c r="EO65" s="83"/>
      <c r="EQ65" s="82"/>
      <c r="ER65" s="82"/>
      <c r="ES65" s="82"/>
      <c r="ET65" s="82"/>
      <c r="EU65" s="83"/>
      <c r="EW65" s="82"/>
      <c r="EX65" s="82"/>
      <c r="EY65" s="82"/>
      <c r="EZ65" s="82"/>
      <c r="FA65" s="83"/>
    </row>
    <row r="66" spans="3:157">
      <c r="C66" s="73"/>
      <c r="BU66" s="93">
        <v>38854.414045283309</v>
      </c>
      <c r="BW66" s="69">
        <v>38854.414045283309</v>
      </c>
      <c r="BY66" s="69">
        <v>38854.414045283309</v>
      </c>
      <c r="CA66" s="69">
        <v>38854.414045283309</v>
      </c>
      <c r="CC66" s="94">
        <v>38854.414045283309</v>
      </c>
      <c r="CE66" s="94">
        <v>38854.414045283309</v>
      </c>
      <c r="CG66" s="95">
        <v>38854.414045283309</v>
      </c>
      <c r="CI66" s="94">
        <v>38854.414045283309</v>
      </c>
      <c r="CK66" s="94">
        <v>38854.414045283309</v>
      </c>
      <c r="CM66" s="95">
        <v>38854.414045283309</v>
      </c>
      <c r="CO66" s="94">
        <v>38854.414045283309</v>
      </c>
      <c r="CQ66" s="94">
        <v>38854.414045283309</v>
      </c>
      <c r="CS66" s="95">
        <v>38854.414045283309</v>
      </c>
      <c r="CU66" s="94">
        <v>38854.414045283309</v>
      </c>
      <c r="CW66" s="94">
        <v>38854.414045283309</v>
      </c>
      <c r="CY66" s="95">
        <v>38854.414045283309</v>
      </c>
      <c r="CZ66" s="96"/>
      <c r="DA66" s="222">
        <f>CY66+CY46</f>
        <v>84506.404292657942</v>
      </c>
      <c r="DB66" s="69"/>
      <c r="DC66" s="69">
        <f>DA66</f>
        <v>84506.404292657942</v>
      </c>
      <c r="DD66" s="69"/>
      <c r="DE66" s="100">
        <f>DC66</f>
        <v>84506.404292657942</v>
      </c>
      <c r="DG66" s="94">
        <f>DE66-(DG65*DG$5)</f>
        <v>72727.596864516585</v>
      </c>
      <c r="DI66" s="94">
        <f>DG66-(DI65*DI$5)</f>
        <v>63508.666192940924</v>
      </c>
      <c r="DK66" s="95">
        <f>DI66-(DK65*DK$5)</f>
        <v>56899.166987665631</v>
      </c>
      <c r="DM66" s="94">
        <f>DK66-(DM65*DM$5)</f>
        <v>51857.563372804492</v>
      </c>
      <c r="DO66" s="94">
        <f>DM66-(DO65*DO$5)</f>
        <v>47944.399554753349</v>
      </c>
      <c r="DQ66" s="95">
        <f>DO66-(DQ65*DQ$5)</f>
        <v>44384.713144817317</v>
      </c>
      <c r="DS66" s="94">
        <f>DQ66-(DS65*DS$5)</f>
        <v>41103.838499998135</v>
      </c>
      <c r="DU66" s="94">
        <f>DS66-(DU65*DU$5)</f>
        <v>37806.618513761809</v>
      </c>
      <c r="DW66" s="95">
        <f>DU66-(DW65*DW$5)</f>
        <v>32644.714574373604</v>
      </c>
      <c r="DY66" s="94">
        <f>DW66-(DY65*DY$5)</f>
        <v>24639.989983226529</v>
      </c>
      <c r="EA66" s="94">
        <f>DY66-(EA65*EA$5)</f>
        <v>13131.496747991876</v>
      </c>
      <c r="EC66" s="98">
        <f>EA66-(EC65*EC$5)</f>
        <v>0</v>
      </c>
      <c r="EE66" s="69"/>
      <c r="EG66" s="69"/>
      <c r="EI66" s="100"/>
      <c r="EK66" s="69"/>
      <c r="EM66" s="69"/>
      <c r="EO66" s="100"/>
      <c r="EQ66" s="69"/>
      <c r="ES66" s="69"/>
      <c r="EU66" s="100"/>
      <c r="EW66" s="69"/>
      <c r="EY66" s="69"/>
      <c r="FA66" s="100"/>
    </row>
    <row r="67" spans="3:157">
      <c r="C67" s="73"/>
      <c r="CG67" s="80"/>
      <c r="CM67" s="80"/>
      <c r="CS67" s="80"/>
      <c r="CY67" s="101"/>
      <c r="DE67" s="80"/>
      <c r="DK67" s="80"/>
      <c r="DQ67" s="80"/>
      <c r="DW67" s="80"/>
      <c r="EC67" s="80"/>
      <c r="EJ67" s="81"/>
      <c r="EP67" s="81"/>
      <c r="EV67" s="81"/>
      <c r="FA67" s="80"/>
    </row>
    <row r="68" spans="3:157">
      <c r="C68" s="73"/>
      <c r="CG68" s="80"/>
      <c r="CM68" s="80"/>
      <c r="CS68" s="80"/>
      <c r="CY68" s="101"/>
      <c r="DE68" s="101"/>
      <c r="DK68" s="80"/>
      <c r="DQ68" s="80"/>
      <c r="DW68" s="80"/>
      <c r="EC68" s="80"/>
      <c r="EJ68" s="81"/>
      <c r="EP68" s="81"/>
      <c r="EV68" s="81"/>
      <c r="FA68" s="80"/>
    </row>
    <row r="69" spans="3:157">
      <c r="C69" s="86" t="s">
        <v>163</v>
      </c>
      <c r="CA69" s="50" t="s">
        <v>161</v>
      </c>
      <c r="CI69" s="87">
        <v>1.3682000000000001</v>
      </c>
      <c r="CJ69" s="88"/>
      <c r="CK69" s="89">
        <f>CI69</f>
        <v>1.3682000000000001</v>
      </c>
      <c r="CL69" s="82"/>
      <c r="CM69" s="90">
        <f>CK69</f>
        <v>1.3682000000000001</v>
      </c>
      <c r="CN69" s="82"/>
      <c r="CO69" s="89">
        <f>CM69</f>
        <v>1.3682000000000001</v>
      </c>
      <c r="CP69" s="82"/>
      <c r="CQ69" s="89">
        <f>CO69</f>
        <v>1.3682000000000001</v>
      </c>
      <c r="CR69" s="82"/>
      <c r="CS69" s="90">
        <f>CQ69</f>
        <v>1.3682000000000001</v>
      </c>
      <c r="CT69" s="82"/>
      <c r="CU69" s="89">
        <f>CS69</f>
        <v>1.3682000000000001</v>
      </c>
      <c r="CV69" s="82"/>
      <c r="CW69" s="89">
        <f>CU69</f>
        <v>1.3682000000000001</v>
      </c>
      <c r="CX69" s="82"/>
      <c r="CY69" s="90">
        <f>CW69</f>
        <v>1.3682000000000001</v>
      </c>
      <c r="CZ69" s="82"/>
      <c r="DA69" s="89">
        <f>CY69</f>
        <v>1.3682000000000001</v>
      </c>
      <c r="DB69" s="82"/>
      <c r="DC69" s="89">
        <f>DA69</f>
        <v>1.3682000000000001</v>
      </c>
      <c r="DD69" s="82"/>
      <c r="DE69" s="90">
        <f>DC69</f>
        <v>1.3682000000000001</v>
      </c>
      <c r="DF69" s="91"/>
      <c r="DG69" s="82"/>
      <c r="DH69" s="82"/>
      <c r="DI69" s="82"/>
      <c r="DJ69" s="82"/>
      <c r="DK69" s="83"/>
      <c r="DL69" s="82"/>
      <c r="DM69" s="92">
        <f>DG70/SUM(DM$5:EI$5)</f>
        <v>0.49450974971466166</v>
      </c>
      <c r="DN69" s="82"/>
      <c r="DO69" s="89">
        <f>DM69</f>
        <v>0.49450974971466166</v>
      </c>
      <c r="DP69" s="82"/>
      <c r="DQ69" s="90">
        <f>DO69</f>
        <v>0.49450974971466166</v>
      </c>
      <c r="DR69" s="82"/>
      <c r="DS69" s="89">
        <f>DQ69</f>
        <v>0.49450974971466166</v>
      </c>
      <c r="DT69" s="82"/>
      <c r="DU69" s="89">
        <f>DS69</f>
        <v>0.49450974971466166</v>
      </c>
      <c r="DV69" s="82"/>
      <c r="DW69" s="90">
        <f>DU69</f>
        <v>0.49450974971466166</v>
      </c>
      <c r="DX69" s="82"/>
      <c r="DY69" s="89">
        <f>DW69</f>
        <v>0.49450974971466166</v>
      </c>
      <c r="DZ69" s="82"/>
      <c r="EA69" s="89">
        <f>DY69</f>
        <v>0.49450974971466166</v>
      </c>
      <c r="EB69" s="82"/>
      <c r="EC69" s="90">
        <f>EA69</f>
        <v>0.49450974971466166</v>
      </c>
      <c r="ED69" s="82"/>
      <c r="EE69" s="89">
        <f>EC69</f>
        <v>0.49450974971466166</v>
      </c>
      <c r="EF69" s="82"/>
      <c r="EG69" s="89">
        <f>EE69</f>
        <v>0.49450974971466166</v>
      </c>
      <c r="EH69" s="82"/>
      <c r="EI69" s="90">
        <f>EG69</f>
        <v>0.49450974971466166</v>
      </c>
      <c r="EP69" s="81"/>
      <c r="EV69" s="81"/>
      <c r="FA69" s="80"/>
    </row>
    <row r="70" spans="3:157">
      <c r="C70" s="73"/>
      <c r="CA70" s="93">
        <v>99390.269489158352</v>
      </c>
      <c r="CC70" s="69">
        <v>99390.269489158352</v>
      </c>
      <c r="CE70" s="69">
        <v>99390.269489158352</v>
      </c>
      <c r="CG70" s="69">
        <v>99390.269489158352</v>
      </c>
      <c r="CI70" s="94">
        <f>CG70-(CI69*CI$5)</f>
        <v>84387.819669158343</v>
      </c>
      <c r="CK70" s="94">
        <f>CI70-(CK69*CK$5)</f>
        <v>74049.290009158343</v>
      </c>
      <c r="CM70" s="95">
        <f>CK70-(CM69*CM$5)</f>
        <v>67872.687929158346</v>
      </c>
      <c r="CO70" s="94">
        <f>CM70-(CO69*CO$5)</f>
        <v>60717.904941158347</v>
      </c>
      <c r="CQ70" s="94">
        <f>CO70-(CQ69*CQ$5)</f>
        <v>55164.545325158346</v>
      </c>
      <c r="CS70" s="95">
        <f>CQ70-(CS69*CS$5)</f>
        <v>50112.822557158346</v>
      </c>
      <c r="CU70" s="94">
        <f>CS70-(CU69*CU$5)</f>
        <v>45456.775019958346</v>
      </c>
      <c r="CW70" s="94">
        <f>CU70-(CW69*CW$5)</f>
        <v>40777.531019958347</v>
      </c>
      <c r="CY70" s="95">
        <f>CW70-(CY69*CY$5)</f>
        <v>33452.024035958348</v>
      </c>
      <c r="DA70" s="94">
        <f>CY70-(DA69*DA$5)</f>
        <v>22092.133075958351</v>
      </c>
      <c r="DC70" s="94">
        <f>DA70-(DC69*DC$5)</f>
        <v>5759.874947958353</v>
      </c>
      <c r="DE70" s="95">
        <f>DC70-(DE69*DE$5)</f>
        <v>-12875.665788041646</v>
      </c>
      <c r="DF70" s="96"/>
      <c r="DG70" s="222">
        <f>DE70+DE50</f>
        <v>43345.364960747676</v>
      </c>
      <c r="DH70" s="69"/>
      <c r="DI70" s="69">
        <f>DG70</f>
        <v>43345.364960747676</v>
      </c>
      <c r="DJ70" s="69"/>
      <c r="DK70" s="100">
        <f>DI70</f>
        <v>43345.364960747676</v>
      </c>
      <c r="DM70" s="94">
        <f>DK70-(DM69*DM$5)</f>
        <v>40759.405346174804</v>
      </c>
      <c r="DO70" s="94">
        <f>DM70-(DO69*DO$5)</f>
        <v>38752.249613252956</v>
      </c>
      <c r="DQ70" s="95">
        <f>DO70-(DQ69*DQ$5)</f>
        <v>36926.400934966492</v>
      </c>
      <c r="DS70" s="94">
        <f>DQ70-(DS69*DS$5)</f>
        <v>35243.561509239014</v>
      </c>
      <c r="DU70" s="94">
        <f>DS70-(DU69*DU$5)</f>
        <v>33552.338165214875</v>
      </c>
      <c r="DW70" s="95">
        <f>DU70-(DW69*DW$5)</f>
        <v>30904.67362407261</v>
      </c>
      <c r="DY70" s="94">
        <f>DW70-(DY69*DY$5)</f>
        <v>26798.858074141717</v>
      </c>
      <c r="EA70" s="94">
        <f>DY70-(EA69*EA$5)</f>
        <v>20895.875411407815</v>
      </c>
      <c r="EC70" s="95">
        <f>EA70-(EC69*EC$5)</f>
        <v>14160.41525561426</v>
      </c>
      <c r="EE70" s="94">
        <f>EC70-(EE69*EE$5)</f>
        <v>8118.781949255359</v>
      </c>
      <c r="EG70" s="94">
        <f>EE70-(EG69*EG$5)</f>
        <v>3390.1709303388261</v>
      </c>
      <c r="EI70" s="98">
        <f>EG70-(EI69*EI$5)</f>
        <v>0</v>
      </c>
      <c r="EP70" s="81"/>
      <c r="EV70" s="81"/>
      <c r="FA70" s="80"/>
    </row>
    <row r="71" spans="3:157">
      <c r="C71" s="73"/>
      <c r="CM71" s="80"/>
      <c r="CS71" s="80"/>
      <c r="CY71" s="80"/>
      <c r="DE71" s="101"/>
      <c r="DK71" s="80"/>
      <c r="DQ71" s="80"/>
      <c r="DW71" s="80"/>
      <c r="EC71" s="80"/>
      <c r="EI71" s="80"/>
      <c r="EP71" s="81"/>
      <c r="EV71" s="81"/>
      <c r="FA71" s="80"/>
    </row>
    <row r="72" spans="3:157">
      <c r="C72" s="73"/>
      <c r="CM72" s="80"/>
      <c r="CS72" s="80"/>
      <c r="CY72" s="80"/>
      <c r="DE72" s="101"/>
      <c r="DK72" s="101"/>
      <c r="DQ72" s="80"/>
      <c r="DW72" s="80"/>
      <c r="EC72" s="80"/>
      <c r="EI72" s="80"/>
      <c r="EP72" s="81"/>
      <c r="EV72" s="81"/>
      <c r="FA72" s="80"/>
    </row>
    <row r="73" spans="3:157">
      <c r="C73" s="103" t="s">
        <v>168</v>
      </c>
      <c r="CG73" s="65" t="s">
        <v>162</v>
      </c>
      <c r="CO73" s="87">
        <v>1.7060999999999999</v>
      </c>
      <c r="CP73" s="88"/>
      <c r="CQ73" s="89">
        <f>CO73</f>
        <v>1.7060999999999999</v>
      </c>
      <c r="CR73" s="82"/>
      <c r="CS73" s="90">
        <f>CQ73</f>
        <v>1.7060999999999999</v>
      </c>
      <c r="CT73" s="82"/>
      <c r="CU73" s="89">
        <f>CS73</f>
        <v>1.7060999999999999</v>
      </c>
      <c r="CV73" s="82"/>
      <c r="CW73" s="89">
        <f>CU73</f>
        <v>1.7060999999999999</v>
      </c>
      <c r="CX73" s="82"/>
      <c r="CY73" s="90">
        <f>CW73</f>
        <v>1.7060999999999999</v>
      </c>
      <c r="CZ73" s="82"/>
      <c r="DA73" s="89">
        <f>CY73</f>
        <v>1.7060999999999999</v>
      </c>
      <c r="DB73" s="82"/>
      <c r="DC73" s="89">
        <f>DA73</f>
        <v>1.7060999999999999</v>
      </c>
      <c r="DD73" s="82"/>
      <c r="DE73" s="90">
        <f>DC73</f>
        <v>1.7060999999999999</v>
      </c>
      <c r="DF73" s="82"/>
      <c r="DG73" s="89">
        <f>DE73</f>
        <v>1.7060999999999999</v>
      </c>
      <c r="DH73" s="82"/>
      <c r="DI73" s="89">
        <f>DG73</f>
        <v>1.7060999999999999</v>
      </c>
      <c r="DJ73" s="82"/>
      <c r="DK73" s="90">
        <f>DI73</f>
        <v>1.7060999999999999</v>
      </c>
      <c r="DL73" s="91"/>
      <c r="DM73" s="82"/>
      <c r="DN73" s="82"/>
      <c r="DO73" s="82"/>
      <c r="DP73" s="82"/>
      <c r="DQ73" s="83"/>
      <c r="DR73" s="82"/>
      <c r="DS73" s="92">
        <f>DM74/SUM(DS$5:EO$5)</f>
        <v>0.20626116497394012</v>
      </c>
      <c r="DT73" s="82"/>
      <c r="DU73" s="89">
        <f>DS73</f>
        <v>0.20626116497394012</v>
      </c>
      <c r="DV73" s="82"/>
      <c r="DW73" s="90">
        <f>DU73</f>
        <v>0.20626116497394012</v>
      </c>
      <c r="DX73" s="82"/>
      <c r="DY73" s="89">
        <f>DW73</f>
        <v>0.20626116497394012</v>
      </c>
      <c r="DZ73" s="82"/>
      <c r="EA73" s="89">
        <f>DY73</f>
        <v>0.20626116497394012</v>
      </c>
      <c r="EB73" s="82"/>
      <c r="EC73" s="90">
        <f>EA73</f>
        <v>0.20626116497394012</v>
      </c>
      <c r="ED73" s="82"/>
      <c r="EE73" s="89">
        <f>EC73</f>
        <v>0.20626116497394012</v>
      </c>
      <c r="EF73" s="82"/>
      <c r="EG73" s="89">
        <f>EE73</f>
        <v>0.20626116497394012</v>
      </c>
      <c r="EH73" s="82"/>
      <c r="EI73" s="90">
        <f>EG73</f>
        <v>0.20626116497394012</v>
      </c>
      <c r="EJ73" s="82"/>
      <c r="EK73" s="89">
        <f>EI73</f>
        <v>0.20626116497394012</v>
      </c>
      <c r="EL73" s="82"/>
      <c r="EM73" s="89">
        <f>EK73</f>
        <v>0.20626116497394012</v>
      </c>
      <c r="EN73" s="82"/>
      <c r="EO73" s="90">
        <f>EM73</f>
        <v>0.20626116497394012</v>
      </c>
      <c r="EQ73" s="82"/>
      <c r="ER73" s="82"/>
      <c r="ES73" s="82"/>
      <c r="ET73" s="82"/>
      <c r="EU73" s="83"/>
      <c r="EW73" s="82"/>
      <c r="EX73" s="82"/>
      <c r="EY73" s="82"/>
      <c r="EZ73" s="82"/>
      <c r="FA73" s="83"/>
    </row>
    <row r="74" spans="3:157">
      <c r="CG74" s="93">
        <v>130897.10803568698</v>
      </c>
      <c r="CI74" s="69">
        <v>130897.10803568698</v>
      </c>
      <c r="CK74" s="69">
        <v>130897.10803568698</v>
      </c>
      <c r="CM74" s="69">
        <v>130897.10803568698</v>
      </c>
      <c r="CO74" s="94">
        <f>CM74-(CO73*CO$5)</f>
        <v>121975.33106168697</v>
      </c>
      <c r="CQ74" s="94">
        <f>CO74-(CQ73*CQ$5)</f>
        <v>115050.47589368698</v>
      </c>
      <c r="CS74" s="95">
        <f>CQ74-(CS73*CS$5)</f>
        <v>108751.14522968698</v>
      </c>
      <c r="CU74" s="94">
        <f>CS74-(CU73*CU$5)</f>
        <v>102945.20844908699</v>
      </c>
      <c r="CW74" s="94">
        <f>CU74-(CW73*CW$5)</f>
        <v>97110.346449086996</v>
      </c>
      <c r="CY74" s="95">
        <f>CW74-(CY73*CY$5)</f>
        <v>87975.68231708699</v>
      </c>
      <c r="DA74" s="94">
        <f>CY74-(DA73*DA$5)</f>
        <v>73810.275237086986</v>
      </c>
      <c r="DC74" s="94">
        <f>DA74-(DC73*DC$5)</f>
        <v>53444.49129308699</v>
      </c>
      <c r="DE74" s="95">
        <f>DC74-(DE73*DE$5)</f>
        <v>30206.590365086991</v>
      </c>
      <c r="DG74" s="94">
        <f>DE74-(DG73*DG$5)</f>
        <v>9362.4501030869942</v>
      </c>
      <c r="DI74" s="94">
        <f>DG74-(DI73*DI$5)</f>
        <v>-6951.6534389130065</v>
      </c>
      <c r="DK74" s="95">
        <f>DI74-(DK73*DK$5)</f>
        <v>-18648.026720913007</v>
      </c>
      <c r="DL74" s="96"/>
      <c r="DM74" s="222">
        <f>DK74+DK54</f>
        <v>18079.452383260756</v>
      </c>
      <c r="DN74" s="69"/>
      <c r="DO74" s="69">
        <f>DM74</f>
        <v>18079.452383260756</v>
      </c>
      <c r="DP74" s="69"/>
      <c r="DQ74" s="100">
        <f>DO74</f>
        <v>18079.452383260756</v>
      </c>
      <c r="DS74" s="94">
        <f>DQ74-(DS73*DS$5)</f>
        <v>17377.53615084085</v>
      </c>
      <c r="DU74" s="94">
        <f>DS74-(DU73*DU$5)</f>
        <v>16672.122966629973</v>
      </c>
      <c r="DW74" s="95">
        <f>DU74-(DW73*DW$5)</f>
        <v>15567.775938019702</v>
      </c>
      <c r="DY74" s="94">
        <f>DW74-(DY73*DY$5)</f>
        <v>13855.230737474072</v>
      </c>
      <c r="EA74" s="94">
        <f>DY74-(EA73*EA$5)</f>
        <v>11393.082960733551</v>
      </c>
      <c r="EC74" s="95">
        <f>EA74-(EC73*EC$5)</f>
        <v>8583.7068884292985</v>
      </c>
      <c r="EE74" s="94">
        <f>EC74-(EE73*EE$5)</f>
        <v>6063.7276062533838</v>
      </c>
      <c r="EG74" s="94">
        <f>EE74-(EG73*EG$5)</f>
        <v>4091.412969316274</v>
      </c>
      <c r="EI74" s="95">
        <f>EG74-(EI73*EI$5)</f>
        <v>2677.3648014976307</v>
      </c>
      <c r="EK74" s="94">
        <f>EI74-(EK73*EK$5)</f>
        <v>1598.7550410528065</v>
      </c>
      <c r="EM74" s="94">
        <f>EK74-(EM73*EM$5)</f>
        <v>761.56572376338033</v>
      </c>
      <c r="EO74" s="98">
        <f>EM74-(EO73*EO$5)</f>
        <v>0</v>
      </c>
      <c r="EQ74" s="69"/>
      <c r="ES74" s="69"/>
      <c r="EU74" s="100"/>
      <c r="EW74" s="69"/>
      <c r="EY74" s="69"/>
      <c r="FA74" s="100"/>
    </row>
    <row r="75" spans="3:157">
      <c r="CS75" s="80"/>
      <c r="CY75" s="80"/>
      <c r="DE75" s="80"/>
      <c r="DK75" s="101"/>
      <c r="DQ75" s="80"/>
      <c r="DW75" s="80"/>
      <c r="EC75" s="80"/>
      <c r="EI75" s="80"/>
      <c r="EO75" s="80"/>
      <c r="EV75" s="81"/>
      <c r="FA75" s="80"/>
    </row>
    <row r="76" spans="3:157">
      <c r="CS76" s="80"/>
      <c r="CY76" s="80"/>
      <c r="DE76" s="80"/>
      <c r="DK76" s="101"/>
      <c r="DQ76" s="101"/>
      <c r="DW76" s="80"/>
      <c r="EC76" s="80"/>
      <c r="EI76" s="80"/>
      <c r="EO76" s="80"/>
      <c r="EV76" s="81"/>
      <c r="FA76" s="80"/>
    </row>
    <row r="77" spans="3:157">
      <c r="CM77" s="65" t="s">
        <v>230</v>
      </c>
      <c r="CU77" s="87">
        <f>'Sch IV AA'!I25</f>
        <v>-0.14269999999999999</v>
      </c>
      <c r="CV77" s="88"/>
      <c r="CW77" s="89">
        <f>CU77</f>
        <v>-0.14269999999999999</v>
      </c>
      <c r="CX77" s="82"/>
      <c r="CY77" s="90">
        <f>CW77</f>
        <v>-0.14269999999999999</v>
      </c>
      <c r="CZ77" s="82"/>
      <c r="DA77" s="89">
        <f>CY77</f>
        <v>-0.14269999999999999</v>
      </c>
      <c r="DB77" s="82"/>
      <c r="DC77" s="89">
        <f>DA77</f>
        <v>-0.14269999999999999</v>
      </c>
      <c r="DD77" s="82"/>
      <c r="DE77" s="90">
        <f>DC77</f>
        <v>-0.14269999999999999</v>
      </c>
      <c r="DF77" s="82"/>
      <c r="DG77" s="89">
        <f>DE77</f>
        <v>-0.14269999999999999</v>
      </c>
      <c r="DH77" s="82"/>
      <c r="DI77" s="89">
        <f>DG77</f>
        <v>-0.14269999999999999</v>
      </c>
      <c r="DJ77" s="82"/>
      <c r="DK77" s="90">
        <f>DI77</f>
        <v>-0.14269999999999999</v>
      </c>
      <c r="DL77" s="82"/>
      <c r="DM77" s="89">
        <f>DK77</f>
        <v>-0.14269999999999999</v>
      </c>
      <c r="DN77" s="82"/>
      <c r="DO77" s="89">
        <f>DM77</f>
        <v>-0.14269999999999999</v>
      </c>
      <c r="DP77" s="82"/>
      <c r="DQ77" s="90">
        <f>DO77</f>
        <v>-0.14269999999999999</v>
      </c>
      <c r="DR77" s="91"/>
      <c r="DS77" s="82"/>
      <c r="DT77" s="82"/>
      <c r="DU77" s="82"/>
      <c r="DV77" s="82"/>
      <c r="DW77" s="83"/>
      <c r="DX77" s="82"/>
      <c r="DY77" s="92">
        <f>DS78/SUM(DY$5:EU$5)</f>
        <v>0.40556271170505825</v>
      </c>
      <c r="DZ77" s="82"/>
      <c r="EA77" s="89">
        <f>DY77</f>
        <v>0.40556271170505825</v>
      </c>
      <c r="EB77" s="82"/>
      <c r="EC77" s="90">
        <f>EA77</f>
        <v>0.40556271170505825</v>
      </c>
      <c r="ED77" s="82"/>
      <c r="EE77" s="89">
        <f>EC77</f>
        <v>0.40556271170505825</v>
      </c>
      <c r="EF77" s="82"/>
      <c r="EG77" s="89">
        <f>EE77</f>
        <v>0.40556271170505825</v>
      </c>
      <c r="EH77" s="82"/>
      <c r="EI77" s="90">
        <f>EG77</f>
        <v>0.40556271170505825</v>
      </c>
      <c r="EJ77" s="82"/>
      <c r="EK77" s="89">
        <f>EI77</f>
        <v>0.40556271170505825</v>
      </c>
      <c r="EL77" s="82"/>
      <c r="EM77" s="89">
        <f>EK77</f>
        <v>0.40556271170505825</v>
      </c>
      <c r="EN77" s="82"/>
      <c r="EO77" s="90">
        <f>EM77</f>
        <v>0.40556271170505825</v>
      </c>
      <c r="EP77" s="82"/>
      <c r="EQ77" s="89">
        <f>EO77</f>
        <v>0.40556271170505825</v>
      </c>
      <c r="ER77" s="82"/>
      <c r="ES77" s="89">
        <f>EQ77</f>
        <v>0.40556271170505825</v>
      </c>
      <c r="ET77" s="82"/>
      <c r="EU77" s="90">
        <f>ES77</f>
        <v>0.40556271170505825</v>
      </c>
      <c r="EW77" s="82"/>
      <c r="EX77" s="82"/>
      <c r="EY77" s="82"/>
      <c r="EZ77" s="82"/>
      <c r="FA77" s="83"/>
    </row>
    <row r="78" spans="3:157">
      <c r="CM78" s="221">
        <f>'Sch IV AA'!I23</f>
        <v>-11139.677768361973</v>
      </c>
      <c r="CO78" s="22">
        <f>CM78</f>
        <v>-11139.677768361973</v>
      </c>
      <c r="CQ78" s="22">
        <f>CO78</f>
        <v>-11139.677768361973</v>
      </c>
      <c r="CS78" s="22">
        <f>CQ78</f>
        <v>-11139.677768361973</v>
      </c>
      <c r="CU78" s="94">
        <f>CS78-(CU77*CU$5)</f>
        <v>-10654.063104161973</v>
      </c>
      <c r="CW78" s="94">
        <f>CU78-(CW77*CW$5)</f>
        <v>-10166.029104161973</v>
      </c>
      <c r="CY78" s="95">
        <f>CW78-(CY77*CY$5)</f>
        <v>-9401.9961801619738</v>
      </c>
      <c r="DA78" s="94">
        <f>CY78-(DA77*DA$5)</f>
        <v>-8217.1866201619741</v>
      </c>
      <c r="DC78" s="94">
        <f>DA78-(DC77*DC$5)</f>
        <v>-6513.7710121619748</v>
      </c>
      <c r="DE78" s="95">
        <f>DC78-(DE77*DE$5)</f>
        <v>-4570.1285161619744</v>
      </c>
      <c r="DG78" s="94">
        <f>DE78-(DG77*DG$5)</f>
        <v>-2826.7026821619747</v>
      </c>
      <c r="DI78" s="94">
        <f>DG78-(DI77*DI$5)</f>
        <v>-1462.1738881619747</v>
      </c>
      <c r="DK78" s="95">
        <f>DI78-(DK77*DK$5)</f>
        <v>-483.87691416197458</v>
      </c>
      <c r="DM78" s="94">
        <f>DK78-(DM77*DM$5)</f>
        <v>262.34990383802551</v>
      </c>
      <c r="DO78" s="94">
        <f>DM78-(DO77*DO$5)</f>
        <v>841.55207983802552</v>
      </c>
      <c r="DQ78" s="95">
        <f>DO78-(DQ77*DQ$5)</f>
        <v>1368.4347278380255</v>
      </c>
      <c r="DR78" s="96"/>
      <c r="DS78" s="222">
        <f>DQ78+DQ58</f>
        <v>35548.871915002084</v>
      </c>
      <c r="DT78" s="69"/>
      <c r="DU78" s="69">
        <f>DS78</f>
        <v>35548.871915002084</v>
      </c>
      <c r="DV78" s="69"/>
      <c r="DW78" s="100">
        <f>DU78</f>
        <v>35548.871915002084</v>
      </c>
      <c r="DY78" s="94">
        <f>DW78-(DY77*DY$5)</f>
        <v>32181.565832257325</v>
      </c>
      <c r="EA78" s="94">
        <f>DY78-(EA77*EA$5)</f>
        <v>27340.347520125579</v>
      </c>
      <c r="EC78" s="95">
        <f>EA78-(EC77*EC$5)</f>
        <v>21816.388716601068</v>
      </c>
      <c r="EE78" s="94">
        <f>EC78-(EE77*EE$5)</f>
        <v>16861.458731361454</v>
      </c>
      <c r="EG78" s="94">
        <f>EE78-(EG77*EG$5)</f>
        <v>12983.378858241111</v>
      </c>
      <c r="EI78" s="95">
        <f>EG78-(EI77*EI$5)</f>
        <v>10202.995020621678</v>
      </c>
      <c r="EK78" s="94">
        <f>EI78-(EK77*EK$5)</f>
        <v>8082.1697097939486</v>
      </c>
      <c r="EM78" s="94">
        <f>EK78-(EM77*EM$5)</f>
        <v>6436.0393305085217</v>
      </c>
      <c r="EO78" s="95">
        <f>EM78-(EO77*EO$5)</f>
        <v>4938.6044638426374</v>
      </c>
      <c r="EQ78" s="94">
        <f>EO78-(EQ77*EQ$5)</f>
        <v>3558.4559000255858</v>
      </c>
      <c r="ES78" s="94">
        <f>EQ78-(ES77*ES$5)</f>
        <v>2171.4314259942867</v>
      </c>
      <c r="EU78" s="98">
        <f>ES78-(EU77*EU$5)</f>
        <v>0</v>
      </c>
      <c r="EW78" s="69"/>
      <c r="EY78" s="69"/>
      <c r="FA78" s="10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842D6-41CF-429B-B18A-8C5251DD9ECF}">
  <sheetPr>
    <pageSetUpPr fitToPage="1"/>
  </sheetPr>
  <dimension ref="A1:AG103"/>
  <sheetViews>
    <sheetView zoomScaleNormal="100" workbookViewId="0">
      <pane xSplit="4" ySplit="2" topLeftCell="E40" activePane="bottomRight" state="frozen"/>
      <selection pane="topRight" activeCell="E1" sqref="E1"/>
      <selection pane="bottomLeft" activeCell="A3" sqref="A3"/>
      <selection pane="bottomRight" activeCell="L63" sqref="L63"/>
    </sheetView>
  </sheetViews>
  <sheetFormatPr defaultColWidth="9.109375" defaultRowHeight="13.2"/>
  <cols>
    <col min="1" max="2" width="1.33203125" style="104" customWidth="1"/>
    <col min="3" max="3" width="10.6640625" style="104" customWidth="1"/>
    <col min="4" max="5" width="1.33203125" style="104" customWidth="1"/>
    <col min="6" max="6" width="9.6640625" style="104" customWidth="1"/>
    <col min="7" max="7" width="1.33203125" style="104" customWidth="1"/>
    <col min="8" max="8" width="9.6640625" style="104" customWidth="1"/>
    <col min="9" max="9" width="1.33203125" style="104" customWidth="1"/>
    <col min="10" max="10" width="9.6640625" style="104" customWidth="1"/>
    <col min="11" max="11" width="1.33203125" style="104" customWidth="1"/>
    <col min="12" max="12" width="9.6640625" style="104" customWidth="1"/>
    <col min="13" max="13" width="1.33203125" style="104" customWidth="1"/>
    <col min="14" max="14" width="9.6640625" style="104" customWidth="1"/>
    <col min="15" max="15" width="1.33203125" style="104" customWidth="1"/>
    <col min="16" max="16" width="9.6640625" style="104" customWidth="1"/>
    <col min="17" max="17" width="1.33203125" style="104" customWidth="1"/>
    <col min="18" max="18" width="9.6640625" style="104" customWidth="1"/>
    <col min="19" max="19" width="1.33203125" style="104" customWidth="1"/>
    <col min="20" max="20" width="9.6640625" style="104" customWidth="1"/>
    <col min="21" max="21" width="1.33203125" style="104" customWidth="1"/>
    <col min="22" max="22" width="9.6640625" style="104" customWidth="1"/>
    <col min="23" max="23" width="1.33203125" style="104" customWidth="1"/>
    <col min="24" max="24" width="9.6640625" style="104" customWidth="1"/>
    <col min="25" max="25" width="1.33203125" style="104" customWidth="1"/>
    <col min="26" max="26" width="9.6640625" style="104" customWidth="1"/>
    <col min="27" max="27" width="1.33203125" style="104" customWidth="1"/>
    <col min="28" max="28" width="9.6640625" style="104" customWidth="1"/>
    <col min="29" max="29" width="1.33203125" style="104" customWidth="1"/>
    <col min="30" max="30" width="10.6640625" style="104" customWidth="1"/>
    <col min="31" max="31" width="9.109375" style="104"/>
    <col min="32" max="32" width="6.33203125" style="104" bestFit="1" customWidth="1"/>
    <col min="33" max="33" width="9.6640625" style="104" customWidth="1"/>
    <col min="34" max="16384" width="9.109375" style="104"/>
  </cols>
  <sheetData>
    <row r="1" spans="1:32">
      <c r="A1" s="104" t="s">
        <v>138</v>
      </c>
    </row>
    <row r="2" spans="1:32" s="105" customFormat="1">
      <c r="F2" s="106">
        <v>39478</v>
      </c>
      <c r="G2" s="106"/>
      <c r="H2" s="106">
        <v>39506</v>
      </c>
      <c r="I2" s="106"/>
      <c r="J2" s="106">
        <v>39538</v>
      </c>
      <c r="K2" s="106"/>
      <c r="L2" s="106">
        <v>39568</v>
      </c>
      <c r="M2" s="106"/>
      <c r="N2" s="106">
        <v>39599</v>
      </c>
      <c r="O2" s="106"/>
      <c r="P2" s="106">
        <v>39629</v>
      </c>
      <c r="Q2" s="106"/>
      <c r="R2" s="106">
        <v>39660</v>
      </c>
      <c r="S2" s="106"/>
      <c r="T2" s="106">
        <v>39691</v>
      </c>
      <c r="U2" s="106"/>
      <c r="V2" s="106">
        <v>39721</v>
      </c>
      <c r="W2" s="106"/>
      <c r="X2" s="106">
        <v>39752</v>
      </c>
      <c r="Y2" s="106"/>
      <c r="Z2" s="106">
        <v>39782</v>
      </c>
      <c r="AA2" s="106"/>
      <c r="AB2" s="106">
        <v>39813</v>
      </c>
      <c r="AC2" s="106"/>
      <c r="AD2" s="107" t="s">
        <v>123</v>
      </c>
    </row>
    <row r="3" spans="1:32">
      <c r="B3" s="104" t="s">
        <v>171</v>
      </c>
    </row>
    <row r="4" spans="1:32" s="163" customFormat="1" ht="10.199999999999999">
      <c r="C4" s="163">
        <v>2016</v>
      </c>
      <c r="F4" s="167">
        <v>11015</v>
      </c>
      <c r="G4" s="164"/>
      <c r="H4" s="167">
        <v>10109</v>
      </c>
      <c r="I4" s="164"/>
      <c r="J4" s="167">
        <v>9340</v>
      </c>
      <c r="K4" s="164"/>
      <c r="L4" s="167">
        <v>7794</v>
      </c>
      <c r="M4" s="164"/>
      <c r="N4" s="167">
        <v>5474</v>
      </c>
      <c r="O4" s="164"/>
      <c r="P4" s="167">
        <v>4778</v>
      </c>
      <c r="Q4" s="164"/>
      <c r="R4" s="167">
        <v>4594</v>
      </c>
      <c r="S4" s="164"/>
      <c r="T4" s="167">
        <v>4462</v>
      </c>
      <c r="U4" s="164"/>
      <c r="V4" s="167">
        <v>5505</v>
      </c>
      <c r="W4" s="164"/>
      <c r="X4" s="167">
        <v>5465</v>
      </c>
      <c r="Y4" s="164"/>
      <c r="Z4" s="167">
        <v>7363</v>
      </c>
      <c r="AA4" s="164"/>
      <c r="AB4" s="167">
        <v>8826</v>
      </c>
      <c r="AD4" s="164">
        <f t="shared" ref="AD4:AD9" si="0">SUM(F4:AB4)</f>
        <v>84725</v>
      </c>
    </row>
    <row r="5" spans="1:32" s="163" customFormat="1" ht="10.199999999999999">
      <c r="C5" s="163">
        <v>2017</v>
      </c>
      <c r="F5" s="167">
        <v>7634</v>
      </c>
      <c r="G5" s="164"/>
      <c r="H5" s="167">
        <v>6393</v>
      </c>
      <c r="I5" s="164"/>
      <c r="J5" s="167">
        <v>7774</v>
      </c>
      <c r="K5" s="164"/>
      <c r="L5" s="167">
        <v>6650</v>
      </c>
      <c r="M5" s="164"/>
      <c r="N5" s="167">
        <v>3981</v>
      </c>
      <c r="O5" s="164"/>
      <c r="P5" s="167">
        <v>3459</v>
      </c>
      <c r="Q5" s="164"/>
      <c r="R5" s="167">
        <v>2704</v>
      </c>
      <c r="S5" s="164"/>
      <c r="T5" s="167">
        <v>4983</v>
      </c>
      <c r="U5" s="164"/>
      <c r="V5" s="167">
        <v>6437</v>
      </c>
      <c r="W5" s="164"/>
      <c r="X5" s="167">
        <v>6306</v>
      </c>
      <c r="Y5" s="164"/>
      <c r="Z5" s="167">
        <v>10869</v>
      </c>
      <c r="AA5" s="164"/>
      <c r="AB5" s="167">
        <v>12716</v>
      </c>
      <c r="AD5" s="164">
        <f t="shared" si="0"/>
        <v>79906</v>
      </c>
    </row>
    <row r="6" spans="1:32" s="163" customFormat="1" ht="10.199999999999999">
      <c r="C6" s="163">
        <v>2018</v>
      </c>
      <c r="F6" s="167">
        <v>12306</v>
      </c>
      <c r="G6" s="164"/>
      <c r="H6" s="167">
        <v>12391</v>
      </c>
      <c r="I6" s="164"/>
      <c r="J6" s="167">
        <v>13164</v>
      </c>
      <c r="K6" s="164"/>
      <c r="L6" s="167">
        <v>10761</v>
      </c>
      <c r="M6" s="164"/>
      <c r="N6" s="167">
        <v>6961</v>
      </c>
      <c r="O6" s="164"/>
      <c r="P6" s="167">
        <v>6678</v>
      </c>
      <c r="Q6" s="164"/>
      <c r="R6" s="167">
        <v>5672</v>
      </c>
      <c r="S6" s="164"/>
      <c r="T6" s="167">
        <v>6855</v>
      </c>
      <c r="U6" s="164"/>
      <c r="V6" s="167">
        <v>6082.8</v>
      </c>
      <c r="W6" s="164"/>
      <c r="X6" s="167">
        <v>7301.3</v>
      </c>
      <c r="Y6" s="164"/>
      <c r="Z6" s="167">
        <v>13375.6</v>
      </c>
      <c r="AA6" s="164"/>
      <c r="AB6" s="167">
        <v>13910</v>
      </c>
      <c r="AD6" s="164">
        <f t="shared" si="0"/>
        <v>115457.70000000001</v>
      </c>
      <c r="AE6" s="164"/>
      <c r="AF6" s="165"/>
    </row>
    <row r="7" spans="1:32" s="163" customFormat="1" ht="10.199999999999999">
      <c r="C7" s="163">
        <v>2019</v>
      </c>
      <c r="F7" s="167">
        <v>12228</v>
      </c>
      <c r="G7" s="164"/>
      <c r="H7" s="167">
        <v>14660</v>
      </c>
      <c r="I7" s="164"/>
      <c r="J7" s="167">
        <v>12783</v>
      </c>
      <c r="K7" s="164"/>
      <c r="L7" s="167">
        <v>9302</v>
      </c>
      <c r="M7" s="164"/>
      <c r="N7" s="167">
        <v>9488</v>
      </c>
      <c r="O7" s="164"/>
      <c r="P7" s="167">
        <v>6501</v>
      </c>
      <c r="Q7" s="164"/>
      <c r="R7" s="167">
        <v>6289</v>
      </c>
      <c r="S7" s="164"/>
      <c r="T7" s="167">
        <v>6925</v>
      </c>
      <c r="U7" s="164"/>
      <c r="V7" s="167">
        <v>4629</v>
      </c>
      <c r="W7" s="164"/>
      <c r="X7" s="167">
        <v>5670</v>
      </c>
      <c r="Y7" s="164"/>
      <c r="Z7" s="167">
        <f>(8157+25419+79254+1932)/10</f>
        <v>11476.2</v>
      </c>
      <c r="AA7" s="164"/>
      <c r="AB7" s="167">
        <f>110608/10</f>
        <v>11060.8</v>
      </c>
      <c r="AD7" s="164">
        <f t="shared" si="0"/>
        <v>111012</v>
      </c>
      <c r="AE7" s="164"/>
      <c r="AF7" s="165"/>
    </row>
    <row r="8" spans="1:32" s="163" customFormat="1" ht="10.199999999999999">
      <c r="C8" s="163">
        <v>2020</v>
      </c>
      <c r="F8" s="167">
        <f>126026/10</f>
        <v>12602.6</v>
      </c>
      <c r="G8" s="164"/>
      <c r="H8" s="167">
        <f>121576/10</f>
        <v>12157.6</v>
      </c>
      <c r="I8" s="164"/>
      <c r="J8" s="167">
        <f>127017/10</f>
        <v>12701.7</v>
      </c>
      <c r="K8" s="164"/>
      <c r="L8" s="167">
        <f>103242/10</f>
        <v>10324.200000000001</v>
      </c>
      <c r="M8" s="164"/>
      <c r="N8" s="167">
        <f>75817/10</f>
        <v>7581.7</v>
      </c>
      <c r="O8" s="164"/>
      <c r="P8" s="167">
        <f>58765/10</f>
        <v>5876.5</v>
      </c>
      <c r="Q8" s="164"/>
      <c r="R8" s="167">
        <f>59521/10</f>
        <v>5952.1</v>
      </c>
      <c r="S8" s="164"/>
      <c r="T8" s="167">
        <f>51603/10</f>
        <v>5160.3</v>
      </c>
      <c r="U8" s="164"/>
      <c r="V8" s="167">
        <f>63345/10</f>
        <v>6334.5</v>
      </c>
      <c r="W8" s="164"/>
      <c r="X8" s="167">
        <f>77349/10</f>
        <v>7734.9</v>
      </c>
      <c r="Y8" s="164"/>
      <c r="Z8" s="167">
        <f>91968/10</f>
        <v>9196.7999999999993</v>
      </c>
      <c r="AA8" s="164"/>
      <c r="AB8" s="167">
        <f>137696/10</f>
        <v>13769.6</v>
      </c>
      <c r="AD8" s="164">
        <f t="shared" si="0"/>
        <v>109392.50000000001</v>
      </c>
      <c r="AE8" s="164"/>
      <c r="AF8" s="165"/>
    </row>
    <row r="9" spans="1:32" s="163" customFormat="1" ht="10.199999999999999">
      <c r="C9" s="163">
        <v>2021</v>
      </c>
      <c r="F9" s="167">
        <f>90889/10</f>
        <v>9088.9</v>
      </c>
      <c r="G9" s="164"/>
      <c r="H9" s="167">
        <f>96265/10</f>
        <v>9626.5</v>
      </c>
      <c r="I9" s="164"/>
      <c r="J9" s="167">
        <f>120724/10</f>
        <v>12072.4</v>
      </c>
      <c r="K9" s="164"/>
      <c r="L9" s="167">
        <f>103411/10</f>
        <v>10341.1</v>
      </c>
      <c r="M9" s="164"/>
      <c r="N9" s="167">
        <f>(780+7910+57187+3491)/10</f>
        <v>6936.8</v>
      </c>
      <c r="O9" s="164"/>
      <c r="P9" s="167">
        <f>(338+9258+56577+278)/10</f>
        <v>6645.1</v>
      </c>
      <c r="Q9" s="164"/>
      <c r="R9" s="167">
        <f>(179+6383+26737+702)/10</f>
        <v>3400.1</v>
      </c>
      <c r="S9" s="164"/>
      <c r="T9" s="169">
        <f>(228+8044+11759+127)/10</f>
        <v>2015.8</v>
      </c>
      <c r="U9" s="164"/>
      <c r="V9" s="169">
        <f>(221+7391+9874+454)/10</f>
        <v>1794</v>
      </c>
      <c r="W9" s="164"/>
      <c r="X9" s="167">
        <f>(1955+13716+13125+6268)/10</f>
        <v>3506.4</v>
      </c>
      <c r="Y9" s="164"/>
      <c r="Z9" s="167">
        <f>(3844+21408+16336+2574)/10</f>
        <v>4416.2</v>
      </c>
      <c r="AA9" s="164"/>
      <c r="AB9" s="167">
        <v>3163</v>
      </c>
      <c r="AD9" s="164">
        <f t="shared" si="0"/>
        <v>73006.3</v>
      </c>
      <c r="AE9" s="164"/>
      <c r="AF9" s="165"/>
    </row>
    <row r="10" spans="1:32" s="163" customFormat="1" ht="10.199999999999999">
      <c r="C10" s="163">
        <v>2022</v>
      </c>
      <c r="F10" s="167">
        <v>9748</v>
      </c>
      <c r="G10" s="164"/>
      <c r="H10" s="167">
        <v>6389</v>
      </c>
      <c r="I10" s="164"/>
      <c r="J10" s="167">
        <v>5426</v>
      </c>
      <c r="K10" s="164"/>
      <c r="L10" s="167">
        <v>4056</v>
      </c>
      <c r="M10" s="164"/>
      <c r="N10" s="167">
        <v>2246</v>
      </c>
      <c r="O10" s="164"/>
      <c r="P10" s="167">
        <f>(313+8038+3505+5119)/10</f>
        <v>1697.5</v>
      </c>
      <c r="Q10" s="164"/>
      <c r="R10" s="167">
        <f>(240+9172+11833+301)/10</f>
        <v>2154.6</v>
      </c>
      <c r="S10" s="164"/>
      <c r="T10" s="167">
        <f>(148+6040+8100+98)/10</f>
        <v>1438.6</v>
      </c>
      <c r="U10" s="164"/>
      <c r="V10" s="167">
        <f>(320+7603+9966+6)/10</f>
        <v>1789.5</v>
      </c>
      <c r="W10" s="164"/>
      <c r="X10" s="167">
        <v>3440.2</v>
      </c>
      <c r="Y10" s="164"/>
      <c r="Z10" s="167">
        <v>4157.8999999999996</v>
      </c>
      <c r="AA10" s="164"/>
      <c r="AB10" s="167">
        <v>6814.1</v>
      </c>
      <c r="AD10" s="164">
        <f>SUM(F10:AB10)</f>
        <v>49357.399999999994</v>
      </c>
      <c r="AE10" s="164"/>
      <c r="AF10" s="165"/>
    </row>
    <row r="11" spans="1:32" s="163" customFormat="1" ht="10.199999999999999">
      <c r="C11" s="163">
        <v>2023</v>
      </c>
      <c r="F11" s="167">
        <v>5578.7</v>
      </c>
      <c r="G11" s="164"/>
      <c r="H11" s="167">
        <v>4258.3</v>
      </c>
      <c r="I11" s="164"/>
      <c r="J11" s="167">
        <v>5276</v>
      </c>
      <c r="K11" s="164"/>
      <c r="L11" s="167">
        <v>5318.8</v>
      </c>
      <c r="M11" s="164"/>
      <c r="N11" s="167">
        <v>1883.5</v>
      </c>
      <c r="O11" s="164"/>
      <c r="P11" s="167">
        <v>1871.3</v>
      </c>
      <c r="Q11" s="164"/>
      <c r="R11" s="167">
        <v>1651.1</v>
      </c>
      <c r="S11" s="164"/>
      <c r="T11" s="167">
        <v>1294</v>
      </c>
      <c r="U11" s="164"/>
      <c r="V11" s="167">
        <v>1478</v>
      </c>
      <c r="W11" s="164"/>
      <c r="X11" s="167">
        <f>(1128+8040+19622+618)/10</f>
        <v>2940.8</v>
      </c>
      <c r="Y11" s="164"/>
      <c r="Z11" s="167">
        <f>(2977+14837+18049+2767)/10</f>
        <v>3863</v>
      </c>
      <c r="AA11" s="164"/>
      <c r="AB11" s="167">
        <v>6850.5</v>
      </c>
      <c r="AD11" s="164">
        <f>SUM(F11:AB11)</f>
        <v>42264</v>
      </c>
      <c r="AE11" s="164"/>
      <c r="AF11" s="165"/>
    </row>
    <row r="12" spans="1:32" s="163" customFormat="1" ht="10.199999999999999">
      <c r="C12" s="163">
        <v>2024</v>
      </c>
      <c r="F12" s="167">
        <v>6009</v>
      </c>
      <c r="G12" s="164"/>
      <c r="H12" s="167">
        <v>6279</v>
      </c>
      <c r="I12" s="164"/>
      <c r="J12" s="167">
        <v>4648.5</v>
      </c>
      <c r="K12" s="164"/>
      <c r="L12" s="167">
        <v>3619.8</v>
      </c>
      <c r="M12" s="164"/>
      <c r="N12" s="167">
        <v>2391.9</v>
      </c>
      <c r="O12" s="164"/>
      <c r="P12" s="167">
        <v>1825</v>
      </c>
      <c r="Q12" s="164"/>
      <c r="R12" s="168">
        <v>2935</v>
      </c>
      <c r="S12" s="164"/>
      <c r="T12" s="168">
        <f>1913+3233.23</f>
        <v>5146.2299999999996</v>
      </c>
      <c r="U12" s="164"/>
      <c r="V12" s="167">
        <v>3220.5</v>
      </c>
      <c r="W12" s="164"/>
      <c r="X12" s="167">
        <v>2989.6</v>
      </c>
      <c r="Y12" s="164"/>
      <c r="Z12" s="167">
        <v>3937.1</v>
      </c>
      <c r="AA12" s="164"/>
      <c r="AB12" s="167">
        <v>6778</v>
      </c>
      <c r="AD12" s="164">
        <f>SUM(F12:AB12)</f>
        <v>49779.63</v>
      </c>
      <c r="AE12" s="164"/>
    </row>
    <row r="13" spans="1:32" s="163" customFormat="1" ht="10.199999999999999">
      <c r="C13" s="163">
        <v>2025</v>
      </c>
      <c r="F13" s="167">
        <v>9624.2000000000007</v>
      </c>
      <c r="G13" s="164"/>
      <c r="H13" s="167">
        <v>6591.4</v>
      </c>
      <c r="I13" s="164"/>
      <c r="J13" s="167">
        <v>5204.8</v>
      </c>
      <c r="K13" s="164"/>
      <c r="L13" s="167">
        <v>3310</v>
      </c>
      <c r="M13" s="164"/>
      <c r="N13" s="167"/>
      <c r="O13" s="164"/>
      <c r="P13" s="164"/>
      <c r="Q13" s="164"/>
      <c r="R13" s="166"/>
      <c r="S13" s="164"/>
      <c r="T13" s="166"/>
      <c r="U13" s="164"/>
      <c r="V13" s="164"/>
      <c r="W13" s="164"/>
      <c r="X13" s="164"/>
      <c r="Y13" s="164"/>
      <c r="Z13" s="164"/>
      <c r="AA13" s="164"/>
      <c r="AB13" s="164"/>
      <c r="AD13" s="164"/>
      <c r="AE13" s="164"/>
    </row>
    <row r="14" spans="1:32"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D14" s="108"/>
      <c r="AE14" s="108"/>
    </row>
    <row r="15" spans="1:32">
      <c r="C15" s="104" t="s">
        <v>172</v>
      </c>
      <c r="F15" s="108">
        <f>SUM(H12:$AB12)+SUM($F13:F13)</f>
        <v>53394.83</v>
      </c>
      <c r="G15" s="108"/>
      <c r="H15" s="108">
        <f>SUM(J12:$AB12)+SUM($F13:H13)</f>
        <v>53707.229999999996</v>
      </c>
      <c r="I15" s="108"/>
      <c r="J15" s="108">
        <f>SUM(L12:$AB12)+SUM($F13:J13)</f>
        <v>54263.53</v>
      </c>
      <c r="K15" s="108"/>
      <c r="L15" s="108">
        <f>SUM(N12:$AB12)+SUM($F13:L13)</f>
        <v>53953.729999999996</v>
      </c>
      <c r="M15" s="108"/>
      <c r="N15" s="108">
        <f>SUM(P11:$AB11)+SUM($F12:N12)</f>
        <v>42896.9</v>
      </c>
      <c r="O15" s="108"/>
      <c r="P15" s="108">
        <f>SUM(R11:$AB11)+SUM($F12:P12)</f>
        <v>42850.600000000006</v>
      </c>
      <c r="Q15" s="108"/>
      <c r="R15" s="108">
        <f>SUM(T11:$AB11)+SUM($F12:R12)</f>
        <v>44134.5</v>
      </c>
      <c r="S15" s="108"/>
      <c r="T15" s="108">
        <f>SUM(V11:$AB11)+SUM($F12:T12)</f>
        <v>47986.729999999996</v>
      </c>
      <c r="U15" s="108"/>
      <c r="V15" s="108">
        <f>SUM(X11:$AB11)+SUM($F12:V12)</f>
        <v>49729.229999999996</v>
      </c>
      <c r="W15" s="108"/>
      <c r="X15" s="108">
        <f>SUM(Z11:$AB11)+SUM($F12:X12)</f>
        <v>49778.03</v>
      </c>
      <c r="Y15" s="108"/>
      <c r="Z15" s="108">
        <f>SUM(AB11:$AB11)+SUM($F12:Z12)</f>
        <v>49852.13</v>
      </c>
      <c r="AA15" s="108"/>
      <c r="AB15" s="108">
        <f>SUM($F12:AB12)</f>
        <v>49779.63</v>
      </c>
      <c r="AD15" s="108"/>
    </row>
    <row r="16" spans="1:32">
      <c r="C16" s="104" t="s">
        <v>173</v>
      </c>
      <c r="F16" s="108">
        <f>AVERAGE(F9:F13)</f>
        <v>8009.76</v>
      </c>
      <c r="G16" s="108"/>
      <c r="H16" s="108">
        <f>AVERAGE(H8:H12)</f>
        <v>7742.079999999999</v>
      </c>
      <c r="I16" s="108"/>
      <c r="J16" s="108">
        <f>AVERAGE(J9:J13)</f>
        <v>6525.54</v>
      </c>
      <c r="K16" s="108"/>
      <c r="L16" s="108">
        <f>AVERAGE(L9:L13)</f>
        <v>5329.14</v>
      </c>
      <c r="M16" s="108"/>
      <c r="N16" s="108">
        <f>AVERAGE(N8:N12)</f>
        <v>4207.9800000000005</v>
      </c>
      <c r="O16" s="108"/>
      <c r="P16" s="108">
        <f>AVERAGE(P8:P12)</f>
        <v>3583.0800000000004</v>
      </c>
      <c r="Q16" s="108"/>
      <c r="R16" s="108">
        <f>AVERAGE(R8:R12)</f>
        <v>3218.5800000000004</v>
      </c>
      <c r="S16" s="108"/>
      <c r="T16" s="108">
        <f>AVERAGE(T8:T12)</f>
        <v>3010.9859999999999</v>
      </c>
      <c r="U16" s="108"/>
      <c r="V16" s="108">
        <f>AVERAGE(V8:V12)</f>
        <v>2923.3</v>
      </c>
      <c r="W16" s="108"/>
      <c r="X16" s="108">
        <f>AVERAGE(X8:X12)</f>
        <v>4122.3799999999992</v>
      </c>
      <c r="Y16" s="108"/>
      <c r="Z16" s="108">
        <f>AVERAGE(Z8:Z12)</f>
        <v>5114.2</v>
      </c>
      <c r="AA16" s="108"/>
      <c r="AB16" s="108">
        <f>AVERAGE(AB8:AB12)</f>
        <v>7475.0399999999991</v>
      </c>
      <c r="AD16" s="108">
        <f>SUM(F16:AB16)</f>
        <v>61262.065999999999</v>
      </c>
    </row>
    <row r="17" spans="2:31"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D17" s="108"/>
    </row>
    <row r="18" spans="2:31">
      <c r="B18" s="104" t="s">
        <v>126</v>
      </c>
    </row>
    <row r="19" spans="2:31" s="163" customFormat="1" ht="10.199999999999999">
      <c r="C19" s="163">
        <v>2016</v>
      </c>
      <c r="F19" s="167">
        <v>3400</v>
      </c>
      <c r="G19" s="164"/>
      <c r="H19" s="167">
        <v>2723</v>
      </c>
      <c r="I19" s="164"/>
      <c r="J19" s="167">
        <v>1376</v>
      </c>
      <c r="K19" s="164"/>
      <c r="L19" s="167">
        <v>913</v>
      </c>
      <c r="M19" s="164"/>
      <c r="N19" s="167">
        <v>406</v>
      </c>
      <c r="O19" s="164"/>
      <c r="P19" s="167">
        <v>247</v>
      </c>
      <c r="Q19" s="164"/>
      <c r="R19" s="167">
        <v>223</v>
      </c>
      <c r="S19" s="164"/>
      <c r="T19" s="167">
        <v>221</v>
      </c>
      <c r="U19" s="164"/>
      <c r="V19" s="167">
        <v>235</v>
      </c>
      <c r="W19" s="164"/>
      <c r="X19" s="167">
        <v>443</v>
      </c>
      <c r="Y19" s="164"/>
      <c r="Z19" s="167">
        <v>1501</v>
      </c>
      <c r="AA19" s="164"/>
      <c r="AB19" s="167">
        <v>2532</v>
      </c>
      <c r="AD19" s="164">
        <f t="shared" ref="AD19:AD24" si="1">SUM(F19:AB19)</f>
        <v>14220</v>
      </c>
    </row>
    <row r="20" spans="2:31" s="163" customFormat="1" ht="10.199999999999999">
      <c r="C20" s="163">
        <v>2017</v>
      </c>
      <c r="F20" s="167">
        <v>2547</v>
      </c>
      <c r="G20" s="164"/>
      <c r="H20" s="167">
        <v>1912</v>
      </c>
      <c r="I20" s="164"/>
      <c r="J20" s="167">
        <v>1990</v>
      </c>
      <c r="K20" s="164"/>
      <c r="L20" s="167">
        <v>659</v>
      </c>
      <c r="M20" s="164"/>
      <c r="N20" s="167">
        <v>481</v>
      </c>
      <c r="O20" s="164"/>
      <c r="P20" s="167">
        <v>285</v>
      </c>
      <c r="Q20" s="164"/>
      <c r="R20" s="167">
        <v>284</v>
      </c>
      <c r="S20" s="164"/>
      <c r="T20" s="167">
        <v>298</v>
      </c>
      <c r="U20" s="164"/>
      <c r="V20" s="167">
        <v>289</v>
      </c>
      <c r="W20" s="164"/>
      <c r="X20" s="167">
        <v>754</v>
      </c>
      <c r="Y20" s="164"/>
      <c r="Z20" s="167">
        <v>1828</v>
      </c>
      <c r="AA20" s="164"/>
      <c r="AB20" s="167">
        <v>2501</v>
      </c>
      <c r="AD20" s="164">
        <f t="shared" si="1"/>
        <v>13828</v>
      </c>
    </row>
    <row r="21" spans="2:31" s="163" customFormat="1" ht="10.199999999999999">
      <c r="C21" s="163">
        <v>2018</v>
      </c>
      <c r="F21" s="167">
        <v>4102</v>
      </c>
      <c r="G21" s="164"/>
      <c r="H21" s="167">
        <v>2020</v>
      </c>
      <c r="I21" s="164"/>
      <c r="J21" s="167">
        <v>2241</v>
      </c>
      <c r="K21" s="164"/>
      <c r="L21" s="167">
        <v>1481</v>
      </c>
      <c r="M21" s="164"/>
      <c r="N21" s="167">
        <v>392</v>
      </c>
      <c r="O21" s="164"/>
      <c r="P21" s="167">
        <v>303</v>
      </c>
      <c r="Q21" s="164"/>
      <c r="R21" s="167">
        <v>298</v>
      </c>
      <c r="S21" s="164"/>
      <c r="T21" s="167">
        <v>316</v>
      </c>
      <c r="U21" s="164"/>
      <c r="V21" s="167">
        <v>260</v>
      </c>
      <c r="W21" s="164"/>
      <c r="X21" s="167">
        <v>812</v>
      </c>
      <c r="Y21" s="164"/>
      <c r="Z21" s="167">
        <v>2151</v>
      </c>
      <c r="AA21" s="164"/>
      <c r="AB21" s="167">
        <v>2602</v>
      </c>
      <c r="AD21" s="164">
        <f t="shared" si="1"/>
        <v>16978</v>
      </c>
    </row>
    <row r="22" spans="2:31" s="163" customFormat="1" ht="10.199999999999999">
      <c r="C22" s="163">
        <v>2019</v>
      </c>
      <c r="F22" s="167">
        <v>2898</v>
      </c>
      <c r="G22" s="164"/>
      <c r="H22" s="167">
        <v>2333</v>
      </c>
      <c r="I22" s="164"/>
      <c r="J22" s="167">
        <v>2073</v>
      </c>
      <c r="K22" s="164"/>
      <c r="L22" s="167">
        <v>912</v>
      </c>
      <c r="M22" s="164"/>
      <c r="N22" s="167">
        <v>369</v>
      </c>
      <c r="O22" s="164"/>
      <c r="P22" s="167">
        <v>320</v>
      </c>
      <c r="Q22" s="164"/>
      <c r="R22" s="167">
        <v>335</v>
      </c>
      <c r="S22" s="164"/>
      <c r="T22" s="167">
        <v>289</v>
      </c>
      <c r="U22" s="164"/>
      <c r="V22" s="167">
        <v>365</v>
      </c>
      <c r="W22" s="164"/>
      <c r="X22" s="167">
        <v>628</v>
      </c>
      <c r="Y22" s="164"/>
      <c r="Z22" s="167">
        <v>2233</v>
      </c>
      <c r="AA22" s="164"/>
      <c r="AB22" s="167">
        <v>2655</v>
      </c>
      <c r="AD22" s="164">
        <f t="shared" si="1"/>
        <v>15410</v>
      </c>
    </row>
    <row r="23" spans="2:31" s="163" customFormat="1" ht="10.199999999999999">
      <c r="C23" s="163">
        <v>2020</v>
      </c>
      <c r="F23" s="167">
        <v>2719</v>
      </c>
      <c r="G23" s="164"/>
      <c r="H23" s="167">
        <v>2400</v>
      </c>
      <c r="I23" s="164"/>
      <c r="J23" s="167">
        <v>1653</v>
      </c>
      <c r="K23" s="164"/>
      <c r="L23" s="167">
        <v>1142</v>
      </c>
      <c r="M23" s="164"/>
      <c r="N23" s="167">
        <v>847</v>
      </c>
      <c r="O23" s="164"/>
      <c r="P23" s="167">
        <v>448</v>
      </c>
      <c r="Q23" s="164"/>
      <c r="R23" s="167">
        <v>413</v>
      </c>
      <c r="S23" s="164"/>
      <c r="T23" s="167">
        <v>312</v>
      </c>
      <c r="U23" s="164"/>
      <c r="V23" s="167">
        <v>441</v>
      </c>
      <c r="W23" s="164"/>
      <c r="X23" s="167">
        <v>639</v>
      </c>
      <c r="Y23" s="164"/>
      <c r="Z23" s="167">
        <v>1890</v>
      </c>
      <c r="AA23" s="164"/>
      <c r="AB23" s="167">
        <v>2795</v>
      </c>
      <c r="AD23" s="164">
        <f t="shared" si="1"/>
        <v>15699</v>
      </c>
    </row>
    <row r="24" spans="2:31" s="163" customFormat="1" ht="10.199999999999999">
      <c r="C24" s="163">
        <v>2021</v>
      </c>
      <c r="F24" s="167">
        <v>3070</v>
      </c>
      <c r="G24" s="164"/>
      <c r="H24" s="167">
        <v>3329</v>
      </c>
      <c r="I24" s="164"/>
      <c r="J24" s="167">
        <v>1992</v>
      </c>
      <c r="K24" s="164"/>
      <c r="L24" s="167">
        <v>1247</v>
      </c>
      <c r="M24" s="164"/>
      <c r="N24" s="167">
        <f>(9615+3840)/10</f>
        <v>1345.5</v>
      </c>
      <c r="O24" s="164"/>
      <c r="P24" s="167">
        <v>413.7</v>
      </c>
      <c r="Q24" s="164"/>
      <c r="R24" s="167">
        <v>364.5</v>
      </c>
      <c r="S24" s="164"/>
      <c r="T24" s="149">
        <f>(1322+3378)/10</f>
        <v>470</v>
      </c>
      <c r="U24" s="141"/>
      <c r="V24" s="149">
        <f>(1334+2548)/10</f>
        <v>388.2</v>
      </c>
      <c r="W24" s="164"/>
      <c r="X24" s="167">
        <f>(4102+2983)/10</f>
        <v>708.5</v>
      </c>
      <c r="Y24" s="164"/>
      <c r="Z24" s="167">
        <f>(16113+6018)/10</f>
        <v>2213.1</v>
      </c>
      <c r="AA24" s="164"/>
      <c r="AB24" s="167">
        <v>2434</v>
      </c>
      <c r="AD24" s="164">
        <f t="shared" si="1"/>
        <v>17975.5</v>
      </c>
    </row>
    <row r="25" spans="2:31" s="163" customFormat="1" ht="10.199999999999999">
      <c r="C25" s="163">
        <v>2022</v>
      </c>
      <c r="F25" s="167">
        <v>2640</v>
      </c>
      <c r="H25" s="167">
        <v>2602</v>
      </c>
      <c r="J25" s="167">
        <v>2119</v>
      </c>
      <c r="L25" s="167">
        <v>855</v>
      </c>
      <c r="N25" s="167">
        <v>265</v>
      </c>
      <c r="P25" s="167">
        <f>(2005+538)/10</f>
        <v>254.3</v>
      </c>
      <c r="Q25" s="164"/>
      <c r="R25" s="167">
        <f>(1212+501)/10</f>
        <v>171.3</v>
      </c>
      <c r="S25" s="164"/>
      <c r="T25" s="167">
        <f>(747+329)/10</f>
        <v>107.6</v>
      </c>
      <c r="U25" s="164"/>
      <c r="V25" s="167">
        <f>(1178+445)/10</f>
        <v>162.30000000000001</v>
      </c>
      <c r="W25" s="164"/>
      <c r="X25" s="167">
        <v>685.5</v>
      </c>
      <c r="Y25" s="164"/>
      <c r="Z25" s="167">
        <v>1511</v>
      </c>
      <c r="AB25" s="167">
        <v>2602.1999999999998</v>
      </c>
      <c r="AD25" s="164">
        <f>SUM(F25:AB25)</f>
        <v>13975.199999999997</v>
      </c>
    </row>
    <row r="26" spans="2:31" s="163" customFormat="1" ht="10.199999999999999">
      <c r="C26" s="163">
        <v>2023</v>
      </c>
      <c r="F26" s="167">
        <v>2525.4</v>
      </c>
      <c r="H26" s="167">
        <v>1678.4</v>
      </c>
      <c r="J26" s="167">
        <v>1655.3</v>
      </c>
      <c r="L26" s="167">
        <v>759.5</v>
      </c>
      <c r="N26" s="167">
        <v>388.5</v>
      </c>
      <c r="P26" s="167">
        <v>202.3</v>
      </c>
      <c r="Q26" s="164"/>
      <c r="R26" s="167">
        <v>117.2</v>
      </c>
      <c r="S26" s="164"/>
      <c r="T26" s="167">
        <v>153</v>
      </c>
      <c r="U26" s="164"/>
      <c r="V26" s="167">
        <v>159</v>
      </c>
      <c r="W26" s="164"/>
      <c r="X26" s="167">
        <f>(4527+894)/10</f>
        <v>542.1</v>
      </c>
      <c r="Y26" s="164"/>
      <c r="Z26" s="167">
        <f>(13006+2962)/10</f>
        <v>1596.8</v>
      </c>
      <c r="AB26" s="167">
        <v>2027.2</v>
      </c>
      <c r="AD26" s="164">
        <f>SUM(F26:AB26)</f>
        <v>11804.7</v>
      </c>
      <c r="AE26" s="164"/>
    </row>
    <row r="27" spans="2:31" s="163" customFormat="1" ht="10.199999999999999">
      <c r="C27" s="163">
        <v>2024</v>
      </c>
      <c r="F27" s="167">
        <v>2826.2</v>
      </c>
      <c r="H27" s="167">
        <v>1923.5</v>
      </c>
      <c r="J27" s="167">
        <v>1061.0999999999999</v>
      </c>
      <c r="L27" s="167">
        <v>666.8</v>
      </c>
      <c r="N27" s="167">
        <v>234.3</v>
      </c>
      <c r="P27" s="167">
        <v>154</v>
      </c>
      <c r="Q27" s="164"/>
      <c r="R27" s="167">
        <v>169</v>
      </c>
      <c r="S27" s="164"/>
      <c r="T27" s="167">
        <v>161.19999999999999</v>
      </c>
      <c r="U27" s="164"/>
      <c r="V27" s="167">
        <v>182.2</v>
      </c>
      <c r="W27" s="164"/>
      <c r="X27" s="167">
        <v>468.7</v>
      </c>
      <c r="Y27" s="164"/>
      <c r="Z27" s="167">
        <v>1258</v>
      </c>
      <c r="AB27" s="167">
        <v>1881</v>
      </c>
      <c r="AD27" s="164">
        <f>SUM(F27:AB27)</f>
        <v>10986</v>
      </c>
      <c r="AE27" s="164"/>
    </row>
    <row r="28" spans="2:31" s="163" customFormat="1" ht="10.199999999999999">
      <c r="C28" s="163">
        <v>2025</v>
      </c>
      <c r="F28" s="167">
        <v>3539.5</v>
      </c>
      <c r="H28" s="167">
        <v>2138.8000000000002</v>
      </c>
      <c r="J28" s="167">
        <v>1208.7</v>
      </c>
      <c r="L28" s="167">
        <v>570.29999999999995</v>
      </c>
      <c r="N28" s="167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B28" s="164"/>
      <c r="AD28" s="164"/>
      <c r="AE28" s="164"/>
    </row>
    <row r="29" spans="2:31">
      <c r="F29" s="108"/>
      <c r="H29" s="108"/>
      <c r="J29" s="108"/>
      <c r="L29" s="108"/>
      <c r="N29" s="108"/>
      <c r="P29" s="108"/>
      <c r="R29" s="108"/>
      <c r="AE29" s="108"/>
    </row>
    <row r="30" spans="2:31">
      <c r="C30" s="104" t="s">
        <v>172</v>
      </c>
      <c r="F30" s="108">
        <f>SUM(H27:$AB27)+SUM($F28:F28)</f>
        <v>11699.3</v>
      </c>
      <c r="G30" s="108"/>
      <c r="H30" s="108">
        <f>SUM(J27:$AB27)+SUM($F28:H28)</f>
        <v>11914.599999999999</v>
      </c>
      <c r="I30" s="108"/>
      <c r="J30" s="108">
        <f>SUM(L27:$AB27)+SUM($F28:J28)</f>
        <v>12062.2</v>
      </c>
      <c r="K30" s="108"/>
      <c r="L30" s="108">
        <f>SUM(N27:$AB27)+SUM($F28:L28)</f>
        <v>11965.7</v>
      </c>
      <c r="M30" s="108"/>
      <c r="N30" s="108">
        <f>SUM(P26:$AB26)+SUM($F27:N27)</f>
        <v>11509.5</v>
      </c>
      <c r="O30" s="108"/>
      <c r="P30" s="108">
        <f>SUM(R26:$AB26)+SUM($F27:P27)</f>
        <v>11461.2</v>
      </c>
      <c r="Q30" s="108"/>
      <c r="R30" s="108">
        <f>SUM(T26:$AB26)+SUM($F27:R27)</f>
        <v>11513</v>
      </c>
      <c r="S30" s="108"/>
      <c r="T30" s="108">
        <f>SUM(V26:$AB26)+SUM($F27:T27)</f>
        <v>11521.2</v>
      </c>
      <c r="U30" s="108"/>
      <c r="V30" s="108">
        <f>SUM(X26:$AB26)+SUM($F27:V27)</f>
        <v>11544.4</v>
      </c>
      <c r="W30" s="108">
        <f>SUM(Y24:$AB24)+SUM($F25:W25)</f>
        <v>13823.599999999999</v>
      </c>
      <c r="X30" s="108">
        <f>SUM(Z26:$AB26)+SUM($F27:X27)</f>
        <v>11471</v>
      </c>
      <c r="Y30" s="108"/>
      <c r="Z30" s="108">
        <f>SUM(AB26:$AB26)+SUM($F27:Z27)</f>
        <v>11132.2</v>
      </c>
      <c r="AA30" s="108"/>
      <c r="AB30" s="108">
        <f>SUM($F27:AB27)</f>
        <v>10986</v>
      </c>
    </row>
    <row r="31" spans="2:31">
      <c r="C31" s="104" t="s">
        <v>173</v>
      </c>
      <c r="F31" s="108">
        <f>AVERAGE(F24:F28)</f>
        <v>2920.22</v>
      </c>
      <c r="G31" s="108"/>
      <c r="H31" s="108">
        <f>AVERAGE(H24:H28)</f>
        <v>2334.34</v>
      </c>
      <c r="I31" s="108"/>
      <c r="J31" s="108">
        <f>AVERAGE(J24:J28)</f>
        <v>1607.2199999999998</v>
      </c>
      <c r="K31" s="108"/>
      <c r="L31" s="108">
        <f>AVERAGE(L24:L28)</f>
        <v>819.72</v>
      </c>
      <c r="M31" s="108"/>
      <c r="N31" s="108">
        <f>AVERAGE(N23:N27)</f>
        <v>616.06000000000006</v>
      </c>
      <c r="O31" s="108"/>
      <c r="P31" s="108">
        <f>AVERAGE(P23:P27)</f>
        <v>294.45999999999998</v>
      </c>
      <c r="Q31" s="108"/>
      <c r="R31" s="108">
        <f>AVERAGE(R23:R27)</f>
        <v>247</v>
      </c>
      <c r="S31" s="108"/>
      <c r="T31" s="108">
        <f>AVERAGE(T23:T27)</f>
        <v>240.76</v>
      </c>
      <c r="U31" s="108"/>
      <c r="V31" s="108">
        <f>AVERAGE(V23:V27)</f>
        <v>266.54000000000002</v>
      </c>
      <c r="W31" s="108"/>
      <c r="X31" s="108">
        <f>AVERAGE(X23:X27)</f>
        <v>608.76</v>
      </c>
      <c r="Y31" s="108"/>
      <c r="Z31" s="108">
        <f>AVERAGE(Z23:Z27)</f>
        <v>1693.7800000000002</v>
      </c>
      <c r="AA31" s="108"/>
      <c r="AB31" s="108">
        <f>AVERAGE(AB23:AB27)</f>
        <v>2347.88</v>
      </c>
      <c r="AD31" s="108">
        <f>SUM(F31:AB31)</f>
        <v>13996.740000000002</v>
      </c>
    </row>
    <row r="32" spans="2:31">
      <c r="L32" s="108"/>
    </row>
    <row r="33" spans="1:31">
      <c r="B33" s="104" t="s">
        <v>127</v>
      </c>
    </row>
    <row r="34" spans="1:31" s="163" customFormat="1" ht="10.199999999999999">
      <c r="C34" s="163">
        <v>2016</v>
      </c>
      <c r="F34" s="167">
        <v>2914</v>
      </c>
      <c r="G34" s="164"/>
      <c r="H34" s="167">
        <v>2325</v>
      </c>
      <c r="I34" s="164"/>
      <c r="J34" s="167">
        <v>1385</v>
      </c>
      <c r="K34" s="164"/>
      <c r="L34" s="167">
        <v>663</v>
      </c>
      <c r="M34" s="164"/>
      <c r="N34" s="167">
        <v>362</v>
      </c>
      <c r="O34" s="164"/>
      <c r="P34" s="167">
        <v>103</v>
      </c>
      <c r="Q34" s="164"/>
      <c r="R34" s="167">
        <v>105</v>
      </c>
      <c r="S34" s="164"/>
      <c r="T34" s="167">
        <v>74</v>
      </c>
      <c r="U34" s="164"/>
      <c r="V34" s="167">
        <v>175</v>
      </c>
      <c r="W34" s="164"/>
      <c r="X34" s="167">
        <v>313</v>
      </c>
      <c r="Y34" s="164"/>
      <c r="Z34" s="167">
        <v>1361</v>
      </c>
      <c r="AA34" s="164"/>
      <c r="AB34" s="167">
        <v>1998</v>
      </c>
      <c r="AD34" s="164">
        <f t="shared" ref="AD34:AD39" si="2">SUM(F34:AB34)</f>
        <v>11778</v>
      </c>
    </row>
    <row r="35" spans="1:31" s="163" customFormat="1" ht="10.199999999999999">
      <c r="C35" s="163">
        <v>2017</v>
      </c>
      <c r="F35" s="167">
        <v>2132</v>
      </c>
      <c r="G35" s="164"/>
      <c r="H35" s="167">
        <v>1591</v>
      </c>
      <c r="I35" s="164"/>
      <c r="J35" s="167">
        <v>1662</v>
      </c>
      <c r="K35" s="164"/>
      <c r="L35" s="167">
        <v>498</v>
      </c>
      <c r="M35" s="164"/>
      <c r="N35" s="167">
        <v>272</v>
      </c>
      <c r="O35" s="164"/>
      <c r="P35" s="167">
        <v>137</v>
      </c>
      <c r="Q35" s="164"/>
      <c r="R35" s="167">
        <v>125</v>
      </c>
      <c r="S35" s="164"/>
      <c r="T35" s="167">
        <v>112</v>
      </c>
      <c r="U35" s="164"/>
      <c r="V35" s="167">
        <v>146</v>
      </c>
      <c r="W35" s="164"/>
      <c r="X35" s="167">
        <v>503</v>
      </c>
      <c r="Y35" s="164"/>
      <c r="Z35" s="167">
        <v>1424</v>
      </c>
      <c r="AA35" s="164"/>
      <c r="AB35" s="167">
        <v>2076</v>
      </c>
      <c r="AD35" s="164">
        <f t="shared" si="2"/>
        <v>10678</v>
      </c>
    </row>
    <row r="36" spans="1:31" s="163" customFormat="1" ht="10.199999999999999">
      <c r="C36" s="163">
        <v>2018</v>
      </c>
      <c r="F36" s="167">
        <v>3491</v>
      </c>
      <c r="G36" s="164"/>
      <c r="H36" s="167">
        <v>1682</v>
      </c>
      <c r="I36" s="164"/>
      <c r="J36" s="167">
        <v>1932</v>
      </c>
      <c r="K36" s="164"/>
      <c r="L36" s="167">
        <v>1238</v>
      </c>
      <c r="M36" s="164"/>
      <c r="N36" s="167">
        <v>169</v>
      </c>
      <c r="O36" s="164"/>
      <c r="P36" s="167">
        <v>108</v>
      </c>
      <c r="Q36" s="164"/>
      <c r="R36" s="167">
        <v>114</v>
      </c>
      <c r="S36" s="164"/>
      <c r="T36" s="167">
        <v>120</v>
      </c>
      <c r="U36" s="164"/>
      <c r="V36" s="167">
        <v>76</v>
      </c>
      <c r="W36" s="164"/>
      <c r="X36" s="167">
        <v>670</v>
      </c>
      <c r="Y36" s="164"/>
      <c r="Z36" s="167">
        <v>1713</v>
      </c>
      <c r="AA36" s="164"/>
      <c r="AB36" s="167">
        <v>2044</v>
      </c>
      <c r="AD36" s="164">
        <f t="shared" si="2"/>
        <v>13357</v>
      </c>
    </row>
    <row r="37" spans="1:31" s="163" customFormat="1" ht="10.199999999999999">
      <c r="C37" s="163">
        <v>2019</v>
      </c>
      <c r="F37" s="167">
        <v>2854</v>
      </c>
      <c r="G37" s="164"/>
      <c r="H37" s="167">
        <v>1720</v>
      </c>
      <c r="I37" s="164"/>
      <c r="J37" s="167">
        <v>1809</v>
      </c>
      <c r="K37" s="164"/>
      <c r="L37" s="167">
        <v>703</v>
      </c>
      <c r="M37" s="164"/>
      <c r="N37" s="167">
        <v>191</v>
      </c>
      <c r="O37" s="164"/>
      <c r="P37" s="167">
        <v>138</v>
      </c>
      <c r="Q37" s="164"/>
      <c r="R37" s="167">
        <v>123</v>
      </c>
      <c r="S37" s="164"/>
      <c r="T37" s="167">
        <v>128</v>
      </c>
      <c r="U37" s="164"/>
      <c r="V37" s="167">
        <v>151</v>
      </c>
      <c r="W37" s="164"/>
      <c r="X37" s="167">
        <v>439</v>
      </c>
      <c r="Y37" s="164"/>
      <c r="Z37" s="167">
        <v>1651</v>
      </c>
      <c r="AA37" s="164"/>
      <c r="AB37" s="167">
        <v>2141</v>
      </c>
      <c r="AD37" s="164">
        <f t="shared" si="2"/>
        <v>12048</v>
      </c>
    </row>
    <row r="38" spans="1:31" s="163" customFormat="1" ht="10.199999999999999">
      <c r="C38" s="163">
        <v>2020</v>
      </c>
      <c r="F38" s="167">
        <v>2131</v>
      </c>
      <c r="G38" s="164"/>
      <c r="H38" s="167">
        <v>1951</v>
      </c>
      <c r="I38" s="164"/>
      <c r="J38" s="167">
        <v>1327</v>
      </c>
      <c r="K38" s="164"/>
      <c r="L38" s="167">
        <v>957</v>
      </c>
      <c r="M38" s="164"/>
      <c r="N38" s="167">
        <v>530</v>
      </c>
      <c r="O38" s="164"/>
      <c r="P38" s="167">
        <v>170</v>
      </c>
      <c r="Q38" s="164"/>
      <c r="R38" s="167">
        <v>118</v>
      </c>
      <c r="S38" s="164"/>
      <c r="T38" s="167">
        <v>132</v>
      </c>
      <c r="U38" s="164"/>
      <c r="V38" s="167">
        <v>280</v>
      </c>
      <c r="W38" s="164"/>
      <c r="X38" s="167">
        <v>453</v>
      </c>
      <c r="Y38" s="164"/>
      <c r="Z38" s="167">
        <v>1296</v>
      </c>
      <c r="AA38" s="164"/>
      <c r="AB38" s="167">
        <v>2369</v>
      </c>
      <c r="AD38" s="164">
        <f t="shared" si="2"/>
        <v>11714</v>
      </c>
    </row>
    <row r="39" spans="1:31" s="163" customFormat="1" ht="10.199999999999999">
      <c r="C39" s="163">
        <v>2021</v>
      </c>
      <c r="F39" s="167">
        <v>2462</v>
      </c>
      <c r="G39" s="164"/>
      <c r="H39" s="167">
        <v>2794</v>
      </c>
      <c r="I39" s="164"/>
      <c r="J39" s="167">
        <v>1632</v>
      </c>
      <c r="K39" s="164"/>
      <c r="L39" s="167">
        <v>817</v>
      </c>
      <c r="M39" s="164"/>
      <c r="N39" s="167">
        <f>(6568+419)/10</f>
        <v>698.7</v>
      </c>
      <c r="O39" s="164"/>
      <c r="P39" s="167">
        <v>144.30000000000001</v>
      </c>
      <c r="Q39" s="164"/>
      <c r="R39" s="167">
        <v>178.9</v>
      </c>
      <c r="S39" s="164"/>
      <c r="T39" s="149">
        <f>(1517+303)/10</f>
        <v>182</v>
      </c>
      <c r="U39" s="141"/>
      <c r="V39" s="149">
        <f>(2749+145)/10</f>
        <v>289.39999999999998</v>
      </c>
      <c r="W39" s="164"/>
      <c r="X39" s="167">
        <f>(5109+323)/10</f>
        <v>543.20000000000005</v>
      </c>
      <c r="Y39" s="164"/>
      <c r="Z39" s="167">
        <f>(16330+750)/10</f>
        <v>1708</v>
      </c>
      <c r="AA39" s="164"/>
      <c r="AB39" s="167">
        <v>1832</v>
      </c>
      <c r="AD39" s="164">
        <f t="shared" si="2"/>
        <v>13281.5</v>
      </c>
    </row>
    <row r="40" spans="1:31" s="163" customFormat="1" ht="10.199999999999999">
      <c r="C40" s="163">
        <v>2022</v>
      </c>
      <c r="F40" s="167">
        <v>2503</v>
      </c>
      <c r="H40" s="167">
        <v>2263</v>
      </c>
      <c r="J40" s="167">
        <v>1651</v>
      </c>
      <c r="L40" s="167">
        <v>858</v>
      </c>
      <c r="N40" s="167">
        <f>(2873+221)/10</f>
        <v>309.39999999999998</v>
      </c>
      <c r="P40" s="167">
        <f>(2782+212)/10</f>
        <v>299.39999999999998</v>
      </c>
      <c r="R40" s="167">
        <f>(1365+3937)/10</f>
        <v>530.20000000000005</v>
      </c>
      <c r="T40" s="167">
        <f>(624+148)/10</f>
        <v>77.2</v>
      </c>
      <c r="V40" s="167">
        <f>(1426+203)/10</f>
        <v>162.9</v>
      </c>
      <c r="X40" s="167">
        <v>825</v>
      </c>
      <c r="Z40" s="167">
        <v>1505.4</v>
      </c>
      <c r="AB40" s="167">
        <v>2507.6</v>
      </c>
      <c r="AD40" s="164">
        <f>SUM(F40:AB40)</f>
        <v>13492.1</v>
      </c>
    </row>
    <row r="41" spans="1:31" s="163" customFormat="1" ht="10.199999999999999">
      <c r="C41" s="163">
        <v>2023</v>
      </c>
      <c r="F41" s="167">
        <v>2259.8000000000002</v>
      </c>
      <c r="H41" s="167">
        <v>1565.2</v>
      </c>
      <c r="J41" s="167">
        <v>1661.8</v>
      </c>
      <c r="L41" s="167">
        <v>647.9</v>
      </c>
      <c r="N41" s="167">
        <v>240.2</v>
      </c>
      <c r="P41" s="167">
        <v>172</v>
      </c>
      <c r="R41" s="167">
        <v>171.2</v>
      </c>
      <c r="T41" s="167">
        <v>170</v>
      </c>
      <c r="V41" s="167">
        <v>199</v>
      </c>
      <c r="X41" s="167">
        <f>(6820+300)/10</f>
        <v>712</v>
      </c>
      <c r="Z41" s="167">
        <f>(15629+809)/10</f>
        <v>1643.8</v>
      </c>
      <c r="AB41" s="167">
        <v>1987.2</v>
      </c>
      <c r="AD41" s="164">
        <f>SUM(F41:AB41)</f>
        <v>11430.1</v>
      </c>
    </row>
    <row r="42" spans="1:31" s="163" customFormat="1" ht="10.199999999999999">
      <c r="C42" s="163">
        <v>2024</v>
      </c>
      <c r="F42" s="167">
        <v>2777.5</v>
      </c>
      <c r="H42" s="167">
        <v>1847.9</v>
      </c>
      <c r="J42" s="167">
        <v>1059.7</v>
      </c>
      <c r="L42" s="167">
        <v>576.79999999999995</v>
      </c>
      <c r="N42" s="167">
        <v>248.2</v>
      </c>
      <c r="P42" s="167">
        <v>121</v>
      </c>
      <c r="R42" s="167">
        <v>135</v>
      </c>
      <c r="T42" s="167">
        <v>195.3</v>
      </c>
      <c r="V42" s="167">
        <v>219.5</v>
      </c>
      <c r="X42" s="167">
        <v>581.70000000000005</v>
      </c>
      <c r="Z42" s="167">
        <v>1320.9</v>
      </c>
      <c r="AB42" s="167">
        <v>1874.8</v>
      </c>
      <c r="AD42" s="164">
        <f>SUM(F42:AB42)</f>
        <v>10958.3</v>
      </c>
      <c r="AE42" s="164"/>
    </row>
    <row r="43" spans="1:31" s="163" customFormat="1" ht="10.199999999999999">
      <c r="C43" s="163">
        <v>2025</v>
      </c>
      <c r="F43" s="167">
        <v>3450.2</v>
      </c>
      <c r="H43" s="167">
        <v>2234.9</v>
      </c>
      <c r="J43" s="167">
        <v>1142.8</v>
      </c>
      <c r="L43" s="167">
        <v>634.1</v>
      </c>
      <c r="N43" s="167"/>
      <c r="P43" s="164"/>
      <c r="R43" s="164"/>
      <c r="T43" s="164"/>
      <c r="V43" s="164"/>
      <c r="X43" s="164"/>
      <c r="Z43" s="164"/>
      <c r="AB43" s="164"/>
      <c r="AD43" s="164"/>
      <c r="AE43" s="164"/>
    </row>
    <row r="44" spans="1:31">
      <c r="F44" s="108"/>
      <c r="H44" s="108"/>
      <c r="J44" s="108"/>
      <c r="L44" s="108"/>
      <c r="N44" s="108"/>
      <c r="P44" s="108"/>
      <c r="R44" s="108"/>
      <c r="T44" s="108"/>
      <c r="AE44" s="108"/>
    </row>
    <row r="45" spans="1:31">
      <c r="C45" s="104" t="s">
        <v>172</v>
      </c>
      <c r="F45" s="108">
        <f>SUM(H42:$AB42)+SUM($F43:F43)</f>
        <v>11631</v>
      </c>
      <c r="G45" s="108"/>
      <c r="H45" s="108">
        <f>SUM(J42:$AB42)+SUM($F43:H43)</f>
        <v>12018</v>
      </c>
      <c r="I45" s="108"/>
      <c r="J45" s="108">
        <f>SUM(L42:$AB42)+SUM($F43:J43)</f>
        <v>12101.1</v>
      </c>
      <c r="K45" s="108"/>
      <c r="L45" s="108">
        <f>SUM(N42:$AB42)+SUM($F43:L43)</f>
        <v>12158.400000000001</v>
      </c>
      <c r="M45" s="108"/>
      <c r="N45" s="108">
        <f>SUM(P41:$AB41)+SUM($F42:N42)</f>
        <v>11565.3</v>
      </c>
      <c r="O45" s="108"/>
      <c r="P45" s="108">
        <f>SUM(R41:$AB41)+SUM($F42:P42)</f>
        <v>11514.3</v>
      </c>
      <c r="Q45" s="108"/>
      <c r="R45" s="108">
        <f>SUM(T41:$AB41)+SUM($F42:R42)</f>
        <v>11478.099999999999</v>
      </c>
      <c r="S45" s="108"/>
      <c r="T45" s="108">
        <f>SUM(V41:$AB41)+SUM($F42:T42)</f>
        <v>11503.4</v>
      </c>
      <c r="U45" s="108"/>
      <c r="V45" s="108">
        <f>SUM(X41:$AB41)+SUM($F42:V42)</f>
        <v>11523.9</v>
      </c>
      <c r="W45" s="108"/>
      <c r="X45" s="108">
        <f>SUM(Z41:$AB41)+SUM($F42:X42)</f>
        <v>11393.599999999999</v>
      </c>
      <c r="Y45" s="108"/>
      <c r="Z45" s="108">
        <f>SUM(AB41:$AB41)+SUM($F42:Z42)</f>
        <v>11070.7</v>
      </c>
      <c r="AA45" s="108"/>
      <c r="AB45" s="108">
        <f>SUM($F42:AB42)</f>
        <v>10958.3</v>
      </c>
    </row>
    <row r="46" spans="1:31">
      <c r="C46" s="104" t="s">
        <v>173</v>
      </c>
      <c r="F46" s="108">
        <f>AVERAGE(F39:F43)</f>
        <v>2690.5</v>
      </c>
      <c r="G46" s="108"/>
      <c r="H46" s="108">
        <f>AVERAGE(H39:H43)</f>
        <v>2141</v>
      </c>
      <c r="I46" s="108"/>
      <c r="J46" s="108">
        <f>AVERAGE(J39:J43)</f>
        <v>1429.46</v>
      </c>
      <c r="K46" s="108"/>
      <c r="L46" s="108">
        <f>AVERAGE(L39:L43)</f>
        <v>706.76</v>
      </c>
      <c r="M46" s="108"/>
      <c r="N46" s="108">
        <f>AVERAGE(N38:N42)</f>
        <v>405.3</v>
      </c>
      <c r="O46" s="108"/>
      <c r="P46" s="108">
        <f>AVERAGE(P38:P42)</f>
        <v>181.34</v>
      </c>
      <c r="Q46" s="108"/>
      <c r="R46" s="108">
        <f>AVERAGE(R38:R42)</f>
        <v>226.66</v>
      </c>
      <c r="S46" s="108"/>
      <c r="T46" s="108">
        <f>AVERAGE(T38:T42)</f>
        <v>151.30000000000001</v>
      </c>
      <c r="U46" s="108"/>
      <c r="V46" s="108">
        <f>AVERAGE(V38:V42)</f>
        <v>230.16</v>
      </c>
      <c r="W46" s="108"/>
      <c r="X46" s="108">
        <f>AVERAGE(X38:X42)</f>
        <v>622.9799999999999</v>
      </c>
      <c r="Y46" s="108"/>
      <c r="Z46" s="108">
        <f>AVERAGE(Z38:Z42)</f>
        <v>1494.8200000000002</v>
      </c>
      <c r="AA46" s="108"/>
      <c r="AB46" s="108">
        <f>AVERAGE(AB38:AB42)</f>
        <v>2114.12</v>
      </c>
      <c r="AD46" s="108">
        <f>SUM(F46:AB46)</f>
        <v>12394.400000000001</v>
      </c>
    </row>
    <row r="48" spans="1:31">
      <c r="A48" s="104" t="s">
        <v>174</v>
      </c>
      <c r="F48" s="108">
        <f>F16+F31+F46</f>
        <v>13620.48</v>
      </c>
      <c r="H48" s="108">
        <f>H16+H31+H46</f>
        <v>12217.419999999998</v>
      </c>
      <c r="J48" s="108">
        <f>J16+J31+J46</f>
        <v>9562.2200000000012</v>
      </c>
      <c r="L48" s="108">
        <f>L16+L31+L46</f>
        <v>6855.6200000000008</v>
      </c>
      <c r="N48" s="108">
        <f>N16+N31+N46</f>
        <v>5229.3400000000011</v>
      </c>
      <c r="P48" s="108">
        <f>P16+P31+P46</f>
        <v>4058.8800000000006</v>
      </c>
      <c r="R48" s="108">
        <f>R16+R31+R46</f>
        <v>3692.2400000000002</v>
      </c>
      <c r="T48" s="108">
        <f>T16+T31+T46</f>
        <v>3403.0460000000003</v>
      </c>
      <c r="V48" s="108">
        <f>V16+V31+V46</f>
        <v>3420</v>
      </c>
      <c r="X48" s="108">
        <f>X16+X31+X46</f>
        <v>5354.119999999999</v>
      </c>
      <c r="Z48" s="108">
        <f>Z16+Z31+Z46</f>
        <v>8302.7999999999993</v>
      </c>
      <c r="AB48" s="108">
        <f>AB16+AB31+AB46</f>
        <v>11937.039999999997</v>
      </c>
      <c r="AD48" s="108">
        <f>SUM(F48:AB48)</f>
        <v>87653.205999999991</v>
      </c>
    </row>
    <row r="49" spans="1:33">
      <c r="B49" s="104" t="s">
        <v>175</v>
      </c>
      <c r="F49" s="111">
        <f>F16/F$48</f>
        <v>0.58806738088525523</v>
      </c>
      <c r="H49" s="111">
        <f>H16/H$48</f>
        <v>0.633691892396267</v>
      </c>
      <c r="J49" s="111">
        <f>J16/J$48</f>
        <v>0.6824293940110141</v>
      </c>
      <c r="L49" s="111">
        <f>L16/L$48</f>
        <v>0.77733888401049067</v>
      </c>
      <c r="N49" s="111">
        <f>N16/N$48</f>
        <v>0.80468663349485781</v>
      </c>
      <c r="P49" s="111">
        <f>P16/P$48</f>
        <v>0.88277554399243141</v>
      </c>
      <c r="R49" s="111">
        <f>R16/R$48</f>
        <v>0.87171473143674305</v>
      </c>
      <c r="T49" s="111">
        <f>T16/T$48</f>
        <v>0.8847914486022227</v>
      </c>
      <c r="V49" s="111">
        <f>V16/V$48</f>
        <v>0.85476608187134506</v>
      </c>
      <c r="X49" s="111">
        <f>X16/X$48</f>
        <v>0.76994538785085131</v>
      </c>
      <c r="Z49" s="111">
        <f>Z16/Z$48</f>
        <v>0.61596088066676302</v>
      </c>
      <c r="AB49" s="111">
        <f>AB16/AB$48</f>
        <v>0.62620549147862459</v>
      </c>
      <c r="AD49" s="112">
        <f>AD16/AD$48</f>
        <v>0.69891415038487015</v>
      </c>
    </row>
    <row r="50" spans="1:33">
      <c r="B50" s="104" t="s">
        <v>176</v>
      </c>
      <c r="F50" s="111">
        <f>F31/F$48</f>
        <v>0.21439919885349121</v>
      </c>
      <c r="H50" s="111">
        <f>H31/H$48</f>
        <v>0.19106652632061438</v>
      </c>
      <c r="J50" s="111">
        <f>J31/J$48</f>
        <v>0.16808021568213236</v>
      </c>
      <c r="L50" s="111">
        <f>L31/L$48</f>
        <v>0.11956905429414115</v>
      </c>
      <c r="N50" s="111">
        <f>N31/N$48</f>
        <v>0.11780836587408734</v>
      </c>
      <c r="P50" s="111">
        <v>0.02</v>
      </c>
      <c r="R50" s="111">
        <f>R31/R$48</f>
        <v>6.689705977942928E-2</v>
      </c>
      <c r="T50" s="111">
        <f>T31/T$48</f>
        <v>7.0748382478520708E-2</v>
      </c>
      <c r="V50" s="111">
        <f>V31/V$48</f>
        <v>7.7935672514619886E-2</v>
      </c>
      <c r="X50" s="111">
        <f>X31/X$48</f>
        <v>0.11369935675703946</v>
      </c>
      <c r="Z50" s="111">
        <f>Z31/Z$48</f>
        <v>0.20400105988341286</v>
      </c>
      <c r="AB50" s="111">
        <f>AB31/AB$48</f>
        <v>0.19668862632612447</v>
      </c>
      <c r="AD50" s="112">
        <f>AD31/AD$48</f>
        <v>0.1596831495245023</v>
      </c>
    </row>
    <row r="51" spans="1:33">
      <c r="B51" s="104" t="s">
        <v>177</v>
      </c>
      <c r="F51" s="111">
        <f>F46/F$48</f>
        <v>0.19753342026125364</v>
      </c>
      <c r="H51" s="111">
        <f>H46/H$48</f>
        <v>0.17524158128311873</v>
      </c>
      <c r="J51" s="111">
        <f>J46/J$48</f>
        <v>0.1494903903068534</v>
      </c>
      <c r="L51" s="111">
        <f>L46/L$48</f>
        <v>0.10309206169536816</v>
      </c>
      <c r="N51" s="111">
        <f>N46/N$48</f>
        <v>7.7505000631054768E-2</v>
      </c>
      <c r="P51" s="111">
        <f>P46/P$48</f>
        <v>4.4677349416587825E-2</v>
      </c>
      <c r="R51" s="111">
        <f>R46/R$48</f>
        <v>6.1388208783827697E-2</v>
      </c>
      <c r="T51" s="111">
        <f>T46/T$48</f>
        <v>4.4460168919256457E-2</v>
      </c>
      <c r="V51" s="111">
        <f>V46/V$48</f>
        <v>6.7298245614035093E-2</v>
      </c>
      <c r="X51" s="111">
        <f>X46/X$48</f>
        <v>0.11635525539210925</v>
      </c>
      <c r="Z51" s="111">
        <f>Z46/Z$48</f>
        <v>0.18003805944982418</v>
      </c>
      <c r="AB51" s="111">
        <f>AB46/AB$48</f>
        <v>0.17710588219525111</v>
      </c>
      <c r="AD51" s="112">
        <f>AD46/AD$48</f>
        <v>0.14140270009062764</v>
      </c>
    </row>
    <row r="53" spans="1:33">
      <c r="B53" s="104" t="s">
        <v>178</v>
      </c>
      <c r="AD53" s="113" t="s">
        <v>179</v>
      </c>
      <c r="AE53" s="113" t="s">
        <v>180</v>
      </c>
    </row>
    <row r="54" spans="1:33">
      <c r="C54" s="104">
        <v>2020</v>
      </c>
      <c r="P54" s="173">
        <f>P38+P23+P8</f>
        <v>6494.5</v>
      </c>
      <c r="R54" s="173">
        <f>R38+R23+R8</f>
        <v>6483.1</v>
      </c>
      <c r="T54" s="173">
        <f>T38+T23+T8</f>
        <v>5604.3</v>
      </c>
      <c r="V54" s="173">
        <f>V38+V23+V8</f>
        <v>7055.5</v>
      </c>
      <c r="X54" s="173">
        <f>X38+X23+X8</f>
        <v>8826.9</v>
      </c>
      <c r="Z54" s="173">
        <f>Z38+Z23+Z8</f>
        <v>12382.8</v>
      </c>
      <c r="AB54" s="173">
        <f>AB38+AB23+AB8</f>
        <v>18933.599999999999</v>
      </c>
      <c r="AD54" s="108"/>
    </row>
    <row r="55" spans="1:33">
      <c r="C55" s="104">
        <v>2021</v>
      </c>
      <c r="F55" s="173">
        <f>F39+F24+F9</f>
        <v>14620.9</v>
      </c>
      <c r="H55" s="173">
        <f>H39+H24+H9</f>
        <v>15749.5</v>
      </c>
      <c r="J55" s="173">
        <f>J39+J24+J9</f>
        <v>15696.4</v>
      </c>
      <c r="L55" s="173">
        <f>L39+L24+L9</f>
        <v>12405.1</v>
      </c>
      <c r="N55" s="173">
        <f>N39+N24+N9</f>
        <v>8981</v>
      </c>
      <c r="P55" s="173">
        <f>P39+P24+P9</f>
        <v>7203.1</v>
      </c>
      <c r="R55" s="173">
        <f>R39+R24+R9</f>
        <v>3943.5</v>
      </c>
      <c r="T55" s="173">
        <f>T39+T24+T9</f>
        <v>2667.8</v>
      </c>
      <c r="V55" s="173">
        <f>V39+V24+V9</f>
        <v>2471.6</v>
      </c>
      <c r="X55" s="173">
        <f>X39+X24+X9</f>
        <v>4758.1000000000004</v>
      </c>
      <c r="Z55" s="173">
        <f>N9+N24+N39</f>
        <v>8981</v>
      </c>
      <c r="AB55" s="173">
        <f>AB9+AB24+AB39</f>
        <v>7429</v>
      </c>
      <c r="AD55" s="108">
        <f>SUM(F55:AB55)</f>
        <v>104907.00000000001</v>
      </c>
      <c r="AE55" s="108">
        <f>Purchases!AD136</f>
        <v>107842.96415071048</v>
      </c>
      <c r="AF55" s="114">
        <f>(AE55/AD55)-1</f>
        <v>2.7986351251207964E-2</v>
      </c>
    </row>
    <row r="56" spans="1:33">
      <c r="C56" s="104">
        <v>2022</v>
      </c>
      <c r="F56" s="173">
        <f>F10+F25+F40</f>
        <v>14891</v>
      </c>
      <c r="H56" s="173">
        <f>H10+H25+H40</f>
        <v>11254</v>
      </c>
      <c r="J56" s="173">
        <f>J10+J25+J40</f>
        <v>9196</v>
      </c>
      <c r="L56" s="173">
        <f>L10+L25+L40</f>
        <v>5769</v>
      </c>
      <c r="N56" s="173">
        <f>N10+N25+N40</f>
        <v>2820.4</v>
      </c>
      <c r="P56" s="173">
        <f>P10+P25+P40</f>
        <v>2251.1999999999998</v>
      </c>
      <c r="R56" s="173">
        <f>R10+R25+R40</f>
        <v>2856.1000000000004</v>
      </c>
      <c r="T56" s="173">
        <f>T10+T25+T40</f>
        <v>1623.3999999999999</v>
      </c>
      <c r="V56" s="173">
        <f>V10+V25+V40</f>
        <v>2114.6999999999998</v>
      </c>
      <c r="X56" s="173">
        <f>X10+X25+X40</f>
        <v>4950.7</v>
      </c>
      <c r="Z56" s="173">
        <f>Z10+Z25+Z40</f>
        <v>7174.2999999999993</v>
      </c>
      <c r="AB56" s="173">
        <f>AB10+AB25+AB40</f>
        <v>11923.9</v>
      </c>
      <c r="AD56" s="108">
        <f>SUM(F56:AB56)</f>
        <v>76824.699999999983</v>
      </c>
      <c r="AE56" s="108">
        <f>Purchases!AD137</f>
        <v>79509.959152001684</v>
      </c>
      <c r="AF56" s="114">
        <f>(AE56/AD56)-1</f>
        <v>3.4953070457830693E-2</v>
      </c>
    </row>
    <row r="57" spans="1:33">
      <c r="C57" s="104">
        <v>2023</v>
      </c>
      <c r="F57" s="173">
        <f>F11+F26+F41</f>
        <v>10363.900000000001</v>
      </c>
      <c r="H57" s="173">
        <f>H11+H26+H41</f>
        <v>7501.9000000000005</v>
      </c>
      <c r="J57" s="173">
        <f>J11+J26+J41</f>
        <v>8593.1</v>
      </c>
      <c r="L57" s="173">
        <f>L11+L26+L41</f>
        <v>6726.2</v>
      </c>
      <c r="N57" s="173">
        <f>N11+N26+N41</f>
        <v>2512.1999999999998</v>
      </c>
      <c r="P57" s="173">
        <f>P11+P26+P41</f>
        <v>2245.6</v>
      </c>
      <c r="R57" s="173">
        <f>R11+R26+R41</f>
        <v>1939.5</v>
      </c>
      <c r="T57" s="173">
        <f>T11+T26+T41</f>
        <v>1617</v>
      </c>
      <c r="V57" s="173">
        <f>V11+V26+V41</f>
        <v>1836</v>
      </c>
      <c r="X57" s="173">
        <f>X11+X26+X41</f>
        <v>4194.8999999999996</v>
      </c>
      <c r="Z57" s="173">
        <f>Z11+Z26+Z41</f>
        <v>7103.6</v>
      </c>
      <c r="AB57" s="173">
        <f>AB11+AB26+AB41</f>
        <v>10864.900000000001</v>
      </c>
      <c r="AD57" s="108">
        <f>SUM(F57:AB57)</f>
        <v>65498.799999999996</v>
      </c>
      <c r="AE57" s="108">
        <f>Purchases!AD138</f>
        <v>65641.435842685401</v>
      </c>
      <c r="AF57" s="114">
        <f>(AE57/AD57)-1</f>
        <v>2.1776863497560139E-3</v>
      </c>
      <c r="AG57" s="115">
        <v>1.1100000000000001</v>
      </c>
    </row>
    <row r="58" spans="1:33">
      <c r="C58" s="104">
        <v>2024</v>
      </c>
      <c r="F58" s="173">
        <f>F12+F27+F42</f>
        <v>11612.7</v>
      </c>
      <c r="H58" s="173">
        <f>H12+H27+H42</f>
        <v>10050.4</v>
      </c>
      <c r="J58" s="173">
        <f>J12+J27+J42</f>
        <v>6769.3</v>
      </c>
      <c r="L58" s="173">
        <f>L12+L27+L42</f>
        <v>4863.4000000000005</v>
      </c>
      <c r="N58" s="173">
        <f>N12+N27+N42</f>
        <v>2874.4</v>
      </c>
      <c r="P58" s="173">
        <f>P12+P27+P42</f>
        <v>2100</v>
      </c>
      <c r="R58" s="173">
        <f>R12+R27+R42</f>
        <v>3239</v>
      </c>
      <c r="T58" s="173">
        <f>T12+T27+T42</f>
        <v>5502.73</v>
      </c>
      <c r="V58" s="173">
        <f>V12+V27+V42</f>
        <v>3622.2</v>
      </c>
      <c r="X58" s="173">
        <f>X12+X27+X42</f>
        <v>4040</v>
      </c>
      <c r="Z58" s="173">
        <f>Z12+Z27+Z42</f>
        <v>6516</v>
      </c>
      <c r="AB58" s="173">
        <f>AB12+AB27+AB42</f>
        <v>10533.8</v>
      </c>
      <c r="AD58" s="108">
        <f>SUM(F58:AB58)</f>
        <v>71723.929999999993</v>
      </c>
      <c r="AE58" s="108">
        <f>Purchases!AD139</f>
        <v>95239.660733112745</v>
      </c>
      <c r="AF58" s="114">
        <f>(AE58/AD58)-1</f>
        <v>0.32786450398232159</v>
      </c>
    </row>
    <row r="59" spans="1:33">
      <c r="C59" s="104">
        <v>2025</v>
      </c>
      <c r="F59" s="173">
        <f>F13+F28+F43</f>
        <v>16613.900000000001</v>
      </c>
      <c r="H59" s="173">
        <f>H13+H28+H43</f>
        <v>10965.1</v>
      </c>
      <c r="J59" s="173">
        <f>J13+J28+J43</f>
        <v>7556.3</v>
      </c>
      <c r="L59" s="173">
        <f>L13+L28+L43</f>
        <v>4514.4000000000005</v>
      </c>
      <c r="N59" s="108"/>
      <c r="P59" s="108"/>
      <c r="R59" s="108"/>
      <c r="T59" s="108"/>
      <c r="V59" s="108"/>
      <c r="X59" s="108"/>
      <c r="Z59" s="108"/>
      <c r="AB59" s="108"/>
      <c r="AD59" s="108"/>
      <c r="AE59" s="108"/>
      <c r="AF59" s="114"/>
    </row>
    <row r="61" spans="1:33">
      <c r="A61" s="104" t="s">
        <v>181</v>
      </c>
      <c r="F61" s="173">
        <f>SUM(H58:$AB58)+SUM($F59:F59)</f>
        <v>76725.13</v>
      </c>
      <c r="H61" s="173">
        <f>SUM(J58:$AB58)+SUM($F59:H59)</f>
        <v>77639.83</v>
      </c>
      <c r="J61" s="173">
        <f>SUM(L57:$AB57)+SUM($F58:J58)</f>
        <v>67472.3</v>
      </c>
      <c r="L61" s="174">
        <f>SUM(N58:$AB58)+SUM($F59:L59)</f>
        <v>78077.83</v>
      </c>
      <c r="N61" s="173">
        <f>SUM(P58:$AB58)+SUM($F59:N59)</f>
        <v>75203.429999999993</v>
      </c>
      <c r="P61" s="173">
        <f>SUM(R57:$AB57)+SUM($F58:P58)</f>
        <v>65826.100000000006</v>
      </c>
      <c r="R61" s="173">
        <f>SUM(T57:$AB57)+SUM($F58:R58)</f>
        <v>67125.600000000006</v>
      </c>
      <c r="T61" s="173">
        <f>SUM(V57:$AB57)+SUM($F58:T58)</f>
        <v>71011.329999999987</v>
      </c>
      <c r="V61" s="173">
        <f>SUM(X57:$AB57)+SUM($F58:V58)</f>
        <v>72797.53</v>
      </c>
      <c r="X61" s="173">
        <f>SUM(Z57:$AB57)+SUM($F58:X58)</f>
        <v>72642.62999999999</v>
      </c>
      <c r="Z61" s="173">
        <f>SUM(AB57:$AB57)+SUM($F58:Z58)</f>
        <v>72055.03</v>
      </c>
      <c r="AB61" s="173">
        <f>SUM($F58:AB58)</f>
        <v>71723.929999999993</v>
      </c>
    </row>
    <row r="62" spans="1:33">
      <c r="A62" s="104" t="s">
        <v>182</v>
      </c>
      <c r="F62" s="108">
        <f>Purchases!F142</f>
        <v>96926.967364623051</v>
      </c>
      <c r="H62" s="108">
        <f>Purchases!H142</f>
        <v>97917.641114087572</v>
      </c>
      <c r="J62" s="108">
        <f>Purchases!J142</f>
        <v>101572.63356310611</v>
      </c>
      <c r="L62" s="109">
        <f>Purchases!L142</f>
        <v>106321.60510169413</v>
      </c>
      <c r="N62" s="108">
        <f>Purchases!N142</f>
        <v>73631.306636782479</v>
      </c>
      <c r="P62" s="108">
        <f>Purchases!P142</f>
        <v>74046.092210733259</v>
      </c>
      <c r="R62" s="108">
        <f>Purchases!R142</f>
        <v>76764.97022184715</v>
      </c>
      <c r="T62" s="108">
        <f>Purchases!T142</f>
        <v>80374.455459856574</v>
      </c>
      <c r="V62" s="108">
        <f>Purchases!V142</f>
        <v>87811.392972946109</v>
      </c>
      <c r="X62" s="108">
        <f>Purchases!X142</f>
        <v>95193.033176587676</v>
      </c>
      <c r="Z62" s="108">
        <f>Purchases!Z142</f>
        <v>95496.137413317789</v>
      </c>
      <c r="AB62" s="108">
        <f>Purchases!AB142</f>
        <v>95239.660733112745</v>
      </c>
    </row>
    <row r="64" spans="1:33">
      <c r="A64" s="117" t="s">
        <v>183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9"/>
    </row>
    <row r="65" spans="1:29">
      <c r="A65" s="120"/>
      <c r="B65" s="121" t="s">
        <v>123</v>
      </c>
      <c r="C65" s="122"/>
      <c r="D65" s="121"/>
      <c r="E65" s="121"/>
      <c r="F65" s="123" t="s">
        <v>184</v>
      </c>
      <c r="G65" s="123"/>
      <c r="H65" s="123" t="s">
        <v>185</v>
      </c>
      <c r="I65" s="123"/>
      <c r="J65" s="123" t="s">
        <v>186</v>
      </c>
      <c r="K65" s="123"/>
      <c r="L65" s="123" t="s">
        <v>187</v>
      </c>
      <c r="M65" s="123"/>
      <c r="N65" s="123" t="s">
        <v>188</v>
      </c>
      <c r="O65" s="123"/>
      <c r="P65" s="123" t="s">
        <v>189</v>
      </c>
      <c r="Q65" s="123"/>
      <c r="R65" s="123" t="s">
        <v>190</v>
      </c>
      <c r="S65" s="123"/>
      <c r="T65" s="123" t="s">
        <v>191</v>
      </c>
      <c r="U65" s="123"/>
      <c r="V65" s="123" t="s">
        <v>192</v>
      </c>
      <c r="W65" s="123"/>
      <c r="X65" s="123" t="s">
        <v>193</v>
      </c>
      <c r="Y65" s="123"/>
      <c r="Z65" s="123" t="s">
        <v>194</v>
      </c>
      <c r="AA65" s="123"/>
      <c r="AB65" s="123" t="s">
        <v>195</v>
      </c>
      <c r="AC65" s="124"/>
    </row>
    <row r="66" spans="1:29">
      <c r="A66" s="120"/>
      <c r="C66" s="125">
        <v>2022</v>
      </c>
      <c r="F66" s="178">
        <f>IF(((SUM(Purchases!H136:$AB136)+SUM(Purchases!$F137:F137))/(SUM(H55:$AB55)+SUM($F56:F56)))-1&lt;0,0,((SUM(Purchases!H136:$AB136)+SUM(Purchases!$F137:F137))/(SUM(H55:$AB55)+SUM($F56:F56)))-1)</f>
        <v>1.6807238450068596E-2</v>
      </c>
      <c r="H66" s="178">
        <f>IF(((SUM(Purchases!J136:$AB136)+SUM(Purchases!$F137:H137))/(SUM(J55:$AB55)+SUM($F56:H56)))-1&lt;0,0,((SUM(Purchases!J136:$AB136)+SUM(Purchases!$F137:H137))/(SUM(J55:$AB55)+SUM($F56:H56)))-1)</f>
        <v>0</v>
      </c>
      <c r="J66" s="178">
        <f>IF(((SUM(Purchases!L136:$AB136)+SUM(Purchases!$F137:J137))/(SUM(L55:$AB55)+SUM($F56:J56)))-1&lt;0,0,((SUM(Purchases!L136:$AB136)+SUM(Purchases!$F137:J137))/(SUM(L55:$AB55)+SUM($F56:J56)))-1)</f>
        <v>2.8521368166840588E-2</v>
      </c>
      <c r="L66" s="178">
        <f>IF(((SUM(Purchases!N136:$AB136)+SUM(Purchases!$F137:L137))/(SUM(N55:$AB55)+SUM($F56:L56)))-1&lt;0,0,((SUM(Purchases!N136:$AB136)+SUM(Purchases!$F137:L137))/(SUM(N55:$AB55)+SUM($F56:L56)))-1)</f>
        <v>3.1825832723576752E-2</v>
      </c>
      <c r="N66" s="178">
        <f>IF(((SUM(Purchases!P136:$AB136)+SUM(Purchases!$F137:N137))/(SUM(P55:$AB55)+SUM($F56:N56)))-1&lt;0,0,((SUM(Purchases!P136:$AB136)+SUM(Purchases!$F137:N137))/(SUM(P55:$AB55)+SUM($F56:N56)))-1)</f>
        <v>2.155063852605732E-2</v>
      </c>
      <c r="P66" s="178">
        <f>IF(((SUM(Purchases!R136:$AB136)+SUM(Purchases!$F137:P137))/(SUM(R55:$AB55)+SUM($F56:P56)))-1&lt;0,0,((SUM(Purchases!R136:$AB136)+SUM(Purchases!$F137:P137))/(SUM(R55:$AB55)+SUM($F56:P56)))-1)</f>
        <v>1.9886785285173625E-2</v>
      </c>
      <c r="R66" s="178">
        <f>IF(((SUM(Purchases!T136:$AB136)+SUM(Purchases!$F137:R137))/(SUM(T55:$AB55)+SUM($F56:R56)))-1&lt;0,0,((SUM(Purchases!T136:$AB136)+SUM(Purchases!$F137:R137))/(SUM(T55:$AB55)+SUM($F56:R56)))-1)</f>
        <v>1.5938583371956971E-2</v>
      </c>
      <c r="T66" s="178">
        <f>IF(((SUM(Purchases!V136:$AB136)+SUM(Purchases!$F137:T137))/(SUM(V55:$AB55)+SUM($F56:T56)))-1&lt;0,0,((SUM(Purchases!V136:$AB136)+SUM(Purchases!$F137:T137))/(SUM(V55:$AB55)+SUM($F56:T56)))-1)</f>
        <v>2.6789777156448702E-2</v>
      </c>
      <c r="V66" s="178">
        <f>IF(((SUM(Purchases!X136:$AB136)+SUM(Purchases!$F137:V137))/(SUM(X55:$AB55)+SUM($F56:V56)))-1&lt;0,0,((SUM(Purchases!X136:$AB136)+SUM(Purchases!$F137:V137))/(SUM(X55:$AB55)+SUM($F56:V56)))-1)</f>
        <v>4.4438705498607955E-2</v>
      </c>
      <c r="X66" s="178">
        <f>IF(((SUM(Purchases!Z136:$AB136)+SUM(Purchases!$F137:X137))/(SUM(Z55:$AB55)+SUM($F56:X56)))-1&lt;0,0,((SUM(Purchases!Z136:$AB136)+SUM(Purchases!$F137:X137))/(SUM(Z55:$AB55)+SUM($F56:X56)))-1)</f>
        <v>6.2432027068480833E-2</v>
      </c>
      <c r="Z66" s="178">
        <f>IF(((SUM(Purchases!AB136:$AB136)+SUM(Purchases!$F137:Z137))/(SUM(AB55:$AB55)+SUM($F56:Z56)))-1&lt;0,0,((SUM(Purchases!AB136:$AB136)+SUM(Purchases!$F137:Z137))/(SUM(AB55:$AB55)+SUM($F56:Z56)))-1)</f>
        <v>5.5810757555616597E-2</v>
      </c>
      <c r="AB66" s="178">
        <f>IF(((0+SUM(Purchases!$F137:AB137))/(0+SUM($F56:AB56)))-1&lt;0,0,((0+SUM(Purchases!$F137:AB137))/(0+SUM($F56:AB56)))-1)</f>
        <v>3.4953070457830693E-2</v>
      </c>
      <c r="AC66" s="124"/>
    </row>
    <row r="67" spans="1:29">
      <c r="A67" s="120"/>
      <c r="C67" s="125">
        <v>2023</v>
      </c>
      <c r="F67" s="178">
        <f>IF(((SUM(Purchases!H137:$AB137)+SUM(Purchases!$F138:F138))/(SUM(H56:$AB56)+SUM($F57:F57)))-1&lt;0,0,((SUM(Purchases!H137:$AB137)+SUM(Purchases!$F138:F138))/(SUM(H56:$AB56)+SUM($F57:F57)))-1)</f>
        <v>6.0436192632391528E-3</v>
      </c>
      <c r="H67" s="178">
        <f>IF(((SUM(Purchases!J137:$AB137)+SUM(Purchases!$F138:H138))/(SUM(J56:$AB56)+SUM($F57:H57)))-1&lt;0,0,((SUM(Purchases!J137:$AB137)+SUM(Purchases!$F138:H138))/(SUM(J56:$AB56)+SUM($F57:H57)))-1)</f>
        <v>2.6651871626071078E-4</v>
      </c>
      <c r="J67" s="178">
        <f>IF(((SUM(Purchases!L137:$AB137)+SUM(Purchases!$F138:J138))/(SUM(L56:$AB56)+SUM($F57:J57)))-1&lt;0,0,((SUM(Purchases!L137:$AB137)+SUM(Purchases!$F138:J138))/(SUM(L56:$AB56)+SUM($F57:J57)))-1)</f>
        <v>0</v>
      </c>
      <c r="L67" s="178">
        <f>IF(((SUM(Purchases!N137:$AB137)+SUM(Purchases!$F138:L138))/(SUM(N56:$AB56)+SUM($F57:L57)))-1&lt;0,0,((SUM(Purchases!N137:$AB137)+SUM(Purchases!$F138:L138))/(SUM(N56:$AB56)+SUM($F57:L57)))-1)</f>
        <v>0</v>
      </c>
      <c r="N67" s="178">
        <f>IF(((SUM(Purchases!P137:$AB137)+SUM(Purchases!$F138:N138))/(SUM(P56:$AB56)+SUM($F57:N57)))-1&lt;0,0,((SUM(Purchases!P137:$AB137)+SUM(Purchases!$F138:N138))/(SUM(P56:$AB56)+SUM($F57:N57)))-1)</f>
        <v>0</v>
      </c>
      <c r="P67" s="178">
        <f>IF(((SUM(Purchases!R137:$AB137)+SUM(Purchases!$F138:P138))/(SUM(R56:$AB56)+SUM($F57:P57)))-1&lt;0,0,((SUM(Purchases!R137:$AB137)+SUM(Purchases!$F138:P138))/(SUM(R56:$AB56)+SUM($F57:P57)))-1)</f>
        <v>0</v>
      </c>
      <c r="R67" s="178">
        <f>IF(((SUM(Purchases!T137:$AB137)+SUM(Purchases!$F138:R138))/(SUM(T56:$AB56)+SUM($F57:R57)))-1&lt;0,0,((SUM(Purchases!T137:$AB137)+SUM(Purchases!$F138:R138))/(SUM(T56:$AB56)+SUM($F57:R57)))-1)</f>
        <v>0</v>
      </c>
      <c r="T67" s="178">
        <f>IF(((SUM(Purchases!V137:$AB137)+SUM(Purchases!$F138:T138))/(SUM(V56:$AB56)+SUM($F57:T57)))-1&lt;0,0,((SUM(Purchases!V137:$AB137)+SUM(Purchases!$F138:T138))/(SUM(V56:$AB56)+SUM($F57:T57)))-1)</f>
        <v>0</v>
      </c>
      <c r="V67" s="178">
        <f>IF(((SUM(Purchases!X137:$AB137)+SUM(Purchases!$F138:V138))/(SUM(X56:$AB56)+SUM($F57:V57)))-1&lt;0,0,((SUM(Purchases!X137:$AB137)+SUM(Purchases!$F138:V138))/(SUM(X56:$AB56)+SUM($F57:V57)))-1)</f>
        <v>0</v>
      </c>
      <c r="X67" s="178">
        <f>IF(((SUM(Purchases!Z137:$AB137)+SUM(Purchases!$F138:X138))/(SUM(Z56:$AB56)+SUM($F57:X57)))-1&lt;0,0,((SUM(Purchases!Z137:$AB137)+SUM(Purchases!$F138:X138))/(SUM(Z56:$AB56)+SUM($F57:X57)))-1)</f>
        <v>0</v>
      </c>
      <c r="Z67" s="178">
        <f>IF(((SUM(Purchases!AB137:$AB137)+SUM(Purchases!$F138:Z138))/(SUM(AB56:$AB56)+SUM($F57:Z57)))-1&lt;0,0,((SUM(Purchases!AB137:$AB137)+SUM(Purchases!$F138:Z138))/(SUM(AB56:$AB56)+SUM($F57:Z57)))-1)</f>
        <v>0</v>
      </c>
      <c r="AB67" s="178">
        <f>IF(((0+SUM(Purchases!$F138:AB138))/(0+SUM($F57:AB57)))-1&lt;0,0,((0+SUM(Purchases!$F138:AB138))/(0+SUM($F57:AB57)))-1)</f>
        <v>2.1776863497560139E-3</v>
      </c>
      <c r="AC67" s="124"/>
    </row>
    <row r="68" spans="1:29">
      <c r="A68" s="120"/>
      <c r="C68" s="125">
        <v>2024</v>
      </c>
      <c r="F68" s="178">
        <f>IF(((SUM(Purchases!H138:$AB138)+SUM(Purchases!$F139:F139))/(SUM(H57:$AB57)+SUM($F58:F58)))-1&lt;0,0,((SUM(Purchases!H138:$AB138)+SUM(Purchases!$F139:F139))/(SUM(H57:$AB57)+SUM($F58:F58)))-1)</f>
        <v>4.7724325542515045E-2</v>
      </c>
      <c r="H68" s="178">
        <f>IF(((SUM(Purchases!J138:$AB138)+SUM(Purchases!$F139:H139))/(SUM(J57:$AB57)+SUM($F58:H58)))-1&lt;0,0,((SUM(Purchases!J138:$AB138)+SUM(Purchases!$F139:H139))/(SUM(J57:$AB57)+SUM($F58:H58)))-1)</f>
        <v>6.8058997758474016E-2</v>
      </c>
      <c r="J68" s="178">
        <f>IF(((SUM(Purchases!L138:$AB138)+SUM(Purchases!$F139:J139))/(SUM(L57:$AB57)+SUM($F58:J58)))-1&lt;0,0,((SUM(Purchases!L138:$AB138)+SUM(Purchases!$F139:J139))/(SUM(L57:$AB57)+SUM($F58:J58)))-1)</f>
        <v>8.513090785006372E-2</v>
      </c>
      <c r="L68" s="178">
        <f>IF(((SUM(Purchases!N138:$AB138)+SUM(Purchases!$F139:L139))/(SUM(N57:$AB57)+SUM($F58:L58)))-1&lt;0,0,((SUM(Purchases!N138:$AB138)+SUM(Purchases!$F139:L139))/(SUM(N57:$AB57)+SUM($F58:L58)))-1)</f>
        <v>0.12711660856450857</v>
      </c>
      <c r="N68" s="178">
        <f>IF(((SUM(Purchases!P138:$AB138)+SUM(Purchases!$F139:N139))/(SUM(P57:$AB57)+SUM($F58:N58)))-1&lt;0,0,((SUM(Purchases!P138:$AB138)+SUM(Purchases!$F139:N139))/(SUM(P57:$AB57)+SUM($F58:N58)))-1)</f>
        <v>0.11610443018419225</v>
      </c>
      <c r="P68" s="178">
        <f>IF(((SUM(Purchases!R138:$AB138)+SUM(Purchases!$F139:P139))/(SUM(R57:$AB57)+SUM($F58:P58)))-1&lt;0,0,((SUM(Purchases!R138:$AB138)+SUM(Purchases!$F139:P139))/(SUM(R57:$AB57)+SUM($F58:P58)))-1)</f>
        <v>0.12487436154858411</v>
      </c>
      <c r="R68" s="178">
        <f>IF(((SUM(Purchases!T138:$AB138)+SUM(Purchases!$F139:R139))/(SUM(T57:$AB57)+SUM($F58:R58)))-1&lt;0,0,((SUM(Purchases!T138:$AB138)+SUM(Purchases!$F139:R139))/(SUM(T57:$AB57)+SUM($F58:R58)))-1)</f>
        <v>0.14360199717912603</v>
      </c>
      <c r="T68" s="178">
        <f>IF(((SUM(Purchases!V138:$AB138)+SUM(Purchases!$F139:T139))/(SUM(V57:$AB57)+SUM($F58:T58)))-1&lt;0,0,((SUM(Purchases!V138:$AB138)+SUM(Purchases!$F139:T139))/(SUM(V57:$AB57)+SUM($F58:T58)))-1)</f>
        <v>0.13185396555530771</v>
      </c>
      <c r="V68" s="179">
        <f>IF(((SUM(Purchases!X138:$AB138)+SUM(Purchases!$F139:V139))/(SUM(X57:$AB57)+SUM($F58:V58)))-1&lt;0,0,((SUM(Purchases!X138:$AB138)+SUM(Purchases!$F139:V139))/(SUM(X57:$AB57)+SUM($F58:V58)))-1)</f>
        <v>0.20624137897187045</v>
      </c>
      <c r="X68" s="179">
        <f>IF(((SUM(Purchases!Z138:$AB138)+SUM(Purchases!$F139:X139))/(SUM(Z57:$AB57)+SUM($F58:X58)))-1&lt;0,0,((SUM(Purchases!Z138:$AB138)+SUM(Purchases!$F139:X139))/(SUM(Z57:$AB57)+SUM($F58:X58)))-1)</f>
        <v>0.31042933297689923</v>
      </c>
      <c r="Z68" s="179">
        <f>IF(((SUM(Purchases!AB138:$AB138)+SUM(Purchases!$F139:Z139))/(SUM(AB57:$AB57)+SUM($F58:Z58)))-1&lt;0,0,((SUM(Purchases!AB138:$AB138)+SUM(Purchases!$F139:Z139))/(SUM(AB57:$AB57)+SUM($F58:Z58)))-1)</f>
        <v>0.32532229066198148</v>
      </c>
      <c r="AB68" s="179">
        <f>IF(((0+SUM(Purchases!$F139:AB139))/(0+SUM($F58:AB58)))-1&lt;0,0,((0+SUM(Purchases!$F139:AB139))/(0+SUM($F58:AB58)))-1)</f>
        <v>0.32786450398232159</v>
      </c>
      <c r="AC68" s="124"/>
    </row>
    <row r="69" spans="1:29">
      <c r="A69" s="120"/>
      <c r="C69" s="125">
        <v>2025</v>
      </c>
      <c r="F69" s="179">
        <f>IF(((SUM(Purchases!H139:$AB139)+SUM(Purchases!$F140:F140))/(SUM(H58:$AB58)+SUM($F59:F59)))-1&lt;0,0,((SUM(Purchases!H139:$AB139)+SUM(Purchases!$F140:F140))/(SUM(H58:$AB58)+SUM($F59:F59)))-1)</f>
        <v>0.26330144197374494</v>
      </c>
      <c r="H69" s="179">
        <f>IF(((SUM(Purchases!J139:$AB139)+SUM(Purchases!$F140:H140))/(SUM(J58:$AB58)+SUM($F59:H59)))-1&lt;0,0,((SUM(Purchases!J139:$AB139)+SUM(Purchases!$F140:H140))/(SUM(J58:$AB58)+SUM($F59:H59)))-1)</f>
        <v>0.26117794325525412</v>
      </c>
      <c r="J69" s="179">
        <f>IF(((SUM(Purchases!L139:$AB139)+SUM(Purchases!$F140:J140))/(SUM(L58:$AB58)+SUM($F59:J59)))-1&lt;0,0,((SUM(Purchases!L139:$AB139)+SUM(Purchases!$F140:J140))/(SUM(L58:$AB58)+SUM($F59:J59)))-1)</f>
        <v>0.29512608839482746</v>
      </c>
      <c r="L69" s="179">
        <f>IF(((SUM(Purchases!N139:$AB139)+SUM(Purchases!$F140:L140))/(SUM(N58:$AB58)+SUM($F59:L59)))-1&lt;0,0,((SUM(Purchases!N139:$AB139)+SUM(Purchases!$F140:L140))/(SUM(N58:$AB58)+SUM($F59:L59)))-1)</f>
        <v>0.36173873046541027</v>
      </c>
      <c r="N69" s="126"/>
      <c r="P69" s="126"/>
      <c r="R69" s="126"/>
      <c r="T69" s="126"/>
      <c r="V69" s="126"/>
      <c r="X69" s="126"/>
      <c r="Z69" s="126"/>
      <c r="AB69" s="126"/>
      <c r="AC69" s="124"/>
    </row>
    <row r="70" spans="1:29">
      <c r="A70" s="127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8"/>
    </row>
    <row r="73" spans="1:29">
      <c r="C73" s="129" t="s">
        <v>171</v>
      </c>
    </row>
    <row r="74" spans="1:29">
      <c r="C74" s="125">
        <v>2022</v>
      </c>
      <c r="F74" s="176">
        <f>((SUM(Purchases!H55:$AB55)+SUM(Purchases!$F56:F56))/(SUM(H9:$AB9)+SUM($F10:F10)))-1</f>
        <v>6.9756643059036394E-2</v>
      </c>
      <c r="G74" s="130"/>
      <c r="H74" s="176">
        <f>((SUM(Purchases!J55:$AB55)+SUM(Purchases!$F56:H56))/(SUM(J9:$AB9)+SUM($F10:H10)))-1</f>
        <v>8.2304603681138344E-2</v>
      </c>
      <c r="I74" s="130"/>
      <c r="J74" s="176">
        <f>((SUM(Purchases!L55:$AB55)+SUM(Purchases!$F56:J56))/(SUM(L9:$AB9)+SUM($F10:J10)))-1</f>
        <v>9.6279451733904509E-2</v>
      </c>
      <c r="K74" s="130"/>
      <c r="L74" s="176">
        <f>((SUM(Purchases!N55:$AB55)+SUM(Purchases!$F56:L56))/(SUM(N9:$AB9)+SUM($F10:L10)))-1</f>
        <v>0.12125274989859713</v>
      </c>
      <c r="M74" s="130"/>
      <c r="N74" s="176">
        <f>((SUM(Purchases!P55:$AB55)+SUM(Purchases!$F56:N56))/(SUM(P9:$AB9)+SUM($F10:N10)))-1</f>
        <v>0.11155084996185094</v>
      </c>
      <c r="O74" s="130"/>
      <c r="P74" s="176">
        <f>((SUM(Purchases!R55:$AB55)+SUM(Purchases!$F56:P56))/(SUM(R9:$AB9)+SUM($F10:P10)))-1</f>
        <v>0.12265629970901548</v>
      </c>
      <c r="Q74" s="130"/>
      <c r="R74" s="176">
        <f>((SUM(Purchases!T55:$AB55)+SUM(Purchases!$F56:R56))/(SUM(T9:$AB9)+SUM($F10:R10)))-1</f>
        <v>0.12274347946498154</v>
      </c>
      <c r="S74" s="130"/>
      <c r="T74" s="176">
        <f>((SUM(Purchases!V55:$AB55)+SUM(Purchases!$F56:T56))/(SUM(V9:$AB9)+SUM($F10:T10)))-1</f>
        <v>0.13575882574768205</v>
      </c>
      <c r="U74" s="130"/>
      <c r="V74" s="176">
        <f>((SUM(Purchases!X55:$AB55)+SUM(Purchases!$F56:V56))/(SUM(X9:$AB9)+SUM($F10:V10)))-1</f>
        <v>0.14994537200641211</v>
      </c>
      <c r="W74" s="130"/>
      <c r="X74" s="176">
        <f>((SUM(Purchases!Z55:$AB55)+SUM(Purchases!$F56:X56))/(SUM(Z9:$AB9)+SUM($F10:X10)))-1</f>
        <v>0.18070087254351819</v>
      </c>
      <c r="Y74" s="130"/>
      <c r="Z74" s="176">
        <f>((SUM(Purchases!AB55:$AB55)+SUM(Purchases!$F56:Z56))/(SUM(AB9:$AB9)+SUM($F10:Z10)))-1</f>
        <v>0.17955657135738012</v>
      </c>
      <c r="AA74" s="130"/>
      <c r="AB74" s="176">
        <f>((0+SUM(Purchases!$F56:AB56))/(0+SUM($F10:AB10)))-1</f>
        <v>0.17199663879680549</v>
      </c>
    </row>
    <row r="75" spans="1:29">
      <c r="C75" s="125">
        <v>2023</v>
      </c>
      <c r="F75" s="176">
        <f>((SUM(Purchases!H56:$AB56)+SUM(Purchases!$F57:F57))/(SUM(H10:$AB10)+SUM($F11:F11)))-1</f>
        <v>0.17210577257595849</v>
      </c>
      <c r="G75" s="130"/>
      <c r="H75" s="176">
        <f>((SUM(Purchases!J56:$AB56)+SUM(Purchases!$F57:H57))/(SUM(J10:$AB10)+SUM($F11:H11)))-1</f>
        <v>0.16759336198728247</v>
      </c>
      <c r="I75" s="130"/>
      <c r="J75" s="176">
        <f>((SUM(Purchases!L56:$AB56)+SUM(Purchases!$F57:J57))/(SUM(L10:$AB10)+SUM($F11:J11)))-1</f>
        <v>0.19125885124926745</v>
      </c>
      <c r="K75" s="130"/>
      <c r="L75" s="176">
        <f>((SUM(Purchases!N56:$AB56)+SUM(Purchases!$F57:L57))/(SUM(N10:$AB10)+SUM($F11:L11)))-1</f>
        <v>0.13559117086077577</v>
      </c>
      <c r="M75" s="130"/>
      <c r="N75" s="176">
        <f>((SUM(Purchases!P56:$AB56)+SUM(Purchases!$F57:N57))/(SUM(P10:$AB10)+SUM($F11:N11)))-1</f>
        <v>0.14891324946467122</v>
      </c>
      <c r="O75" s="130"/>
      <c r="P75" s="176">
        <f>((SUM(Purchases!R56:$AB56)+SUM(Purchases!$F57:P57))/(SUM(R10:$AB10)+SUM($F11:P11)))-1</f>
        <v>0.14947979288234992</v>
      </c>
      <c r="Q75" s="130"/>
      <c r="R75" s="176">
        <f>((SUM(Purchases!T56:$AB56)+SUM(Purchases!$F57:R57))/(SUM(T10:$AB10)+SUM($F11:R11)))-1</f>
        <v>0.15396506363097728</v>
      </c>
      <c r="S75" s="130"/>
      <c r="T75" s="176">
        <f>((SUM(Purchases!V56:$AB56)+SUM(Purchases!$F57:T57))/(SUM(V10:$AB10)+SUM($F11:T11)))-1</f>
        <v>0.15732623260403367</v>
      </c>
      <c r="U75" s="130"/>
      <c r="V75" s="176">
        <f>((SUM(Purchases!X56:$AB56)+SUM(Purchases!$F57:V57))/(SUM(X10:$AB10)+SUM($F11:V11)))-1</f>
        <v>0.14832472699966104</v>
      </c>
      <c r="W75" s="130"/>
      <c r="X75" s="176">
        <f>((SUM(Purchases!Z56:$AB56)+SUM(Purchases!$F57:X57))/(SUM(Z10:$AB10)+SUM($F11:X11)))-1</f>
        <v>0.12851291408090293</v>
      </c>
      <c r="Y75" s="130"/>
      <c r="Z75" s="176">
        <f>((SUM(Purchases!AB56:$AB56)+SUM(Purchases!$F57:Z57))/(SUM(AB10:$AB10)+SUM($F11:Z11)))-1</f>
        <v>0.12491817682498851</v>
      </c>
      <c r="AA75" s="130"/>
      <c r="AB75" s="176">
        <f>((0+SUM(Purchases!$F57:AB57))/(0+SUM($F11:AB11)))-1</f>
        <v>0.1014522568859495</v>
      </c>
    </row>
    <row r="76" spans="1:29">
      <c r="C76" s="125">
        <v>2024</v>
      </c>
      <c r="F76" s="176">
        <f>((SUM(Purchases!H57:$AB57)+SUM(Purchases!$F58:F58))/(SUM(H11:$AB11)+SUM($F12:F12)))-1</f>
        <v>0.12667050439768146</v>
      </c>
      <c r="G76" s="130"/>
      <c r="H76" s="176">
        <f>((SUM(Purchases!J57:$AB57)+SUM(Purchases!$F58:H58))/(SUM(J11:$AB11)+SUM($F12:H12)))-1</f>
        <v>0.12613476254867084</v>
      </c>
      <c r="I76" s="130"/>
      <c r="J76" s="176">
        <f>((SUM(Purchases!L57:$AB57)+SUM(Purchases!$F58:J58))/(SUM(L11:$AB11)+SUM($F12:J12)))-1</f>
        <v>0.11114882107688917</v>
      </c>
      <c r="K76" s="130"/>
      <c r="L76" s="176">
        <f>((SUM(Purchases!N57:$AB57)+SUM(Purchases!$F58:L58))/(SUM(N11:$AB11)+SUM($F12:L12)))-1</f>
        <v>0.15946687507502344</v>
      </c>
      <c r="M76" s="130"/>
      <c r="N76" s="176">
        <f>((SUM(Purchases!P57:$AB57)+SUM(Purchases!$F58:N58))/(SUM(P11:$AB11)+SUM($F12:N12)))-1</f>
        <v>0.1428329627890863</v>
      </c>
      <c r="O76" s="130"/>
      <c r="P76" s="176">
        <f>((SUM(Purchases!R57:$AB57)+SUM(Purchases!$F58:P58))/(SUM(R11:$AB11)+SUM($F12:P12)))-1</f>
        <v>0.16668191667470666</v>
      </c>
      <c r="Q76" s="130"/>
      <c r="R76" s="176">
        <f>((SUM(Purchases!T57:$AB57)+SUM(Purchases!$F58:R58))/(SUM(T11:$AB11)+SUM($F12:R12)))-1</f>
        <v>0.20941007512458287</v>
      </c>
      <c r="S76" s="130"/>
      <c r="T76" s="176">
        <f>((SUM(Purchases!V57:$AB57)+SUM(Purchases!$F58:T58))/(SUM(V11:$AB11)+SUM($F12:T12)))-1</f>
        <v>0.18610954576233141</v>
      </c>
      <c r="U76" s="130"/>
      <c r="V76" s="177">
        <f>((SUM(Purchases!X57:$AB57)+SUM(Purchases!$F58:V58))/(SUM(X11:$AB11)+SUM($F12:V12)))-1</f>
        <v>0.29586820684899506</v>
      </c>
      <c r="W76" s="130"/>
      <c r="X76" s="177">
        <f>((SUM(Purchases!Z57:$AB57)+SUM(Purchases!$F58:X58))/(SUM(Z11:$AB11)+SUM($F12:X12)))-1</f>
        <v>0.43566170768441559</v>
      </c>
      <c r="Y76" s="130"/>
      <c r="Z76" s="177">
        <f>((SUM(Purchases!AB57:$AB57)+SUM(Purchases!$F58:Z58))/(SUM(AB11:$AB11)+SUM($F12:Z12)))-1</f>
        <v>0.50495909989396814</v>
      </c>
      <c r="AA76" s="130"/>
      <c r="AB76" s="177">
        <f>((0+SUM(Purchases!$F58:AB58))/(0+SUM($F12:AB12)))-1</f>
        <v>0.52017395005042832</v>
      </c>
    </row>
    <row r="77" spans="1:29">
      <c r="C77" s="125">
        <v>2025</v>
      </c>
      <c r="F77" s="177">
        <f>((SUM(Purchases!H58:$AB58)+SUM(Purchases!$F59:F59))/(SUM(H12:$AB12)+SUM($F13:F13)))-1</f>
        <v>0.49775312836335162</v>
      </c>
      <c r="G77" s="130"/>
      <c r="H77" s="177">
        <f>((SUM(Purchases!J58:$AB58)+SUM(Purchases!$F59:H59))/(SUM(J12:$AB12)+SUM($F13:H13)))-1</f>
        <v>0.49818021861406825</v>
      </c>
      <c r="I77" s="130"/>
      <c r="J77" s="177">
        <f>((SUM(Purchases!L58:$AB58)+SUM(Purchases!$F59:J59))/(SUM(L12:$AB12)+SUM($F13:J13)))-1</f>
        <v>0.5326565426876364</v>
      </c>
      <c r="K77" s="130"/>
      <c r="L77" s="177">
        <f>((SUM(Purchases!N58:$AB58)+SUM(Purchases!$F59:L59))/(SUM(N12:$AB12)+SUM($F13:L13)))-1</f>
        <v>0.59194233138868757</v>
      </c>
      <c r="M77" s="130"/>
      <c r="N77" s="114"/>
    </row>
    <row r="78" spans="1:29" ht="7.05" customHeight="1"/>
    <row r="79" spans="1:29" ht="7.05" customHeight="1"/>
    <row r="80" spans="1:29">
      <c r="C80" s="129" t="s">
        <v>126</v>
      </c>
    </row>
    <row r="81" spans="3:28">
      <c r="C81" s="125">
        <v>2022</v>
      </c>
      <c r="F81" s="114">
        <f>((SUM(Purchases!H82:$AB82)+SUM(Purchases!$F83:F83))/(SUM(H24:$AB24)+SUM($F25:F25)))-1</f>
        <v>-0.15129805363198534</v>
      </c>
      <c r="G81" s="130"/>
      <c r="H81" s="114">
        <f>((SUM(Purchases!J82:$AB82)+SUM(Purchases!$F83:H83))/(SUM(J24:$AB24)+SUM($F25:H25)))-1</f>
        <v>-0.2620685554597616</v>
      </c>
      <c r="I81" s="130"/>
      <c r="J81" s="114">
        <f>((SUM(Purchases!L82:$AB82)+SUM(Purchases!$F83:J83))/(SUM(L24:$AB24)+SUM($F25:J25)))-1</f>
        <v>-0.34407954914284034</v>
      </c>
      <c r="K81" s="130"/>
      <c r="L81" s="114">
        <f>((SUM(Purchases!N82:$AB82)+SUM(Purchases!$F83:L83))/(SUM(N24:$AB24)+SUM($F25:L25)))-1</f>
        <v>-0.37288790890144086</v>
      </c>
      <c r="M81" s="130"/>
      <c r="N81" s="114">
        <f>((SUM(Purchases!P82:$AB82)+SUM(Purchases!$F83:N83))/(SUM(P24:$AB24)+SUM($F25:N25)))-1</f>
        <v>-0.40228139339494606</v>
      </c>
      <c r="O81" s="130"/>
      <c r="P81" s="114">
        <f>((SUM(Purchases!R82:$AB82)+SUM(Purchases!$F83:P83))/(SUM(R24:$AB24)+SUM($F25:P25)))-1</f>
        <v>-0.41021053181485734</v>
      </c>
      <c r="Q81" s="130"/>
      <c r="R81" s="114">
        <f>((SUM(Purchases!T82:$AB82)+SUM(Purchases!$F83:R83))/(SUM(T24:$AB24)+SUM($F25:R25)))-1</f>
        <v>-0.41680775640856049</v>
      </c>
      <c r="S81" s="130"/>
      <c r="T81" s="114">
        <f>((SUM(Purchases!V82:$AB82)+SUM(Purchases!$F83:T83))/(SUM(V24:$AB24)+SUM($F25:T25)))-1</f>
        <v>-0.42647377693454391</v>
      </c>
      <c r="U81" s="130"/>
      <c r="V81" s="114">
        <f>((SUM(Purchases!X82:$AB82)+SUM(Purchases!$F83:V83))/(SUM(X24:$AB24)+SUM($F25:V25)))-1</f>
        <v>-0.43154120877230406</v>
      </c>
      <c r="W81" s="130"/>
      <c r="X81" s="114">
        <f>((SUM(Purchases!Z82:$AB82)+SUM(Purchases!$F83:X83))/(SUM(Z24:$AB24)+SUM($F25:X25)))-1</f>
        <v>-0.44401099999310778</v>
      </c>
      <c r="Y81" s="130"/>
      <c r="Z81" s="114">
        <f>((SUM(Purchases!AB82:$AB82)+SUM(Purchases!$F83:Z83))/(SUM(AB24:$AB24)+SUM($F25:Z25)))-1</f>
        <v>-0.48757876439487213</v>
      </c>
      <c r="AA81" s="130"/>
      <c r="AB81" s="114">
        <f>((0+SUM(Purchases!$F83:AB83))/(0+SUM($F25:AB25)))-1</f>
        <v>-0.53124105558417756</v>
      </c>
    </row>
    <row r="82" spans="3:28">
      <c r="C82" s="125">
        <v>2023</v>
      </c>
      <c r="F82" s="114">
        <f>((SUM(Purchases!H83:$AB83)+SUM(Purchases!$F84:F84))/(SUM(H25:$AB25)+SUM($F26:F26)))-1</f>
        <v>-0.59424555935529488</v>
      </c>
      <c r="G82" s="130"/>
      <c r="H82" s="114">
        <f>((SUM(Purchases!J83:$AB83)+SUM(Purchases!$F84:H84))/(SUM(J25:$AB25)+SUM($F26:H26)))-1</f>
        <v>-0.59882507536523155</v>
      </c>
      <c r="I82" s="130"/>
      <c r="J82" s="114">
        <f>((SUM(Purchases!L83:$AB83)+SUM(Purchases!$F84:J84))/(SUM(L25:$AB25)+SUM($F26:J26)))-1</f>
        <v>-0.565391676621263</v>
      </c>
      <c r="K82" s="130"/>
      <c r="L82" s="114">
        <f>((SUM(Purchases!N83:$AB83)+SUM(Purchases!$F84:L84))/(SUM(N25:$AB25)+SUM($F26:L26)))-1</f>
        <v>-0.59451598830163677</v>
      </c>
      <c r="M82" s="130"/>
      <c r="N82" s="114">
        <f>((SUM(Purchases!P83:$AB83)+SUM(Purchases!$F84:N84))/(SUM(P25:$AB25)+SUM($F26:N26)))-1</f>
        <v>-0.61867965731563923</v>
      </c>
      <c r="O82" s="130"/>
      <c r="P82" s="114">
        <f>((SUM(Purchases!R83:$AB83)+SUM(Purchases!$F84:P84))/(SUM(R25:$AB25)+SUM($F26:P26)))-1</f>
        <v>-0.63291108737037427</v>
      </c>
      <c r="Q82" s="130"/>
      <c r="R82" s="114">
        <f>((SUM(Purchases!T83:$AB83)+SUM(Purchases!$F84:R84))/(SUM(T25:$AB25)+SUM($F26:R26)))-1</f>
        <v>-0.64470117464825094</v>
      </c>
      <c r="S82" s="130"/>
      <c r="T82" s="114">
        <f>((SUM(Purchases!V83:$AB83)+SUM(Purchases!$F84:T84))/(SUM(V25:$AB25)+SUM($F26:T26)))-1</f>
        <v>-0.65580438242528494</v>
      </c>
      <c r="U82" s="130"/>
      <c r="V82" s="114">
        <f>((SUM(Purchases!X83:$AB83)+SUM(Purchases!$F84:V84))/(SUM(X25:$AB25)+SUM($F26:V26)))-1</f>
        <v>-0.67042686113545535</v>
      </c>
      <c r="W82" s="130"/>
      <c r="X82" s="114">
        <f>((SUM(Purchases!Z83:$AB83)+SUM(Purchases!$F84:X84))/(SUM(Z25:$AB25)+SUM($F26:X26)))-1</f>
        <v>-0.6872432669860663</v>
      </c>
      <c r="Y82" s="130"/>
      <c r="Z82" s="114">
        <f>((SUM(Purchases!AB83:$AB83)+SUM(Purchases!$F84:Z84))/(SUM(AB25:$AB25)+SUM($F26:Z26)))-1</f>
        <v>-0.51040816821086143</v>
      </c>
      <c r="AA82" s="130"/>
      <c r="AB82" s="114">
        <f>((0+SUM(Purchases!$F84:AB84))/(0+SUM($F26:AB26)))-1</f>
        <v>-0.50909383550619669</v>
      </c>
    </row>
    <row r="83" spans="3:28">
      <c r="C83" s="125">
        <v>2024</v>
      </c>
      <c r="F83" s="114">
        <f>((SUM(Purchases!H84:$AB84)+SUM(Purchases!$F85:F85))/(SUM(H26:$AB26)+SUM($F27:F27)))-1</f>
        <v>-0.51369212341497672</v>
      </c>
      <c r="G83" s="130"/>
      <c r="H83" s="114">
        <f>((SUM(Purchases!J84:$AB84)+SUM(Purchases!$F85:H85))/(SUM(J26:$AB26)+SUM($F27:H27)))-1</f>
        <v>-0.547876216540087</v>
      </c>
      <c r="I83" s="130"/>
      <c r="J83" s="114">
        <f>((SUM(Purchases!L84:$AB84)+SUM(Purchases!$F85:J85))/(SUM(L26:$AB26)+SUM($F27:J27)))-1</f>
        <v>-0.59758089210982945</v>
      </c>
      <c r="K83" s="130"/>
      <c r="L83" s="114">
        <f>((SUM(Purchases!N84:$AB84)+SUM(Purchases!$F85:L85))/(SUM(N26:$AB26)+SUM($F27:L27)))-1</f>
        <v>-0.58778089285561186</v>
      </c>
      <c r="M83" s="130"/>
      <c r="N83" s="114">
        <f>((SUM(Purchases!P84:$AB84)+SUM(Purchases!$F85:N85))/(SUM(P26:$AB26)+SUM($F27:N27)))-1</f>
        <v>-0.54654850341022632</v>
      </c>
      <c r="O83" s="130"/>
      <c r="P83" s="114">
        <f>((SUM(Purchases!R84:$AB84)+SUM(Purchases!$F85:P85))/(SUM(R26:$AB26)+SUM($F27:P27)))-1</f>
        <v>-0.53765748787212519</v>
      </c>
      <c r="Q83" s="130"/>
      <c r="R83" s="114">
        <f>((SUM(Purchases!T84:$AB84)+SUM(Purchases!$F85:R85))/(SUM(T26:$AB26)+SUM($F27:R27)))-1</f>
        <v>-0.51767567098063061</v>
      </c>
      <c r="S83" s="130"/>
      <c r="T83" s="114">
        <f>((SUM(Purchases!V84:$AB84)+SUM(Purchases!$F85:T85))/(SUM(V26:$AB26)+SUM($F27:T27)))-1</f>
        <v>-0.51029406659028576</v>
      </c>
      <c r="U83" s="130"/>
      <c r="V83" s="114">
        <f>((SUM(Purchases!X84:$AB84)+SUM(Purchases!$F85:V85))/(SUM(X26:$AB26)+SUM($F27:V27)))-1</f>
        <v>-0.51093170714805447</v>
      </c>
      <c r="W83" s="130"/>
      <c r="X83" s="114">
        <f>((SUM(Purchases!Z84:$AB84)+SUM(Purchases!$F85:X85))/(SUM(Z26:$AB26)+SUM($F27:X27)))-1</f>
        <v>-0.50440240606747455</v>
      </c>
      <c r="Y83" s="130"/>
      <c r="Z83" s="114">
        <f>((SUM(Purchases!AB84:$AB84)+SUM(Purchases!$F85:Z85))/(SUM(AB26:$AB26)+SUM($F27:Z27)))-1</f>
        <v>-0.72979285316469344</v>
      </c>
      <c r="AA83" s="130"/>
      <c r="AB83" s="114">
        <f>((0+SUM(Purchases!$F85:AB85))/(0+SUM($F27:AB27)))-1</f>
        <v>-0.72792645184780636</v>
      </c>
    </row>
    <row r="84" spans="3:28">
      <c r="C84" s="125">
        <v>2025</v>
      </c>
      <c r="F84" s="114">
        <f>((SUM(Purchases!H85:$AB85)+SUM(Purchases!$F86:F86))/(SUM(H27:$AB27)+SUM($F28:F28)))-1</f>
        <v>-0.78673937756959811</v>
      </c>
      <c r="G84" s="130"/>
      <c r="H84" s="114">
        <f>((SUM(Purchases!J85:$AB85)+SUM(Purchases!$F86:H86))/(SUM(J27:$AB27)+SUM($F28:H28)))-1</f>
        <v>-0.76071374616017318</v>
      </c>
      <c r="I84" s="130"/>
      <c r="J84" s="114">
        <f>((SUM(Purchases!L85:$AB85)+SUM(Purchases!$F86:J86))/(SUM(L27:$AB27)+SUM($F28:J28)))-1</f>
        <v>-0.71879093366052627</v>
      </c>
      <c r="K84" s="130"/>
      <c r="L84" s="114">
        <f>((SUM(Purchases!N85:$AB85)+SUM(Purchases!$F86:L86))/(SUM(N27:$AB27)+SUM($F28:L28)))-1</f>
        <v>-0.62342361917815092</v>
      </c>
      <c r="M84" s="130"/>
      <c r="N84" s="114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</row>
    <row r="85" spans="3:28" ht="7.05" customHeight="1"/>
    <row r="86" spans="3:28">
      <c r="C86" s="129" t="s">
        <v>126</v>
      </c>
    </row>
    <row r="87" spans="3:28">
      <c r="C87" s="125">
        <v>2022</v>
      </c>
      <c r="F87" s="170">
        <f>IF(F81&lt;0,0,F81)</f>
        <v>0</v>
      </c>
      <c r="H87" s="170">
        <f>IF(H81&lt;0,0,H81)</f>
        <v>0</v>
      </c>
      <c r="J87" s="170">
        <f>IF(J81&lt;0,0,J81)</f>
        <v>0</v>
      </c>
      <c r="L87" s="170">
        <f>IF(L81&lt;0,0,L81)</f>
        <v>0</v>
      </c>
      <c r="N87" s="170">
        <f>IF(N81&lt;0,0,N81)</f>
        <v>0</v>
      </c>
      <c r="P87" s="170">
        <f>IF(P81&lt;0,0,P81)</f>
        <v>0</v>
      </c>
      <c r="R87" s="170">
        <f>IF(R81&lt;0,0,R81)</f>
        <v>0</v>
      </c>
      <c r="T87" s="170">
        <f>IF(T81&lt;0,0,T81)</f>
        <v>0</v>
      </c>
      <c r="V87" s="170">
        <f>IF(V81&lt;0,0,V81)</f>
        <v>0</v>
      </c>
      <c r="X87" s="170">
        <f>IF(X81&lt;0,0,X81)</f>
        <v>0</v>
      </c>
      <c r="Z87" s="170">
        <f>IF(Z81&lt;0,0,Z81)</f>
        <v>0</v>
      </c>
      <c r="AB87" s="170">
        <f>IF(AB81&lt;0,0,AB81)</f>
        <v>0</v>
      </c>
    </row>
    <row r="88" spans="3:28">
      <c r="C88" s="125">
        <v>2023</v>
      </c>
      <c r="F88" s="170">
        <f>IF(F82&lt;0,0,F82)</f>
        <v>0</v>
      </c>
      <c r="H88" s="170">
        <f>IF(H82&lt;0,0,H82)</f>
        <v>0</v>
      </c>
      <c r="J88" s="170">
        <f>IF(J82&lt;0,0,J82)</f>
        <v>0</v>
      </c>
      <c r="L88" s="170">
        <f>IF(L82&lt;0,0,L82)</f>
        <v>0</v>
      </c>
      <c r="N88" s="170">
        <f>IF(N82&lt;0,0,N82)</f>
        <v>0</v>
      </c>
      <c r="P88" s="170">
        <f>IF(P82&lt;0,0,P82)</f>
        <v>0</v>
      </c>
      <c r="R88" s="170">
        <f>IF(R82&lt;0,0,R82)</f>
        <v>0</v>
      </c>
      <c r="T88" s="170">
        <f>IF(T82&lt;0,0,T82)</f>
        <v>0</v>
      </c>
      <c r="V88" s="170">
        <f>IF(V82&lt;0,0,V82)</f>
        <v>0</v>
      </c>
      <c r="X88" s="170">
        <f>IF(X82&lt;0,0,X82)</f>
        <v>0</v>
      </c>
      <c r="Z88" s="170">
        <f>IF(Z82&lt;0,0,Z82)</f>
        <v>0</v>
      </c>
      <c r="AB88" s="170">
        <f>IF(AB82&lt;0,0,AB82)</f>
        <v>0</v>
      </c>
    </row>
    <row r="89" spans="3:28">
      <c r="C89" s="125">
        <v>2024</v>
      </c>
      <c r="F89" s="170">
        <f>IF(F83&lt;0,0,F83)</f>
        <v>0</v>
      </c>
      <c r="H89" s="170">
        <f>IF(H83&lt;0,0,H83)</f>
        <v>0</v>
      </c>
      <c r="J89" s="170">
        <f>IF(J83&lt;0,0,J83)</f>
        <v>0</v>
      </c>
      <c r="L89" s="170">
        <f>IF(L83&lt;0,0,L83)</f>
        <v>0</v>
      </c>
      <c r="N89" s="170">
        <f>IF(N83&lt;0,0,N83)</f>
        <v>0</v>
      </c>
      <c r="P89" s="170">
        <f>IF(P83&lt;0,0,P83)</f>
        <v>0</v>
      </c>
      <c r="R89" s="170">
        <f>IF(R83&lt;0,0,R83)</f>
        <v>0</v>
      </c>
      <c r="T89" s="170">
        <f>IF(T83&lt;0,0,T83)</f>
        <v>0</v>
      </c>
      <c r="V89" s="170">
        <f>IF(V83&lt;0,0,V83)</f>
        <v>0</v>
      </c>
      <c r="X89" s="170">
        <f>IF(X83&lt;0,0,X83)</f>
        <v>0</v>
      </c>
      <c r="Z89" s="170">
        <f>IF(Z83&lt;0,0,Z83)</f>
        <v>0</v>
      </c>
      <c r="AB89" s="170">
        <f>IF(AB83&lt;0,0,AB83)</f>
        <v>0</v>
      </c>
    </row>
    <row r="90" spans="3:28">
      <c r="C90" s="125">
        <v>2025</v>
      </c>
      <c r="F90" s="170">
        <f>IF(F84&lt;0,0,F84)</f>
        <v>0</v>
      </c>
      <c r="H90" s="170">
        <f>IF(H84&lt;0,0,H84)</f>
        <v>0</v>
      </c>
      <c r="J90" s="170">
        <f>IF(J84&lt;0,0,J84)</f>
        <v>0</v>
      </c>
      <c r="L90" s="170">
        <f>IF(L84&lt;0,0,L84)</f>
        <v>0</v>
      </c>
      <c r="N90" s="170">
        <f>IF(N84&lt;0,0,N84)</f>
        <v>0</v>
      </c>
    </row>
    <row r="91" spans="3:28" ht="7.05" customHeight="1"/>
    <row r="92" spans="3:28" ht="7.05" customHeight="1"/>
    <row r="93" spans="3:28">
      <c r="C93" s="129" t="s">
        <v>127</v>
      </c>
    </row>
    <row r="94" spans="3:28">
      <c r="C94" s="125">
        <v>2022</v>
      </c>
      <c r="F94" s="114">
        <f>((SUM(Purchases!H125:$AB125)+SUM(Purchases!$F126:F126))/(SUM($F40:F40)+SUM(H39:$AB39)))-1</f>
        <v>-5.4505096201474812E-3</v>
      </c>
      <c r="G94" s="130"/>
      <c r="H94" s="114">
        <f>((SUM(Purchases!J125:$AB125)+SUM(Purchases!$F126:H126))/(SUM($F40:H40)+SUM(J39:$AB39)))-1</f>
        <v>-6.1870477756026832E-2</v>
      </c>
      <c r="I94" s="130"/>
      <c r="J94" s="114">
        <f>((SUM(Purchases!L125:$AB125)+SUM(Purchases!$F126:J126))/(SUM($F40:J40)+SUM(L39:$AB39)))-1</f>
        <v>0.23571514217468703</v>
      </c>
      <c r="K94" s="130"/>
      <c r="L94" s="114">
        <f>((SUM(Purchases!N125:$AB125)+SUM(Purchases!$F126:L126))/(SUM($F40:L40)+SUM(N39:$AB39)))-1</f>
        <v>0.20471533277042342</v>
      </c>
      <c r="M94" s="130"/>
      <c r="N94" s="114">
        <f>((SUM(Purchases!P125:$AB125)+SUM(Purchases!$F126:N126))/(SUM($F40:N40)+SUM(P39:$AB39)))-1</f>
        <v>0.21918909810293319</v>
      </c>
      <c r="O94" s="130"/>
      <c r="P94" s="114">
        <f>((SUM(Purchases!R125:$AB125)+SUM(Purchases!$F126:P126))/(SUM($F40:P40)+SUM(R39:$AB39)))-1</f>
        <v>0.20411764113665454</v>
      </c>
      <c r="Q94" s="130"/>
      <c r="R94" s="114">
        <f>((SUM(Purchases!T125:$AB125)+SUM(Purchases!$F126:R126))/(SUM($F40:R40)+SUM(T39:$AB39)))-1</f>
        <v>0.18702985020089402</v>
      </c>
      <c r="S94" s="130"/>
      <c r="T94" s="114">
        <f>((SUM(Purchases!V125:$AB125)+SUM(Purchases!$F126:T126))/(SUM($F40:T40)+SUM(V39:$AB39)))-1</f>
        <v>0.2082124724889689</v>
      </c>
      <c r="U94" s="130"/>
      <c r="V94" s="114">
        <f>((SUM(Purchases!X125:$AB125)+SUM(Purchases!$F126:V126))/(SUM($F40:V40)+SUM(X39:$AB39)))-1</f>
        <v>0.25898469579626471</v>
      </c>
      <c r="W94" s="130"/>
      <c r="X94" s="114">
        <f>((SUM(Purchases!Z125:$AB125)+SUM(Purchases!$F126:X126))/(SUM($F40:X40)+SUM(Z39:$AB39)))-1</f>
        <v>0.26181138854825958</v>
      </c>
      <c r="Y94" s="130"/>
      <c r="Z94" s="114">
        <f>((SUM(Purchases!AB125:$AB125)+SUM(Purchases!$F126:Z126))/(SUM($F40:Z40)+SUM(AB39:$AB39)))-1</f>
        <v>0.19989189048604605</v>
      </c>
      <c r="AA94" s="130"/>
      <c r="AB94" s="114">
        <f>((0+SUM(Purchases!$F126:AB126))/(SUM($F40:AB40)+0))-1</f>
        <v>0.12008154788744885</v>
      </c>
    </row>
    <row r="95" spans="3:28">
      <c r="C95" s="125">
        <v>2023</v>
      </c>
      <c r="F95" s="114">
        <f>((SUM(Purchases!H126:$AB126)+SUM(Purchases!$F127:F127))/(SUM($F41:F41)+SUM(H40:$AB40)))-1</f>
        <v>6.7658923103526059E-2</v>
      </c>
      <c r="G95" s="130"/>
      <c r="H95" s="114">
        <f>((SUM(Purchases!J126:$AB126)+SUM(Purchases!$F127:H127))/(SUM($F41:H41)+SUM(J40:$AB40)))-1</f>
        <v>4.3751881049010288E-2</v>
      </c>
      <c r="I95" s="130"/>
      <c r="J95" s="114">
        <f>((SUM(Purchases!L126:$AB126)+SUM(Purchases!$F127:J127))/(SUM($F41:J41)+SUM(L40:$AB40)))-1</f>
        <v>-0.31357933531171667</v>
      </c>
      <c r="K95" s="130"/>
      <c r="L95" s="114">
        <f>((SUM(Purchases!N126:$AB126)+SUM(Purchases!$F127:L127))/(SUM($F41:L41)+SUM(N40:$AB40)))-1</f>
        <v>-0.29410149799080976</v>
      </c>
      <c r="M95" s="130"/>
      <c r="N95" s="114">
        <f>((SUM(Purchases!P126:$AB126)+SUM(Purchases!$F127:N127))/(SUM($F41:N41)+SUM(P40:$AB40)))-1</f>
        <v>-0.19811487517022175</v>
      </c>
      <c r="O95" s="130"/>
      <c r="P95" s="114">
        <f>((SUM(Purchases!R126:$AB126)+SUM(Purchases!$F127:P127))/(SUM($F41:P41)+SUM(R40:$AB40)))-1</f>
        <v>-0.11369782642982607</v>
      </c>
      <c r="Q95" s="130"/>
      <c r="R95" s="114">
        <f>((SUM(Purchases!T126:$AB126)+SUM(Purchases!$F127:R127))/(SUM($F41:R41)+SUM(T40:$AB40)))-1</f>
        <v>-1.6675243256684902E-2</v>
      </c>
      <c r="S95" s="130"/>
      <c r="T95" s="114">
        <f>((SUM(Purchases!V126:$AB126)+SUM(Purchases!$F127:T127))/(SUM($F41:T41)+SUM(V40:$AB40)))-1</f>
        <v>-1.8248377067453525E-2</v>
      </c>
      <c r="U95" s="130"/>
      <c r="V95" s="114">
        <f>((SUM(Purchases!X126:$AB126)+SUM(Purchases!$F127:V127))/(SUM($F41:V41)+SUM(X40:$AB40)))-1</f>
        <v>-3.8068013254804134E-2</v>
      </c>
      <c r="W95" s="130"/>
      <c r="X95" s="114">
        <f>((SUM(Purchases!Z126:$AB126)+SUM(Purchases!$F127:X127))/(SUM($F41:X41)+SUM(Z40:$AB40)))-1</f>
        <v>-6.2955828391271673E-2</v>
      </c>
      <c r="Y95" s="130"/>
      <c r="Z95" s="114">
        <f>((SUM(Purchases!AB126:$AB126)+SUM(Purchases!$F127:Z127))/(SUM($F41:Z41)+SUM(AB40:$AB40)))-1</f>
        <v>3.3307438227734298E-2</v>
      </c>
      <c r="AA95" s="130"/>
      <c r="AB95" s="114">
        <f>((0+SUM(Purchases!$F127:AB127))/(SUM($F41:AB41)+0))-1</f>
        <v>0.16312697681189614</v>
      </c>
    </row>
    <row r="96" spans="3:28">
      <c r="C96" s="125">
        <v>2024</v>
      </c>
      <c r="F96" s="116">
        <f>((SUM(Purchases!H127:$AB127)+SUM(Purchases!$F128:F128))/(SUM($F42:F42)+SUM(H41:$AB41)))-1</f>
        <v>0.33444447309761416</v>
      </c>
      <c r="G96" s="130"/>
      <c r="H96" s="116">
        <f>((SUM(Purchases!J127:$AB127)+SUM(Purchases!$F128:H128))/(SUM($F42:H42)+SUM(J41:$AB41)))-1</f>
        <v>0.47771613647906497</v>
      </c>
      <c r="I96" s="130"/>
      <c r="J96" s="116">
        <f>((SUM(Purchases!L127:$AB127)+SUM(Purchases!$F128:J128))/(SUM($F42:J42)+SUM(L41:$AB41)))-1</f>
        <v>0.67671429470129207</v>
      </c>
      <c r="K96" s="130"/>
      <c r="L96" s="116">
        <f>((SUM(Purchases!N127:$AB127)+SUM(Purchases!$F128:L128))/(SUM($F42:L42)+SUM(N41:$AB41)))-1</f>
        <v>0.72994518576964285</v>
      </c>
      <c r="M96" s="130"/>
      <c r="N96" s="116">
        <f>((SUM(Purchases!P127:$AB127)+SUM(Purchases!$F128:N128))/(SUM($F42:N42)+SUM(P41:$AB41)))-1</f>
        <v>0.67642130470591466</v>
      </c>
      <c r="O96" s="130"/>
      <c r="P96" s="116">
        <f>((SUM(Purchases!R127:$AB127)+SUM(Purchases!$F128:P128))/(SUM($F42:P42)+SUM(R41:$AB41)))-1</f>
        <v>0.6287635437735748</v>
      </c>
      <c r="Q96" s="130"/>
      <c r="R96" s="116">
        <f>((SUM(Purchases!T127:$AB127)+SUM(Purchases!$F128:R128))/(SUM($F42:R42)+SUM(T41:$AB41)))-1</f>
        <v>0.55385135704178068</v>
      </c>
      <c r="S96" s="130"/>
      <c r="T96" s="116">
        <f>((SUM(Purchases!V127:$AB127)+SUM(Purchases!$F128:T128))/(SUM($F42:T42)+SUM(V41:$AB41)))-1</f>
        <v>0.54866708424786914</v>
      </c>
      <c r="U96" s="130"/>
      <c r="V96" s="116">
        <f>((SUM(Purchases!X127:$AB127)+SUM(Purchases!$F128:V128))/(SUM($F42:V42)+SUM(X41:$AB41)))-1</f>
        <v>0.53792247979111796</v>
      </c>
      <c r="W96" s="130"/>
      <c r="X96" s="116">
        <f>((SUM(Purchases!Z127:$AB127)+SUM(Purchases!$F128:X128))/(SUM($F42:X42)+SUM(Z41:$AB41)))-1</f>
        <v>0.58366290036701507</v>
      </c>
      <c r="Y96" s="130"/>
      <c r="Z96" s="116">
        <f>((SUM(Purchases!AB127:$AB127)+SUM(Purchases!$F128:Z128))/(SUM($F42:Z42)+SUM(AB41:$AB41)))-1</f>
        <v>0.57738180248048643</v>
      </c>
      <c r="AA96" s="130"/>
      <c r="AB96" s="116">
        <f>((0+SUM(Purchases!$F128:AB128))/(SUM($F42:AB42)+0))-1</f>
        <v>0.51273135102743717</v>
      </c>
    </row>
    <row r="97" spans="3:28">
      <c r="C97" s="125">
        <v>2025</v>
      </c>
      <c r="F97" s="114">
        <f>((SUM(Purchases!H128:$AB128)+SUM(Purchases!$F129:F129))/(SUM($F43:F43)+SUM(H42:$AB42)))-1</f>
        <v>0.24320296566878974</v>
      </c>
      <c r="G97" s="130"/>
      <c r="H97" s="114">
        <f>((SUM(Purchases!J128:$AB128)+SUM(Purchases!$F129:H129))/(SUM($F43:H43)+SUM(J42:$AB42)))-1</f>
        <v>0.21513825358058991</v>
      </c>
      <c r="I97" s="130"/>
      <c r="J97" s="114">
        <f>((SUM(Purchases!L128:$AB128)+SUM(Purchases!$F129:J129))/(SUM($F43:J43)+SUM(L42:$AB42)))-1</f>
        <v>0.24065409584907815</v>
      </c>
      <c r="K97" s="130"/>
      <c r="L97" s="114">
        <f>((SUM(Purchases!N128:$AB128)+SUM(Purchases!$F129:L129))/(SUM($F43:L43)+SUM(N42:$AB42)))-1</f>
        <v>0.30974292492255362</v>
      </c>
      <c r="M97" s="130"/>
      <c r="N97" s="116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</row>
    <row r="98" spans="3:28" ht="7.05" customHeight="1"/>
    <row r="99" spans="3:28">
      <c r="C99" s="129" t="s">
        <v>127</v>
      </c>
    </row>
    <row r="100" spans="3:28">
      <c r="C100" s="125">
        <v>2022</v>
      </c>
      <c r="F100" s="170">
        <f>IF(F94&lt;0,0,F94)</f>
        <v>0</v>
      </c>
      <c r="H100" s="170">
        <f>IF(H94&lt;0,0,H94)</f>
        <v>0</v>
      </c>
      <c r="J100" s="170">
        <f>IF(J94&lt;0,0,J94)</f>
        <v>0.23571514217468703</v>
      </c>
      <c r="L100" s="170">
        <f>IF(L94&lt;0,0,L94)</f>
        <v>0.20471533277042342</v>
      </c>
      <c r="N100" s="170">
        <f>IF(N94&lt;0,0,N94)</f>
        <v>0.21918909810293319</v>
      </c>
      <c r="P100" s="170">
        <f>IF(P94&lt;0,0,P94)</f>
        <v>0.20411764113665454</v>
      </c>
      <c r="R100" s="170">
        <f>IF(R94&lt;0,0,R94)</f>
        <v>0.18702985020089402</v>
      </c>
      <c r="T100" s="170">
        <f>IF(T94&lt;0,0,T94)</f>
        <v>0.2082124724889689</v>
      </c>
      <c r="V100" s="170">
        <f>IF(V94&lt;0,0,V94)</f>
        <v>0.25898469579626471</v>
      </c>
      <c r="X100" s="170">
        <f>IF(X94&lt;0,0,X94)</f>
        <v>0.26181138854825958</v>
      </c>
      <c r="Z100" s="170">
        <f>IF(Z94&lt;0,0,Z94)</f>
        <v>0.19989189048604605</v>
      </c>
      <c r="AB100" s="170">
        <f>IF(AB94&lt;0,0,AB94)</f>
        <v>0.12008154788744885</v>
      </c>
    </row>
    <row r="101" spans="3:28">
      <c r="C101" s="125">
        <v>2023</v>
      </c>
      <c r="F101" s="170">
        <f>IF(F95&lt;0,0,F95)</f>
        <v>6.7658923103526059E-2</v>
      </c>
      <c r="H101" s="170">
        <f>IF(H95&lt;0,0,H95)</f>
        <v>4.3751881049010288E-2</v>
      </c>
      <c r="J101" s="170">
        <f>IF(J95&lt;0,0,J95)</f>
        <v>0</v>
      </c>
      <c r="L101" s="170">
        <f>IF(L95&lt;0,0,L95)</f>
        <v>0</v>
      </c>
      <c r="N101" s="170">
        <f>IF(N95&lt;0,0,N95)</f>
        <v>0</v>
      </c>
      <c r="P101" s="170">
        <f>IF(P95&lt;0,0,P95)</f>
        <v>0</v>
      </c>
      <c r="R101" s="170">
        <f>IF(R95&lt;0,0,R95)</f>
        <v>0</v>
      </c>
      <c r="T101" s="170">
        <f>IF(T95&lt;0,0,T95)</f>
        <v>0</v>
      </c>
      <c r="V101" s="170">
        <f>IF(V95&lt;0,0,V95)</f>
        <v>0</v>
      </c>
      <c r="X101" s="170">
        <f>IF(X95&lt;0,0,X95)</f>
        <v>0</v>
      </c>
      <c r="Z101" s="170">
        <f>IF(Z95&lt;0,0,Z95)</f>
        <v>3.3307438227734298E-2</v>
      </c>
      <c r="AB101" s="170">
        <f>IF(AB95&lt;0,0,AB95)</f>
        <v>0.16312697681189614</v>
      </c>
    </row>
    <row r="102" spans="3:28">
      <c r="C102" s="125">
        <v>2024</v>
      </c>
      <c r="F102" s="171">
        <f>IF(F96&lt;0,0,F96)</f>
        <v>0.33444447309761416</v>
      </c>
      <c r="G102" s="125"/>
      <c r="H102" s="171">
        <f>IF(H96&lt;0,0,H96)</f>
        <v>0.47771613647906497</v>
      </c>
      <c r="I102" s="125"/>
      <c r="J102" s="171">
        <f>IF(J96&lt;0,0,J96)</f>
        <v>0.67671429470129207</v>
      </c>
      <c r="K102" s="125"/>
      <c r="L102" s="171">
        <f>IF(L96&lt;0,0,L96)</f>
        <v>0.72994518576964285</v>
      </c>
      <c r="M102" s="125"/>
      <c r="N102" s="171">
        <f>IF(N96&lt;0,0,N96)</f>
        <v>0.67642130470591466</v>
      </c>
      <c r="O102" s="125"/>
      <c r="P102" s="171">
        <f>IF(P96&lt;0,0,P96)</f>
        <v>0.6287635437735748</v>
      </c>
      <c r="Q102" s="125"/>
      <c r="R102" s="171">
        <f>IF(R96&lt;0,0,R96)</f>
        <v>0.55385135704178068</v>
      </c>
      <c r="S102" s="125"/>
      <c r="T102" s="171">
        <f>IF(T96&lt;0,0,T96)</f>
        <v>0.54866708424786914</v>
      </c>
      <c r="U102" s="125"/>
      <c r="V102" s="171">
        <f>IF(V96&lt;0,0,V96)</f>
        <v>0.53792247979111796</v>
      </c>
      <c r="W102" s="125"/>
      <c r="X102" s="171">
        <f>IF(X96&lt;0,0,X96)</f>
        <v>0.58366290036701507</v>
      </c>
      <c r="Y102" s="125"/>
      <c r="Z102" s="171">
        <f>IF(Z96&lt;0,0,Z96)</f>
        <v>0.57738180248048643</v>
      </c>
      <c r="AA102" s="125"/>
      <c r="AB102" s="171">
        <f>IF(AB96&lt;0,0,AB96)</f>
        <v>0.51273135102743717</v>
      </c>
    </row>
    <row r="103" spans="3:28">
      <c r="C103" s="125">
        <v>2025</v>
      </c>
      <c r="F103" s="171">
        <f>IF(F97&lt;0,0,F97)</f>
        <v>0.24320296566878974</v>
      </c>
      <c r="G103" s="125"/>
      <c r="H103" s="171">
        <f>IF(H97&lt;0,0,H97)</f>
        <v>0.21513825358058991</v>
      </c>
      <c r="J103" s="180">
        <f>IF(J97&lt;0,0,J97)</f>
        <v>0.24065409584907815</v>
      </c>
      <c r="L103" s="171">
        <f>IF(L97&lt;0,0,L97)</f>
        <v>0.30974292492255362</v>
      </c>
    </row>
  </sheetData>
  <pageMargins left="0.5" right="0.5" top="1" bottom="1" header="0.5" footer="0.5"/>
  <pageSetup scale="42" orientation="landscape" blackAndWhite="1" r:id="rId1"/>
  <headerFooter>
    <oddHeader>&amp;C&amp;"Arial,Bold"Sales History&amp;"Arial,Regular"
&amp;R&amp;"Arial,Bold"Navitas KY NG, LLC</oddHeader>
    <oddFooter>&amp;L&amp;F&amp;C&amp;A&amp;R&amp;D&amp;T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61B8A-2651-4560-AA82-B2847CBA9A52}">
  <sheetPr>
    <pageSetUpPr fitToPage="1"/>
  </sheetPr>
  <dimension ref="A1:AE143"/>
  <sheetViews>
    <sheetView zoomScaleNormal="100" workbookViewId="0">
      <pane xSplit="4" ySplit="2" topLeftCell="E120" activePane="bottomRight" state="frozen"/>
      <selection pane="topRight" activeCell="E1" sqref="E1"/>
      <selection pane="bottomLeft" activeCell="A3" sqref="A3"/>
      <selection pane="bottomRight" activeCell="N131" sqref="N131"/>
    </sheetView>
  </sheetViews>
  <sheetFormatPr defaultColWidth="9.109375" defaultRowHeight="13.2"/>
  <cols>
    <col min="1" max="2" width="1.33203125" style="131" customWidth="1"/>
    <col min="3" max="3" width="13.109375" style="131" customWidth="1"/>
    <col min="4" max="4" width="1.44140625" style="131" customWidth="1"/>
    <col min="5" max="5" width="1.33203125" style="131" customWidth="1"/>
    <col min="6" max="6" width="9.6640625" style="131" customWidth="1"/>
    <col min="7" max="7" width="1.33203125" style="131" customWidth="1"/>
    <col min="8" max="8" width="9.6640625" style="131" customWidth="1"/>
    <col min="9" max="9" width="1.33203125" style="131" customWidth="1"/>
    <col min="10" max="10" width="9.6640625" style="131" customWidth="1"/>
    <col min="11" max="11" width="1.33203125" style="131" customWidth="1"/>
    <col min="12" max="12" width="9.6640625" style="131" customWidth="1"/>
    <col min="13" max="13" width="1.33203125" style="131" customWidth="1"/>
    <col min="14" max="14" width="9.6640625" style="131" customWidth="1"/>
    <col min="15" max="15" width="1.33203125" style="131" customWidth="1"/>
    <col min="16" max="16" width="9.6640625" style="131" customWidth="1"/>
    <col min="17" max="17" width="1.33203125" style="131" customWidth="1"/>
    <col min="18" max="18" width="9.6640625" style="131" customWidth="1"/>
    <col min="19" max="19" width="1.33203125" style="131" customWidth="1"/>
    <col min="20" max="20" width="9.6640625" style="131" customWidth="1"/>
    <col min="21" max="21" width="1.33203125" style="131" customWidth="1"/>
    <col min="22" max="22" width="9.6640625" style="131" customWidth="1"/>
    <col min="23" max="23" width="1.33203125" style="131" customWidth="1"/>
    <col min="24" max="24" width="9.6640625" style="131" customWidth="1"/>
    <col min="25" max="25" width="1.33203125" style="131" customWidth="1"/>
    <col min="26" max="26" width="9.6640625" style="131" customWidth="1"/>
    <col min="27" max="27" width="1.33203125" style="131" customWidth="1"/>
    <col min="28" max="28" width="9.6640625" style="131" customWidth="1"/>
    <col min="29" max="29" width="1.33203125" style="131" customWidth="1"/>
    <col min="30" max="30" width="8.6640625" style="131" customWidth="1"/>
    <col min="31" max="16384" width="9.109375" style="131"/>
  </cols>
  <sheetData>
    <row r="1" spans="1:30">
      <c r="A1" s="131" t="s">
        <v>196</v>
      </c>
    </row>
    <row r="2" spans="1:30" s="132" customFormat="1">
      <c r="F2" s="133">
        <v>39478</v>
      </c>
      <c r="G2" s="133"/>
      <c r="H2" s="133">
        <v>39506</v>
      </c>
      <c r="I2" s="133"/>
      <c r="J2" s="133">
        <v>39538</v>
      </c>
      <c r="K2" s="133"/>
      <c r="L2" s="133">
        <v>39568</v>
      </c>
      <c r="M2" s="133"/>
      <c r="N2" s="133">
        <v>39599</v>
      </c>
      <c r="O2" s="133"/>
      <c r="P2" s="133">
        <v>39629</v>
      </c>
      <c r="Q2" s="133"/>
      <c r="R2" s="133">
        <v>39660</v>
      </c>
      <c r="S2" s="133"/>
      <c r="T2" s="133">
        <v>39691</v>
      </c>
      <c r="U2" s="133"/>
      <c r="V2" s="133">
        <v>39721</v>
      </c>
      <c r="W2" s="133"/>
      <c r="X2" s="133">
        <v>39752</v>
      </c>
      <c r="Y2" s="133"/>
      <c r="Z2" s="133">
        <v>39782</v>
      </c>
      <c r="AA2" s="133"/>
      <c r="AB2" s="133">
        <v>39813</v>
      </c>
      <c r="AC2" s="133"/>
      <c r="AD2" s="134" t="s">
        <v>197</v>
      </c>
    </row>
    <row r="3" spans="1:30" s="138" customFormat="1" ht="10.199999999999999">
      <c r="B3" s="139" t="s">
        <v>171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</row>
    <row r="4" spans="1:30" s="138" customFormat="1" ht="10.199999999999999">
      <c r="C4" s="138" t="s">
        <v>198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</row>
    <row r="5" spans="1:30" s="138" customFormat="1" ht="10.199999999999999">
      <c r="C5" s="138">
        <v>2020</v>
      </c>
      <c r="F5" s="141"/>
      <c r="G5" s="141"/>
      <c r="H5" s="141"/>
      <c r="I5" s="141"/>
      <c r="J5" s="141"/>
      <c r="K5" s="141"/>
      <c r="L5" s="141"/>
      <c r="M5" s="141"/>
      <c r="N5" s="142">
        <v>0.92374141040011692</v>
      </c>
      <c r="O5" s="143"/>
      <c r="P5" s="144">
        <v>0.98412406008741815</v>
      </c>
      <c r="Q5" s="143"/>
      <c r="R5" s="142">
        <v>0.98578976134086349</v>
      </c>
      <c r="S5" s="143"/>
      <c r="T5" s="142">
        <v>0.98336382346215412</v>
      </c>
      <c r="U5" s="143"/>
      <c r="V5" s="144">
        <v>0.98474955694431487</v>
      </c>
      <c r="W5" s="143"/>
      <c r="X5" s="144">
        <v>0.977122283981809</v>
      </c>
      <c r="Y5" s="143"/>
      <c r="Z5" s="144">
        <v>0.94188011429390739</v>
      </c>
      <c r="AA5" s="143"/>
      <c r="AB5" s="144">
        <v>0.86897474409622744</v>
      </c>
      <c r="AC5" s="143"/>
    </row>
    <row r="6" spans="1:30" s="138" customFormat="1" ht="10.199999999999999">
      <c r="C6" s="138">
        <v>2021</v>
      </c>
      <c r="F6" s="144">
        <v>0.8244498467008945</v>
      </c>
      <c r="G6" s="143"/>
      <c r="H6" s="144">
        <v>0.80864379016338361</v>
      </c>
      <c r="I6" s="143"/>
      <c r="J6" s="142">
        <v>0.93746554120689263</v>
      </c>
      <c r="K6" s="145"/>
      <c r="L6" s="142">
        <v>0.95346585775138759</v>
      </c>
      <c r="M6" s="141"/>
      <c r="N6" s="142">
        <v>0.97623035028216787</v>
      </c>
      <c r="O6" s="146"/>
      <c r="P6" s="142">
        <v>0.98571513335508942</v>
      </c>
      <c r="Q6" s="146"/>
      <c r="R6" s="142">
        <v>0.9787276914219919</v>
      </c>
      <c r="S6" s="141"/>
      <c r="T6" s="142">
        <v>0.96274715827681712</v>
      </c>
      <c r="U6" s="141"/>
      <c r="V6" s="142">
        <v>0.96100278551532037</v>
      </c>
      <c r="W6" s="141"/>
      <c r="X6" s="142">
        <v>0.95874005413829877</v>
      </c>
      <c r="Y6" s="141"/>
      <c r="Z6" s="144">
        <v>0.84812168702466006</v>
      </c>
      <c r="AA6" s="146"/>
      <c r="AB6" s="142">
        <v>0.82015246590260849</v>
      </c>
      <c r="AC6" s="146"/>
    </row>
    <row r="7" spans="1:30" s="138" customFormat="1" ht="10.199999999999999">
      <c r="C7" s="138">
        <v>2022</v>
      </c>
      <c r="F7" s="142">
        <v>0.83266421798923695</v>
      </c>
      <c r="G7" s="141"/>
      <c r="H7" s="142">
        <v>0.82810555785980922</v>
      </c>
      <c r="I7" s="141"/>
      <c r="J7" s="142">
        <v>0.83417888878639723</v>
      </c>
      <c r="K7" s="146"/>
      <c r="L7" s="144">
        <v>0.85734215476970566</v>
      </c>
      <c r="M7" s="146"/>
      <c r="N7" s="142">
        <v>0.93853161171701982</v>
      </c>
      <c r="P7" s="147">
        <v>0.94790037971856156</v>
      </c>
      <c r="Q7" s="148"/>
      <c r="R7" s="147">
        <v>0.95896385971158993</v>
      </c>
      <c r="S7" s="148"/>
      <c r="T7" s="147">
        <v>0.94613613942781971</v>
      </c>
      <c r="U7" s="148"/>
      <c r="V7" s="147">
        <v>0.96359915998061496</v>
      </c>
      <c r="W7" s="148"/>
      <c r="X7" s="147">
        <v>0.98277388944436506</v>
      </c>
      <c r="Y7" s="148"/>
      <c r="Z7" s="147">
        <v>0.92280888652151716</v>
      </c>
      <c r="AA7" s="148"/>
      <c r="AB7" s="147">
        <v>0.89058068563512083</v>
      </c>
      <c r="AC7" s="148"/>
    </row>
    <row r="8" spans="1:30" s="138" customFormat="1" ht="10.199999999999999">
      <c r="C8" s="138">
        <v>2023</v>
      </c>
      <c r="F8" s="147">
        <v>0.78924509082677841</v>
      </c>
      <c r="G8" s="141"/>
      <c r="H8" s="147">
        <v>0.77592930029154528</v>
      </c>
      <c r="I8" s="141"/>
      <c r="J8" s="147">
        <v>0.84456539138786613</v>
      </c>
      <c r="K8" s="146"/>
      <c r="L8" s="147">
        <v>0.93021791598167125</v>
      </c>
      <c r="M8" s="146"/>
      <c r="N8" s="147">
        <v>0.89159763313609464</v>
      </c>
      <c r="P8" s="147">
        <v>0.95562251046879787</v>
      </c>
      <c r="Q8" s="148"/>
      <c r="R8" s="147">
        <v>0.95307088432232745</v>
      </c>
      <c r="S8" s="148"/>
      <c r="T8" s="147">
        <v>0.97491147442175852</v>
      </c>
      <c r="U8" s="148"/>
      <c r="V8" s="147">
        <v>0.96255291436014323</v>
      </c>
      <c r="W8" s="148"/>
      <c r="X8" s="147">
        <v>0.94141750432165949</v>
      </c>
      <c r="Y8" s="148"/>
      <c r="Z8" s="147">
        <v>0.87246200058721235</v>
      </c>
      <c r="AA8" s="148"/>
      <c r="AB8" s="147">
        <v>0.82702546086704587</v>
      </c>
      <c r="AC8" s="148"/>
    </row>
    <row r="9" spans="1:30" s="138" customFormat="1" ht="10.199999999999999">
      <c r="C9" s="138">
        <v>2024</v>
      </c>
      <c r="F9" s="147">
        <v>0.70794062205466546</v>
      </c>
      <c r="G9" s="141"/>
      <c r="H9" s="147">
        <v>0.82259078761201065</v>
      </c>
      <c r="I9" s="141"/>
      <c r="J9" s="147">
        <v>0.83678355414746541</v>
      </c>
      <c r="K9" s="146"/>
      <c r="L9" s="147">
        <v>0.88929834905660377</v>
      </c>
      <c r="M9" s="146"/>
      <c r="N9" s="147">
        <v>0.96435915010281015</v>
      </c>
      <c r="P9" s="147">
        <v>0.95876017861833462</v>
      </c>
      <c r="Q9" s="148"/>
      <c r="R9" s="147">
        <v>0.98213090617052601</v>
      </c>
      <c r="S9" s="148"/>
      <c r="T9" s="147">
        <v>0.98796297896113028</v>
      </c>
      <c r="U9" s="148"/>
      <c r="V9" s="147">
        <v>0.97351954294005627</v>
      </c>
      <c r="W9" s="148"/>
      <c r="X9" s="147">
        <v>0.94288327498659608</v>
      </c>
      <c r="Y9" s="148"/>
      <c r="Z9" s="147">
        <v>0.92093752192931144</v>
      </c>
      <c r="AA9" s="148"/>
      <c r="AB9" s="147">
        <v>0.78151483356201501</v>
      </c>
      <c r="AC9" s="148"/>
    </row>
    <row r="10" spans="1:30" s="138" customFormat="1" ht="10.199999999999999">
      <c r="C10" s="138">
        <v>2025</v>
      </c>
      <c r="F10" s="147">
        <v>0.80980428453629072</v>
      </c>
      <c r="G10" s="141"/>
      <c r="H10" s="147">
        <v>0.74592037661544042</v>
      </c>
      <c r="I10" s="141"/>
      <c r="J10" s="147">
        <v>0.85040193451408397</v>
      </c>
      <c r="K10" s="146"/>
      <c r="L10" s="147">
        <v>0.91507243171513886</v>
      </c>
      <c r="M10" s="146"/>
      <c r="N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</row>
    <row r="11" spans="1:30" s="138" customFormat="1" ht="10.199999999999999"/>
    <row r="12" spans="1:30" s="138" customFormat="1" ht="10.199999999999999">
      <c r="C12" s="138" t="s">
        <v>199</v>
      </c>
      <c r="F12" s="141" t="s">
        <v>200</v>
      </c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</row>
    <row r="13" spans="1:30" s="138" customFormat="1" ht="10.199999999999999">
      <c r="C13" s="138">
        <v>2020</v>
      </c>
      <c r="F13" s="141"/>
      <c r="G13" s="141"/>
      <c r="H13" s="141"/>
      <c r="I13" s="141"/>
      <c r="J13" s="141"/>
      <c r="K13" s="141"/>
      <c r="L13" s="141"/>
      <c r="M13" s="141"/>
      <c r="N13" s="149">
        <v>2602</v>
      </c>
      <c r="O13" s="141"/>
      <c r="P13" s="149">
        <v>2986</v>
      </c>
      <c r="Q13" s="141"/>
      <c r="R13" s="149">
        <v>3294</v>
      </c>
      <c r="S13" s="141"/>
      <c r="T13" s="149">
        <v>2248</v>
      </c>
      <c r="U13" s="141"/>
      <c r="V13" s="149">
        <v>3641</v>
      </c>
      <c r="W13" s="141"/>
      <c r="X13" s="149">
        <v>4076</v>
      </c>
      <c r="Y13" s="141"/>
      <c r="Z13" s="149">
        <v>7543</v>
      </c>
      <c r="AA13" s="141"/>
      <c r="AB13" s="149">
        <v>15801</v>
      </c>
      <c r="AC13" s="141"/>
    </row>
    <row r="14" spans="1:30" s="138" customFormat="1" ht="10.199999999999999">
      <c r="C14" s="138">
        <v>2021</v>
      </c>
      <c r="F14" s="149">
        <v>8062</v>
      </c>
      <c r="G14" s="141"/>
      <c r="H14" s="149">
        <v>9011</v>
      </c>
      <c r="I14" s="141"/>
      <c r="J14" s="149">
        <v>8648</v>
      </c>
      <c r="K14" s="141"/>
      <c r="L14" s="149">
        <v>6721</v>
      </c>
      <c r="M14" s="141"/>
      <c r="N14" s="149">
        <v>4576</v>
      </c>
      <c r="O14" s="141"/>
      <c r="P14" s="149">
        <v>3920</v>
      </c>
      <c r="Q14" s="141"/>
      <c r="R14" s="149">
        <v>1949</v>
      </c>
      <c r="S14" s="141"/>
      <c r="T14" s="149">
        <v>930</v>
      </c>
      <c r="U14" s="141"/>
      <c r="V14" s="149">
        <v>203</v>
      </c>
      <c r="W14" s="141"/>
      <c r="X14" s="149">
        <v>405</v>
      </c>
      <c r="Y14" s="141"/>
      <c r="Z14" s="149">
        <v>4469</v>
      </c>
      <c r="AA14" s="141"/>
      <c r="AB14" s="149">
        <v>1663</v>
      </c>
      <c r="AC14" s="141"/>
    </row>
    <row r="15" spans="1:30" s="138" customFormat="1" ht="10.199999999999999">
      <c r="C15" s="138">
        <v>2022</v>
      </c>
      <c r="F15" s="149">
        <v>9807</v>
      </c>
      <c r="G15" s="141"/>
      <c r="H15" s="149">
        <v>6916</v>
      </c>
      <c r="I15" s="141"/>
      <c r="J15" s="149">
        <v>2465</v>
      </c>
      <c r="K15" s="141"/>
      <c r="L15" s="149">
        <v>923</v>
      </c>
      <c r="M15" s="141"/>
      <c r="N15" s="149">
        <v>310</v>
      </c>
      <c r="O15" s="141"/>
      <c r="P15" s="149">
        <v>220</v>
      </c>
      <c r="Q15" s="141"/>
      <c r="R15" s="149">
        <v>110</v>
      </c>
      <c r="S15" s="141"/>
      <c r="T15" s="149">
        <v>89</v>
      </c>
      <c r="U15" s="141"/>
      <c r="V15" s="149">
        <v>31</v>
      </c>
      <c r="W15" s="141"/>
      <c r="X15" s="149">
        <v>398</v>
      </c>
      <c r="Y15" s="141"/>
      <c r="Z15" s="149">
        <v>2043</v>
      </c>
      <c r="AA15" s="141"/>
      <c r="AB15" s="149">
        <v>5840</v>
      </c>
      <c r="AC15" s="141"/>
    </row>
    <row r="16" spans="1:30" s="138" customFormat="1" ht="10.199999999999999">
      <c r="C16" s="138">
        <v>2023</v>
      </c>
      <c r="F16" s="149">
        <v>4539</v>
      </c>
      <c r="G16" s="141"/>
      <c r="H16" s="149">
        <v>2978</v>
      </c>
      <c r="I16" s="141"/>
      <c r="J16" s="149">
        <v>3926</v>
      </c>
      <c r="K16" s="141"/>
      <c r="L16" s="149">
        <v>377</v>
      </c>
      <c r="M16" s="141"/>
      <c r="N16" s="149">
        <v>735.9</v>
      </c>
      <c r="O16" s="141"/>
      <c r="P16" s="149">
        <v>46</v>
      </c>
      <c r="Q16" s="141"/>
      <c r="R16" s="149">
        <v>170</v>
      </c>
      <c r="S16" s="141"/>
      <c r="T16" s="149">
        <v>31</v>
      </c>
      <c r="U16" s="141"/>
      <c r="V16" s="149">
        <v>51</v>
      </c>
      <c r="W16" s="141"/>
      <c r="X16" s="149">
        <v>164</v>
      </c>
      <c r="Y16" s="141"/>
      <c r="Z16" s="149">
        <v>1936</v>
      </c>
      <c r="AA16" s="141"/>
      <c r="AB16" s="149">
        <v>5708</v>
      </c>
      <c r="AC16" s="141"/>
      <c r="AD16" s="141"/>
    </row>
    <row r="17" spans="3:31" s="138" customFormat="1" ht="10.199999999999999">
      <c r="C17" s="138">
        <v>2024</v>
      </c>
      <c r="F17" s="149">
        <v>8251</v>
      </c>
      <c r="G17" s="141"/>
      <c r="H17" s="149">
        <v>5222</v>
      </c>
      <c r="I17" s="141"/>
      <c r="J17" s="149">
        <v>2705</v>
      </c>
      <c r="K17" s="141"/>
      <c r="L17" s="149">
        <v>1143</v>
      </c>
      <c r="M17" s="141"/>
      <c r="N17" s="149">
        <v>240</v>
      </c>
      <c r="O17" s="141"/>
      <c r="P17" s="149">
        <v>1265</v>
      </c>
      <c r="Q17" s="141"/>
      <c r="R17" s="149">
        <v>2156</v>
      </c>
      <c r="S17" s="141"/>
      <c r="T17" s="149">
        <v>2315</v>
      </c>
      <c r="U17" s="141"/>
      <c r="V17" s="149">
        <v>6251</v>
      </c>
      <c r="W17" s="141"/>
      <c r="X17" s="149">
        <v>7635</v>
      </c>
      <c r="Y17" s="141"/>
      <c r="Z17" s="149">
        <v>6691</v>
      </c>
      <c r="AA17" s="141"/>
      <c r="AB17" s="149">
        <v>7755</v>
      </c>
      <c r="AC17" s="141"/>
    </row>
    <row r="18" spans="3:31" s="138" customFormat="1" ht="10.199999999999999">
      <c r="C18" s="138">
        <v>2025</v>
      </c>
      <c r="F18" s="149">
        <v>13068</v>
      </c>
      <c r="G18" s="141"/>
      <c r="H18" s="149">
        <v>7688</v>
      </c>
      <c r="I18" s="141"/>
      <c r="J18" s="149">
        <v>6107</v>
      </c>
      <c r="K18" s="141"/>
      <c r="L18" s="149">
        <v>3857</v>
      </c>
      <c r="M18" s="141"/>
      <c r="N18" s="149"/>
      <c r="O18" s="141"/>
      <c r="P18" s="149"/>
      <c r="Q18" s="141"/>
      <c r="R18" s="149"/>
      <c r="S18" s="141"/>
      <c r="T18" s="149"/>
      <c r="U18" s="141"/>
      <c r="V18" s="149"/>
      <c r="W18" s="141"/>
      <c r="X18" s="149"/>
      <c r="Y18" s="141"/>
      <c r="Z18" s="149"/>
      <c r="AA18" s="141"/>
      <c r="AB18" s="149"/>
      <c r="AC18" s="141"/>
    </row>
    <row r="19" spans="3:31" s="138" customFormat="1" ht="10.199999999999999"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</row>
    <row r="20" spans="3:31" s="138" customFormat="1" ht="10.199999999999999">
      <c r="C20" s="138" t="s">
        <v>201</v>
      </c>
      <c r="F20" s="141" t="s">
        <v>202</v>
      </c>
      <c r="G20" s="141"/>
      <c r="H20" s="150">
        <f>[8]Sales!AG57</f>
        <v>1.1100000000000001</v>
      </c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</row>
    <row r="21" spans="3:31" s="138" customFormat="1" ht="10.199999999999999">
      <c r="C21" s="138">
        <v>2020</v>
      </c>
      <c r="F21" s="141"/>
      <c r="G21" s="141"/>
      <c r="H21" s="141"/>
      <c r="I21" s="141"/>
      <c r="J21" s="141"/>
      <c r="K21" s="141"/>
      <c r="L21" s="141"/>
      <c r="M21" s="141"/>
      <c r="N21" s="151">
        <f>N13/$H$20</f>
        <v>2344.1441441441439</v>
      </c>
      <c r="O21" s="141"/>
      <c r="P21" s="151">
        <f>P13/$H$20</f>
        <v>2690.0900900900897</v>
      </c>
      <c r="Q21" s="141"/>
      <c r="R21" s="151">
        <f>R13/$H$20</f>
        <v>2967.5675675675675</v>
      </c>
      <c r="S21" s="141"/>
      <c r="T21" s="151">
        <f>T13/$H$20</f>
        <v>2025.2252252252251</v>
      </c>
      <c r="U21" s="141"/>
      <c r="V21" s="151">
        <f>V13/$H$20</f>
        <v>3280.1801801801798</v>
      </c>
      <c r="W21" s="141"/>
      <c r="X21" s="151">
        <f>X13/$H$20</f>
        <v>3672.0720720720719</v>
      </c>
      <c r="Y21" s="141"/>
      <c r="Z21" s="151">
        <f>Z13/$H$20</f>
        <v>6795.4954954954947</v>
      </c>
      <c r="AA21" s="141"/>
      <c r="AB21" s="151">
        <f>AB13/$H$20</f>
        <v>14235.135135135133</v>
      </c>
      <c r="AC21" s="141"/>
      <c r="AD21" s="141"/>
    </row>
    <row r="22" spans="3:31" s="138" customFormat="1" ht="10.199999999999999">
      <c r="C22" s="138">
        <v>2021</v>
      </c>
      <c r="F22" s="151">
        <f>F14/$H$20</f>
        <v>7263.0630630630621</v>
      </c>
      <c r="G22" s="141"/>
      <c r="H22" s="151">
        <f>H14/$H$20</f>
        <v>8118.0180180180178</v>
      </c>
      <c r="I22" s="141"/>
      <c r="J22" s="151">
        <f>J14/$H$20</f>
        <v>7790.9909909909902</v>
      </c>
      <c r="K22" s="141"/>
      <c r="L22" s="151">
        <f>L14/$H$20</f>
        <v>6054.9549549549547</v>
      </c>
      <c r="M22" s="141"/>
      <c r="N22" s="151">
        <f>N14/$H$20</f>
        <v>4122.5225225225222</v>
      </c>
      <c r="O22" s="141"/>
      <c r="P22" s="151">
        <f>P14/$H$20</f>
        <v>3531.5315315315311</v>
      </c>
      <c r="Q22" s="141"/>
      <c r="R22" s="151">
        <f>R14/$H$20</f>
        <v>1755.8558558558557</v>
      </c>
      <c r="S22" s="141"/>
      <c r="T22" s="151">
        <f>T14/$H$20</f>
        <v>837.83783783783781</v>
      </c>
      <c r="U22" s="141"/>
      <c r="V22" s="151">
        <f>V14/$H$20</f>
        <v>182.88288288288285</v>
      </c>
      <c r="W22" s="141"/>
      <c r="X22" s="151">
        <f>X14/$H$20</f>
        <v>364.86486486486484</v>
      </c>
      <c r="Y22" s="141"/>
      <c r="Z22" s="151">
        <f>Z14/$H$20</f>
        <v>4026.1261261261257</v>
      </c>
      <c r="AA22" s="141"/>
      <c r="AB22" s="151">
        <f>AB14/$H$20</f>
        <v>1498.198198198198</v>
      </c>
      <c r="AC22" s="141"/>
      <c r="AD22" s="141"/>
    </row>
    <row r="23" spans="3:31" s="138" customFormat="1" ht="10.199999999999999">
      <c r="C23" s="138">
        <v>2022</v>
      </c>
      <c r="F23" s="151">
        <f>F15/$H$20</f>
        <v>8835.135135135135</v>
      </c>
      <c r="G23" s="141"/>
      <c r="H23" s="151">
        <f>H15/$H$20</f>
        <v>6230.6306306306296</v>
      </c>
      <c r="I23" s="141"/>
      <c r="J23" s="151">
        <f>J15/$H$20</f>
        <v>2220.7207207207207</v>
      </c>
      <c r="K23" s="141"/>
      <c r="L23" s="151">
        <f>L15/$H$20</f>
        <v>831.53153153153141</v>
      </c>
      <c r="M23" s="141"/>
      <c r="N23" s="151">
        <f>N15/$H$20</f>
        <v>279.27927927927925</v>
      </c>
      <c r="O23" s="141"/>
      <c r="P23" s="151">
        <f>P15/$H$20</f>
        <v>198.19819819819818</v>
      </c>
      <c r="Q23" s="141"/>
      <c r="R23" s="151">
        <f>R15/$H$20</f>
        <v>99.099099099099092</v>
      </c>
      <c r="S23" s="141"/>
      <c r="T23" s="151">
        <f>T15/$H$20</f>
        <v>80.180180180180173</v>
      </c>
      <c r="U23" s="141"/>
      <c r="V23" s="151">
        <f>V15/$H$20</f>
        <v>27.927927927927925</v>
      </c>
      <c r="W23" s="141"/>
      <c r="X23" s="151">
        <f>X15/$H$20</f>
        <v>358.5585585585585</v>
      </c>
      <c r="Y23" s="141"/>
      <c r="Z23" s="151">
        <f>Z15/$H$20</f>
        <v>1840.5405405405404</v>
      </c>
      <c r="AA23" s="141"/>
      <c r="AB23" s="151">
        <f>AB15/$H$20</f>
        <v>5261.2612612612611</v>
      </c>
      <c r="AC23" s="141"/>
      <c r="AD23" s="141"/>
    </row>
    <row r="24" spans="3:31" s="138" customFormat="1" ht="10.199999999999999">
      <c r="C24" s="138">
        <v>2023</v>
      </c>
      <c r="F24" s="151">
        <f>F16/$H$20</f>
        <v>4089.1891891891887</v>
      </c>
      <c r="G24" s="141"/>
      <c r="H24" s="151">
        <f>H16/$H$20</f>
        <v>2682.8828828828828</v>
      </c>
      <c r="I24" s="141"/>
      <c r="J24" s="151">
        <f>J16/$H$20</f>
        <v>3536.9369369369365</v>
      </c>
      <c r="K24" s="141"/>
      <c r="L24" s="151">
        <f>L16/$H$20</f>
        <v>339.6396396396396</v>
      </c>
      <c r="M24" s="141"/>
      <c r="N24" s="151">
        <f>N16/$H$20</f>
        <v>662.97297297297291</v>
      </c>
      <c r="O24" s="141"/>
      <c r="P24" s="151">
        <f>P16/$H$20</f>
        <v>41.441441441441441</v>
      </c>
      <c r="Q24" s="141"/>
      <c r="R24" s="151">
        <f>R16/$H$20</f>
        <v>153.15315315315314</v>
      </c>
      <c r="S24" s="141"/>
      <c r="T24" s="151">
        <f>T16/$H$20</f>
        <v>27.927927927927925</v>
      </c>
      <c r="U24" s="141"/>
      <c r="V24" s="151">
        <f>V16/$H$20</f>
        <v>45.945945945945944</v>
      </c>
      <c r="W24" s="141"/>
      <c r="X24" s="151">
        <f>X16/$H$20</f>
        <v>147.74774774774772</v>
      </c>
      <c r="Y24" s="141"/>
      <c r="Z24" s="151">
        <f>Z16/$H$20</f>
        <v>1744.1441441441441</v>
      </c>
      <c r="AA24" s="141"/>
      <c r="AB24" s="151">
        <f>AB16/$H$20</f>
        <v>5142.3423423423419</v>
      </c>
      <c r="AC24" s="141"/>
      <c r="AD24" s="141"/>
    </row>
    <row r="25" spans="3:31" s="138" customFormat="1" ht="10.199999999999999">
      <c r="C25" s="138">
        <v>2024</v>
      </c>
      <c r="F25" s="151">
        <f>F17/$H$20</f>
        <v>7433.333333333333</v>
      </c>
      <c r="G25" s="141"/>
      <c r="H25" s="151">
        <f>H17/$H$20</f>
        <v>4704.5045045045044</v>
      </c>
      <c r="I25" s="141"/>
      <c r="J25" s="151">
        <f>J17/$H$20</f>
        <v>2436.9369369369369</v>
      </c>
      <c r="K25" s="141"/>
      <c r="L25" s="152">
        <f>L17/$H$20</f>
        <v>1029.7297297297296</v>
      </c>
      <c r="M25" s="141"/>
      <c r="N25" s="151">
        <f>N17/$H$20</f>
        <v>216.2162162162162</v>
      </c>
      <c r="O25" s="141"/>
      <c r="P25" s="152">
        <f>P17/$H$20</f>
        <v>1139.6396396396394</v>
      </c>
      <c r="Q25" s="141"/>
      <c r="R25" s="152">
        <f>R17/$H$20</f>
        <v>1942.3423423423421</v>
      </c>
      <c r="S25" s="141"/>
      <c r="T25" s="152">
        <f>T17/$H$20</f>
        <v>2085.5855855855852</v>
      </c>
      <c r="U25" s="141"/>
      <c r="V25" s="152">
        <f>V17/$H$20</f>
        <v>5631.5315315315311</v>
      </c>
      <c r="W25" s="141"/>
      <c r="X25" s="152">
        <f>X17/$H$20</f>
        <v>6878.3783783783774</v>
      </c>
      <c r="Y25" s="141"/>
      <c r="Z25" s="152">
        <f>Z17/$H$20</f>
        <v>6027.9279279279272</v>
      </c>
      <c r="AA25" s="141"/>
      <c r="AB25" s="152">
        <f>AB17/$H$20</f>
        <v>6986.4864864864858</v>
      </c>
      <c r="AC25" s="141"/>
    </row>
    <row r="26" spans="3:31" s="138" customFormat="1" ht="10.199999999999999">
      <c r="C26" s="138">
        <v>2025</v>
      </c>
      <c r="F26" s="152">
        <f>F18/$H$20</f>
        <v>11772.972972972972</v>
      </c>
      <c r="G26" s="141"/>
      <c r="H26" s="152">
        <f>H18/$H$20</f>
        <v>6926.1261261261252</v>
      </c>
      <c r="I26" s="141"/>
      <c r="J26" s="152">
        <f>J18/$H$20</f>
        <v>5501.801801801801</v>
      </c>
      <c r="K26" s="141"/>
      <c r="L26" s="152">
        <f>L18/$H$20</f>
        <v>3474.7747747747744</v>
      </c>
      <c r="M26" s="141"/>
      <c r="N26" s="141"/>
      <c r="O26" s="141"/>
      <c r="P26" s="153"/>
      <c r="Q26" s="141"/>
      <c r="R26" s="153"/>
      <c r="S26" s="141"/>
      <c r="T26" s="153"/>
      <c r="U26" s="141"/>
      <c r="V26" s="153"/>
      <c r="W26" s="141"/>
      <c r="X26" s="153"/>
      <c r="Y26" s="141"/>
      <c r="Z26" s="153"/>
      <c r="AA26" s="141"/>
      <c r="AB26" s="153"/>
      <c r="AC26" s="141"/>
    </row>
    <row r="27" spans="3:31" s="138" customFormat="1" ht="10.199999999999999"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</row>
    <row r="28" spans="3:31" s="138" customFormat="1" ht="10.199999999999999">
      <c r="C28" s="138" t="s">
        <v>203</v>
      </c>
      <c r="F28" s="141" t="s">
        <v>202</v>
      </c>
      <c r="G28" s="141"/>
      <c r="H28" s="150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</row>
    <row r="29" spans="3:31" s="138" customFormat="1" ht="10.199999999999999">
      <c r="C29" s="138">
        <v>2020</v>
      </c>
      <c r="F29" s="141"/>
      <c r="G29" s="141"/>
      <c r="H29" s="141"/>
      <c r="I29" s="141"/>
      <c r="J29" s="141"/>
      <c r="K29" s="141"/>
      <c r="L29" s="141"/>
      <c r="M29" s="141"/>
      <c r="N29" s="151">
        <f>N21*N5</f>
        <v>2165.3830178928865</v>
      </c>
      <c r="O29" s="141"/>
      <c r="P29" s="151">
        <f>P21*P5</f>
        <v>2647.3823814603875</v>
      </c>
      <c r="Q29" s="141"/>
      <c r="R29" s="151">
        <f>R21*R5</f>
        <v>2925.3977241953194</v>
      </c>
      <c r="S29" s="141"/>
      <c r="T29" s="151">
        <f>T21*T5</f>
        <v>1991.5332208494797</v>
      </c>
      <c r="U29" s="141"/>
      <c r="V29" s="151">
        <f>V21*V5</f>
        <v>3230.1559791299551</v>
      </c>
      <c r="W29" s="141"/>
      <c r="X29" s="151">
        <f>X21*X5</f>
        <v>3588.0634500088768</v>
      </c>
      <c r="Y29" s="141"/>
      <c r="Z29" s="151">
        <f>Z21*Z5</f>
        <v>6400.5420739810297</v>
      </c>
      <c r="AA29" s="141"/>
      <c r="AB29" s="151">
        <f>AB21*AB5</f>
        <v>12369.972911229268</v>
      </c>
      <c r="AC29" s="141"/>
      <c r="AD29" s="141">
        <f>SUM(F29:AB29)</f>
        <v>35318.430758747199</v>
      </c>
      <c r="AE29" s="146">
        <f>AD29/AD$135</f>
        <v>0.4342253692629473</v>
      </c>
    </row>
    <row r="30" spans="3:31" s="138" customFormat="1" ht="10.199999999999999">
      <c r="C30" s="138">
        <v>2021</v>
      </c>
      <c r="F30" s="151">
        <f>F22*F6</f>
        <v>5988.0312289212707</v>
      </c>
      <c r="G30" s="141"/>
      <c r="H30" s="151">
        <f>H22*H6</f>
        <v>6564.5848587047294</v>
      </c>
      <c r="I30" s="141"/>
      <c r="J30" s="151">
        <f>J22*J6</f>
        <v>7303.7855859073934</v>
      </c>
      <c r="K30" s="141"/>
      <c r="L30" s="151">
        <f>L22*L6</f>
        <v>5773.19281977214</v>
      </c>
      <c r="M30" s="141"/>
      <c r="N30" s="151">
        <f>N22*N6</f>
        <v>4024.5316062082879</v>
      </c>
      <c r="O30" s="141"/>
      <c r="P30" s="151">
        <f>P22*P6</f>
        <v>3481.0840745513065</v>
      </c>
      <c r="Q30" s="141"/>
      <c r="R30" s="151">
        <f>R22*R6</f>
        <v>1718.5047482715875</v>
      </c>
      <c r="S30" s="141"/>
      <c r="T30" s="151">
        <f>T22*T6</f>
        <v>806.62599747517106</v>
      </c>
      <c r="U30" s="141"/>
      <c r="V30" s="151">
        <f>V22*V6</f>
        <v>175.75095987352253</v>
      </c>
      <c r="W30" s="141"/>
      <c r="X30" s="151">
        <f>X22*X6</f>
        <v>349.81056029370359</v>
      </c>
      <c r="Y30" s="141"/>
      <c r="Z30" s="151">
        <f>Z22*Z6</f>
        <v>3414.6448822641491</v>
      </c>
      <c r="AA30" s="141"/>
      <c r="AB30" s="151">
        <f>AB22*AB6</f>
        <v>1228.750946663097</v>
      </c>
      <c r="AC30" s="141"/>
      <c r="AD30" s="141">
        <f>SUM(F30:AB30)</f>
        <v>40829.298268906357</v>
      </c>
      <c r="AE30" s="146">
        <f>AD30/AD$136</f>
        <v>0.37859955529270722</v>
      </c>
    </row>
    <row r="31" spans="3:31" s="138" customFormat="1" ht="10.199999999999999">
      <c r="C31" s="138">
        <v>2022</v>
      </c>
      <c r="F31" s="151">
        <f>F23*F7</f>
        <v>7356.7008881265283</v>
      </c>
      <c r="G31" s="141"/>
      <c r="H31" s="151">
        <f>H23*H7</f>
        <v>5159.6198541967924</v>
      </c>
      <c r="I31" s="141"/>
      <c r="J31" s="151">
        <f>J23*J7</f>
        <v>1852.478343115738</v>
      </c>
      <c r="K31" s="141"/>
      <c r="L31" s="151">
        <f>L23*L7</f>
        <v>712.90703500219661</v>
      </c>
      <c r="M31" s="141"/>
      <c r="N31" s="151">
        <f>N23*N7</f>
        <v>262.11243210114964</v>
      </c>
      <c r="O31" s="141"/>
      <c r="P31" s="151">
        <f>P23*P7</f>
        <v>187.87214733160678</v>
      </c>
      <c r="Q31" s="141"/>
      <c r="R31" s="151">
        <f>R23*R7</f>
        <v>95.032454566013413</v>
      </c>
      <c r="S31" s="141"/>
      <c r="T31" s="151">
        <f>T23*T7</f>
        <v>75.861366134302656</v>
      </c>
      <c r="U31" s="141"/>
      <c r="V31" s="151">
        <f>V23*V7</f>
        <v>26.911327891350506</v>
      </c>
      <c r="W31" s="141"/>
      <c r="X31" s="151">
        <f>X23*X7</f>
        <v>352.38198918815965</v>
      </c>
      <c r="Y31" s="141"/>
      <c r="Z31" s="151">
        <f>Z23*Z7</f>
        <v>1698.4671668139274</v>
      </c>
      <c r="AA31" s="141"/>
      <c r="AB31" s="151">
        <f>AB23*AB7</f>
        <v>4685.5776613595544</v>
      </c>
      <c r="AC31" s="141"/>
      <c r="AD31" s="141">
        <f>SUM(F31:AB31)</f>
        <v>22465.922665827322</v>
      </c>
      <c r="AE31" s="146">
        <f>AD31/AD$137</f>
        <v>0.28255482590399161</v>
      </c>
    </row>
    <row r="32" spans="3:31" s="138" customFormat="1" ht="10.199999999999999">
      <c r="C32" s="138">
        <v>2023</v>
      </c>
      <c r="F32" s="151">
        <f>F24*F8</f>
        <v>3227.3724930295016</v>
      </c>
      <c r="G32" s="141"/>
      <c r="H32" s="151">
        <f>H24*H8</f>
        <v>2081.7274380794788</v>
      </c>
      <c r="I32" s="141"/>
      <c r="J32" s="151">
        <f>J24*J8</f>
        <v>2987.174528458344</v>
      </c>
      <c r="K32" s="141"/>
      <c r="L32" s="151">
        <f>L24*L8</f>
        <v>315.93887777035138</v>
      </c>
      <c r="M32" s="141"/>
      <c r="N32" s="151">
        <f>N24*N8</f>
        <v>591.10513353590272</v>
      </c>
      <c r="O32" s="141"/>
      <c r="P32" s="151">
        <f>P24*P8</f>
        <v>39.602374307715948</v>
      </c>
      <c r="Q32" s="141"/>
      <c r="R32" s="151">
        <f>R24*R8</f>
        <v>145.96581111242853</v>
      </c>
      <c r="S32" s="141"/>
      <c r="T32" s="151">
        <f>T24*T8</f>
        <v>27.227257393760819</v>
      </c>
      <c r="U32" s="141"/>
      <c r="V32" s="151">
        <f>V24*V8</f>
        <v>44.225404173303879</v>
      </c>
      <c r="W32" s="141"/>
      <c r="X32" s="151">
        <f>X24*X8</f>
        <v>139.09231595383076</v>
      </c>
      <c r="Y32" s="141"/>
      <c r="Z32" s="151">
        <f>Z24*Z8</f>
        <v>1521.6994893124713</v>
      </c>
      <c r="AA32" s="141"/>
      <c r="AB32" s="151">
        <f>AB24*AB8</f>
        <v>4252.8480456117995</v>
      </c>
      <c r="AC32" s="141"/>
      <c r="AD32" s="141">
        <f>SUM(F32:AB32)</f>
        <v>15373.97916873889</v>
      </c>
      <c r="AE32" s="146">
        <f>AD32/AD$138</f>
        <v>0.2342115002722332</v>
      </c>
    </row>
    <row r="33" spans="3:31" s="138" customFormat="1" ht="10.199999999999999">
      <c r="C33" s="138">
        <v>2024</v>
      </c>
      <c r="F33" s="151">
        <f>F25*F9</f>
        <v>5262.35862393968</v>
      </c>
      <c r="G33" s="141"/>
      <c r="H33" s="151">
        <f>H25*H9</f>
        <v>3869.8820656846124</v>
      </c>
      <c r="I33" s="141"/>
      <c r="J33" s="151">
        <f>J25*J9</f>
        <v>2039.1887513233278</v>
      </c>
      <c r="K33" s="141"/>
      <c r="L33" s="151">
        <f>L25*L9</f>
        <v>915.73694862315131</v>
      </c>
      <c r="M33" s="141"/>
      <c r="N33" s="151">
        <f>N25*N9</f>
        <v>208.51008650871569</v>
      </c>
      <c r="O33" s="141"/>
      <c r="P33" s="151">
        <f>P25*P9</f>
        <v>1092.6411044614351</v>
      </c>
      <c r="Q33" s="141"/>
      <c r="R33" s="151">
        <f>R25*R9</f>
        <v>1907.6344447780666</v>
      </c>
      <c r="S33" s="141"/>
      <c r="T33" s="151">
        <f>T25*T9</f>
        <v>2060.4813480135281</v>
      </c>
      <c r="U33" s="141"/>
      <c r="V33" s="151">
        <f>V25*V9</f>
        <v>5482.4060026290908</v>
      </c>
      <c r="W33" s="141"/>
      <c r="X33" s="151">
        <f>X25*X9</f>
        <v>6485.507932002396</v>
      </c>
      <c r="Y33" s="141"/>
      <c r="Z33" s="151">
        <f>Z25*Z9</f>
        <v>5551.3450083144344</v>
      </c>
      <c r="AA33" s="141"/>
      <c r="AB33" s="151">
        <f>AB25*AB9</f>
        <v>5460.0428236697526</v>
      </c>
      <c r="AC33" s="141"/>
      <c r="AD33" s="141">
        <f>SUM(F33:AB33)</f>
        <v>40335.735139948192</v>
      </c>
      <c r="AE33" s="146">
        <f>AD33/AD$139</f>
        <v>0.42351825730437886</v>
      </c>
    </row>
    <row r="34" spans="3:31" s="138" customFormat="1" ht="10.199999999999999">
      <c r="C34" s="138">
        <v>2025</v>
      </c>
      <c r="F34" s="151">
        <f>F26*F10</f>
        <v>9533.8039552434639</v>
      </c>
      <c r="G34" s="141"/>
      <c r="H34" s="151">
        <f>H26*H10</f>
        <v>5166.3386084860404</v>
      </c>
      <c r="I34" s="141"/>
      <c r="J34" s="151">
        <f>J26*J10</f>
        <v>4678.742895565324</v>
      </c>
      <c r="K34" s="141"/>
      <c r="L34" s="151">
        <f>L26*L10</f>
        <v>3179.6706028155768</v>
      </c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</row>
    <row r="35" spans="3:31" s="138" customFormat="1" ht="10.199999999999999"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</row>
    <row r="36" spans="3:31" s="138" customFormat="1" ht="10.199999999999999">
      <c r="C36" s="138" t="s">
        <v>204</v>
      </c>
      <c r="F36" s="141" t="s">
        <v>202</v>
      </c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</row>
    <row r="37" spans="3:31" s="138" customFormat="1" ht="10.199999999999999">
      <c r="C37" s="138">
        <v>2020</v>
      </c>
      <c r="F37" s="141"/>
      <c r="G37" s="141"/>
      <c r="H37" s="141"/>
      <c r="I37" s="141"/>
      <c r="J37" s="141"/>
      <c r="K37" s="141"/>
      <c r="L37" s="141"/>
      <c r="M37" s="141"/>
      <c r="N37" s="149">
        <v>5353</v>
      </c>
      <c r="O37" s="141"/>
      <c r="P37" s="149">
        <v>4112</v>
      </c>
      <c r="Q37" s="141"/>
      <c r="R37" s="149">
        <v>3477</v>
      </c>
      <c r="S37" s="141"/>
      <c r="T37" s="149">
        <v>4107</v>
      </c>
      <c r="U37" s="141"/>
      <c r="V37" s="149">
        <v>3683</v>
      </c>
      <c r="W37" s="141"/>
      <c r="X37" s="149">
        <v>5476</v>
      </c>
      <c r="Y37" s="141"/>
      <c r="Z37" s="149">
        <v>5128</v>
      </c>
      <c r="AA37" s="141"/>
      <c r="AB37" s="149">
        <v>2275</v>
      </c>
      <c r="AC37" s="141"/>
      <c r="AD37" s="141"/>
    </row>
    <row r="38" spans="3:31" s="138" customFormat="1" ht="10.199999999999999">
      <c r="C38" s="138">
        <v>2021</v>
      </c>
      <c r="F38" s="149">
        <v>4628</v>
      </c>
      <c r="G38" s="141"/>
      <c r="H38" s="149">
        <v>4320</v>
      </c>
      <c r="I38" s="141"/>
      <c r="J38" s="149">
        <v>4627</v>
      </c>
      <c r="K38" s="141"/>
      <c r="L38" s="149">
        <v>4162</v>
      </c>
      <c r="M38" s="141"/>
      <c r="N38" s="149">
        <v>4508</v>
      </c>
      <c r="O38" s="141"/>
      <c r="P38" s="149">
        <v>3506</v>
      </c>
      <c r="Q38" s="141"/>
      <c r="R38" s="149">
        <v>1840</v>
      </c>
      <c r="S38" s="141"/>
      <c r="T38" s="149">
        <v>1327</v>
      </c>
      <c r="U38" s="141"/>
      <c r="V38" s="149">
        <v>1798</v>
      </c>
      <c r="W38" s="141"/>
      <c r="X38" s="149">
        <v>2632</v>
      </c>
      <c r="Y38" s="141"/>
      <c r="Z38" s="149">
        <v>2750</v>
      </c>
      <c r="AA38" s="141"/>
      <c r="AB38" s="149">
        <v>4088</v>
      </c>
      <c r="AC38" s="141"/>
      <c r="AD38" s="141"/>
    </row>
    <row r="39" spans="3:31" s="138" customFormat="1" ht="10.199999999999999">
      <c r="C39" s="138">
        <v>2022</v>
      </c>
      <c r="F39" s="149">
        <v>4726</v>
      </c>
      <c r="G39" s="141"/>
      <c r="H39" s="149">
        <v>2800</v>
      </c>
      <c r="I39" s="141"/>
      <c r="J39" s="149">
        <v>4180</v>
      </c>
      <c r="K39" s="141"/>
      <c r="L39" s="149">
        <v>4169</v>
      </c>
      <c r="M39" s="141"/>
      <c r="N39" s="149">
        <v>2548</v>
      </c>
      <c r="O39" s="141"/>
      <c r="P39" s="149">
        <v>1879</v>
      </c>
      <c r="Q39" s="141"/>
      <c r="R39" s="149">
        <v>2117</v>
      </c>
      <c r="S39" s="141"/>
      <c r="T39" s="149">
        <v>2071</v>
      </c>
      <c r="U39" s="141"/>
      <c r="V39" s="149">
        <v>2620</v>
      </c>
      <c r="W39" s="141"/>
      <c r="X39" s="149">
        <v>3926</v>
      </c>
      <c r="Y39" s="141"/>
      <c r="Z39" s="149">
        <v>4000</v>
      </c>
      <c r="AA39" s="141"/>
      <c r="AB39" s="149">
        <v>4300</v>
      </c>
      <c r="AC39" s="141"/>
      <c r="AD39" s="141"/>
    </row>
    <row r="40" spans="3:31" s="138" customFormat="1" ht="10.199999999999999">
      <c r="C40" s="138">
        <v>2023</v>
      </c>
      <c r="F40" s="149">
        <v>4033</v>
      </c>
      <c r="G40" s="141"/>
      <c r="H40" s="149">
        <v>3486</v>
      </c>
      <c r="I40" s="141"/>
      <c r="J40" s="149">
        <v>3780</v>
      </c>
      <c r="K40" s="141"/>
      <c r="L40" s="149">
        <v>3243</v>
      </c>
      <c r="M40" s="141"/>
      <c r="N40" s="149">
        <v>2506</v>
      </c>
      <c r="O40" s="141"/>
      <c r="P40" s="149">
        <v>2254</v>
      </c>
      <c r="Q40" s="141"/>
      <c r="R40" s="149">
        <v>1674</v>
      </c>
      <c r="S40" s="141"/>
      <c r="T40" s="149">
        <v>2038</v>
      </c>
      <c r="U40" s="141"/>
      <c r="V40" s="149">
        <v>1828</v>
      </c>
      <c r="W40" s="141"/>
      <c r="X40" s="149">
        <v>2821</v>
      </c>
      <c r="Y40" s="141"/>
      <c r="Z40" s="149">
        <v>3878</v>
      </c>
      <c r="AA40" s="141"/>
      <c r="AB40" s="149">
        <v>4004</v>
      </c>
      <c r="AC40" s="141"/>
      <c r="AD40" s="141"/>
    </row>
    <row r="41" spans="3:31" s="138" customFormat="1" ht="10.199999999999999">
      <c r="C41" s="138">
        <v>2024</v>
      </c>
      <c r="F41" s="149">
        <v>3812</v>
      </c>
      <c r="G41" s="141"/>
      <c r="H41" s="149">
        <v>3853</v>
      </c>
      <c r="I41" s="141"/>
      <c r="J41" s="149">
        <v>3314</v>
      </c>
      <c r="K41" s="141"/>
      <c r="L41" s="149">
        <v>2898</v>
      </c>
      <c r="M41" s="141"/>
      <c r="N41" s="149">
        <v>2585</v>
      </c>
      <c r="O41" s="141"/>
      <c r="P41" s="149">
        <v>2159</v>
      </c>
      <c r="Q41" s="141"/>
      <c r="R41" s="149">
        <v>3276</v>
      </c>
      <c r="S41" s="141"/>
      <c r="T41" s="149">
        <v>3537</v>
      </c>
      <c r="U41" s="141"/>
      <c r="V41" s="149">
        <v>3951</v>
      </c>
      <c r="W41" s="141"/>
      <c r="X41" s="149">
        <v>3533</v>
      </c>
      <c r="Y41" s="141"/>
      <c r="Z41" s="149">
        <v>3165</v>
      </c>
      <c r="AA41" s="141"/>
      <c r="AB41" s="149">
        <v>3522</v>
      </c>
      <c r="AC41" s="141"/>
    </row>
    <row r="42" spans="3:31" s="138" customFormat="1" ht="10.199999999999999">
      <c r="C42" s="138">
        <v>2025</v>
      </c>
      <c r="F42" s="149">
        <v>3366</v>
      </c>
      <c r="G42" s="141"/>
      <c r="H42" s="149">
        <v>3169</v>
      </c>
      <c r="I42" s="141"/>
      <c r="J42" s="149">
        <v>3337</v>
      </c>
      <c r="K42" s="141"/>
      <c r="L42" s="149">
        <v>3319</v>
      </c>
      <c r="M42" s="141"/>
      <c r="N42" s="149"/>
      <c r="O42" s="141"/>
      <c r="P42" s="149"/>
      <c r="Q42" s="141"/>
      <c r="R42" s="149"/>
      <c r="S42" s="141"/>
      <c r="T42" s="149"/>
      <c r="U42" s="141"/>
      <c r="V42" s="149"/>
      <c r="W42" s="141"/>
      <c r="X42" s="149"/>
      <c r="Y42" s="141"/>
      <c r="Z42" s="149"/>
      <c r="AA42" s="141"/>
      <c r="AB42" s="149"/>
      <c r="AC42" s="141"/>
    </row>
    <row r="43" spans="3:31" s="138" customFormat="1" ht="10.199999999999999"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</row>
    <row r="44" spans="3:31" s="138" customFormat="1" ht="10.199999999999999">
      <c r="C44" s="138" t="s">
        <v>205</v>
      </c>
      <c r="F44" s="141" t="s">
        <v>202</v>
      </c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</row>
    <row r="45" spans="3:31" s="138" customFormat="1" ht="10.199999999999999">
      <c r="C45" s="138">
        <v>2020</v>
      </c>
      <c r="F45" s="141"/>
      <c r="G45" s="141"/>
      <c r="H45" s="141"/>
      <c r="I45" s="141"/>
      <c r="J45" s="141"/>
      <c r="K45" s="141"/>
      <c r="L45" s="141"/>
      <c r="M45" s="141"/>
      <c r="N45" s="151">
        <f>N37*N5</f>
        <v>4944.7877698718257</v>
      </c>
      <c r="O45" s="141"/>
      <c r="P45" s="151">
        <f>P37*P5</f>
        <v>4046.7181350794635</v>
      </c>
      <c r="Q45" s="141"/>
      <c r="R45" s="151">
        <f>R37*R5</f>
        <v>3427.5910001821821</v>
      </c>
      <c r="S45" s="141"/>
      <c r="T45" s="151">
        <f>T37*T5</f>
        <v>4038.675222959067</v>
      </c>
      <c r="U45" s="141"/>
      <c r="V45" s="151">
        <f>V37*V5</f>
        <v>3626.8326182259116</v>
      </c>
      <c r="W45" s="141"/>
      <c r="X45" s="151">
        <f>X37*X5</f>
        <v>5350.7216270843865</v>
      </c>
      <c r="Y45" s="141"/>
      <c r="Z45" s="151">
        <f>Z37*Z5</f>
        <v>4829.9612260991571</v>
      </c>
      <c r="AA45" s="141"/>
      <c r="AB45" s="151">
        <f>AB37*AB5</f>
        <v>1976.9175428189174</v>
      </c>
      <c r="AC45" s="141"/>
      <c r="AD45" s="141">
        <f>SUM(F45:AB45)</f>
        <v>32242.205142320912</v>
      </c>
      <c r="AE45" s="146">
        <f>AD45/AD$135</f>
        <v>0.39640445889030806</v>
      </c>
    </row>
    <row r="46" spans="3:31" s="138" customFormat="1" ht="10.199999999999999">
      <c r="C46" s="138">
        <v>2021</v>
      </c>
      <c r="F46" s="151">
        <f>F38*F6</f>
        <v>3815.5538905317399</v>
      </c>
      <c r="G46" s="141"/>
      <c r="H46" s="151">
        <f>H38*H6</f>
        <v>3493.3411735058171</v>
      </c>
      <c r="I46" s="141"/>
      <c r="J46" s="151">
        <f>J38*J6</f>
        <v>4337.6530591642922</v>
      </c>
      <c r="K46" s="141"/>
      <c r="L46" s="151">
        <f>L38*L6</f>
        <v>3968.3248999612752</v>
      </c>
      <c r="M46" s="141"/>
      <c r="N46" s="151">
        <f>N38*N6</f>
        <v>4400.8464190720124</v>
      </c>
      <c r="O46" s="141"/>
      <c r="P46" s="151">
        <f>P38*P6</f>
        <v>3455.9172575429434</v>
      </c>
      <c r="Q46" s="141"/>
      <c r="R46" s="151">
        <f>R38*R6</f>
        <v>1800.858952216465</v>
      </c>
      <c r="S46" s="141"/>
      <c r="T46" s="151">
        <f>T38*T6</f>
        <v>1277.5654790333363</v>
      </c>
      <c r="U46" s="141"/>
      <c r="V46" s="151">
        <f>V38*V6</f>
        <v>1727.883008356546</v>
      </c>
      <c r="W46" s="141"/>
      <c r="X46" s="151">
        <f>X38*X6</f>
        <v>2523.4038224920023</v>
      </c>
      <c r="Y46" s="141"/>
      <c r="Z46" s="151">
        <f>Z38*Z6</f>
        <v>2332.3346393178153</v>
      </c>
      <c r="AA46" s="141"/>
      <c r="AB46" s="151">
        <f>AB38*AB6</f>
        <v>3352.7832806098636</v>
      </c>
      <c r="AC46" s="141"/>
      <c r="AD46" s="141">
        <f>SUM(F46:AB46)</f>
        <v>36486.465881804113</v>
      </c>
      <c r="AE46" s="146">
        <f>AD46/AD$136</f>
        <v>0.33832959033668897</v>
      </c>
    </row>
    <row r="47" spans="3:31" s="138" customFormat="1" ht="10.199999999999999">
      <c r="C47" s="138">
        <v>2022</v>
      </c>
      <c r="F47" s="151">
        <f>F39*F7</f>
        <v>3935.1710942171339</v>
      </c>
      <c r="G47" s="141"/>
      <c r="H47" s="151">
        <f>H39*H7</f>
        <v>2318.6955620074659</v>
      </c>
      <c r="I47" s="141"/>
      <c r="J47" s="151">
        <f>J39*J7</f>
        <v>3486.8677551271403</v>
      </c>
      <c r="K47" s="141"/>
      <c r="L47" s="151">
        <f>L39*L7</f>
        <v>3574.2594432349028</v>
      </c>
      <c r="M47" s="141"/>
      <c r="N47" s="151">
        <f>N39*N7</f>
        <v>2391.3785466549666</v>
      </c>
      <c r="O47" s="141"/>
      <c r="P47" s="151">
        <f>P39*P7</f>
        <v>1781.1048134911771</v>
      </c>
      <c r="Q47" s="141"/>
      <c r="R47" s="151">
        <f>R39*R7</f>
        <v>2030.1264910094358</v>
      </c>
      <c r="S47" s="141"/>
      <c r="T47" s="151">
        <f>T39*T7</f>
        <v>1959.4479447550145</v>
      </c>
      <c r="U47" s="141"/>
      <c r="V47" s="151">
        <f>V39*V7</f>
        <v>2524.6297991492111</v>
      </c>
      <c r="W47" s="141"/>
      <c r="X47" s="151">
        <f>X39*X7</f>
        <v>3858.3702899585774</v>
      </c>
      <c r="Y47" s="141"/>
      <c r="Z47" s="151">
        <f>Z39*Z7</f>
        <v>3691.2355460860686</v>
      </c>
      <c r="AA47" s="141"/>
      <c r="AB47" s="151">
        <f>AB39*AB7</f>
        <v>3829.4969482310194</v>
      </c>
      <c r="AC47" s="141"/>
      <c r="AD47" s="141">
        <f>SUM(F47:AB47)</f>
        <v>35380.78423392211</v>
      </c>
      <c r="AE47" s="146">
        <f>AD47/AD$137</f>
        <v>0.44498556672986783</v>
      </c>
    </row>
    <row r="48" spans="3:31" s="138" customFormat="1" ht="10.199999999999999">
      <c r="C48" s="138">
        <v>2023</v>
      </c>
      <c r="F48" s="151">
        <f>F40*F8</f>
        <v>3183.0254513043974</v>
      </c>
      <c r="G48" s="141"/>
      <c r="H48" s="151">
        <f>H40*H8</f>
        <v>2704.8895408163266</v>
      </c>
      <c r="I48" s="141"/>
      <c r="J48" s="151">
        <f>J40*J8</f>
        <v>3192.457179446134</v>
      </c>
      <c r="K48" s="141"/>
      <c r="L48" s="151">
        <f>L40*L8</f>
        <v>3016.69670152856</v>
      </c>
      <c r="M48" s="141"/>
      <c r="N48" s="151">
        <f>N40*N8</f>
        <v>2234.3436686390532</v>
      </c>
      <c r="O48" s="141"/>
      <c r="P48" s="151">
        <f>P40*P8</f>
        <v>2153.9731385966702</v>
      </c>
      <c r="Q48" s="141"/>
      <c r="R48" s="151">
        <f>R40*R8</f>
        <v>1595.4406603555763</v>
      </c>
      <c r="S48" s="141"/>
      <c r="T48" s="151">
        <f>T40*T8</f>
        <v>1986.8695848715438</v>
      </c>
      <c r="U48" s="141"/>
      <c r="V48" s="151">
        <f>V40*V8</f>
        <v>1759.5467274503419</v>
      </c>
      <c r="W48" s="141"/>
      <c r="X48" s="151">
        <f>X40*X8</f>
        <v>2655.7387796914013</v>
      </c>
      <c r="Y48" s="141"/>
      <c r="Z48" s="151">
        <f>Z40*Z8</f>
        <v>3383.4076382772096</v>
      </c>
      <c r="AA48" s="141"/>
      <c r="AB48" s="151">
        <f>AB40*AB8</f>
        <v>3311.4099453116519</v>
      </c>
      <c r="AC48" s="141"/>
      <c r="AD48" s="141">
        <f>SUM(F48:AB48)</f>
        <v>31177.799016288864</v>
      </c>
      <c r="AE48" s="146">
        <f>AD48/AD$138</f>
        <v>0.47497131371423357</v>
      </c>
    </row>
    <row r="49" spans="2:31" s="138" customFormat="1" ht="10.199999999999999">
      <c r="C49" s="138">
        <v>2024</v>
      </c>
      <c r="F49" s="151">
        <f>F41*F9</f>
        <v>2698.6696512723847</v>
      </c>
      <c r="G49" s="141"/>
      <c r="H49" s="151">
        <f>H41*H9</f>
        <v>3169.4423046690772</v>
      </c>
      <c r="I49" s="141"/>
      <c r="J49" s="151">
        <f>J41*J9</f>
        <v>2773.1006984447004</v>
      </c>
      <c r="K49" s="141"/>
      <c r="L49" s="151">
        <f>L41*L9</f>
        <v>2577.1866155660377</v>
      </c>
      <c r="M49" s="141"/>
      <c r="N49" s="151">
        <f>N41*N9</f>
        <v>2492.8684030157642</v>
      </c>
      <c r="O49" s="141"/>
      <c r="P49" s="151">
        <f>P41*P9</f>
        <v>2069.9632256369846</v>
      </c>
      <c r="Q49" s="141"/>
      <c r="R49" s="151">
        <f t="shared" ref="R49:AB49" si="0">R41*R9</f>
        <v>3217.4608486146431</v>
      </c>
      <c r="S49" s="141"/>
      <c r="T49" s="151">
        <f t="shared" si="0"/>
        <v>3494.4250565855177</v>
      </c>
      <c r="U49" s="141"/>
      <c r="V49" s="151">
        <f t="shared" si="0"/>
        <v>3846.3757141561623</v>
      </c>
      <c r="W49" s="141"/>
      <c r="X49" s="151">
        <f t="shared" si="0"/>
        <v>3331.206610527644</v>
      </c>
      <c r="Y49" s="141"/>
      <c r="Z49" s="151">
        <f t="shared" si="0"/>
        <v>2914.7672569062706</v>
      </c>
      <c r="AA49" s="141"/>
      <c r="AB49" s="151">
        <f t="shared" si="0"/>
        <v>2752.495243805417</v>
      </c>
      <c r="AC49" s="141"/>
      <c r="AD49" s="141">
        <f>SUM(F49:AB49)</f>
        <v>35337.961629200603</v>
      </c>
      <c r="AE49" s="146">
        <f>AD49/AD$139</f>
        <v>0.37104249802219597</v>
      </c>
    </row>
    <row r="50" spans="2:31" s="138" customFormat="1" ht="10.199999999999999">
      <c r="C50" s="138">
        <v>2025</v>
      </c>
      <c r="F50" s="151">
        <f>F42*F10</f>
        <v>2725.8012217491546</v>
      </c>
      <c r="G50" s="141"/>
      <c r="H50" s="151">
        <f>H42*H10</f>
        <v>2363.8216734943308</v>
      </c>
      <c r="I50" s="141"/>
      <c r="J50" s="151">
        <f>J42*J10</f>
        <v>2837.791255473498</v>
      </c>
      <c r="K50" s="141"/>
      <c r="L50" s="151">
        <f>L42*L10</f>
        <v>3037.125400862546</v>
      </c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6"/>
    </row>
    <row r="51" spans="2:31" s="138" customFormat="1" ht="7.2" customHeight="1">
      <c r="F51" s="143"/>
      <c r="G51" s="141"/>
      <c r="H51" s="143"/>
      <c r="I51" s="141"/>
      <c r="J51" s="143"/>
      <c r="K51" s="141"/>
      <c r="L51" s="143"/>
      <c r="M51" s="141"/>
      <c r="N51" s="143"/>
      <c r="P51" s="143"/>
      <c r="R51" s="143"/>
      <c r="S51" s="146"/>
      <c r="T51" s="143"/>
      <c r="U51" s="146"/>
      <c r="V51" s="143"/>
      <c r="W51" s="146"/>
      <c r="X51" s="143"/>
      <c r="Y51" s="146"/>
      <c r="Z51" s="143"/>
      <c r="AB51" s="143"/>
      <c r="AD51" s="146"/>
    </row>
    <row r="52" spans="2:31" s="138" customFormat="1" ht="7.2" customHeight="1">
      <c r="F52" s="143"/>
      <c r="G52" s="141"/>
      <c r="H52" s="143"/>
      <c r="I52" s="141"/>
      <c r="J52" s="143"/>
      <c r="K52" s="141"/>
      <c r="L52" s="143"/>
      <c r="M52" s="141"/>
      <c r="N52" s="143"/>
      <c r="P52" s="143"/>
      <c r="R52" s="143"/>
      <c r="S52" s="146"/>
      <c r="T52" s="143"/>
      <c r="U52" s="146"/>
      <c r="V52" s="143"/>
      <c r="W52" s="146"/>
      <c r="X52" s="143"/>
      <c r="Y52" s="146"/>
      <c r="Z52" s="143"/>
      <c r="AB52" s="143"/>
      <c r="AD52" s="146"/>
    </row>
    <row r="53" spans="2:31" s="138" customFormat="1" ht="10.199999999999999">
      <c r="C53" s="138" t="s">
        <v>206</v>
      </c>
      <c r="F53" s="143"/>
      <c r="G53" s="141"/>
      <c r="H53" s="143"/>
      <c r="I53" s="141"/>
      <c r="J53" s="143"/>
      <c r="K53" s="141"/>
      <c r="L53" s="143"/>
      <c r="M53" s="141"/>
      <c r="N53" s="143"/>
      <c r="P53" s="143"/>
      <c r="R53" s="143"/>
      <c r="S53" s="146"/>
      <c r="T53" s="143"/>
      <c r="U53" s="146"/>
      <c r="V53" s="143"/>
      <c r="W53" s="146"/>
      <c r="X53" s="143"/>
      <c r="Y53" s="146"/>
      <c r="Z53" s="143"/>
      <c r="AB53" s="143"/>
      <c r="AD53" s="146"/>
    </row>
    <row r="54" spans="2:31" s="138" customFormat="1" ht="10.199999999999999">
      <c r="C54" s="138">
        <v>2020</v>
      </c>
      <c r="F54" s="154"/>
      <c r="G54" s="141"/>
      <c r="H54" s="154"/>
      <c r="I54" s="141"/>
      <c r="J54" s="154"/>
      <c r="K54" s="141"/>
      <c r="L54" s="154"/>
      <c r="M54" s="141"/>
      <c r="N54" s="155">
        <f>N45+N29</f>
        <v>7110.1707877647123</v>
      </c>
      <c r="O54" s="141"/>
      <c r="P54" s="155">
        <f>P45+P29</f>
        <v>6694.100516539851</v>
      </c>
      <c r="Q54" s="141"/>
      <c r="R54" s="155">
        <f>R45+R29</f>
        <v>6352.9887243775011</v>
      </c>
      <c r="S54" s="156"/>
      <c r="T54" s="155">
        <f>T45+T29</f>
        <v>6030.2084438085467</v>
      </c>
      <c r="U54" s="156"/>
      <c r="V54" s="155">
        <f>V45+V29</f>
        <v>6856.9885973558667</v>
      </c>
      <c r="W54" s="156"/>
      <c r="X54" s="155">
        <f>X45+X29</f>
        <v>8938.7850770932637</v>
      </c>
      <c r="Y54" s="156"/>
      <c r="Z54" s="155">
        <f>Z45+Z29</f>
        <v>11230.503300080187</v>
      </c>
      <c r="AA54" s="141"/>
      <c r="AB54" s="155">
        <f>AB45+AB29</f>
        <v>14346.890454048185</v>
      </c>
      <c r="AC54" s="141"/>
      <c r="AD54" s="156"/>
    </row>
    <row r="55" spans="2:31" s="138" customFormat="1" ht="10.199999999999999">
      <c r="C55" s="138">
        <v>2021</v>
      </c>
      <c r="F55" s="155">
        <f>F46+F30</f>
        <v>9803.5851194530114</v>
      </c>
      <c r="G55" s="141"/>
      <c r="H55" s="155">
        <f>H46+H30</f>
        <v>10057.926032210547</v>
      </c>
      <c r="I55" s="141"/>
      <c r="J55" s="155">
        <f>J46+J30</f>
        <v>11641.438645071685</v>
      </c>
      <c r="K55" s="156"/>
      <c r="L55" s="155">
        <f>L46+L30</f>
        <v>9741.517719733416</v>
      </c>
      <c r="M55" s="141"/>
      <c r="N55" s="155">
        <f>N46+N30</f>
        <v>8425.3780252803008</v>
      </c>
      <c r="O55" s="141"/>
      <c r="P55" s="155">
        <f>P46+P30</f>
        <v>6937.0013320942498</v>
      </c>
      <c r="Q55" s="141"/>
      <c r="R55" s="155">
        <f>R46+R30</f>
        <v>3519.3637004880525</v>
      </c>
      <c r="S55" s="156"/>
      <c r="T55" s="155">
        <f>T46+T30</f>
        <v>2084.1914765085075</v>
      </c>
      <c r="U55" s="156"/>
      <c r="V55" s="155">
        <f>V46+V30</f>
        <v>1903.6339682300686</v>
      </c>
      <c r="W55" s="156"/>
      <c r="X55" s="155">
        <f>X46+X30</f>
        <v>2873.2143827857058</v>
      </c>
      <c r="Y55" s="156"/>
      <c r="Z55" s="155">
        <f>Z46+Z30</f>
        <v>5746.9795215819649</v>
      </c>
      <c r="AA55" s="141"/>
      <c r="AB55" s="155">
        <f>AB46+AB30</f>
        <v>4581.5342272729604</v>
      </c>
      <c r="AC55" s="141"/>
      <c r="AD55" s="156"/>
    </row>
    <row r="56" spans="2:31" s="138" customFormat="1" ht="10.199999999999999">
      <c r="C56" s="138">
        <v>2022</v>
      </c>
      <c r="F56" s="155">
        <f>F47+F31</f>
        <v>11291.871982343662</v>
      </c>
      <c r="G56" s="141"/>
      <c r="H56" s="155">
        <f>H47+H31</f>
        <v>7478.3154162042583</v>
      </c>
      <c r="I56" s="141"/>
      <c r="J56" s="155">
        <f>J47+J31</f>
        <v>5339.3460982428787</v>
      </c>
      <c r="K56" s="156"/>
      <c r="L56" s="155">
        <f>L47+L31</f>
        <v>4287.166478237099</v>
      </c>
      <c r="M56" s="141"/>
      <c r="N56" s="155">
        <f>N47+N31</f>
        <v>2653.4909787561164</v>
      </c>
      <c r="O56" s="141"/>
      <c r="P56" s="155">
        <f>P47+P31</f>
        <v>1968.9769608227839</v>
      </c>
      <c r="Q56" s="141"/>
      <c r="R56" s="155">
        <f>R47+R31</f>
        <v>2125.1589455754493</v>
      </c>
      <c r="S56" s="156"/>
      <c r="T56" s="155">
        <f>T47+T31</f>
        <v>2035.3093108893172</v>
      </c>
      <c r="U56" s="156"/>
      <c r="V56" s="155">
        <f>V47+V31</f>
        <v>2551.5411270405616</v>
      </c>
      <c r="W56" s="156"/>
      <c r="X56" s="155">
        <f>X47+X31</f>
        <v>4210.7522791467372</v>
      </c>
      <c r="Y56" s="156"/>
      <c r="Z56" s="155">
        <f>Z47+Z31</f>
        <v>5389.7027128999962</v>
      </c>
      <c r="AA56" s="141"/>
      <c r="AB56" s="155">
        <f>AB47+AB31</f>
        <v>8515.0746095905743</v>
      </c>
      <c r="AC56" s="141"/>
      <c r="AD56" s="156"/>
    </row>
    <row r="57" spans="2:31" s="138" customFormat="1" ht="10.199999999999999">
      <c r="C57" s="138">
        <v>2023</v>
      </c>
      <c r="F57" s="155">
        <f>F48+F32</f>
        <v>6410.3979443338994</v>
      </c>
      <c r="G57" s="141"/>
      <c r="H57" s="155">
        <f>H48+H32</f>
        <v>4786.616978895805</v>
      </c>
      <c r="I57" s="141"/>
      <c r="J57" s="155">
        <f>J48+J32</f>
        <v>6179.6317079044784</v>
      </c>
      <c r="K57" s="156"/>
      <c r="L57" s="155">
        <f>L48+L32</f>
        <v>3332.6355792989116</v>
      </c>
      <c r="M57" s="141"/>
      <c r="N57" s="155">
        <f>N48+N32</f>
        <v>2825.4488021749557</v>
      </c>
      <c r="O57" s="141"/>
      <c r="P57" s="155">
        <f>P48+P32</f>
        <v>2193.575512904386</v>
      </c>
      <c r="Q57" s="141"/>
      <c r="R57" s="155">
        <f>R48+R32</f>
        <v>1741.4064714680048</v>
      </c>
      <c r="S57" s="156"/>
      <c r="T57" s="155">
        <f>T48+T32</f>
        <v>2014.0968422653045</v>
      </c>
      <c r="U57" s="156"/>
      <c r="V57" s="155">
        <f>V48+V32</f>
        <v>1803.7721316236457</v>
      </c>
      <c r="W57" s="156"/>
      <c r="X57" s="155">
        <f>X48+X32</f>
        <v>2794.8310956452319</v>
      </c>
      <c r="Y57" s="156"/>
      <c r="Z57" s="155">
        <f>Z48+Z32</f>
        <v>4905.1071275896811</v>
      </c>
      <c r="AA57" s="141"/>
      <c r="AB57" s="155">
        <f>AB48+AB32</f>
        <v>7564.2579909234519</v>
      </c>
      <c r="AC57" s="141"/>
      <c r="AD57" s="156"/>
    </row>
    <row r="58" spans="2:31" s="138" customFormat="1" ht="10.199999999999999">
      <c r="C58" s="138">
        <v>2024</v>
      </c>
      <c r="F58" s="155">
        <f>F49+F33</f>
        <v>7961.0282752120647</v>
      </c>
      <c r="G58" s="141"/>
      <c r="H58" s="155">
        <f>H49+H33</f>
        <v>7039.32437035369</v>
      </c>
      <c r="I58" s="141"/>
      <c r="J58" s="155">
        <f>J49+J33</f>
        <v>4812.2894497680281</v>
      </c>
      <c r="K58" s="156"/>
      <c r="L58" s="155">
        <f>L49+L33</f>
        <v>3492.9235641891892</v>
      </c>
      <c r="M58" s="141"/>
      <c r="N58" s="155">
        <f>N49+N33</f>
        <v>2701.3784895244798</v>
      </c>
      <c r="O58" s="141"/>
      <c r="P58" s="155">
        <f>P49+P33</f>
        <v>3162.6043300984197</v>
      </c>
      <c r="Q58" s="141"/>
      <c r="R58" s="155">
        <f>R49+R33</f>
        <v>5125.0952933927092</v>
      </c>
      <c r="S58" s="156"/>
      <c r="T58" s="155">
        <f>T49+T33</f>
        <v>5554.9064045990453</v>
      </c>
      <c r="U58" s="156"/>
      <c r="V58" s="155">
        <f>V49+V33</f>
        <v>9328.7817167852536</v>
      </c>
      <c r="W58" s="156"/>
      <c r="X58" s="155">
        <f>X49+X33</f>
        <v>9816.7145425300405</v>
      </c>
      <c r="Y58" s="156"/>
      <c r="Z58" s="155">
        <f>Z49+Z33</f>
        <v>8466.112265220705</v>
      </c>
      <c r="AA58" s="141"/>
      <c r="AB58" s="155">
        <f>AB49+AB33</f>
        <v>8212.5380674751686</v>
      </c>
      <c r="AC58" s="141"/>
      <c r="AD58" s="156"/>
    </row>
    <row r="59" spans="2:31" s="138" customFormat="1" ht="10.199999999999999">
      <c r="C59" s="138">
        <v>2025</v>
      </c>
      <c r="F59" s="155">
        <f>F50+F34</f>
        <v>12259.605176992618</v>
      </c>
      <c r="G59" s="141"/>
      <c r="H59" s="155">
        <f>H50+H34</f>
        <v>7530.1602819803711</v>
      </c>
      <c r="I59" s="141"/>
      <c r="J59" s="155">
        <f>J50+J34</f>
        <v>7516.5341510388225</v>
      </c>
      <c r="K59" s="141"/>
      <c r="L59" s="155">
        <f>L50+L34</f>
        <v>6216.7960036781224</v>
      </c>
      <c r="M59" s="141"/>
      <c r="N59" s="154"/>
      <c r="O59" s="141"/>
      <c r="P59" s="154"/>
      <c r="Q59" s="141"/>
      <c r="R59" s="154"/>
      <c r="S59" s="156"/>
      <c r="T59" s="154"/>
      <c r="U59" s="156"/>
      <c r="V59" s="154"/>
      <c r="W59" s="156"/>
      <c r="X59" s="154"/>
      <c r="Y59" s="156"/>
      <c r="Z59" s="154"/>
      <c r="AA59" s="141"/>
      <c r="AB59" s="154"/>
      <c r="AC59" s="141"/>
      <c r="AD59" s="156"/>
    </row>
    <row r="60" spans="2:31" ht="7.2" customHeight="1">
      <c r="F60" s="136"/>
      <c r="G60" s="110"/>
      <c r="H60" s="136"/>
      <c r="I60" s="110"/>
      <c r="J60" s="136"/>
      <c r="K60" s="110"/>
      <c r="L60" s="136"/>
      <c r="M60" s="110"/>
      <c r="N60" s="136"/>
      <c r="P60" s="136"/>
      <c r="R60" s="136"/>
      <c r="S60" s="137"/>
      <c r="T60" s="136"/>
      <c r="U60" s="137"/>
      <c r="V60" s="136"/>
      <c r="W60" s="137"/>
      <c r="X60" s="136"/>
      <c r="Y60" s="137"/>
      <c r="Z60" s="136"/>
      <c r="AB60" s="136"/>
      <c r="AD60" s="137"/>
    </row>
    <row r="61" spans="2:31" s="138" customFormat="1">
      <c r="C61" s="138" t="s">
        <v>172</v>
      </c>
      <c r="L61" s="175">
        <f>SUM(N58:$AB58)+SUM($F59:L59)</f>
        <v>85891.226723315762</v>
      </c>
    </row>
    <row r="62" spans="2:31" ht="7.2" customHeight="1">
      <c r="F62" s="136"/>
      <c r="G62" s="110"/>
      <c r="H62" s="136"/>
      <c r="I62" s="110"/>
      <c r="J62" s="136"/>
      <c r="K62" s="110"/>
      <c r="L62" s="136"/>
      <c r="M62" s="110"/>
      <c r="N62" s="136"/>
      <c r="P62" s="136"/>
      <c r="R62" s="136"/>
      <c r="S62" s="137"/>
      <c r="T62" s="136"/>
      <c r="U62" s="137"/>
      <c r="V62" s="136"/>
      <c r="W62" s="137"/>
      <c r="X62" s="136"/>
      <c r="Y62" s="137"/>
      <c r="Z62" s="136"/>
      <c r="AB62" s="136"/>
      <c r="AD62" s="137"/>
    </row>
    <row r="63" spans="2:31" s="138" customFormat="1" ht="10.199999999999999">
      <c r="B63" s="140" t="s">
        <v>126</v>
      </c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</row>
    <row r="64" spans="2:31" s="138" customFormat="1" ht="10.199999999999999">
      <c r="C64" s="157" t="s">
        <v>207</v>
      </c>
      <c r="D64" s="158"/>
      <c r="E64" s="158"/>
      <c r="F64" s="159" t="s">
        <v>202</v>
      </c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</row>
    <row r="65" spans="3:31" s="138" customFormat="1" ht="10.199999999999999">
      <c r="C65" s="158">
        <v>2020</v>
      </c>
      <c r="D65" s="158"/>
      <c r="E65" s="158"/>
      <c r="F65" s="159"/>
      <c r="G65" s="159"/>
      <c r="H65" s="159"/>
      <c r="I65" s="159"/>
      <c r="J65" s="159"/>
      <c r="K65" s="159"/>
      <c r="L65" s="159"/>
      <c r="M65" s="159"/>
      <c r="N65" s="159">
        <v>806</v>
      </c>
      <c r="O65" s="159"/>
      <c r="P65" s="159">
        <v>448</v>
      </c>
      <c r="Q65" s="159"/>
      <c r="R65" s="159">
        <v>413</v>
      </c>
      <c r="S65" s="159"/>
      <c r="T65" s="159">
        <v>329</v>
      </c>
      <c r="U65" s="159"/>
      <c r="V65" s="159">
        <v>450</v>
      </c>
      <c r="W65" s="159"/>
      <c r="X65" s="159">
        <v>639</v>
      </c>
      <c r="Y65" s="159"/>
      <c r="Z65" s="159">
        <v>1194</v>
      </c>
      <c r="AA65" s="159"/>
      <c r="AB65" s="159">
        <v>1521</v>
      </c>
      <c r="AC65" s="159"/>
      <c r="AD65" s="141">
        <f>SUM(F65:AB65)</f>
        <v>5800</v>
      </c>
      <c r="AE65" s="145">
        <f>AD65/AD$135</f>
        <v>7.1308579900632871E-2</v>
      </c>
    </row>
    <row r="66" spans="3:31" s="138" customFormat="1" ht="10.199999999999999">
      <c r="C66" s="158">
        <v>2021</v>
      </c>
      <c r="D66" s="158"/>
      <c r="E66" s="158"/>
      <c r="F66" s="159">
        <v>747</v>
      </c>
      <c r="G66" s="159"/>
      <c r="H66" s="159">
        <v>1261</v>
      </c>
      <c r="I66" s="159"/>
      <c r="J66" s="159">
        <v>1048</v>
      </c>
      <c r="K66" s="159"/>
      <c r="L66" s="159">
        <v>1025</v>
      </c>
      <c r="M66" s="159"/>
      <c r="N66" s="159">
        <v>1349.4</v>
      </c>
      <c r="O66" s="159"/>
      <c r="P66" s="159">
        <v>413.7</v>
      </c>
      <c r="Q66" s="159"/>
      <c r="R66" s="159">
        <v>169.7</v>
      </c>
      <c r="S66" s="159"/>
      <c r="T66" s="159">
        <v>470</v>
      </c>
      <c r="U66" s="159"/>
      <c r="V66" s="159">
        <v>388.2</v>
      </c>
      <c r="W66" s="159"/>
      <c r="X66" s="159">
        <v>701</v>
      </c>
      <c r="Y66" s="159"/>
      <c r="Z66" s="159">
        <v>663.9</v>
      </c>
      <c r="AA66" s="159"/>
      <c r="AB66" s="159">
        <v>0</v>
      </c>
      <c r="AC66" s="159"/>
      <c r="AD66" s="141">
        <f>SUM(F66:AB66)</f>
        <v>8236.9</v>
      </c>
      <c r="AE66" s="145">
        <f>AD66/AD$136</f>
        <v>7.6378649871761101E-2</v>
      </c>
    </row>
    <row r="67" spans="3:31" s="138" customFormat="1" ht="10.199999999999999">
      <c r="C67" s="158">
        <v>2022</v>
      </c>
      <c r="D67" s="158"/>
      <c r="E67" s="158"/>
      <c r="F67" s="159">
        <v>0</v>
      </c>
      <c r="G67" s="159"/>
      <c r="H67" s="159">
        <v>0</v>
      </c>
      <c r="I67" s="159"/>
      <c r="J67" s="159">
        <v>0</v>
      </c>
      <c r="K67" s="159"/>
      <c r="L67" s="159">
        <v>0</v>
      </c>
      <c r="M67" s="159"/>
      <c r="N67" s="159">
        <v>0</v>
      </c>
      <c r="O67" s="159"/>
      <c r="P67" s="159">
        <v>0</v>
      </c>
      <c r="Q67" s="159"/>
      <c r="R67" s="159">
        <v>0</v>
      </c>
      <c r="S67" s="159"/>
      <c r="T67" s="159">
        <v>0</v>
      </c>
      <c r="U67" s="159"/>
      <c r="V67" s="159">
        <v>0</v>
      </c>
      <c r="W67" s="159"/>
      <c r="X67" s="159">
        <v>0</v>
      </c>
      <c r="Y67" s="159"/>
      <c r="Z67" s="159">
        <v>0</v>
      </c>
      <c r="AA67" s="159"/>
      <c r="AB67" s="159">
        <v>0</v>
      </c>
      <c r="AC67" s="159"/>
      <c r="AD67" s="141">
        <f>SUM(F67:AB67)</f>
        <v>0</v>
      </c>
      <c r="AE67" s="145">
        <f>AD67/AD$137</f>
        <v>0</v>
      </c>
    </row>
    <row r="68" spans="3:31" s="138" customFormat="1" ht="10.199999999999999">
      <c r="C68" s="158">
        <v>2023</v>
      </c>
      <c r="D68" s="158"/>
      <c r="E68" s="158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41">
        <f>SUM(F68:AB68)</f>
        <v>0</v>
      </c>
      <c r="AE68" s="145">
        <f>AD68/AD$138</f>
        <v>0</v>
      </c>
    </row>
    <row r="69" spans="3:31" s="138" customFormat="1" ht="10.199999999999999">
      <c r="C69" s="138">
        <v>2024</v>
      </c>
      <c r="D69" s="158"/>
      <c r="E69" s="158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41">
        <f>SUM(F69:AB69)</f>
        <v>0</v>
      </c>
      <c r="AE69" s="145">
        <f>AD69/AD$138</f>
        <v>0</v>
      </c>
    </row>
    <row r="70" spans="3:31" s="138" customFormat="1" ht="10.199999999999999">
      <c r="L70" s="141"/>
    </row>
    <row r="71" spans="3:31" s="138" customFormat="1" ht="10.199999999999999">
      <c r="C71" s="138" t="s">
        <v>208</v>
      </c>
      <c r="F71" s="141" t="s">
        <v>202</v>
      </c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</row>
    <row r="72" spans="3:31" s="138" customFormat="1" ht="10.199999999999999">
      <c r="C72" s="138">
        <v>2020</v>
      </c>
      <c r="F72" s="141"/>
      <c r="G72" s="141"/>
      <c r="H72" s="141"/>
      <c r="I72" s="141"/>
      <c r="J72" s="141"/>
      <c r="K72" s="141"/>
      <c r="L72" s="141"/>
      <c r="M72" s="141"/>
      <c r="N72" s="149">
        <v>0</v>
      </c>
      <c r="O72" s="141"/>
      <c r="P72" s="149">
        <v>101</v>
      </c>
      <c r="Q72" s="141"/>
      <c r="R72" s="149">
        <v>1</v>
      </c>
      <c r="S72" s="141"/>
      <c r="T72" s="149">
        <v>0</v>
      </c>
      <c r="U72" s="141"/>
      <c r="V72" s="149">
        <v>0</v>
      </c>
      <c r="W72" s="141"/>
      <c r="X72" s="149">
        <v>11</v>
      </c>
      <c r="Y72" s="141"/>
      <c r="Z72" s="149">
        <v>715</v>
      </c>
      <c r="AA72" s="141"/>
      <c r="AB72" s="149">
        <f>95+1616</f>
        <v>1711</v>
      </c>
      <c r="AC72" s="141"/>
      <c r="AD72" s="141">
        <f>SUM(F72:AB72)</f>
        <v>2539</v>
      </c>
      <c r="AE72" s="146">
        <f>AD72/AD$135</f>
        <v>3.1215945580639115E-2</v>
      </c>
    </row>
    <row r="73" spans="3:31" s="138" customFormat="1" ht="10.199999999999999">
      <c r="C73" s="138">
        <v>2021</v>
      </c>
      <c r="F73" s="149">
        <f>1022+1424</f>
        <v>2446</v>
      </c>
      <c r="G73" s="141"/>
      <c r="H73" s="149">
        <f>1020+1181</f>
        <v>2201</v>
      </c>
      <c r="I73" s="141"/>
      <c r="J73" s="149">
        <f>576+445</f>
        <v>1021</v>
      </c>
      <c r="K73" s="141"/>
      <c r="L73" s="149">
        <f>127+145</f>
        <v>272</v>
      </c>
      <c r="M73" s="141"/>
      <c r="N73" s="149">
        <v>35</v>
      </c>
      <c r="O73" s="141"/>
      <c r="P73" s="149">
        <v>0</v>
      </c>
      <c r="Q73" s="141"/>
      <c r="R73" s="149">
        <v>210</v>
      </c>
      <c r="S73" s="141"/>
      <c r="T73" s="149">
        <v>6</v>
      </c>
      <c r="U73" s="141"/>
      <c r="V73" s="149">
        <v>0</v>
      </c>
      <c r="W73" s="141"/>
      <c r="X73" s="149">
        <v>0</v>
      </c>
      <c r="Y73" s="141"/>
      <c r="Z73" s="149">
        <f>829+211</f>
        <v>1040</v>
      </c>
      <c r="AA73" s="141"/>
      <c r="AB73" s="149">
        <f>973+107</f>
        <v>1080</v>
      </c>
      <c r="AC73" s="141"/>
      <c r="AD73" s="141">
        <f>SUM(F73:AB73)</f>
        <v>8311</v>
      </c>
      <c r="AE73" s="146">
        <f>AD73/AD$136</f>
        <v>7.7065760065583716E-2</v>
      </c>
    </row>
    <row r="74" spans="3:31" s="138" customFormat="1" ht="10.199999999999999">
      <c r="C74" s="138">
        <v>2022</v>
      </c>
      <c r="F74" s="149">
        <v>1536</v>
      </c>
      <c r="G74" s="141"/>
      <c r="H74" s="149">
        <v>982</v>
      </c>
      <c r="I74" s="141"/>
      <c r="J74" s="149">
        <v>773</v>
      </c>
      <c r="K74" s="141"/>
      <c r="L74" s="149">
        <v>563</v>
      </c>
      <c r="M74" s="141"/>
      <c r="N74" s="149">
        <v>252</v>
      </c>
      <c r="O74" s="141"/>
      <c r="P74" s="149">
        <v>197</v>
      </c>
      <c r="Q74" s="141"/>
      <c r="R74" s="149">
        <v>166</v>
      </c>
      <c r="S74" s="141"/>
      <c r="T74" s="160">
        <v>122</v>
      </c>
      <c r="U74" s="141"/>
      <c r="V74" s="149">
        <v>185</v>
      </c>
      <c r="W74" s="141"/>
      <c r="X74" s="149">
        <v>507</v>
      </c>
      <c r="Y74" s="141"/>
      <c r="Z74" s="149">
        <v>712</v>
      </c>
      <c r="AA74" s="141"/>
      <c r="AB74" s="149">
        <v>556</v>
      </c>
      <c r="AC74" s="141"/>
      <c r="AD74" s="141">
        <f>SUM(F74:AB74)</f>
        <v>6551</v>
      </c>
      <c r="AE74" s="146">
        <f>AD74/AD$137</f>
        <v>8.2392194259290813E-2</v>
      </c>
    </row>
    <row r="75" spans="3:31" s="138" customFormat="1" ht="10.199999999999999">
      <c r="C75" s="138">
        <v>2023</v>
      </c>
      <c r="F75" s="149">
        <v>609</v>
      </c>
      <c r="G75" s="141"/>
      <c r="H75" s="149">
        <v>548</v>
      </c>
      <c r="I75" s="141"/>
      <c r="J75" s="149">
        <v>1004</v>
      </c>
      <c r="K75" s="141"/>
      <c r="L75" s="149">
        <v>161</v>
      </c>
      <c r="M75" s="141"/>
      <c r="N75" s="149"/>
      <c r="O75" s="141"/>
      <c r="P75" s="149">
        <v>0</v>
      </c>
      <c r="Q75" s="141"/>
      <c r="R75" s="149">
        <v>0</v>
      </c>
      <c r="S75" s="141"/>
      <c r="T75" s="160"/>
      <c r="U75" s="141"/>
      <c r="V75" s="149">
        <v>2</v>
      </c>
      <c r="W75" s="141"/>
      <c r="X75" s="149">
        <v>253</v>
      </c>
      <c r="Y75" s="141"/>
      <c r="Z75" s="149">
        <v>2928</v>
      </c>
      <c r="AA75" s="141"/>
      <c r="AB75" s="149">
        <v>290</v>
      </c>
      <c r="AC75" s="141"/>
      <c r="AD75" s="141">
        <f>SUM(F75:AB75)</f>
        <v>5795</v>
      </c>
      <c r="AE75" s="146">
        <f>AD75/AD$138</f>
        <v>8.8282651432064194E-2</v>
      </c>
    </row>
    <row r="76" spans="3:31" s="138" customFormat="1" ht="10.199999999999999">
      <c r="C76" s="138">
        <v>2024</v>
      </c>
      <c r="F76" s="149">
        <f>393+308</f>
        <v>701</v>
      </c>
      <c r="G76" s="141"/>
      <c r="H76" s="149">
        <v>245</v>
      </c>
      <c r="I76" s="141"/>
      <c r="J76" s="149">
        <v>151</v>
      </c>
      <c r="K76" s="141"/>
      <c r="L76" s="149">
        <v>238</v>
      </c>
      <c r="M76" s="141"/>
      <c r="N76" s="149">
        <v>411</v>
      </c>
      <c r="O76" s="141"/>
      <c r="P76" s="149">
        <v>80</v>
      </c>
      <c r="Q76" s="141"/>
      <c r="R76" s="149">
        <v>254</v>
      </c>
      <c r="S76" s="141"/>
      <c r="T76" s="160">
        <v>89</v>
      </c>
      <c r="U76" s="141"/>
      <c r="V76" s="149">
        <v>6</v>
      </c>
      <c r="W76" s="141"/>
      <c r="X76" s="149">
        <v>292</v>
      </c>
      <c r="Y76" s="141"/>
      <c r="Z76" s="149">
        <v>251</v>
      </c>
      <c r="AA76" s="141"/>
      <c r="AB76" s="149">
        <v>271</v>
      </c>
      <c r="AC76" s="141"/>
      <c r="AD76" s="141">
        <f>SUM(F76:AB76)</f>
        <v>2989</v>
      </c>
      <c r="AE76" s="146">
        <f>AD76/AD$139</f>
        <v>3.1383984119556931E-2</v>
      </c>
    </row>
    <row r="77" spans="3:31" s="138" customFormat="1" ht="10.199999999999999">
      <c r="C77" s="138">
        <v>2025</v>
      </c>
      <c r="F77" s="160">
        <f>121+86</f>
        <v>207</v>
      </c>
      <c r="G77" s="141"/>
      <c r="H77" s="149">
        <v>601</v>
      </c>
      <c r="I77" s="141"/>
      <c r="J77" s="149">
        <v>692</v>
      </c>
      <c r="K77" s="141"/>
      <c r="L77" s="149">
        <v>1352</v>
      </c>
      <c r="M77" s="141"/>
      <c r="N77" s="149"/>
      <c r="O77" s="141"/>
      <c r="P77" s="149"/>
      <c r="Q77" s="141"/>
      <c r="R77" s="149"/>
      <c r="S77" s="141"/>
      <c r="T77" s="160"/>
      <c r="U77" s="141"/>
      <c r="V77" s="149"/>
      <c r="W77" s="141"/>
      <c r="X77" s="149"/>
      <c r="Y77" s="141"/>
      <c r="Z77" s="149"/>
      <c r="AA77" s="141"/>
      <c r="AB77" s="149"/>
      <c r="AC77" s="141"/>
    </row>
    <row r="78" spans="3:31" s="138" customFormat="1" ht="7.2" customHeight="1"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</row>
    <row r="79" spans="3:31" s="138" customFormat="1" ht="7.2" customHeight="1"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</row>
    <row r="80" spans="3:31" s="138" customFormat="1" ht="10.199999999999999">
      <c r="C80" s="138" t="s">
        <v>209</v>
      </c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</row>
    <row r="81" spans="2:31" s="138" customFormat="1" ht="10.199999999999999">
      <c r="C81" s="138">
        <v>2020</v>
      </c>
      <c r="F81" s="154"/>
      <c r="G81" s="141"/>
      <c r="H81" s="154"/>
      <c r="I81" s="141"/>
      <c r="J81" s="154"/>
      <c r="K81" s="141"/>
      <c r="L81" s="154"/>
      <c r="M81" s="141"/>
      <c r="N81" s="155">
        <f>N72+N65</f>
        <v>806</v>
      </c>
      <c r="O81" s="141"/>
      <c r="P81" s="155">
        <f>P72+P65</f>
        <v>549</v>
      </c>
      <c r="Q81" s="141"/>
      <c r="R81" s="155">
        <f>R72+R65</f>
        <v>414</v>
      </c>
      <c r="S81" s="156"/>
      <c r="T81" s="155">
        <f>T72+T65</f>
        <v>329</v>
      </c>
      <c r="U81" s="156"/>
      <c r="V81" s="155">
        <f>V72+V65</f>
        <v>450</v>
      </c>
      <c r="W81" s="156"/>
      <c r="X81" s="155">
        <f>X72+X65</f>
        <v>650</v>
      </c>
      <c r="Y81" s="156"/>
      <c r="Z81" s="155">
        <f>Z72+Z65</f>
        <v>1909</v>
      </c>
      <c r="AA81" s="141"/>
      <c r="AB81" s="155">
        <f>AB72+AB65</f>
        <v>3232</v>
      </c>
      <c r="AC81" s="141"/>
    </row>
    <row r="82" spans="2:31" s="138" customFormat="1" ht="10.199999999999999">
      <c r="C82" s="138">
        <v>2021</v>
      </c>
      <c r="F82" s="155">
        <f>F73+F66</f>
        <v>3193</v>
      </c>
      <c r="G82" s="141"/>
      <c r="H82" s="155">
        <f>H73+H66</f>
        <v>3462</v>
      </c>
      <c r="I82" s="141"/>
      <c r="J82" s="155">
        <f>J73+J66</f>
        <v>2069</v>
      </c>
      <c r="K82" s="156"/>
      <c r="L82" s="155">
        <f>L73+L66</f>
        <v>1297</v>
      </c>
      <c r="M82" s="141"/>
      <c r="N82" s="155">
        <f>N73+N66</f>
        <v>1384.4</v>
      </c>
      <c r="O82" s="141"/>
      <c r="P82" s="155">
        <f>P73+P66</f>
        <v>413.7</v>
      </c>
      <c r="Q82" s="141"/>
      <c r="R82" s="155">
        <f>R73+R66</f>
        <v>379.7</v>
      </c>
      <c r="S82" s="156"/>
      <c r="T82" s="155">
        <f>T73+T66</f>
        <v>476</v>
      </c>
      <c r="U82" s="156"/>
      <c r="V82" s="155">
        <f>V73+V66</f>
        <v>388.2</v>
      </c>
      <c r="W82" s="156"/>
      <c r="X82" s="155">
        <f>X73+X66</f>
        <v>701</v>
      </c>
      <c r="Y82" s="156"/>
      <c r="Z82" s="155">
        <f>Z73+Z66</f>
        <v>1703.9</v>
      </c>
      <c r="AA82" s="141"/>
      <c r="AB82" s="155">
        <f>AB73+AB66</f>
        <v>1080</v>
      </c>
      <c r="AC82" s="141"/>
    </row>
    <row r="83" spans="2:31" s="138" customFormat="1" ht="10.199999999999999">
      <c r="C83" s="138">
        <v>2022</v>
      </c>
      <c r="F83" s="155">
        <f>F74+F67</f>
        <v>1536</v>
      </c>
      <c r="G83" s="141"/>
      <c r="H83" s="155">
        <f>H74+H67</f>
        <v>982</v>
      </c>
      <c r="I83" s="141"/>
      <c r="J83" s="155">
        <f>J74+J67</f>
        <v>773</v>
      </c>
      <c r="K83" s="156"/>
      <c r="L83" s="155">
        <f>L74+L67</f>
        <v>563</v>
      </c>
      <c r="M83" s="141"/>
      <c r="N83" s="155">
        <f>N74+N67</f>
        <v>252</v>
      </c>
      <c r="O83" s="141"/>
      <c r="P83" s="155">
        <f>P74+P67</f>
        <v>197</v>
      </c>
      <c r="Q83" s="141"/>
      <c r="R83" s="155">
        <f>R74+R67</f>
        <v>166</v>
      </c>
      <c r="S83" s="156"/>
      <c r="T83" s="155">
        <f>T74+T67</f>
        <v>122</v>
      </c>
      <c r="U83" s="156"/>
      <c r="V83" s="155">
        <f>V74+V67</f>
        <v>185</v>
      </c>
      <c r="W83" s="156"/>
      <c r="X83" s="155">
        <f>X74+X67</f>
        <v>507</v>
      </c>
      <c r="Y83" s="156"/>
      <c r="Z83" s="155">
        <f>Z74+Z67</f>
        <v>712</v>
      </c>
      <c r="AA83" s="141"/>
      <c r="AB83" s="155">
        <f>AB74+AB67</f>
        <v>556</v>
      </c>
      <c r="AC83" s="141"/>
    </row>
    <row r="84" spans="2:31" s="138" customFormat="1" ht="10.199999999999999">
      <c r="C84" s="138">
        <v>2023</v>
      </c>
      <c r="F84" s="155">
        <f>F75+F68</f>
        <v>609</v>
      </c>
      <c r="G84" s="141"/>
      <c r="H84" s="155">
        <f>H75+H68</f>
        <v>548</v>
      </c>
      <c r="I84" s="141"/>
      <c r="J84" s="155">
        <f>J75+J68</f>
        <v>1004</v>
      </c>
      <c r="K84" s="156"/>
      <c r="L84" s="155">
        <f>L75+L68</f>
        <v>161</v>
      </c>
      <c r="M84" s="141"/>
      <c r="N84" s="155">
        <f>N75+N68</f>
        <v>0</v>
      </c>
      <c r="O84" s="141"/>
      <c r="P84" s="155">
        <f>P75+P68</f>
        <v>0</v>
      </c>
      <c r="Q84" s="141"/>
      <c r="R84" s="155">
        <f>R75+R68</f>
        <v>0</v>
      </c>
      <c r="S84" s="156"/>
      <c r="T84" s="155">
        <f>T75+T68</f>
        <v>0</v>
      </c>
      <c r="U84" s="156"/>
      <c r="V84" s="155">
        <f>V75+V68</f>
        <v>2</v>
      </c>
      <c r="W84" s="156"/>
      <c r="X84" s="155">
        <f>X75+X68</f>
        <v>253</v>
      </c>
      <c r="Y84" s="156"/>
      <c r="Z84" s="155">
        <f>Z75+Z68</f>
        <v>2928</v>
      </c>
      <c r="AA84" s="141"/>
      <c r="AB84" s="155">
        <f>AB75+AB68</f>
        <v>290</v>
      </c>
      <c r="AC84" s="141"/>
    </row>
    <row r="85" spans="2:31" s="138" customFormat="1" ht="10.199999999999999">
      <c r="C85" s="138">
        <v>2024</v>
      </c>
      <c r="F85" s="155">
        <f>F76+F69</f>
        <v>701</v>
      </c>
      <c r="G85" s="141"/>
      <c r="H85" s="155">
        <f>H76+H69</f>
        <v>245</v>
      </c>
      <c r="I85" s="141"/>
      <c r="J85" s="155">
        <f>J76+J69</f>
        <v>151</v>
      </c>
      <c r="K85" s="156"/>
      <c r="L85" s="155">
        <f>L76+L69</f>
        <v>238</v>
      </c>
      <c r="M85" s="141"/>
      <c r="N85" s="155">
        <f>N76+N69</f>
        <v>411</v>
      </c>
      <c r="O85" s="141"/>
      <c r="P85" s="155">
        <f>P76+P69</f>
        <v>80</v>
      </c>
      <c r="Q85" s="141"/>
      <c r="R85" s="155">
        <f>R76+R69</f>
        <v>254</v>
      </c>
      <c r="S85" s="156"/>
      <c r="T85" s="155">
        <f>T76+T69</f>
        <v>89</v>
      </c>
      <c r="U85" s="156"/>
      <c r="V85" s="155">
        <f>V76+V69</f>
        <v>6</v>
      </c>
      <c r="W85" s="156"/>
      <c r="X85" s="155">
        <f>X76+X69</f>
        <v>292</v>
      </c>
      <c r="Y85" s="156"/>
      <c r="Z85" s="155">
        <f>Z76+Z69</f>
        <v>251</v>
      </c>
      <c r="AA85" s="141"/>
      <c r="AB85" s="155">
        <f>AB76+AB69</f>
        <v>271</v>
      </c>
      <c r="AC85" s="141"/>
    </row>
    <row r="86" spans="2:31" s="138" customFormat="1" ht="10.199999999999999">
      <c r="C86" s="138">
        <v>2025</v>
      </c>
      <c r="F86" s="155">
        <f>F77+F70</f>
        <v>207</v>
      </c>
      <c r="G86" s="141"/>
      <c r="H86" s="155">
        <f>H77+H70</f>
        <v>601</v>
      </c>
      <c r="I86" s="141"/>
      <c r="J86" s="155">
        <f>J77+J70</f>
        <v>692</v>
      </c>
      <c r="K86" s="141"/>
      <c r="L86" s="155">
        <f>L77+L70</f>
        <v>1352</v>
      </c>
      <c r="M86" s="141"/>
      <c r="N86" s="154"/>
      <c r="O86" s="141"/>
      <c r="P86" s="154"/>
      <c r="Q86" s="141"/>
      <c r="R86" s="154"/>
      <c r="S86" s="156"/>
      <c r="T86" s="154"/>
      <c r="U86" s="156"/>
      <c r="V86" s="154"/>
      <c r="W86" s="156"/>
      <c r="X86" s="154"/>
      <c r="Y86" s="156"/>
      <c r="Z86" s="154"/>
      <c r="AA86" s="141"/>
      <c r="AB86" s="154"/>
      <c r="AC86" s="141"/>
    </row>
    <row r="87" spans="2:31" ht="7.2" customHeight="1"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</row>
    <row r="88" spans="2:31" s="138" customFormat="1">
      <c r="C88" s="138" t="s">
        <v>172</v>
      </c>
      <c r="L88" s="175">
        <f>SUM(N85:$AB85)+SUM($F86:L86)</f>
        <v>4506</v>
      </c>
    </row>
    <row r="89" spans="2:31" ht="7.2" customHeight="1"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</row>
    <row r="90" spans="2:31" s="138" customFormat="1" ht="10.199999999999999">
      <c r="B90" s="140" t="s">
        <v>127</v>
      </c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</row>
    <row r="91" spans="2:31" s="138" customFormat="1" ht="10.199999999999999">
      <c r="C91" s="157" t="s">
        <v>210</v>
      </c>
      <c r="D91" s="158"/>
      <c r="E91" s="158"/>
      <c r="F91" s="159" t="s">
        <v>202</v>
      </c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</row>
    <row r="92" spans="2:31" s="138" customFormat="1" ht="10.199999999999999">
      <c r="C92" s="158">
        <v>2020</v>
      </c>
      <c r="D92" s="158"/>
      <c r="E92" s="158"/>
      <c r="F92" s="159"/>
      <c r="G92" s="159"/>
      <c r="H92" s="159"/>
      <c r="I92" s="159"/>
      <c r="J92" s="159"/>
      <c r="K92" s="159"/>
      <c r="L92" s="159"/>
      <c r="M92" s="159"/>
      <c r="N92" s="159">
        <v>341</v>
      </c>
      <c r="O92" s="159"/>
      <c r="P92" s="159">
        <v>43</v>
      </c>
      <c r="Q92" s="159"/>
      <c r="R92" s="159">
        <v>9</v>
      </c>
      <c r="S92" s="159"/>
      <c r="T92" s="159">
        <v>17</v>
      </c>
      <c r="U92" s="159"/>
      <c r="V92" s="159">
        <v>151</v>
      </c>
      <c r="W92" s="159"/>
      <c r="X92" s="159">
        <v>271</v>
      </c>
      <c r="Y92" s="159"/>
      <c r="Z92" s="159">
        <v>922</v>
      </c>
      <c r="AA92" s="159"/>
      <c r="AB92" s="159">
        <v>1631</v>
      </c>
      <c r="AC92" s="159"/>
      <c r="AD92" s="141">
        <f>SUM(F92:AB92)</f>
        <v>3385</v>
      </c>
      <c r="AE92" s="145">
        <f>AD92/AD$135</f>
        <v>4.1617162579938319E-2</v>
      </c>
    </row>
    <row r="93" spans="2:31" s="138" customFormat="1" ht="10.199999999999999">
      <c r="C93" s="158">
        <v>2021</v>
      </c>
      <c r="D93" s="158"/>
      <c r="E93" s="158"/>
      <c r="F93" s="159">
        <v>1771</v>
      </c>
      <c r="G93" s="159"/>
      <c r="H93" s="159">
        <v>2445</v>
      </c>
      <c r="I93" s="159"/>
      <c r="J93" s="159">
        <v>1533</v>
      </c>
      <c r="K93" s="159"/>
      <c r="L93" s="159">
        <v>497</v>
      </c>
      <c r="M93" s="159"/>
      <c r="N93" s="159">
        <v>500.9</v>
      </c>
      <c r="O93" s="159"/>
      <c r="P93" s="159">
        <v>120.2</v>
      </c>
      <c r="Q93" s="159"/>
      <c r="R93" s="159">
        <v>102.4</v>
      </c>
      <c r="S93" s="159"/>
      <c r="T93" s="159">
        <v>139.19999999999999</v>
      </c>
      <c r="U93" s="159"/>
      <c r="V93" s="159">
        <v>108.3</v>
      </c>
      <c r="W93" s="159"/>
      <c r="X93" s="159">
        <v>408.3</v>
      </c>
      <c r="Y93" s="159"/>
      <c r="Z93" s="159">
        <v>1262</v>
      </c>
      <c r="AA93" s="159"/>
      <c r="AB93" s="159">
        <v>1357</v>
      </c>
      <c r="AC93" s="159"/>
      <c r="AD93" s="141">
        <f>SUM(F93:AB93)</f>
        <v>10244.299999999999</v>
      </c>
      <c r="AE93" s="145">
        <f>AD93/AD$136</f>
        <v>9.4992752477422601E-2</v>
      </c>
    </row>
    <row r="94" spans="2:31" s="138" customFormat="1" ht="10.199999999999999">
      <c r="C94" s="158">
        <v>2022</v>
      </c>
      <c r="D94" s="158"/>
      <c r="E94" s="158"/>
      <c r="F94" s="159">
        <v>0</v>
      </c>
      <c r="G94" s="159"/>
      <c r="H94" s="159">
        <v>0</v>
      </c>
      <c r="I94" s="159"/>
      <c r="J94" s="159">
        <v>0</v>
      </c>
      <c r="K94" s="159"/>
      <c r="L94" s="159">
        <v>0</v>
      </c>
      <c r="M94" s="159"/>
      <c r="N94" s="159">
        <v>0</v>
      </c>
      <c r="O94" s="159"/>
      <c r="P94" s="159">
        <v>0</v>
      </c>
      <c r="Q94" s="159"/>
      <c r="R94" s="159">
        <v>0</v>
      </c>
      <c r="S94" s="159"/>
      <c r="T94" s="159">
        <v>0</v>
      </c>
      <c r="U94" s="159"/>
      <c r="V94" s="159">
        <v>0</v>
      </c>
      <c r="W94" s="159"/>
      <c r="X94" s="159">
        <v>0</v>
      </c>
      <c r="Y94" s="159"/>
      <c r="Z94" s="159">
        <v>0</v>
      </c>
      <c r="AA94" s="159"/>
      <c r="AB94" s="159">
        <v>0</v>
      </c>
      <c r="AC94" s="159"/>
      <c r="AD94" s="141">
        <f>SUM(F94:AB94)</f>
        <v>0</v>
      </c>
      <c r="AE94" s="145">
        <f>AD94/AD$137</f>
        <v>0</v>
      </c>
    </row>
    <row r="95" spans="2:31" s="138" customFormat="1" ht="10.199999999999999">
      <c r="C95" s="158">
        <v>2023</v>
      </c>
      <c r="D95" s="158"/>
      <c r="E95" s="158"/>
      <c r="F95" s="159">
        <v>0</v>
      </c>
      <c r="G95" s="159"/>
      <c r="H95" s="159">
        <v>0</v>
      </c>
      <c r="I95" s="159"/>
      <c r="J95" s="159">
        <v>0</v>
      </c>
      <c r="K95" s="159"/>
      <c r="L95" s="159">
        <v>0</v>
      </c>
      <c r="M95" s="159"/>
      <c r="N95" s="159">
        <v>0</v>
      </c>
      <c r="O95" s="159"/>
      <c r="P95" s="159">
        <v>0</v>
      </c>
      <c r="Q95" s="159"/>
      <c r="R95" s="159">
        <v>0</v>
      </c>
      <c r="S95" s="159"/>
      <c r="T95" s="159">
        <v>0</v>
      </c>
      <c r="U95" s="159"/>
      <c r="V95" s="159">
        <v>0</v>
      </c>
      <c r="W95" s="159"/>
      <c r="X95" s="159">
        <v>0</v>
      </c>
      <c r="Y95" s="159"/>
      <c r="Z95" s="159">
        <v>0</v>
      </c>
      <c r="AA95" s="159"/>
      <c r="AB95" s="159">
        <v>0</v>
      </c>
      <c r="AC95" s="159"/>
      <c r="AD95" s="141">
        <f>SUM(F95:AB95)</f>
        <v>0</v>
      </c>
      <c r="AE95" s="145">
        <f>AD95/AD$138</f>
        <v>0</v>
      </c>
    </row>
    <row r="96" spans="2:31" s="138" customFormat="1" ht="10.199999999999999">
      <c r="C96" s="158">
        <v>2024</v>
      </c>
      <c r="D96" s="158"/>
      <c r="E96" s="158"/>
      <c r="F96" s="159">
        <v>0</v>
      </c>
      <c r="G96" s="159"/>
      <c r="H96" s="159">
        <v>0</v>
      </c>
      <c r="I96" s="159"/>
      <c r="J96" s="159">
        <v>0</v>
      </c>
      <c r="K96" s="159"/>
      <c r="L96" s="159">
        <v>0</v>
      </c>
      <c r="M96" s="159"/>
      <c r="N96" s="159">
        <v>0</v>
      </c>
      <c r="O96" s="159"/>
      <c r="P96" s="159">
        <v>0</v>
      </c>
      <c r="Q96" s="159"/>
      <c r="R96" s="159">
        <v>0</v>
      </c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41">
        <f>SUM(F96:AB96)</f>
        <v>0</v>
      </c>
      <c r="AE96" s="145">
        <f>AD96/AD$139</f>
        <v>0</v>
      </c>
    </row>
    <row r="97" spans="3:31" s="138" customFormat="1" ht="10.199999999999999">
      <c r="L97" s="141"/>
    </row>
    <row r="98" spans="3:31" s="138" customFormat="1" ht="10.199999999999999">
      <c r="C98" s="138" t="s">
        <v>211</v>
      </c>
      <c r="F98" s="141" t="s">
        <v>202</v>
      </c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</row>
    <row r="99" spans="3:31" s="138" customFormat="1" ht="10.199999999999999">
      <c r="C99" s="138">
        <v>2020</v>
      </c>
      <c r="F99" s="141"/>
      <c r="G99" s="141"/>
      <c r="H99" s="141"/>
      <c r="I99" s="141"/>
      <c r="J99" s="141"/>
      <c r="K99" s="141"/>
      <c r="L99" s="141"/>
      <c r="M99" s="141"/>
      <c r="N99" s="149">
        <v>234</v>
      </c>
      <c r="O99" s="141"/>
      <c r="P99" s="149">
        <v>133</v>
      </c>
      <c r="Q99" s="141"/>
      <c r="R99" s="149">
        <v>111</v>
      </c>
      <c r="S99" s="141"/>
      <c r="T99" s="149">
        <v>120</v>
      </c>
      <c r="U99" s="141"/>
      <c r="V99" s="149">
        <v>135</v>
      </c>
      <c r="W99" s="141"/>
      <c r="X99" s="149">
        <v>187</v>
      </c>
      <c r="Y99" s="141"/>
      <c r="Z99" s="149">
        <v>387</v>
      </c>
      <c r="AA99" s="141"/>
      <c r="AB99" s="149">
        <v>745</v>
      </c>
      <c r="AC99" s="141"/>
      <c r="AD99" s="141">
        <f>SUM(F99:AB99)</f>
        <v>2052</v>
      </c>
      <c r="AE99" s="146">
        <f>AD99/AD$135</f>
        <v>2.5228483785534252E-2</v>
      </c>
    </row>
    <row r="100" spans="3:31" s="138" customFormat="1" ht="10.199999999999999">
      <c r="C100" s="138">
        <v>2021</v>
      </c>
      <c r="F100" s="149">
        <v>789</v>
      </c>
      <c r="G100" s="141"/>
      <c r="H100" s="149">
        <v>461</v>
      </c>
      <c r="I100" s="141"/>
      <c r="J100" s="149">
        <v>164</v>
      </c>
      <c r="K100" s="141"/>
      <c r="L100" s="149">
        <v>353</v>
      </c>
      <c r="M100" s="141"/>
      <c r="N100" s="149">
        <v>225</v>
      </c>
      <c r="O100" s="141"/>
      <c r="P100" s="149">
        <v>150</v>
      </c>
      <c r="Q100" s="141"/>
      <c r="R100" s="149">
        <v>117</v>
      </c>
      <c r="S100" s="141"/>
      <c r="T100" s="149">
        <v>115</v>
      </c>
      <c r="U100" s="141"/>
      <c r="V100" s="149">
        <v>116</v>
      </c>
      <c r="W100" s="141"/>
      <c r="X100" s="149">
        <v>183</v>
      </c>
      <c r="Y100" s="141"/>
      <c r="Z100" s="149">
        <v>531</v>
      </c>
      <c r="AA100" s="141"/>
      <c r="AB100" s="149">
        <v>531</v>
      </c>
      <c r="AC100" s="141"/>
      <c r="AD100" s="141">
        <f>SUM(F100:AB100)</f>
        <v>3735</v>
      </c>
      <c r="AE100" s="146">
        <f>AD100/AD$136</f>
        <v>3.4633691955836259E-2</v>
      </c>
    </row>
    <row r="101" spans="3:31" s="138" customFormat="1" ht="10.199999999999999">
      <c r="C101" s="138">
        <v>2022</v>
      </c>
      <c r="F101" s="149">
        <v>845</v>
      </c>
      <c r="G101" s="141"/>
      <c r="H101" s="149">
        <v>58</v>
      </c>
      <c r="I101" s="141"/>
      <c r="J101" s="149">
        <v>482</v>
      </c>
      <c r="K101" s="141"/>
      <c r="L101" s="149">
        <v>232</v>
      </c>
      <c r="M101" s="141"/>
      <c r="N101" s="149">
        <v>158</v>
      </c>
      <c r="O101" s="141"/>
      <c r="P101" s="149">
        <v>134</v>
      </c>
      <c r="Q101" s="141"/>
      <c r="R101" s="149">
        <v>119</v>
      </c>
      <c r="S101" s="141"/>
      <c r="T101" s="160">
        <v>114</v>
      </c>
      <c r="U101" s="141"/>
      <c r="V101" s="149">
        <v>156</v>
      </c>
      <c r="W101" s="141"/>
      <c r="X101" s="149">
        <v>300</v>
      </c>
      <c r="Y101" s="141"/>
      <c r="Z101" s="149">
        <v>478</v>
      </c>
      <c r="AA101" s="141"/>
      <c r="AB101" s="149">
        <v>784</v>
      </c>
      <c r="AC101" s="141"/>
      <c r="AD101" s="141">
        <f>SUM(F101:AB101)</f>
        <v>3860</v>
      </c>
      <c r="AE101" s="146">
        <f>AD101/AD$137</f>
        <v>4.8547377475326288E-2</v>
      </c>
    </row>
    <row r="102" spans="3:31" s="138" customFormat="1" ht="10.199999999999999">
      <c r="C102" s="138">
        <v>2023</v>
      </c>
      <c r="F102" s="149">
        <v>724</v>
      </c>
      <c r="G102" s="141"/>
      <c r="H102" s="149">
        <v>485</v>
      </c>
      <c r="I102" s="141"/>
      <c r="J102" s="149">
        <v>491</v>
      </c>
      <c r="K102" s="141"/>
      <c r="L102" s="149">
        <v>259</v>
      </c>
      <c r="M102" s="141"/>
      <c r="N102" s="149">
        <v>171</v>
      </c>
      <c r="O102" s="141"/>
      <c r="P102" s="149">
        <v>112</v>
      </c>
      <c r="Q102" s="141"/>
      <c r="R102" s="149">
        <v>130</v>
      </c>
      <c r="S102" s="141"/>
      <c r="T102" s="160">
        <v>137</v>
      </c>
      <c r="U102" s="141"/>
      <c r="V102" s="149">
        <v>165</v>
      </c>
      <c r="W102" s="141"/>
      <c r="X102" s="149">
        <v>273</v>
      </c>
      <c r="Y102" s="141"/>
      <c r="Z102" s="149">
        <v>477</v>
      </c>
      <c r="AA102" s="141"/>
      <c r="AB102" s="149">
        <v>613</v>
      </c>
      <c r="AC102" s="141"/>
      <c r="AD102" s="141">
        <f>SUM(F102:AB102)</f>
        <v>4037</v>
      </c>
      <c r="AE102" s="146">
        <f>AD102/AD$138</f>
        <v>6.1500787546375002E-2</v>
      </c>
    </row>
    <row r="103" spans="3:31" s="138" customFormat="1" ht="10.199999999999999">
      <c r="C103" s="138">
        <v>2024</v>
      </c>
      <c r="F103" s="149">
        <v>855</v>
      </c>
      <c r="G103" s="141"/>
      <c r="H103" s="161">
        <v>883</v>
      </c>
      <c r="I103" s="141"/>
      <c r="J103" s="149">
        <v>418</v>
      </c>
      <c r="K103" s="141"/>
      <c r="L103" s="149">
        <v>264</v>
      </c>
      <c r="M103" s="141"/>
      <c r="N103" s="149">
        <v>146</v>
      </c>
      <c r="O103" s="141"/>
      <c r="P103" s="149">
        <v>121</v>
      </c>
      <c r="Q103" s="141"/>
      <c r="R103" s="149">
        <v>122</v>
      </c>
      <c r="S103" s="141"/>
      <c r="T103" s="160">
        <v>141</v>
      </c>
      <c r="U103" s="141"/>
      <c r="V103" s="149">
        <v>145</v>
      </c>
      <c r="W103" s="141"/>
      <c r="X103" s="149">
        <v>237</v>
      </c>
      <c r="Y103" s="141"/>
      <c r="Z103" s="149">
        <v>397</v>
      </c>
      <c r="AA103" s="141"/>
      <c r="AB103" s="149">
        <v>684</v>
      </c>
      <c r="AC103" s="141"/>
      <c r="AD103" s="141">
        <f>SUM(F103:AB103)</f>
        <v>4413</v>
      </c>
      <c r="AE103" s="146">
        <f>AD103/AD$139</f>
        <v>4.6335738347141095E-2</v>
      </c>
    </row>
    <row r="104" spans="3:31" s="138" customFormat="1" ht="10.199999999999999">
      <c r="C104" s="138">
        <v>2025</v>
      </c>
      <c r="F104" s="149">
        <v>1008</v>
      </c>
      <c r="G104" s="141"/>
      <c r="H104" s="161">
        <v>689</v>
      </c>
      <c r="I104" s="141"/>
      <c r="J104" s="149">
        <v>480</v>
      </c>
      <c r="K104" s="141"/>
      <c r="L104" s="149">
        <v>276</v>
      </c>
      <c r="M104" s="141"/>
      <c r="N104" s="149"/>
      <c r="O104" s="141"/>
      <c r="P104" s="149"/>
      <c r="Q104" s="141"/>
      <c r="R104" s="149"/>
      <c r="S104" s="141"/>
      <c r="T104" s="160"/>
      <c r="U104" s="141"/>
      <c r="V104" s="149"/>
      <c r="W104" s="141"/>
      <c r="X104" s="149"/>
      <c r="Y104" s="141"/>
      <c r="Z104" s="149"/>
      <c r="AA104" s="141"/>
      <c r="AB104" s="149"/>
      <c r="AC104" s="141"/>
      <c r="AE104" s="146"/>
    </row>
    <row r="105" spans="3:31" s="138" customFormat="1" ht="10.199999999999999"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</row>
    <row r="106" spans="3:31" s="138" customFormat="1" ht="10.199999999999999">
      <c r="C106" s="138" t="s">
        <v>212</v>
      </c>
      <c r="F106" s="141" t="s">
        <v>200</v>
      </c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</row>
    <row r="107" spans="3:31" s="138" customFormat="1" ht="10.199999999999999">
      <c r="C107" s="138">
        <v>2020</v>
      </c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E107" s="146"/>
    </row>
    <row r="108" spans="3:31" s="138" customFormat="1" ht="10.199999999999999">
      <c r="C108" s="138">
        <v>2021</v>
      </c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E108" s="146"/>
    </row>
    <row r="109" spans="3:31" s="138" customFormat="1" ht="10.199999999999999">
      <c r="C109" s="138">
        <v>2022</v>
      </c>
      <c r="F109" s="149">
        <v>1094</v>
      </c>
      <c r="G109" s="141"/>
      <c r="H109" s="149">
        <v>1774</v>
      </c>
      <c r="I109" s="141"/>
      <c r="J109" s="149">
        <v>5600</v>
      </c>
      <c r="K109" s="141"/>
      <c r="L109" s="149">
        <v>300</v>
      </c>
      <c r="M109" s="141"/>
      <c r="N109" s="149">
        <v>310</v>
      </c>
      <c r="O109" s="141"/>
      <c r="P109" s="149">
        <v>150</v>
      </c>
      <c r="Q109" s="141"/>
      <c r="R109" s="149">
        <v>335</v>
      </c>
      <c r="S109" s="141"/>
      <c r="T109" s="149">
        <v>320</v>
      </c>
      <c r="U109" s="141"/>
      <c r="V109" s="149">
        <v>624</v>
      </c>
      <c r="W109" s="141"/>
      <c r="X109" s="149">
        <v>758</v>
      </c>
      <c r="Y109" s="141"/>
      <c r="Z109" s="149">
        <v>295</v>
      </c>
      <c r="AA109" s="141"/>
      <c r="AB109" s="149">
        <v>930</v>
      </c>
      <c r="AC109" s="141"/>
      <c r="AD109" s="141">
        <f>SUM(F109:AB109)</f>
        <v>12490</v>
      </c>
      <c r="AE109" s="146"/>
    </row>
    <row r="110" spans="3:31" s="138" customFormat="1" ht="10.199999999999999">
      <c r="C110" s="138">
        <v>2023</v>
      </c>
      <c r="F110" s="149">
        <v>155</v>
      </c>
      <c r="G110" s="141"/>
      <c r="H110" s="149">
        <v>140</v>
      </c>
      <c r="I110" s="141"/>
      <c r="J110" s="149">
        <v>620</v>
      </c>
      <c r="K110" s="141"/>
      <c r="L110" s="149">
        <v>377</v>
      </c>
      <c r="M110" s="141"/>
      <c r="N110" s="149">
        <v>1550</v>
      </c>
      <c r="O110" s="141"/>
      <c r="P110" s="149">
        <v>1200</v>
      </c>
      <c r="Q110" s="141"/>
      <c r="R110" s="149">
        <v>1240</v>
      </c>
      <c r="S110" s="141"/>
      <c r="T110" s="149">
        <v>375</v>
      </c>
      <c r="U110" s="141"/>
      <c r="V110" s="149">
        <v>391</v>
      </c>
      <c r="W110" s="141"/>
      <c r="X110" s="149">
        <v>341</v>
      </c>
      <c r="Y110" s="141"/>
      <c r="Z110" s="149">
        <v>1717</v>
      </c>
      <c r="AA110" s="141"/>
      <c r="AB110" s="149">
        <v>2170</v>
      </c>
      <c r="AC110" s="141"/>
      <c r="AD110" s="141">
        <f>SUM(F110:AB110)</f>
        <v>10276</v>
      </c>
      <c r="AE110" s="146"/>
    </row>
    <row r="111" spans="3:31" s="138" customFormat="1" ht="10.199999999999999">
      <c r="C111" s="138">
        <v>2024</v>
      </c>
      <c r="F111" s="149">
        <v>2950</v>
      </c>
      <c r="G111" s="141"/>
      <c r="H111" s="149">
        <v>2062</v>
      </c>
      <c r="I111" s="141"/>
      <c r="J111" s="149">
        <v>2282</v>
      </c>
      <c r="K111" s="141"/>
      <c r="L111" s="149">
        <v>922</v>
      </c>
      <c r="M111" s="141"/>
      <c r="N111" s="149">
        <v>906</v>
      </c>
      <c r="O111" s="141"/>
      <c r="P111" s="149">
        <v>486</v>
      </c>
      <c r="Q111" s="141"/>
      <c r="R111" s="149">
        <v>229</v>
      </c>
      <c r="S111" s="141"/>
      <c r="T111" s="149">
        <v>348</v>
      </c>
      <c r="U111" s="141"/>
      <c r="V111" s="149">
        <v>311</v>
      </c>
      <c r="W111" s="141"/>
      <c r="X111" s="149">
        <v>737</v>
      </c>
      <c r="Y111" s="141"/>
      <c r="Z111" s="149">
        <v>1161</v>
      </c>
      <c r="AA111" s="141"/>
      <c r="AB111" s="149">
        <v>1108</v>
      </c>
      <c r="AC111" s="141"/>
      <c r="AD111" s="141">
        <f>SUM(F111:AB111)</f>
        <v>13502</v>
      </c>
    </row>
    <row r="112" spans="3:31" s="138" customFormat="1" ht="10.199999999999999">
      <c r="C112" s="138">
        <v>2025</v>
      </c>
      <c r="F112" s="149">
        <v>430</v>
      </c>
      <c r="G112" s="141"/>
      <c r="H112" s="149">
        <v>2437</v>
      </c>
      <c r="I112" s="141"/>
      <c r="J112" s="149">
        <v>2668</v>
      </c>
      <c r="K112" s="141"/>
      <c r="L112" s="149">
        <v>1920</v>
      </c>
      <c r="M112" s="141"/>
      <c r="N112" s="149"/>
      <c r="O112" s="141"/>
      <c r="P112" s="149"/>
      <c r="Q112" s="141"/>
      <c r="R112" s="149"/>
      <c r="S112" s="141"/>
      <c r="T112" s="149"/>
      <c r="U112" s="141"/>
      <c r="V112" s="149"/>
      <c r="W112" s="141"/>
      <c r="X112" s="149"/>
      <c r="Y112" s="141"/>
      <c r="Z112" s="149"/>
      <c r="AA112" s="141"/>
      <c r="AB112" s="149"/>
      <c r="AC112" s="141"/>
      <c r="AD112" s="141"/>
    </row>
    <row r="113" spans="3:31" s="138" customFormat="1" ht="10.199999999999999">
      <c r="L113" s="141"/>
      <c r="T113" s="141"/>
      <c r="V113" s="141"/>
      <c r="X113" s="141"/>
    </row>
    <row r="114" spans="3:31" s="138" customFormat="1" ht="10.199999999999999">
      <c r="C114" s="138" t="s">
        <v>201</v>
      </c>
      <c r="F114" s="141" t="s">
        <v>202</v>
      </c>
      <c r="G114" s="141"/>
      <c r="H114" s="150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</row>
    <row r="115" spans="3:31" s="138" customFormat="1" ht="10.199999999999999">
      <c r="C115" s="138">
        <v>2020</v>
      </c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6">
        <f>AD115/AD$135</f>
        <v>0</v>
      </c>
    </row>
    <row r="116" spans="3:31" s="138" customFormat="1" ht="10.199999999999999">
      <c r="C116" s="138">
        <v>2021</v>
      </c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6">
        <f>AD116/AD$136</f>
        <v>0</v>
      </c>
    </row>
    <row r="117" spans="3:31" s="138" customFormat="1" ht="10.199999999999999">
      <c r="C117" s="138">
        <v>2022</v>
      </c>
      <c r="F117" s="151">
        <f>F109/$H$20</f>
        <v>985.58558558558548</v>
      </c>
      <c r="G117" s="141"/>
      <c r="H117" s="151">
        <f>H109/$H$20</f>
        <v>1598.198198198198</v>
      </c>
      <c r="I117" s="141"/>
      <c r="J117" s="151">
        <f>J109/$H$20</f>
        <v>5045.0450450450444</v>
      </c>
      <c r="K117" s="141"/>
      <c r="L117" s="151">
        <f>L109/$H$20</f>
        <v>270.27027027027026</v>
      </c>
      <c r="M117" s="141"/>
      <c r="N117" s="151">
        <f>N109/$H$20</f>
        <v>279.27927927927925</v>
      </c>
      <c r="O117" s="141"/>
      <c r="P117" s="151">
        <f>P109/$H$20</f>
        <v>135.13513513513513</v>
      </c>
      <c r="Q117" s="141"/>
      <c r="R117" s="151">
        <f>R109/$H$20</f>
        <v>301.80180180180179</v>
      </c>
      <c r="S117" s="141"/>
      <c r="T117" s="151">
        <f>T109/$H$20</f>
        <v>288.28828828828824</v>
      </c>
      <c r="U117" s="141"/>
      <c r="V117" s="151">
        <f>V109/$H$20</f>
        <v>562.16216216216208</v>
      </c>
      <c r="W117" s="141"/>
      <c r="X117" s="151">
        <f>X109/$H$20</f>
        <v>682.88288288288277</v>
      </c>
      <c r="Y117" s="141"/>
      <c r="Z117" s="151">
        <f>Z109/$H$20</f>
        <v>265.76576576576576</v>
      </c>
      <c r="AA117" s="141"/>
      <c r="AB117" s="151">
        <f>AB109/$H$20</f>
        <v>837.83783783783781</v>
      </c>
      <c r="AC117" s="141"/>
      <c r="AD117" s="141">
        <f>SUM(F117:AB117)</f>
        <v>11252.252252252249</v>
      </c>
      <c r="AE117" s="146">
        <f>AD117/AD$137</f>
        <v>0.14152003563152341</v>
      </c>
    </row>
    <row r="118" spans="3:31" s="138" customFormat="1" ht="10.199999999999999">
      <c r="C118" s="138">
        <v>2023</v>
      </c>
      <c r="F118" s="151">
        <f>F110/$H$20</f>
        <v>139.63963963963963</v>
      </c>
      <c r="G118" s="141"/>
      <c r="H118" s="151">
        <f>H110/$H$20</f>
        <v>126.12612612612611</v>
      </c>
      <c r="I118" s="141"/>
      <c r="J118" s="151">
        <f>J110/$H$20</f>
        <v>558.5585585585585</v>
      </c>
      <c r="K118" s="141"/>
      <c r="L118" s="151">
        <f>L110/$H$20</f>
        <v>339.6396396396396</v>
      </c>
      <c r="M118" s="141"/>
      <c r="N118" s="151">
        <f>N110/$H$20</f>
        <v>1396.3963963963963</v>
      </c>
      <c r="O118" s="141"/>
      <c r="P118" s="151">
        <f>P110/$H$20</f>
        <v>1081.081081081081</v>
      </c>
      <c r="Q118" s="141"/>
      <c r="R118" s="151">
        <f>R110/$H$20</f>
        <v>1117.117117117117</v>
      </c>
      <c r="S118" s="141"/>
      <c r="T118" s="151">
        <f>T110/$H$20</f>
        <v>337.83783783783781</v>
      </c>
      <c r="U118" s="141"/>
      <c r="V118" s="151">
        <f>V110/$H$20</f>
        <v>352.25225225225222</v>
      </c>
      <c r="W118" s="141"/>
      <c r="X118" s="151">
        <f>X110/$H$20</f>
        <v>307.2072072072072</v>
      </c>
      <c r="Y118" s="141"/>
      <c r="Z118" s="151">
        <f>Z110/$H$20</f>
        <v>1546.8468468468468</v>
      </c>
      <c r="AA118" s="141"/>
      <c r="AB118" s="151">
        <f>AB110/$H$20</f>
        <v>1954.9549549549547</v>
      </c>
      <c r="AC118" s="141"/>
      <c r="AD118" s="141">
        <f>SUM(F118:AB118)</f>
        <v>9257.6576576576554</v>
      </c>
      <c r="AE118" s="146">
        <f>AD118/AD$138</f>
        <v>0.14103374703509416</v>
      </c>
    </row>
    <row r="119" spans="3:31" s="138" customFormat="1" ht="10.199999999999999">
      <c r="C119" s="138">
        <v>2024</v>
      </c>
      <c r="F119" s="151">
        <f>F111/$H$20</f>
        <v>2657.6576576576576</v>
      </c>
      <c r="G119" s="141"/>
      <c r="H119" s="151">
        <f>H111/$H$20</f>
        <v>1857.6576576576574</v>
      </c>
      <c r="I119" s="141"/>
      <c r="J119" s="151">
        <f>J111/$H$20</f>
        <v>2055.8558558558557</v>
      </c>
      <c r="K119" s="141"/>
      <c r="L119" s="152">
        <f>L111/$H$20</f>
        <v>830.63063063063055</v>
      </c>
      <c r="M119" s="141"/>
      <c r="N119" s="151">
        <f>N111/$H$20</f>
        <v>816.21621621621614</v>
      </c>
      <c r="O119" s="141"/>
      <c r="P119" s="152">
        <f>P111/$H$20</f>
        <v>437.83783783783781</v>
      </c>
      <c r="Q119" s="141"/>
      <c r="R119" s="152">
        <f>R111/$H$20</f>
        <v>206.30630630630628</v>
      </c>
      <c r="S119" s="141"/>
      <c r="T119" s="152">
        <f>T111/$H$20</f>
        <v>313.51351351351349</v>
      </c>
      <c r="U119" s="141"/>
      <c r="V119" s="152">
        <f>V111/$H$20</f>
        <v>280.18018018018017</v>
      </c>
      <c r="W119" s="141"/>
      <c r="X119" s="152">
        <f>X111/$H$20</f>
        <v>663.96396396396392</v>
      </c>
      <c r="Y119" s="141"/>
      <c r="Z119" s="152">
        <f>Z111/$H$20</f>
        <v>1045.9459459459458</v>
      </c>
      <c r="AA119" s="141"/>
      <c r="AB119" s="152">
        <f>AB111/$H$20</f>
        <v>998.19819819819816</v>
      </c>
      <c r="AC119" s="141"/>
      <c r="AD119" s="141">
        <f>SUM(F119:AB119)</f>
        <v>12163.963963963964</v>
      </c>
      <c r="AE119" s="146">
        <f>AD119/AD$139</f>
        <v>0.12771952220672728</v>
      </c>
    </row>
    <row r="120" spans="3:31" s="138" customFormat="1" ht="10.199999999999999">
      <c r="C120" s="138">
        <v>2025</v>
      </c>
      <c r="F120" s="152">
        <f>F112/$H$20</f>
        <v>387.38738738738738</v>
      </c>
      <c r="G120" s="141"/>
      <c r="H120" s="152">
        <f>H112/$H$20</f>
        <v>2195.4954954954951</v>
      </c>
      <c r="I120" s="141"/>
      <c r="J120" s="152">
        <f>J112/$H$20</f>
        <v>2403.6036036036035</v>
      </c>
      <c r="K120" s="141"/>
      <c r="L120" s="152">
        <f>L112/$H$20</f>
        <v>1729.7297297297296</v>
      </c>
      <c r="M120" s="141"/>
      <c r="N120" s="141"/>
      <c r="O120" s="141"/>
      <c r="P120" s="153"/>
      <c r="Q120" s="141"/>
      <c r="R120" s="153"/>
      <c r="S120" s="141"/>
      <c r="T120" s="153"/>
      <c r="U120" s="141"/>
      <c r="V120" s="153"/>
      <c r="W120" s="141"/>
      <c r="X120" s="153"/>
      <c r="Y120" s="141"/>
      <c r="Z120" s="153"/>
      <c r="AA120" s="141"/>
      <c r="AB120" s="153"/>
      <c r="AC120" s="141"/>
      <c r="AD120" s="141"/>
      <c r="AE120" s="146"/>
    </row>
    <row r="121" spans="3:31" s="138" customFormat="1" ht="7.2" customHeight="1">
      <c r="L121" s="141"/>
      <c r="T121" s="141"/>
      <c r="V121" s="141"/>
      <c r="X121" s="141"/>
    </row>
    <row r="122" spans="3:31" s="138" customFormat="1" ht="7.2" customHeight="1">
      <c r="L122" s="141"/>
      <c r="T122" s="141"/>
      <c r="V122" s="141"/>
      <c r="X122" s="141"/>
    </row>
    <row r="123" spans="3:31" s="138" customFormat="1" ht="10.199999999999999">
      <c r="C123" s="138" t="s">
        <v>213</v>
      </c>
      <c r="L123" s="141"/>
      <c r="T123" s="141"/>
      <c r="V123" s="141"/>
      <c r="X123" s="141"/>
    </row>
    <row r="124" spans="3:31" s="138" customFormat="1" ht="10.199999999999999">
      <c r="C124" s="138">
        <v>2020</v>
      </c>
      <c r="L124" s="141"/>
      <c r="N124" s="151">
        <f>N115+N99+N92</f>
        <v>575</v>
      </c>
      <c r="P124" s="151">
        <f>P115+P99+P92</f>
        <v>176</v>
      </c>
      <c r="R124" s="151">
        <f>R115+R99+R92</f>
        <v>120</v>
      </c>
      <c r="T124" s="151">
        <f>T115+T99+T92</f>
        <v>137</v>
      </c>
      <c r="V124" s="151">
        <f>V115+V99+V92</f>
        <v>286</v>
      </c>
      <c r="X124" s="151">
        <f>X115+X99+X92</f>
        <v>458</v>
      </c>
      <c r="Z124" s="151">
        <f>Z115+Z99+Z92</f>
        <v>1309</v>
      </c>
      <c r="AB124" s="151">
        <f>AB115+AB99+AB92</f>
        <v>2376</v>
      </c>
    </row>
    <row r="125" spans="3:31" s="138" customFormat="1" ht="10.199999999999999">
      <c r="C125" s="138">
        <v>2021</v>
      </c>
      <c r="F125" s="151">
        <f>F116+F100+F93</f>
        <v>2560</v>
      </c>
      <c r="H125" s="151">
        <f>H116+H100+H93</f>
        <v>2906</v>
      </c>
      <c r="J125" s="151">
        <f>J116+J100+J93</f>
        <v>1697</v>
      </c>
      <c r="L125" s="151">
        <f>L116+L100+L93</f>
        <v>850</v>
      </c>
      <c r="N125" s="151">
        <f>N116+N100+N93</f>
        <v>725.9</v>
      </c>
      <c r="P125" s="151">
        <f>P116+P100+P93</f>
        <v>270.2</v>
      </c>
      <c r="R125" s="151">
        <f>R116+R100+R93</f>
        <v>219.4</v>
      </c>
      <c r="T125" s="151">
        <f>T116+T100+T93</f>
        <v>254.2</v>
      </c>
      <c r="V125" s="151">
        <f>V116+V100+V93</f>
        <v>224.3</v>
      </c>
      <c r="X125" s="151">
        <f>X116+X100+X93</f>
        <v>591.29999999999995</v>
      </c>
      <c r="Z125" s="151">
        <f>Z116+Z100+Z93</f>
        <v>1793</v>
      </c>
      <c r="AB125" s="151">
        <f>AB116+AB100+AB93</f>
        <v>1888</v>
      </c>
    </row>
    <row r="126" spans="3:31" s="138" customFormat="1" ht="10.199999999999999">
      <c r="C126" s="138">
        <v>2022</v>
      </c>
      <c r="F126" s="151">
        <f>F117+F101</f>
        <v>1830.5855855855855</v>
      </c>
      <c r="H126" s="151">
        <f>H117+H101</f>
        <v>1656.198198198198</v>
      </c>
      <c r="J126" s="151">
        <f>J117+J101</f>
        <v>5527.0450450450444</v>
      </c>
      <c r="L126" s="151">
        <f>L117+L101</f>
        <v>502.27027027027026</v>
      </c>
      <c r="N126" s="151">
        <f>N117+N101</f>
        <v>437.27927927927925</v>
      </c>
      <c r="P126" s="151">
        <f>P117+P101</f>
        <v>269.1351351351351</v>
      </c>
      <c r="R126" s="151">
        <f>R117+R101</f>
        <v>420.80180180180179</v>
      </c>
      <c r="T126" s="151">
        <f>T117+T101</f>
        <v>402.28828828828824</v>
      </c>
      <c r="V126" s="151">
        <f>V117+V101</f>
        <v>718.16216216216208</v>
      </c>
      <c r="X126" s="151">
        <f>X117+X101</f>
        <v>982.88288288288277</v>
      </c>
      <c r="Z126" s="151">
        <f>Z117+Z101</f>
        <v>743.76576576576576</v>
      </c>
      <c r="AB126" s="151">
        <f>AB117+AB101</f>
        <v>1621.8378378378379</v>
      </c>
    </row>
    <row r="127" spans="3:31" s="138" customFormat="1" ht="10.199999999999999">
      <c r="C127" s="138">
        <v>2023</v>
      </c>
      <c r="F127" s="151">
        <f>F118+F102</f>
        <v>863.63963963963965</v>
      </c>
      <c r="H127" s="151">
        <f>H118+H102</f>
        <v>611.12612612612611</v>
      </c>
      <c r="J127" s="151">
        <f>J118+J102</f>
        <v>1049.5585585585586</v>
      </c>
      <c r="L127" s="151">
        <f>L118+L102</f>
        <v>598.63963963963965</v>
      </c>
      <c r="N127" s="151">
        <f>N118+N102</f>
        <v>1567.3963963963963</v>
      </c>
      <c r="P127" s="151">
        <f>P118+P102</f>
        <v>1193.081081081081</v>
      </c>
      <c r="R127" s="151">
        <f>R118+R102</f>
        <v>1247.117117117117</v>
      </c>
      <c r="T127" s="151">
        <f>T118+T102</f>
        <v>474.83783783783781</v>
      </c>
      <c r="V127" s="151">
        <f>V118+V102</f>
        <v>517.25225225225222</v>
      </c>
      <c r="X127" s="151">
        <f>X118+X102</f>
        <v>580.20720720720715</v>
      </c>
      <c r="Z127" s="152">
        <f>Z118+Z102</f>
        <v>2023.8468468468468</v>
      </c>
      <c r="AA127" s="162"/>
      <c r="AB127" s="152">
        <f>AB118+AB102</f>
        <v>2567.9549549549547</v>
      </c>
    </row>
    <row r="128" spans="3:31" s="138" customFormat="1" ht="10.199999999999999">
      <c r="C128" s="138">
        <v>2024</v>
      </c>
      <c r="F128" s="152">
        <f>F119+F103</f>
        <v>3512.6576576576576</v>
      </c>
      <c r="G128" s="162"/>
      <c r="H128" s="152">
        <f>H119+H103</f>
        <v>2740.6576576576572</v>
      </c>
      <c r="I128" s="162"/>
      <c r="J128" s="152">
        <f>J119+J103</f>
        <v>2473.8558558558557</v>
      </c>
      <c r="K128" s="162"/>
      <c r="L128" s="152">
        <f>L119+L103</f>
        <v>1094.6306306306305</v>
      </c>
      <c r="N128" s="151">
        <f>N119+N103</f>
        <v>962.21621621621614</v>
      </c>
      <c r="P128" s="151">
        <f>P119+P103</f>
        <v>558.83783783783781</v>
      </c>
      <c r="R128" s="151">
        <f>R119+R103</f>
        <v>328.30630630630628</v>
      </c>
      <c r="T128" s="151">
        <f>T119+T103</f>
        <v>454.51351351351349</v>
      </c>
      <c r="V128" s="151">
        <f>V119+V103</f>
        <v>425.18018018018017</v>
      </c>
      <c r="X128" s="151">
        <f>X119+X103</f>
        <v>900.96396396396392</v>
      </c>
      <c r="Z128" s="151">
        <f>Z119+Z103</f>
        <v>1442.9459459459458</v>
      </c>
      <c r="AB128" s="151">
        <f>AB119+AB103</f>
        <v>1682.198198198198</v>
      </c>
    </row>
    <row r="129" spans="2:30" s="138" customFormat="1" ht="10.199999999999999">
      <c r="C129" s="138">
        <v>2025</v>
      </c>
      <c r="F129" s="151">
        <f>F120+F104</f>
        <v>1395.3873873873874</v>
      </c>
      <c r="G129" s="162"/>
      <c r="H129" s="151">
        <f>H120+H104</f>
        <v>2884.4954954954951</v>
      </c>
      <c r="I129" s="162"/>
      <c r="J129" s="151">
        <f>J120+J104</f>
        <v>2883.6036036036035</v>
      </c>
      <c r="K129" s="162"/>
      <c r="L129" s="151">
        <f>L120+L104</f>
        <v>2005.7297297297296</v>
      </c>
      <c r="N129" s="141"/>
      <c r="P129" s="141"/>
      <c r="R129" s="141"/>
      <c r="T129" s="141"/>
      <c r="V129" s="141"/>
      <c r="X129" s="141"/>
      <c r="Z129" s="141"/>
      <c r="AB129" s="141"/>
    </row>
    <row r="130" spans="2:30" ht="7.2" customHeight="1">
      <c r="L130" s="110"/>
      <c r="T130" s="110"/>
      <c r="V130" s="110"/>
      <c r="X130" s="110"/>
    </row>
    <row r="131" spans="2:30" s="138" customFormat="1">
      <c r="C131" s="138" t="s">
        <v>172</v>
      </c>
      <c r="L131" s="175">
        <f>SUM(N128:$AB128)+SUM($F129:L129)</f>
        <v>15924.378378378378</v>
      </c>
    </row>
    <row r="132" spans="2:30" ht="7.2" customHeight="1">
      <c r="L132" s="110"/>
      <c r="T132" s="110"/>
      <c r="V132" s="110"/>
      <c r="X132" s="110"/>
    </row>
    <row r="133" spans="2:30">
      <c r="B133" s="135" t="s">
        <v>214</v>
      </c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5"/>
      <c r="AB133" s="135"/>
      <c r="AC133" s="135"/>
    </row>
    <row r="134" spans="2:30"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</row>
    <row r="135" spans="2:30">
      <c r="C135" s="131">
        <v>2020</v>
      </c>
      <c r="F135" s="110"/>
      <c r="G135" s="110"/>
      <c r="H135" s="110"/>
      <c r="I135" s="110"/>
      <c r="J135" s="110"/>
      <c r="K135" s="110"/>
      <c r="L135" s="110"/>
      <c r="M135" s="110"/>
      <c r="N135" s="172">
        <f>N124+N81+N54</f>
        <v>8491.1707877647132</v>
      </c>
      <c r="O135" s="110"/>
      <c r="P135" s="172">
        <f>P124+P81+P54</f>
        <v>7419.100516539851</v>
      </c>
      <c r="Q135" s="110"/>
      <c r="R135" s="172">
        <f>R124+R81+R54</f>
        <v>6886.9887243775011</v>
      </c>
      <c r="S135" s="110"/>
      <c r="T135" s="172">
        <f>T124+T81+T54</f>
        <v>6496.2084438085467</v>
      </c>
      <c r="U135" s="110"/>
      <c r="V135" s="172">
        <f>V124+V81+V54</f>
        <v>7592.9885973558667</v>
      </c>
      <c r="W135" s="110"/>
      <c r="X135" s="172">
        <f>X124+X81+X54</f>
        <v>10046.785077093264</v>
      </c>
      <c r="Y135" s="110"/>
      <c r="Z135" s="172">
        <f>Z124+Z81+Z54</f>
        <v>14448.503300080187</v>
      </c>
      <c r="AA135" s="110"/>
      <c r="AB135" s="172">
        <f>AB124+AB81+AB54</f>
        <v>19954.890454048185</v>
      </c>
      <c r="AC135" s="110"/>
      <c r="AD135" s="110">
        <f>SUM(F135:AB135)</f>
        <v>81336.635901068119</v>
      </c>
    </row>
    <row r="136" spans="2:30">
      <c r="C136" s="131">
        <v>2021</v>
      </c>
      <c r="F136" s="172">
        <f>F125+F82+F55</f>
        <v>15556.585119453011</v>
      </c>
      <c r="G136" s="110"/>
      <c r="H136" s="172">
        <f>H125+H82+H55</f>
        <v>16425.926032210547</v>
      </c>
      <c r="I136" s="110"/>
      <c r="J136" s="172">
        <f>J125+J82+J55</f>
        <v>15407.438645071685</v>
      </c>
      <c r="K136" s="110"/>
      <c r="L136" s="172">
        <f>L125+L82+L55</f>
        <v>11888.517719733416</v>
      </c>
      <c r="M136" s="110"/>
      <c r="N136" s="172">
        <f>N125+N82+N55</f>
        <v>10535.6780252803</v>
      </c>
      <c r="O136" s="110"/>
      <c r="P136" s="172">
        <f>P125+P82+P55</f>
        <v>7620.9013320942495</v>
      </c>
      <c r="Q136" s="110"/>
      <c r="R136" s="172">
        <f>R125+R82+R55</f>
        <v>4118.4637004880524</v>
      </c>
      <c r="S136" s="110"/>
      <c r="T136" s="172">
        <f>T125+T82+T55</f>
        <v>2814.3914765085074</v>
      </c>
      <c r="U136" s="110"/>
      <c r="V136" s="172">
        <f>V125+V82+V55</f>
        <v>2516.1339682300686</v>
      </c>
      <c r="W136" s="110"/>
      <c r="X136" s="172">
        <f>X125+X82+X55</f>
        <v>4165.5143827857055</v>
      </c>
      <c r="Y136" s="110"/>
      <c r="Z136" s="172">
        <f>Z125+Z82+Z55</f>
        <v>9243.8795215819646</v>
      </c>
      <c r="AA136" s="110"/>
      <c r="AB136" s="172">
        <f>AB125+AB82+AB55</f>
        <v>7549.5342272729604</v>
      </c>
      <c r="AC136" s="110"/>
      <c r="AD136" s="110">
        <f>SUM(F136:AB136)</f>
        <v>107842.96415071048</v>
      </c>
    </row>
    <row r="137" spans="2:30">
      <c r="C137" s="131">
        <v>2022</v>
      </c>
      <c r="F137" s="172">
        <f>F126+F83+F56</f>
        <v>14658.457567929247</v>
      </c>
      <c r="G137" s="110"/>
      <c r="H137" s="172">
        <f>H126+H83+H56</f>
        <v>10116.513614402456</v>
      </c>
      <c r="I137" s="110"/>
      <c r="J137" s="172">
        <f>J126+J83+J56</f>
        <v>11639.391143287923</v>
      </c>
      <c r="K137" s="110"/>
      <c r="L137" s="172">
        <f>L126+L83+L56</f>
        <v>5352.436748507369</v>
      </c>
      <c r="M137" s="110"/>
      <c r="N137" s="172">
        <f>N126+N83+N56</f>
        <v>3342.7702580353957</v>
      </c>
      <c r="O137" s="110"/>
      <c r="P137" s="172">
        <f>P126+P83+P56</f>
        <v>2435.1120959579189</v>
      </c>
      <c r="Q137" s="110"/>
      <c r="R137" s="172">
        <f>R126+R83+R56</f>
        <v>2711.9607473772512</v>
      </c>
      <c r="S137" s="110"/>
      <c r="T137" s="172">
        <f>T126+T83+T56</f>
        <v>2559.5975991776054</v>
      </c>
      <c r="U137" s="110"/>
      <c r="V137" s="172">
        <f>V126+V83+V56</f>
        <v>3454.7032892027237</v>
      </c>
      <c r="W137" s="110"/>
      <c r="X137" s="172">
        <f>X126+X83+X56</f>
        <v>5700.63516202962</v>
      </c>
      <c r="Y137" s="110"/>
      <c r="Z137" s="172">
        <f>Z126+Z83+Z56</f>
        <v>6845.4684786657617</v>
      </c>
      <c r="AA137" s="110"/>
      <c r="AB137" s="172">
        <f>AB126+AB83+AB56</f>
        <v>10692.912447428413</v>
      </c>
      <c r="AC137" s="110"/>
      <c r="AD137" s="110">
        <f>SUM(F137:AB137)</f>
        <v>79509.959152001684</v>
      </c>
    </row>
    <row r="138" spans="2:30">
      <c r="C138" s="131">
        <v>2023</v>
      </c>
      <c r="F138" s="172">
        <f>F127+F84+F57</f>
        <v>7883.0375839735389</v>
      </c>
      <c r="G138" s="110"/>
      <c r="H138" s="172">
        <f>H127+H84+H57</f>
        <v>5945.7431050219311</v>
      </c>
      <c r="I138" s="110"/>
      <c r="J138" s="172">
        <f>J127+J84+J57</f>
        <v>8233.1902664630361</v>
      </c>
      <c r="K138" s="110"/>
      <c r="L138" s="172">
        <f>L127+L84+L57</f>
        <v>4092.275218938551</v>
      </c>
      <c r="M138" s="110"/>
      <c r="N138" s="172">
        <f>N127+N84+N57</f>
        <v>4392.8451985713518</v>
      </c>
      <c r="O138" s="110"/>
      <c r="P138" s="172">
        <f>P127+P84+P57</f>
        <v>3386.6565939854672</v>
      </c>
      <c r="Q138" s="110"/>
      <c r="R138" s="172">
        <f>R127+R84+R57</f>
        <v>2988.5235885851216</v>
      </c>
      <c r="S138" s="110"/>
      <c r="T138" s="172">
        <f>T127+T84+T57</f>
        <v>2488.9346801031425</v>
      </c>
      <c r="U138" s="110"/>
      <c r="V138" s="172">
        <f>V127+V84+V57</f>
        <v>2323.0243838758979</v>
      </c>
      <c r="W138" s="110"/>
      <c r="X138" s="172">
        <f>X127+X84+X57</f>
        <v>3628.0383028524393</v>
      </c>
      <c r="Y138" s="110"/>
      <c r="Z138" s="172">
        <f>Z127+Z84+Z57</f>
        <v>9856.9539744365284</v>
      </c>
      <c r="AA138" s="110"/>
      <c r="AB138" s="172">
        <f>AB127+AB84+AB57</f>
        <v>10422.212945878407</v>
      </c>
      <c r="AC138" s="110"/>
      <c r="AD138" s="110">
        <f>SUM(F138:AB138)</f>
        <v>65641.435842685401</v>
      </c>
    </row>
    <row r="139" spans="2:30">
      <c r="C139" s="131">
        <v>2024</v>
      </c>
      <c r="F139" s="172">
        <f>F128+F85+F58</f>
        <v>12174.685932869721</v>
      </c>
      <c r="G139" s="110"/>
      <c r="H139" s="172">
        <f>H128+H85+H58</f>
        <v>10024.982028011347</v>
      </c>
      <c r="I139" s="110"/>
      <c r="J139" s="172">
        <f>J128+J85+J58</f>
        <v>7437.1453056238843</v>
      </c>
      <c r="K139" s="110"/>
      <c r="L139" s="172">
        <f>L128+L85+L58</f>
        <v>4825.5541948198197</v>
      </c>
      <c r="M139" s="110"/>
      <c r="N139" s="172">
        <f>N128+N85+N58</f>
        <v>4074.5947057406961</v>
      </c>
      <c r="O139" s="110"/>
      <c r="P139" s="172">
        <f>P128+P85+P58</f>
        <v>3801.4421679362576</v>
      </c>
      <c r="Q139" s="110"/>
      <c r="R139" s="172">
        <f>R128+R85+R58</f>
        <v>5707.4015996990156</v>
      </c>
      <c r="S139" s="110"/>
      <c r="T139" s="172">
        <f>T128+T85+T58</f>
        <v>6098.4199181125587</v>
      </c>
      <c r="U139" s="110"/>
      <c r="V139" s="172">
        <f>V128+V85+V58</f>
        <v>9759.961896965433</v>
      </c>
      <c r="W139" s="110"/>
      <c r="X139" s="172">
        <f>X128+X85+X58</f>
        <v>11009.678506494005</v>
      </c>
      <c r="Y139" s="110"/>
      <c r="Z139" s="172">
        <f>Z128+Z85+Z58</f>
        <v>10160.058211166652</v>
      </c>
      <c r="AA139" s="110"/>
      <c r="AB139" s="172">
        <f>AB128+AB85+AB58</f>
        <v>10165.736265673368</v>
      </c>
      <c r="AC139" s="110"/>
      <c r="AD139" s="110">
        <f>SUM(F139:AB139)</f>
        <v>95239.660733112745</v>
      </c>
    </row>
    <row r="140" spans="2:30">
      <c r="C140" s="131">
        <v>2025</v>
      </c>
      <c r="F140" s="172">
        <f>F129+F86+F59</f>
        <v>13861.992564380005</v>
      </c>
      <c r="G140" s="110"/>
      <c r="H140" s="172">
        <f>H129+H86+H59</f>
        <v>11015.655777475866</v>
      </c>
      <c r="I140" s="110"/>
      <c r="J140" s="172">
        <f>J129+J86+J59</f>
        <v>11092.137754642426</v>
      </c>
      <c r="K140" s="110"/>
      <c r="L140" s="172">
        <f>L129+L86+L59</f>
        <v>9574.5257334078524</v>
      </c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</row>
    <row r="142" spans="2:30">
      <c r="C142" s="131" t="s">
        <v>172</v>
      </c>
      <c r="F142" s="172">
        <f>SUM(H139:$AB139)+SUM($F140:F140)</f>
        <v>96926.967364623051</v>
      </c>
      <c r="H142" s="172">
        <f>SUM(J139:$AB139)+SUM($F140:H140)</f>
        <v>97917.641114087572</v>
      </c>
      <c r="J142" s="172">
        <f>SUM(L139:$AB139)+SUM($F140:J140)</f>
        <v>101572.63356310611</v>
      </c>
      <c r="L142" s="175">
        <f>SUM(N139:$AB139)+SUM($F140:L140)</f>
        <v>106321.60510169413</v>
      </c>
      <c r="N142" s="172">
        <f>SUM(P138:$AB138)+SUM($F139:N139)</f>
        <v>73631.306636782479</v>
      </c>
      <c r="P142" s="172">
        <f>SUM(R138:$AB138)+SUM($F139:P139)</f>
        <v>74046.092210733259</v>
      </c>
      <c r="R142" s="172">
        <f>SUM(T138:$AB138)+SUM($F139:R139)</f>
        <v>76764.97022184715</v>
      </c>
      <c r="T142" s="172">
        <f>SUM(V138:$AB138)+SUM($F139:T139)</f>
        <v>80374.455459856574</v>
      </c>
      <c r="V142" s="172">
        <f>SUM(X138:$AB138)+SUM($F139:V139)</f>
        <v>87811.392972946109</v>
      </c>
      <c r="X142" s="172">
        <f>SUM(Z138:$AB138)+SUM($F139:X139)</f>
        <v>95193.033176587676</v>
      </c>
      <c r="Z142" s="172">
        <f>SUM(AB138:$AB138)+SUM($F139:Z139)</f>
        <v>95496.137413317789</v>
      </c>
      <c r="AB142" s="172">
        <f>SUM($F139:AB139)</f>
        <v>95239.660733112745</v>
      </c>
    </row>
    <row r="143" spans="2:30">
      <c r="F143" s="110"/>
      <c r="H143" s="110"/>
      <c r="J143" s="110"/>
      <c r="L143" s="110"/>
      <c r="N143" s="110"/>
    </row>
  </sheetData>
  <pageMargins left="0.5" right="0.5" top="1" bottom="1" header="0.5" footer="0.5"/>
  <pageSetup scale="57" orientation="landscape" blackAndWhite="1" r:id="rId1"/>
  <headerFooter>
    <oddHeader>&amp;C&amp;"Arial,Bold"Sales History&amp;"Arial,Regular"
&amp;R&amp;"Arial,Bold"Navitas KY NG, LLC</oddHeader>
    <oddFooter>&amp;L&amp;F&amp;C&amp;A&amp;R&amp;D&amp;T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21"/>
  <sheetViews>
    <sheetView workbookViewId="0">
      <selection activeCell="C25" sqref="C25"/>
    </sheetView>
  </sheetViews>
  <sheetFormatPr defaultRowHeight="13.2"/>
  <cols>
    <col min="1" max="1" width="1.77734375" customWidth="1"/>
    <col min="2" max="2" width="51.44140625" customWidth="1"/>
    <col min="3" max="3" width="12.88671875" customWidth="1"/>
    <col min="4" max="4" width="11.88671875" customWidth="1"/>
    <col min="5" max="5" width="15.109375" bestFit="1" customWidth="1"/>
    <col min="6" max="6" width="1.77734375" customWidth="1"/>
    <col min="7" max="7" width="15.109375" bestFit="1" customWidth="1"/>
  </cols>
  <sheetData>
    <row r="1" spans="2:7" ht="15">
      <c r="B1" s="1"/>
      <c r="C1" s="1"/>
      <c r="D1" s="1"/>
      <c r="E1" s="1"/>
    </row>
    <row r="2" spans="2:7" ht="15">
      <c r="B2" s="1"/>
      <c r="C2" s="1"/>
      <c r="D2" s="1"/>
      <c r="E2" s="1"/>
    </row>
    <row r="3" spans="2:7" ht="15">
      <c r="B3" s="1"/>
      <c r="C3" s="1"/>
      <c r="D3" s="1"/>
      <c r="E3" s="1"/>
      <c r="G3" s="1"/>
    </row>
    <row r="4" spans="2:7" ht="15">
      <c r="B4" s="229" t="s">
        <v>81</v>
      </c>
      <c r="C4" s="229"/>
      <c r="D4" s="229"/>
      <c r="E4" s="229"/>
      <c r="F4" s="1"/>
      <c r="G4" s="1"/>
    </row>
    <row r="5" spans="2:7" ht="15">
      <c r="B5" s="1"/>
      <c r="C5" s="1"/>
      <c r="D5" s="1"/>
      <c r="E5" s="1"/>
      <c r="F5" s="1"/>
      <c r="G5" s="1"/>
    </row>
    <row r="6" spans="2:7" ht="15">
      <c r="B6" s="229" t="s">
        <v>74</v>
      </c>
      <c r="C6" s="229"/>
      <c r="D6" s="229"/>
      <c r="E6" s="229"/>
      <c r="F6" s="1"/>
      <c r="G6" s="1"/>
    </row>
    <row r="7" spans="2:7" ht="15">
      <c r="B7" s="1"/>
      <c r="C7" s="1"/>
      <c r="D7" s="1"/>
      <c r="E7" s="1"/>
      <c r="F7" s="1"/>
      <c r="G7" s="1"/>
    </row>
    <row r="8" spans="2:7">
      <c r="B8" s="20" t="s">
        <v>75</v>
      </c>
      <c r="C8" s="20"/>
      <c r="D8" s="20" t="s">
        <v>3</v>
      </c>
      <c r="E8" s="20" t="s">
        <v>4</v>
      </c>
    </row>
    <row r="10" spans="2:7">
      <c r="B10" t="s">
        <v>76</v>
      </c>
      <c r="C10" s="20"/>
      <c r="D10" s="20" t="s">
        <v>64</v>
      </c>
      <c r="E10" s="32">
        <v>0</v>
      </c>
    </row>
    <row r="11" spans="2:7">
      <c r="B11" t="s">
        <v>77</v>
      </c>
      <c r="C11" s="20"/>
      <c r="E11" s="32"/>
    </row>
    <row r="12" spans="2:7">
      <c r="B12" t="s">
        <v>78</v>
      </c>
      <c r="C12" s="20"/>
      <c r="D12" s="20" t="s">
        <v>64</v>
      </c>
      <c r="E12" s="22">
        <f>E10*E11</f>
        <v>0</v>
      </c>
    </row>
    <row r="13" spans="2:7">
      <c r="B13" t="s">
        <v>79</v>
      </c>
      <c r="C13" s="20"/>
      <c r="D13" s="20" t="s">
        <v>46</v>
      </c>
      <c r="E13" s="23">
        <v>76725</v>
      </c>
    </row>
    <row r="14" spans="2:7" ht="13.8" thickBot="1">
      <c r="B14" s="24" t="s">
        <v>80</v>
      </c>
      <c r="C14" s="25"/>
      <c r="D14" s="24"/>
      <c r="E14" s="24">
        <f>ROUND(E12/E13,4)</f>
        <v>0</v>
      </c>
    </row>
    <row r="15" spans="2:7" ht="13.8" thickTop="1">
      <c r="C15" s="20"/>
      <c r="E15" s="22"/>
    </row>
    <row r="16" spans="2:7">
      <c r="C16" s="20"/>
      <c r="E16" s="22"/>
    </row>
    <row r="17" spans="3:5">
      <c r="C17" s="20"/>
      <c r="E17" s="22"/>
    </row>
    <row r="18" spans="3:5">
      <c r="C18" s="20"/>
      <c r="E18" s="22"/>
    </row>
    <row r="19" spans="3:5">
      <c r="E19" s="22"/>
    </row>
    <row r="20" spans="3:5">
      <c r="E20" s="22"/>
    </row>
    <row r="21" spans="3:5">
      <c r="E21" s="22"/>
    </row>
  </sheetData>
  <mergeCells count="2">
    <mergeCell ref="B4:E4"/>
    <mergeCell ref="B6:E6"/>
  </mergeCells>
  <phoneticPr fontId="4" type="noConversion"/>
  <pageMargins left="0.75" right="0.75" top="1" bottom="1" header="0.5" footer="0.5"/>
  <pageSetup scale="99" orientation="portrait" r:id="rId1"/>
  <headerFooter alignWithMargins="0">
    <oddFooter>&amp;LNavitas KYNG, LLC&amp;C&amp;F&amp;R&amp;D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Cover Sheet</vt:lpstr>
      <vt:lpstr>Sch I Summary</vt:lpstr>
      <vt:lpstr>Sch II ECG</vt:lpstr>
      <vt:lpstr>Sch IV AA</vt:lpstr>
      <vt:lpstr>Sch V BA</vt:lpstr>
      <vt:lpstr>AA BA Ladder</vt:lpstr>
      <vt:lpstr>Sales</vt:lpstr>
      <vt:lpstr>Purchases</vt:lpstr>
      <vt:lpstr>Sch III Sup. Ref.</vt:lpstr>
      <vt:lpstr>Purchases!Print_Area</vt:lpstr>
      <vt:lpstr>'Sch I Summary'!Print_Area</vt:lpstr>
      <vt:lpstr>'Sch II ECG'!Print_Area</vt:lpstr>
      <vt:lpstr>'Sch III Sup. Ref.'!Print_Area</vt:lpstr>
      <vt:lpstr>'Sch IV AA'!Print_Area</vt:lpstr>
    </vt:vector>
  </TitlesOfParts>
  <Company>Kentucky Public Service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McGee</dc:creator>
  <cp:lastModifiedBy>Buckley, Evan</cp:lastModifiedBy>
  <cp:lastPrinted>2025-06-28T00:14:58Z</cp:lastPrinted>
  <dcterms:created xsi:type="dcterms:W3CDTF">2006-10-26T17:11:15Z</dcterms:created>
  <dcterms:modified xsi:type="dcterms:W3CDTF">2025-07-01T01:38:05Z</dcterms:modified>
</cp:coreProperties>
</file>