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kpccoop-my.sharepoint.com/personal/christian_everly_ekpc_coop/Documents/"/>
    </mc:Choice>
  </mc:AlternateContent>
  <xr:revisionPtr revIDLastSave="0" documentId="8_{F431B518-C5C3-4CA2-9047-69E58C1238CD}" xr6:coauthVersionLast="47" xr6:coauthVersionMax="47" xr10:uidLastSave="{00000000-0000-0000-0000-000000000000}"/>
  <bookViews>
    <workbookView xWindow="-108" yWindow="-108" windowWidth="23256" windowHeight="12456" tabRatio="860" xr2:uid="{B1FABA87-61B6-4D67-9F11-BD23C2CA6008}"/>
  </bookViews>
  <sheets>
    <sheet name="Legacy ARO" sheetId="2" r:id="rId1"/>
    <sheet name="Sample Legacy Reg Asset JEs" sheetId="3" r:id="rId2"/>
    <sheet name="Legacy CCR Dale LSI" sheetId="7" r:id="rId3"/>
    <sheet name="Legacy CCR Cooper CCRMU" sheetId="8" r:id="rId4"/>
    <sheet name="Legacy CCR Spurlock CCRMU" sheetId="9" r:id="rId5"/>
    <sheet name="Legacy CCR Smith CCRMU" sheetId="10" r:id="rId6"/>
    <sheet name="Legacy CCR Hancock Creek CCRMU" sheetId="11" r:id="rId7"/>
    <sheet name="RTEP JE" sheetId="6" r:id="rId8"/>
    <sheet name="RTEP basis" sheetId="4" r:id="rId9"/>
    <sheet name="2021-00103 RTEP" sheetId="5" r:id="rId10"/>
  </sheets>
  <definedNames>
    <definedName name="APN" localSheetId="3">#REF!</definedName>
    <definedName name="APN" localSheetId="2">#REF!</definedName>
    <definedName name="APN" localSheetId="6">#REF!</definedName>
    <definedName name="APN" localSheetId="5">#REF!</definedName>
    <definedName name="APN" localSheetId="4">#REF!</definedName>
    <definedName name="APN">#REF!</definedName>
    <definedName name="ASD" localSheetId="3">#REF!</definedName>
    <definedName name="ASD" localSheetId="2">#REF!</definedName>
    <definedName name="ASD" localSheetId="6">#REF!</definedName>
    <definedName name="ASD" localSheetId="5">#REF!</definedName>
    <definedName name="ASD" localSheetId="4">#REF!</definedName>
    <definedName name="ASD">#REF!</definedName>
    <definedName name="NvsASD">"V2019-04-30"</definedName>
    <definedName name="NvsAutoDrillOk">"VN"</definedName>
    <definedName name="NvsElapsedTime">0.0000231481462833472</definedName>
    <definedName name="NvsEndTime">43595.6765162037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"V1900-01-01"</definedName>
    <definedName name="NvsPanelSetid">"VEKPC"</definedName>
    <definedName name="NvsReqBU">"VEKPC"</definedName>
    <definedName name="NvsReqBUOnly">"VY"</definedName>
    <definedName name="NvsTransLed">"VN"</definedName>
    <definedName name="NvsTreeASD">"V2019-04-30"</definedName>
    <definedName name="NvsValTbl.ACCOUNT">"GL_ACCOUNT_TBL"</definedName>
    <definedName name="NvsValTbl.PRODUCT">"PRODUCT_TBL"</definedName>
    <definedName name="_xlnm.Print_Area" localSheetId="3">'Legacy CCR Cooper CCRMU'!$A$1:$K$33</definedName>
    <definedName name="_xlnm.Print_Area" localSheetId="2">'Legacy CCR Dale LSI'!$A$1:$K$32</definedName>
    <definedName name="_xlnm.Print_Area" localSheetId="6">'Legacy CCR Hancock Creek CCRMU'!$A$1:$K$33</definedName>
    <definedName name="_xlnm.Print_Area" localSheetId="5">'Legacy CCR Smith CCRMU'!$A$1:$K$33</definedName>
    <definedName name="_xlnm.Print_Area" localSheetId="4">'Legacy CCR Spurlock CCRMU'!$A$1:$K$33</definedName>
    <definedName name="_xlnm.Print_Area" localSheetId="1">'Sample Legacy Reg Asset JEs'!$A$4:$E$132</definedName>
    <definedName name="runtime" localSheetId="3">#REF!</definedName>
    <definedName name="runtime" localSheetId="2">#REF!</definedName>
    <definedName name="runtime" localSheetId="6">#REF!</definedName>
    <definedName name="runtime" localSheetId="5">#REF!</definedName>
    <definedName name="runtime" localSheetId="4">#REF!</definedName>
    <definedName name="runtim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4" l="1"/>
  <c r="C6" i="3"/>
  <c r="E25" i="2"/>
  <c r="C4" i="7"/>
  <c r="E46" i="4"/>
  <c r="E47" i="4"/>
  <c r="E48" i="4"/>
  <c r="E49" i="4"/>
  <c r="E50" i="4"/>
  <c r="E51" i="4"/>
  <c r="E45" i="4"/>
  <c r="D13" i="11" l="1"/>
  <c r="B14" i="11" s="1"/>
  <c r="C14" i="11" s="1"/>
  <c r="D14" i="11" s="1"/>
  <c r="B15" i="11" s="1"/>
  <c r="C15" i="11" s="1"/>
  <c r="D15" i="11" s="1"/>
  <c r="B16" i="11" s="1"/>
  <c r="C16" i="11" s="1"/>
  <c r="D16" i="11" s="1"/>
  <c r="B17" i="11" s="1"/>
  <c r="C17" i="11" s="1"/>
  <c r="D17" i="11" s="1"/>
  <c r="B18" i="11" s="1"/>
  <c r="C18" i="11" s="1"/>
  <c r="D18" i="11" s="1"/>
  <c r="C7" i="11" s="1"/>
  <c r="C4" i="11"/>
  <c r="D13" i="10"/>
  <c r="B14" i="10" s="1"/>
  <c r="C14" i="10" s="1"/>
  <c r="D14" i="10" s="1"/>
  <c r="B15" i="10" s="1"/>
  <c r="C15" i="10" s="1"/>
  <c r="D15" i="10" s="1"/>
  <c r="B16" i="10" s="1"/>
  <c r="C16" i="10" s="1"/>
  <c r="D16" i="10" s="1"/>
  <c r="B17" i="10" s="1"/>
  <c r="C17" i="10" s="1"/>
  <c r="D17" i="10" s="1"/>
  <c r="B18" i="10" s="1"/>
  <c r="C18" i="10" s="1"/>
  <c r="D18" i="10" s="1"/>
  <c r="C7" i="10" s="1"/>
  <c r="C4" i="10"/>
  <c r="D13" i="9"/>
  <c r="B14" i="9" s="1"/>
  <c r="C14" i="9" s="1"/>
  <c r="D14" i="9" s="1"/>
  <c r="B15" i="9" s="1"/>
  <c r="C15" i="9" s="1"/>
  <c r="D15" i="9" s="1"/>
  <c r="B16" i="9" s="1"/>
  <c r="C16" i="9" s="1"/>
  <c r="D16" i="9" s="1"/>
  <c r="B17" i="9" s="1"/>
  <c r="C17" i="9" s="1"/>
  <c r="D17" i="9" s="1"/>
  <c r="B18" i="9" s="1"/>
  <c r="C18" i="9" s="1"/>
  <c r="D18" i="9" s="1"/>
  <c r="C7" i="9" s="1"/>
  <c r="C4" i="9"/>
  <c r="D13" i="8"/>
  <c r="B14" i="8" s="1"/>
  <c r="C14" i="8" s="1"/>
  <c r="D14" i="8" s="1"/>
  <c r="B15" i="8" s="1"/>
  <c r="C15" i="8" s="1"/>
  <c r="D15" i="8" s="1"/>
  <c r="B16" i="8" s="1"/>
  <c r="C16" i="8" s="1"/>
  <c r="D16" i="8" s="1"/>
  <c r="B17" i="8" s="1"/>
  <c r="C17" i="8" s="1"/>
  <c r="D17" i="8" s="1"/>
  <c r="B18" i="8" s="1"/>
  <c r="C18" i="8" s="1"/>
  <c r="D18" i="8" s="1"/>
  <c r="C7" i="8" s="1"/>
  <c r="C8" i="8" s="1"/>
  <c r="C4" i="8"/>
  <c r="B14" i="7"/>
  <c r="C14" i="7" s="1"/>
  <c r="D14" i="7" s="1"/>
  <c r="B15" i="7" s="1"/>
  <c r="C15" i="7" s="1"/>
  <c r="D15" i="7" s="1"/>
  <c r="B16" i="7" s="1"/>
  <c r="C16" i="7" s="1"/>
  <c r="D16" i="7" s="1"/>
  <c r="B17" i="7" s="1"/>
  <c r="C17" i="7" s="1"/>
  <c r="D17" i="7" s="1"/>
  <c r="C7" i="7" s="1"/>
  <c r="D13" i="7"/>
  <c r="C8" i="10" l="1"/>
  <c r="J17" i="8"/>
  <c r="J14" i="8"/>
  <c r="J19" i="8" s="1"/>
  <c r="J16" i="8"/>
  <c r="J15" i="8"/>
  <c r="J18" i="8"/>
  <c r="I13" i="8"/>
  <c r="F14" i="8" s="1"/>
  <c r="G14" i="8" s="1"/>
  <c r="C8" i="11"/>
  <c r="C8" i="7"/>
  <c r="C8" i="9"/>
  <c r="I13" i="7" l="1"/>
  <c r="F14" i="7" s="1"/>
  <c r="G14" i="7" s="1"/>
  <c r="J15" i="7"/>
  <c r="J17" i="7"/>
  <c r="J16" i="7"/>
  <c r="J14" i="7"/>
  <c r="J18" i="7" s="1"/>
  <c r="I13" i="9"/>
  <c r="F14" i="9" s="1"/>
  <c r="G14" i="9" s="1"/>
  <c r="J15" i="9"/>
  <c r="J17" i="9"/>
  <c r="J16" i="9"/>
  <c r="J14" i="9"/>
  <c r="J19" i="9" s="1"/>
  <c r="J18" i="9"/>
  <c r="I14" i="8"/>
  <c r="F15" i="8" s="1"/>
  <c r="G15" i="8" s="1"/>
  <c r="I15" i="8" s="1"/>
  <c r="F16" i="8" s="1"/>
  <c r="G16" i="8" s="1"/>
  <c r="I16" i="8" s="1"/>
  <c r="F17" i="8" s="1"/>
  <c r="G17" i="8" s="1"/>
  <c r="I17" i="8" s="1"/>
  <c r="F18" i="8" s="1"/>
  <c r="G18" i="8" s="1"/>
  <c r="I18" i="8" s="1"/>
  <c r="J16" i="11"/>
  <c r="M16" i="11" s="1"/>
  <c r="J14" i="11"/>
  <c r="J18" i="11"/>
  <c r="M18" i="11" s="1"/>
  <c r="I13" i="11"/>
  <c r="F14" i="11" s="1"/>
  <c r="G14" i="11" s="1"/>
  <c r="J17" i="11"/>
  <c r="M17" i="11" s="1"/>
  <c r="J15" i="11"/>
  <c r="M15" i="11" s="1"/>
  <c r="J16" i="10"/>
  <c r="J18" i="10"/>
  <c r="I13" i="10"/>
  <c r="F14" i="10" s="1"/>
  <c r="G14" i="10" s="1"/>
  <c r="J15" i="10"/>
  <c r="J14" i="10"/>
  <c r="J17" i="10"/>
  <c r="J19" i="10" l="1"/>
  <c r="J19" i="11"/>
  <c r="M14" i="11"/>
  <c r="G19" i="8"/>
  <c r="K19" i="8" s="1"/>
  <c r="I14" i="9"/>
  <c r="F15" i="9" s="1"/>
  <c r="G15" i="9" s="1"/>
  <c r="I15" i="9" s="1"/>
  <c r="F16" i="9" s="1"/>
  <c r="G16" i="9" s="1"/>
  <c r="I16" i="9" s="1"/>
  <c r="F17" i="9" s="1"/>
  <c r="G17" i="9" s="1"/>
  <c r="I17" i="9" s="1"/>
  <c r="F18" i="9" s="1"/>
  <c r="G18" i="9" s="1"/>
  <c r="I18" i="9" s="1"/>
  <c r="I14" i="10"/>
  <c r="F15" i="10" s="1"/>
  <c r="G15" i="10" s="1"/>
  <c r="I15" i="10" s="1"/>
  <c r="F16" i="10" s="1"/>
  <c r="G16" i="10" s="1"/>
  <c r="I16" i="10" s="1"/>
  <c r="F17" i="10" s="1"/>
  <c r="G17" i="10" s="1"/>
  <c r="I17" i="10" s="1"/>
  <c r="F18" i="10" s="1"/>
  <c r="G18" i="10" s="1"/>
  <c r="I18" i="10" s="1"/>
  <c r="I14" i="11"/>
  <c r="F15" i="11" s="1"/>
  <c r="G15" i="11" s="1"/>
  <c r="I15" i="11" s="1"/>
  <c r="F16" i="11" s="1"/>
  <c r="G16" i="11" s="1"/>
  <c r="I16" i="11" s="1"/>
  <c r="F17" i="11" s="1"/>
  <c r="G17" i="11" s="1"/>
  <c r="I17" i="11" s="1"/>
  <c r="F18" i="11" s="1"/>
  <c r="G18" i="11" s="1"/>
  <c r="I18" i="11" s="1"/>
  <c r="I14" i="7"/>
  <c r="F15" i="7" s="1"/>
  <c r="G15" i="7" s="1"/>
  <c r="I15" i="7" s="1"/>
  <c r="F16" i="7" s="1"/>
  <c r="G16" i="7" s="1"/>
  <c r="I16" i="7" s="1"/>
  <c r="F17" i="7" s="1"/>
  <c r="G17" i="7" s="1"/>
  <c r="I17" i="7" s="1"/>
  <c r="G19" i="11" l="1"/>
  <c r="K19" i="11" s="1"/>
  <c r="G19" i="10"/>
  <c r="K19" i="10" s="1"/>
  <c r="G18" i="7"/>
  <c r="K18" i="7" s="1"/>
  <c r="G19" i="9"/>
  <c r="K19" i="9" s="1"/>
  <c r="E13" i="4" l="1"/>
  <c r="E14" i="4"/>
  <c r="E15" i="4"/>
  <c r="E16" i="4"/>
  <c r="E17" i="4"/>
  <c r="E18" i="4"/>
  <c r="E19" i="4"/>
  <c r="E20" i="4"/>
  <c r="E21" i="4"/>
  <c r="E22" i="4"/>
  <c r="E23" i="4"/>
  <c r="E24" i="4"/>
  <c r="C25" i="4"/>
  <c r="D25" i="4"/>
  <c r="E27" i="4"/>
  <c r="E28" i="4"/>
  <c r="E29" i="4"/>
  <c r="E30" i="4"/>
  <c r="E31" i="4"/>
  <c r="E32" i="4"/>
  <c r="E33" i="4"/>
  <c r="E34" i="4"/>
  <c r="E35" i="4"/>
  <c r="E36" i="4"/>
  <c r="E37" i="4"/>
  <c r="E38" i="4"/>
  <c r="C39" i="4"/>
  <c r="D39" i="4"/>
  <c r="E41" i="4"/>
  <c r="E42" i="4"/>
  <c r="E43" i="4"/>
  <c r="E44" i="4"/>
  <c r="E52" i="4"/>
  <c r="C53" i="4"/>
  <c r="D53" i="4"/>
  <c r="E25" i="4" l="1"/>
  <c r="E53" i="4"/>
  <c r="E39" i="4"/>
  <c r="E60" i="4" l="1"/>
  <c r="C121" i="3"/>
  <c r="D129" i="3" s="1"/>
  <c r="C103" i="3"/>
  <c r="D111" i="3" s="1"/>
  <c r="C97" i="3"/>
  <c r="D98" i="3" s="1"/>
  <c r="C85" i="3"/>
  <c r="D93" i="3" s="1"/>
  <c r="C79" i="3"/>
  <c r="D92" i="3" s="1"/>
  <c r="C67" i="3"/>
  <c r="D75" i="3" s="1"/>
  <c r="C49" i="3"/>
  <c r="D50" i="3" s="1"/>
  <c r="C61" i="3"/>
  <c r="D74" i="3" s="1"/>
  <c r="C43" i="3"/>
  <c r="D44" i="3" s="1"/>
  <c r="D36" i="3"/>
  <c r="D29" i="3"/>
  <c r="D28" i="3"/>
  <c r="D22" i="3"/>
  <c r="D21" i="3"/>
  <c r="D15" i="3"/>
  <c r="D14" i="3"/>
  <c r="D8" i="3"/>
  <c r="D7" i="3"/>
  <c r="C13" i="3" l="1"/>
  <c r="C73" i="3"/>
  <c r="D56" i="3"/>
  <c r="D122" i="3"/>
  <c r="D104" i="3"/>
  <c r="D110" i="3"/>
  <c r="C109" i="3" s="1"/>
  <c r="C91" i="3"/>
  <c r="D80" i="3"/>
  <c r="D86" i="3"/>
  <c r="D57" i="3"/>
  <c r="C55" i="3" s="1"/>
  <c r="D68" i="3"/>
  <c r="D62" i="3"/>
  <c r="C20" i="3"/>
  <c r="C27" i="3"/>
  <c r="K24" i="2" l="1"/>
  <c r="O21" i="2"/>
  <c r="O22" i="2"/>
  <c r="O23" i="2"/>
  <c r="O20" i="2"/>
  <c r="O14" i="2"/>
  <c r="O15" i="2"/>
  <c r="O16" i="2"/>
  <c r="M24" i="2"/>
  <c r="M25" i="2" s="1"/>
  <c r="M12" i="2"/>
  <c r="D35" i="3" s="1"/>
  <c r="C34" i="3" s="1"/>
  <c r="M13" i="2"/>
  <c r="C115" i="3" s="1"/>
  <c r="I24" i="2"/>
  <c r="I25" i="2" s="1"/>
  <c r="G25" i="2"/>
  <c r="K17" i="2"/>
  <c r="I17" i="2"/>
  <c r="E17" i="2"/>
  <c r="G17" i="2"/>
  <c r="O9" i="2"/>
  <c r="O12" i="2" l="1"/>
  <c r="O13" i="2"/>
  <c r="D128" i="3"/>
  <c r="D116" i="3"/>
  <c r="O24" i="2"/>
  <c r="O25" i="2" s="1"/>
  <c r="K25" i="2"/>
  <c r="M17" i="2"/>
  <c r="O17" i="2" l="1"/>
  <c r="C1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 Clark</author>
  </authors>
  <commentList>
    <comment ref="C7" authorId="0" shapeId="0" xr:uid="{A8C22DEA-D88D-47E1-A0B6-C92FE03F8900}">
      <text>
        <r>
          <rPr>
            <sz val="9"/>
            <color indexed="81"/>
            <rFont val="Tahoma"/>
            <family val="2"/>
          </rPr>
          <t>=ROUND(1295000*((1.025)^3.42),2) results in $1409111.59, or $104.79 less than inflation calculated below.  Went with the calculation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C2AD0367-1783-4690-9978-C2226A64B776}">
      <text>
        <r>
          <rPr>
            <sz val="9"/>
            <color indexed="81"/>
            <rFont val="Tahoma"/>
            <family val="2"/>
          </rPr>
          <t xml:space="preserve">Adj final accretion for 5/12 of year rounding, following Cooper Asbestos methodology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 Clark</author>
  </authors>
  <commentList>
    <comment ref="C7" authorId="0" shapeId="0" xr:uid="{8DCC8E87-945E-4269-8319-32148E2DA674}">
      <text>
        <r>
          <rPr>
            <sz val="9"/>
            <color indexed="81"/>
            <rFont val="Tahoma"/>
            <family val="2"/>
          </rPr>
          <t>=ROUND(475000*((1.025)^4.42),2) results in $529776.99, or $39.41 less than inflation calculated below.  Went with the calculation below.</t>
        </r>
      </text>
    </comment>
    <comment ref="G18" authorId="0" shapeId="0" xr:uid="{C44BC36C-286B-4F3A-967F-BE860CDA325A}">
      <text>
        <r>
          <rPr>
            <sz val="9"/>
            <color indexed="81"/>
            <rFont val="Tahoma"/>
            <family val="2"/>
          </rPr>
          <t xml:space="preserve">Adj final accretion for 5/12 of year rounding, following Cooper Asbestos methodology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 Clark</author>
  </authors>
  <commentList>
    <comment ref="C7" authorId="0" shapeId="0" xr:uid="{10AFB472-DFC8-49AC-980B-F5E2F55188A5}">
      <text>
        <r>
          <rPr>
            <sz val="9"/>
            <color indexed="81"/>
            <rFont val="Tahoma"/>
            <family val="2"/>
          </rPr>
          <t>=ROUND(200000*((1.025)^4.42),2) results in $223064.00, or $16.59 less than inflation calculated below.  Went with the calculation below.</t>
        </r>
      </text>
    </comment>
    <comment ref="G18" authorId="0" shapeId="0" xr:uid="{E726F809-012C-4CB0-A97D-440850CCD293}">
      <text>
        <r>
          <rPr>
            <sz val="9"/>
            <color indexed="81"/>
            <rFont val="Tahoma"/>
            <family val="2"/>
          </rPr>
          <t>Adj final accretion for 5/12 of year rounding, following Cooper Asbestos methodology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 Clark</author>
  </authors>
  <commentList>
    <comment ref="C7" authorId="0" shapeId="0" xr:uid="{327A4DE2-CA67-407C-923C-26F98DF91C6C}">
      <text>
        <r>
          <rPr>
            <sz val="9"/>
            <color indexed="81"/>
            <rFont val="Tahoma"/>
            <family val="2"/>
          </rPr>
          <t>=ROUND(415000*((1.025)^4.42),2)results in $462857.79, or $34.42 less than inflation calculated below.  Went with the calculation below.</t>
        </r>
      </text>
    </comment>
    <comment ref="G18" authorId="0" shapeId="0" xr:uid="{0D45C1F4-769B-489F-9953-D7E220535ACD}">
      <text>
        <r>
          <rPr>
            <sz val="9"/>
            <color indexed="81"/>
            <rFont val="Tahoma"/>
            <family val="2"/>
          </rPr>
          <t>Adj final accretion for 5/12 of year rounding, following Cooper Asbestos methodology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 Clark</author>
  </authors>
  <commentList>
    <comment ref="C7" authorId="0" shapeId="0" xr:uid="{8ED35DA6-E153-44F8-BB71-027FA24B3B2F}">
      <text>
        <r>
          <rPr>
            <sz val="9"/>
            <color indexed="81"/>
            <rFont val="Tahoma"/>
            <family val="2"/>
          </rPr>
          <t>=ROUND(350000*((1.025)^4.42),2) results in $390362.00, or $29.02 less than inflation calculated below.  Went with the calculation below.</t>
        </r>
      </text>
    </comment>
    <comment ref="G18" authorId="0" shapeId="0" xr:uid="{7DCB4D98-53FC-4363-8530-DD16BB5A60DD}">
      <text>
        <r>
          <rPr>
            <sz val="9"/>
            <color indexed="81"/>
            <rFont val="Tahoma"/>
            <family val="2"/>
          </rPr>
          <t>Adj final accretion for 5/12 of year rounding, following Cooper Asbestos methodology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<sst xmlns="http://schemas.openxmlformats.org/spreadsheetml/2006/main" count="299" uniqueCount="102">
  <si>
    <t>EAST KENTUCKY POWER COOPERATIVE, INC.</t>
  </si>
  <si>
    <t>SUMMARY OF ASSET RETIREMENT OBLIGATION ACTIVITY</t>
  </si>
  <si>
    <t>FOR LEGACY SURFACE IMPOUNDMENT (LSI) AND LEGACY CCR MANAGEMENT UNITS (CCRMU)</t>
  </si>
  <si>
    <t>Dale LSI (Legacy Surface Impoundment) - Ash Ponds #2, #3, #4</t>
  </si>
  <si>
    <t>Cooper Legacy CCRMU</t>
  </si>
  <si>
    <t>Spurlock Legacy CCRMU</t>
  </si>
  <si>
    <t>Smith Legacy CCRMU</t>
  </si>
  <si>
    <t>Hancock Creek Legacy CCRMU</t>
  </si>
  <si>
    <t>Total Legacy CCR 
LSI and CCRMU</t>
  </si>
  <si>
    <t>December 31, 2024 ARO recorded</t>
  </si>
  <si>
    <t>Year</t>
  </si>
  <si>
    <t>Accretion</t>
  </si>
  <si>
    <t>Total Accretion</t>
  </si>
  <si>
    <t>Depreciation</t>
  </si>
  <si>
    <t>Total Depreciation</t>
  </si>
  <si>
    <t>Entries to Establish Legacy CCR Regulatory Asset Obligations at December 31,  2025</t>
  </si>
  <si>
    <t>Account 1823XX</t>
  </si>
  <si>
    <t>Other Regulatory Assets</t>
  </si>
  <si>
    <t>Account 411100</t>
  </si>
  <si>
    <t>Accretion Expense</t>
  </si>
  <si>
    <t>Account 403800</t>
  </si>
  <si>
    <t>Depreciation Expenses - Asset Retirement Costs</t>
  </si>
  <si>
    <t>To establish a regulatory asset for Dale Legacy LSI depreciation and accretion expenses recognized in 2025.</t>
  </si>
  <si>
    <t>To establish a regulatory asset for Cooper Legacy CCRMU depreciation and accretion expenses recognized in 2025.</t>
  </si>
  <si>
    <t>To establish a regulatory asset for Spurlock Legacy CCRMU depreciation and accretion expenses recognized in 2025.</t>
  </si>
  <si>
    <t>To establish a regulatory asset for Smith Legacy CCRMU depreciation and accretion expenses recognized in 2025.</t>
  </si>
  <si>
    <t>To establish a regulatory asset for Hancock Creek Legacy CCRMU depreciation and accretion expenses recognized in 2025.</t>
  </si>
  <si>
    <t>Monthly Entries in Subsequent Years to Record Transfer Accretion and Depreciation Expenses to Regulatory Asset</t>
  </si>
  <si>
    <t>Accretion is 2026 amounts</t>
  </si>
  <si>
    <t>Account 230003</t>
  </si>
  <si>
    <t>Asset Retirement Obligation-Ash</t>
  </si>
  <si>
    <t>To record monthly accretion of Dale LSI asset retirement obligation.</t>
  </si>
  <si>
    <t>Account 108902</t>
  </si>
  <si>
    <t>Accumulated Depreciation - Asset Retirement Costs</t>
  </si>
  <si>
    <t>To record monthly depreciation of Dale LSI asset retirement obligation.</t>
  </si>
  <si>
    <t>To record Dale LSI monthly accretion and depreciation expenses as regulatory assets.</t>
  </si>
  <si>
    <t>To record monthly accretion of Cooper CCRMU asset retirement obligation.</t>
  </si>
  <si>
    <t>To record monthly depreciation of Cooper CCRMU asset retirement obligation.</t>
  </si>
  <si>
    <t>To record Cooper CCRMU monthly accretion and depreciation expenses as regulatory assets.</t>
  </si>
  <si>
    <t>To record monthly accretion of Spurlock CCRMU asset retirement obligation.</t>
  </si>
  <si>
    <t>To record monthly depreciation of Spurlock CCRMU asset retirement obligation.</t>
  </si>
  <si>
    <t>To record Spurlock CCRMU monthly accretion and depreciation expenses as regulatory assets.</t>
  </si>
  <si>
    <t>To record monthly accretion of Smith CCRMU asset retirement obligation.</t>
  </si>
  <si>
    <t>To record monthly depreciation of Smith CCRMU asset retirement obligation.</t>
  </si>
  <si>
    <t>To record Smith CCRMU monthly accretion and depreciation expenses as regulatory assets.</t>
  </si>
  <si>
    <t>To record monthly accretion of Hancock Creek CCRMU asset retirement obligation.</t>
  </si>
  <si>
    <t>To record monthly depreciation of Hancock Creek CCRMU asset retirement obligation.</t>
  </si>
  <si>
    <t>To record Hancock Creek CCRMU monthly accretion and depreciation expenses as regulatory assets.</t>
  </si>
  <si>
    <t>Dale Legacy CCR LSI (Legacy Surface Impoundment) - Ash Ponds #2, #3, #4</t>
  </si>
  <si>
    <t>Result of 2024 Legacy CCR rule</t>
  </si>
  <si>
    <t>Cost</t>
  </si>
  <si>
    <t>Estimate life until settlement</t>
  </si>
  <si>
    <t>years  (May 2028), or 41 months</t>
  </si>
  <si>
    <t>Credit Adjusted Risk-Free Rate</t>
  </si>
  <si>
    <t>Inflation Rate</t>
  </si>
  <si>
    <t>Total with Inflation Cost</t>
  </si>
  <si>
    <t xml:space="preserve">PV </t>
  </si>
  <si>
    <t>Original</t>
  </si>
  <si>
    <t>108902, 403800</t>
  </si>
  <si>
    <t>Retirement Cost Jan 1</t>
  </si>
  <si>
    <t>Inflation</t>
  </si>
  <si>
    <t>Retirement w/ Inflation December 31</t>
  </si>
  <si>
    <t>Liability Balance Jan 1</t>
  </si>
  <si>
    <t>Liability Balance December 31</t>
  </si>
  <si>
    <t>LD.C24</t>
  </si>
  <si>
    <t>HH1</t>
  </si>
  <si>
    <t>May 2028</t>
  </si>
  <si>
    <t>accretion &amp; depr total</t>
  </si>
  <si>
    <t>Cooper Legacy CCR - Potential CCRMU</t>
  </si>
  <si>
    <t>years  (May 2029), or 53 months</t>
  </si>
  <si>
    <t>LC.C24</t>
  </si>
  <si>
    <t>II1</t>
  </si>
  <si>
    <t>May 2029</t>
  </si>
  <si>
    <t>Spurlock Legacy CCR - Potential CCRMU</t>
  </si>
  <si>
    <t>LS.C24</t>
  </si>
  <si>
    <t>JJ1</t>
  </si>
  <si>
    <t>Smith Legacy CCR - Potential CCRMU</t>
  </si>
  <si>
    <t>LM.C24</t>
  </si>
  <si>
    <t>KK1</t>
  </si>
  <si>
    <t>Hancock Creek Legacy CCR - Potential CCRMU</t>
  </si>
  <si>
    <t>LH.C24</t>
  </si>
  <si>
    <t>LL1</t>
  </si>
  <si>
    <t>Entry to Establish RTEP Regulatory Asset at December 31, 2025</t>
  </si>
  <si>
    <t>Account 565000</t>
  </si>
  <si>
    <t>Transmission of Electricity By Others</t>
  </si>
  <si>
    <t>East Kentucky Power Cooperative, Inc.</t>
  </si>
  <si>
    <t>RTEP Expenses</t>
  </si>
  <si>
    <t xml:space="preserve">Regional Transmission Expansion Plan ("RTEP") expenses, PJM Billing Code 1108, and </t>
  </si>
  <si>
    <t>Transmission Enhancement Settlement expenses, PJM Billing Code 1115, as recorded in</t>
  </si>
  <si>
    <t>Account No. 565000.</t>
  </si>
  <si>
    <t>Code 1108</t>
  </si>
  <si>
    <t>Code 1115</t>
  </si>
  <si>
    <t>Total RTEP</t>
  </si>
  <si>
    <t>Month</t>
  </si>
  <si>
    <t>Charges</t>
  </si>
  <si>
    <t>Total 2023</t>
  </si>
  <si>
    <t>Total 2024</t>
  </si>
  <si>
    <t>Total 2025</t>
  </si>
  <si>
    <t>Annualized 2025 RTEP</t>
  </si>
  <si>
    <t>Recovered in base rates in 2021-00103 Rate Case filing</t>
  </si>
  <si>
    <t>see next tab</t>
  </si>
  <si>
    <t>https://psc.ky.gov/pscecf/2021-00103/kristen%40gosssamfordlaw.com/04012021014344/EKPC_Application_Filing_Volume_1_-_Exhibits_1-14.pdf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</si>
</sst>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m\-yy;@"/>
    <numFmt numFmtId="166" formatCode="0.00000"/>
    <numFmt numFmtId="167" formatCode="_(* #,##0.0000_);_(* \(#,##0.0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7" fillId="0" borderId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1" fontId="3" fillId="0" borderId="0" xfId="0" applyNumberFormat="1" applyFont="1"/>
    <xf numFmtId="41" fontId="3" fillId="0" borderId="0" xfId="0" applyNumberFormat="1" applyFont="1" applyAlignment="1">
      <alignment horizontal="center"/>
    </xf>
    <xf numFmtId="17" fontId="0" fillId="0" borderId="0" xfId="0" applyNumberFormat="1"/>
    <xf numFmtId="41" fontId="3" fillId="0" borderId="3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164" fontId="0" fillId="0" borderId="0" xfId="0" applyNumberFormat="1"/>
    <xf numFmtId="44" fontId="3" fillId="0" borderId="0" xfId="2" applyFont="1" applyFill="1" applyBorder="1"/>
    <xf numFmtId="44" fontId="0" fillId="0" borderId="0" xfId="2" applyFont="1"/>
    <xf numFmtId="44" fontId="0" fillId="0" borderId="0" xfId="0" applyNumberFormat="1"/>
    <xf numFmtId="0" fontId="8" fillId="0" borderId="0" xfId="6"/>
    <xf numFmtId="0" fontId="9" fillId="0" borderId="0" xfId="4" applyFont="1"/>
    <xf numFmtId="0" fontId="10" fillId="0" borderId="0" xfId="4" applyFont="1" applyAlignment="1">
      <alignment horizontal="right"/>
    </xf>
    <xf numFmtId="0" fontId="9" fillId="0" borderId="0" xfId="4" applyFont="1" applyAlignment="1">
      <alignment horizontal="center"/>
    </xf>
    <xf numFmtId="0" fontId="9" fillId="0" borderId="4" xfId="4" applyFont="1" applyBorder="1" applyAlignment="1">
      <alignment horizontal="center"/>
    </xf>
    <xf numFmtId="6" fontId="9" fillId="0" borderId="0" xfId="4" applyNumberFormat="1" applyFont="1"/>
    <xf numFmtId="165" fontId="9" fillId="0" borderId="0" xfId="4" quotePrefix="1" applyNumberFormat="1" applyFont="1" applyAlignment="1">
      <alignment horizontal="right"/>
    </xf>
    <xf numFmtId="165" fontId="9" fillId="0" borderId="0" xfId="4" applyNumberFormat="1" applyFont="1" applyAlignment="1">
      <alignment horizontal="right"/>
    </xf>
    <xf numFmtId="0" fontId="9" fillId="0" borderId="0" xfId="4" quotePrefix="1" applyFont="1"/>
    <xf numFmtId="6" fontId="9" fillId="0" borderId="1" xfId="4" applyNumberFormat="1" applyFont="1" applyBorder="1"/>
    <xf numFmtId="0" fontId="9" fillId="0" borderId="0" xfId="4" applyFont="1" applyAlignment="1">
      <alignment horizontal="right"/>
    </xf>
    <xf numFmtId="6" fontId="9" fillId="0" borderId="3" xfId="4" applyNumberFormat="1" applyFont="1" applyBorder="1"/>
    <xf numFmtId="165" fontId="9" fillId="0" borderId="0" xfId="4" quotePrefix="1" applyNumberFormat="1" applyFont="1"/>
    <xf numFmtId="165" fontId="9" fillId="0" borderId="0" xfId="4" applyNumberFormat="1" applyFont="1"/>
    <xf numFmtId="44" fontId="9" fillId="0" borderId="0" xfId="2" applyFont="1"/>
    <xf numFmtId="44" fontId="9" fillId="0" borderId="3" xfId="2" applyFont="1" applyBorder="1"/>
    <xf numFmtId="44" fontId="11" fillId="2" borderId="0" xfId="2" applyFont="1" applyFill="1"/>
    <xf numFmtId="166" fontId="11" fillId="0" borderId="0" xfId="0" applyNumberFormat="1" applyFont="1"/>
    <xf numFmtId="167" fontId="11" fillId="3" borderId="0" xfId="1" applyNumberFormat="1" applyFont="1" applyFill="1"/>
    <xf numFmtId="167" fontId="11" fillId="0" borderId="0" xfId="1" applyNumberFormat="1" applyFont="1"/>
    <xf numFmtId="44" fontId="0" fillId="4" borderId="0" xfId="2" applyFont="1" applyFill="1"/>
    <xf numFmtId="44" fontId="0" fillId="0" borderId="0" xfId="2" applyFont="1" applyFill="1"/>
    <xf numFmtId="8" fontId="0" fillId="5" borderId="0" xfId="0" applyNumberFormat="1" applyFill="1"/>
    <xf numFmtId="8" fontId="0" fillId="0" borderId="0" xfId="0" applyNumberFormat="1"/>
    <xf numFmtId="0" fontId="0" fillId="0" borderId="7" xfId="0" applyBorder="1"/>
    <xf numFmtId="0" fontId="0" fillId="0" borderId="9" xfId="0" applyBorder="1"/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8" xfId="0" applyBorder="1"/>
    <xf numFmtId="44" fontId="0" fillId="0" borderId="0" xfId="2" applyFont="1" applyFill="1" applyBorder="1"/>
    <xf numFmtId="44" fontId="0" fillId="0" borderId="0" xfId="2" applyFont="1" applyBorder="1"/>
    <xf numFmtId="44" fontId="0" fillId="2" borderId="0" xfId="2" applyFont="1" applyFill="1" applyBorder="1"/>
    <xf numFmtId="44" fontId="2" fillId="0" borderId="0" xfId="2" applyFont="1" applyBorder="1" applyAlignment="1">
      <alignment horizontal="center" wrapText="1"/>
    </xf>
    <xf numFmtId="44" fontId="2" fillId="0" borderId="0" xfId="2" applyFont="1" applyBorder="1" applyAlignment="1">
      <alignment horizontal="center"/>
    </xf>
    <xf numFmtId="44" fontId="2" fillId="5" borderId="0" xfId="2" applyFont="1" applyFill="1" applyBorder="1" applyAlignment="1">
      <alignment horizontal="left" vertical="center"/>
    </xf>
    <xf numFmtId="43" fontId="4" fillId="0" borderId="0" xfId="0" applyNumberFormat="1" applyFont="1"/>
    <xf numFmtId="44" fontId="0" fillId="0" borderId="9" xfId="2" applyFont="1" applyBorder="1"/>
    <xf numFmtId="44" fontId="0" fillId="6" borderId="0" xfId="2" applyFont="1" applyFill="1" applyBorder="1"/>
    <xf numFmtId="44" fontId="4" fillId="0" borderId="0" xfId="2" applyFont="1" applyBorder="1" applyAlignment="1">
      <alignment horizontal="left"/>
    </xf>
    <xf numFmtId="44" fontId="0" fillId="7" borderId="0" xfId="2" applyFont="1" applyFill="1" applyBorder="1"/>
    <xf numFmtId="44" fontId="4" fillId="0" borderId="9" xfId="2" applyFont="1" applyBorder="1"/>
    <xf numFmtId="44" fontId="1" fillId="0" borderId="0" xfId="2" applyFont="1" applyFill="1" applyBorder="1"/>
    <xf numFmtId="0" fontId="0" fillId="0" borderId="8" xfId="0" quotePrefix="1" applyBorder="1"/>
    <xf numFmtId="44" fontId="0" fillId="4" borderId="0" xfId="2" applyFont="1" applyFill="1" applyBorder="1"/>
    <xf numFmtId="44" fontId="2" fillId="0" borderId="0" xfId="2" applyFont="1" applyFill="1" applyBorder="1" applyAlignment="1">
      <alignment horizontal="left" vertical="center"/>
    </xf>
    <xf numFmtId="44" fontId="0" fillId="6" borderId="3" xfId="2" applyFont="1" applyFill="1" applyBorder="1"/>
    <xf numFmtId="44" fontId="0" fillId="5" borderId="2" xfId="2" applyFont="1" applyFill="1" applyBorder="1" applyAlignment="1">
      <alignment horizontal="left" vertical="center"/>
    </xf>
    <xf numFmtId="44" fontId="0" fillId="4" borderId="9" xfId="2" applyFont="1" applyFill="1" applyBorder="1"/>
    <xf numFmtId="0" fontId="0" fillId="0" borderId="10" xfId="0" applyBorder="1"/>
    <xf numFmtId="44" fontId="0" fillId="0" borderId="4" xfId="2" applyFont="1" applyBorder="1"/>
    <xf numFmtId="44" fontId="0" fillId="0" borderId="4" xfId="2" applyFont="1" applyFill="1" applyBorder="1"/>
    <xf numFmtId="44" fontId="0" fillId="0" borderId="11" xfId="2" applyFont="1" applyBorder="1"/>
    <xf numFmtId="0" fontId="0" fillId="0" borderId="0" xfId="0" applyAlignment="1">
      <alignment horizontal="right" wrapText="1"/>
    </xf>
    <xf numFmtId="0" fontId="14" fillId="0" borderId="0" xfId="0" applyFont="1"/>
    <xf numFmtId="164" fontId="14" fillId="0" borderId="0" xfId="0" applyNumberFormat="1" applyFont="1"/>
    <xf numFmtId="164" fontId="14" fillId="0" borderId="0" xfId="0" applyNumberFormat="1" applyFont="1" applyAlignment="1">
      <alignment wrapText="1"/>
    </xf>
    <xf numFmtId="44" fontId="14" fillId="0" borderId="0" xfId="2" applyFont="1"/>
    <xf numFmtId="0" fontId="6" fillId="0" borderId="0" xfId="0" applyFont="1"/>
    <xf numFmtId="41" fontId="0" fillId="0" borderId="0" xfId="0" applyNumberForma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4" applyFont="1" applyAlignment="1">
      <alignment horizontal="center"/>
    </xf>
  </cellXfs>
  <cellStyles count="7">
    <cellStyle name="Comma" xfId="1" builtinId="3"/>
    <cellStyle name="Currency" xfId="2" builtinId="4"/>
    <cellStyle name="Currency 2" xfId="5" xr:uid="{37F7763F-933C-4177-9A70-C2CF1679E8AC}"/>
    <cellStyle name="Hyperlink" xfId="6" builtinId="8"/>
    <cellStyle name="Normal" xfId="0" builtinId="0"/>
    <cellStyle name="Normal 17" xfId="3" xr:uid="{CEE69294-165D-44F1-9039-4C93A8F877F7}"/>
    <cellStyle name="Normal 2" xfId="4" xr:uid="{7FBA5953-06DC-4AD5-92CA-918E8192B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21</xdr:row>
      <xdr:rowOff>0</xdr:rowOff>
    </xdr:from>
    <xdr:to>
      <xdr:col>5</xdr:col>
      <xdr:colOff>211456</xdr:colOff>
      <xdr:row>28</xdr:row>
      <xdr:rowOff>175211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E1BB9-F5C9-45E2-A71E-23751DDC4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419600"/>
          <a:ext cx="4316730" cy="1508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22</xdr:row>
      <xdr:rowOff>0</xdr:rowOff>
    </xdr:from>
    <xdr:to>
      <xdr:col>5</xdr:col>
      <xdr:colOff>211456</xdr:colOff>
      <xdr:row>29</xdr:row>
      <xdr:rowOff>175211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BC5869-8181-49E7-BF44-C14D2DCAF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610100"/>
          <a:ext cx="4316730" cy="1508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22</xdr:row>
      <xdr:rowOff>0</xdr:rowOff>
    </xdr:from>
    <xdr:to>
      <xdr:col>5</xdr:col>
      <xdr:colOff>207646</xdr:colOff>
      <xdr:row>29</xdr:row>
      <xdr:rowOff>171401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2E887D-28DC-413A-B575-A7334DA57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610100"/>
          <a:ext cx="4312920" cy="15049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22</xdr:row>
      <xdr:rowOff>0</xdr:rowOff>
    </xdr:from>
    <xdr:to>
      <xdr:col>5</xdr:col>
      <xdr:colOff>207646</xdr:colOff>
      <xdr:row>29</xdr:row>
      <xdr:rowOff>171401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048E06-AD68-4CB4-B7AB-47888305D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610100"/>
          <a:ext cx="4312920" cy="15049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22</xdr:row>
      <xdr:rowOff>0</xdr:rowOff>
    </xdr:from>
    <xdr:to>
      <xdr:col>5</xdr:col>
      <xdr:colOff>211456</xdr:colOff>
      <xdr:row>29</xdr:row>
      <xdr:rowOff>175211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5FEE33-316D-4E2B-A162-B56408295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4610100"/>
          <a:ext cx="4316730" cy="1508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66675</xdr:colOff>
      <xdr:row>20</xdr:row>
      <xdr:rowOff>60774</xdr:rowOff>
    </xdr:from>
    <xdr:ext cx="15847206" cy="2792380"/>
    <xdr:pic>
      <xdr:nvPicPr>
        <xdr:cNvPr id="2" name="Picture 1">
          <a:extLst>
            <a:ext uri="{FF2B5EF4-FFF2-40B4-BE49-F238E27FC236}">
              <a16:creationId xmlns:a16="http://schemas.microsoft.com/office/drawing/2014/main" id="{D7C2A7F8-6B53-431E-BDD6-424A0BF04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3632649"/>
          <a:ext cx="15847206" cy="2792380"/>
        </a:xfrm>
        <a:prstGeom prst="rect">
          <a:avLst/>
        </a:prstGeom>
      </xdr:spPr>
    </xdr:pic>
    <xdr:clientData/>
  </xdr:oneCellAnchor>
  <xdr:oneCellAnchor>
    <xdr:from>
      <xdr:col>6</xdr:col>
      <xdr:colOff>104775</xdr:colOff>
      <xdr:row>38</xdr:row>
      <xdr:rowOff>112933</xdr:rowOff>
    </xdr:from>
    <xdr:ext cx="10524279" cy="2797362"/>
    <xdr:pic>
      <xdr:nvPicPr>
        <xdr:cNvPr id="3" name="Picture 2">
          <a:extLst>
            <a:ext uri="{FF2B5EF4-FFF2-40B4-BE49-F238E27FC236}">
              <a16:creationId xmlns:a16="http://schemas.microsoft.com/office/drawing/2014/main" id="{DAB1B4EB-471A-49C6-ADD8-BFA6673C0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6618508"/>
          <a:ext cx="10524279" cy="2797362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571500</xdr:colOff>
      <xdr:row>4</xdr:row>
      <xdr:rowOff>104775</xdr:rowOff>
    </xdr:from>
    <xdr:to>
      <xdr:col>22</xdr:col>
      <xdr:colOff>10468</xdr:colOff>
      <xdr:row>42</xdr:row>
      <xdr:rowOff>67680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91A56C-1F07-4A3A-8870-4FB2A85DD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0" y="866775"/>
          <a:ext cx="6754168" cy="720190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</xdr:row>
      <xdr:rowOff>76201</xdr:rowOff>
    </xdr:from>
    <xdr:to>
      <xdr:col>10</xdr:col>
      <xdr:colOff>285751</xdr:colOff>
      <xdr:row>43</xdr:row>
      <xdr:rowOff>4207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350D7D-CCD6-4D07-9773-AE21BC7B2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647701"/>
          <a:ext cx="6381750" cy="7548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psc.ky.gov/pscecf/2021-00103/kristen%40gosssamfordlaw.com/04012021014344/EKPC_Application_Filing_Volume_1_-_Exhibits_1-1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E6DE-C8AF-41B5-8076-63CB4A4D9CAF}">
  <sheetPr>
    <tabColor rgb="FFFFC000"/>
    <pageSetUpPr fitToPage="1"/>
  </sheetPr>
  <dimension ref="A1:P32"/>
  <sheetViews>
    <sheetView tabSelected="1" view="pageBreakPreview" zoomScaleNormal="100" zoomScaleSheetLayoutView="100" workbookViewId="0">
      <selection activeCell="E11" sqref="E11"/>
    </sheetView>
  </sheetViews>
  <sheetFormatPr defaultRowHeight="15" x14ac:dyDescent="0.25"/>
  <cols>
    <col min="2" max="2" width="30.28515625" customWidth="1"/>
    <col min="3" max="3" width="7.140625" style="4" customWidth="1"/>
    <col min="4" max="4" width="2.7109375" style="4" customWidth="1"/>
    <col min="5" max="5" width="15.7109375" customWidth="1"/>
    <col min="6" max="6" width="2.7109375" customWidth="1"/>
    <col min="7" max="7" width="15.7109375" customWidth="1"/>
    <col min="8" max="8" width="2.7109375" bestFit="1" customWidth="1"/>
    <col min="9" max="9" width="15.7109375" customWidth="1"/>
    <col min="10" max="10" width="2.7109375" customWidth="1"/>
    <col min="11" max="11" width="15.7109375" customWidth="1"/>
    <col min="12" max="12" width="2.7109375" customWidth="1"/>
    <col min="13" max="13" width="15.7109375" customWidth="1"/>
    <col min="14" max="14" width="2.7109375" bestFit="1" customWidth="1"/>
    <col min="15" max="15" width="15.7109375" customWidth="1"/>
  </cols>
  <sheetData>
    <row r="1" spans="1:16" x14ac:dyDescent="0.25">
      <c r="A1">
        <v>1</v>
      </c>
    </row>
    <row r="2" spans="1:16" x14ac:dyDescent="0.25">
      <c r="A2">
        <v>2</v>
      </c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x14ac:dyDescent="0.25">
      <c r="A3">
        <v>3</v>
      </c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x14ac:dyDescent="0.25">
      <c r="A4">
        <v>4</v>
      </c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x14ac:dyDescent="0.25">
      <c r="A5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>
        <v>6</v>
      </c>
      <c r="O6" s="74"/>
    </row>
    <row r="7" spans="1:16" ht="83.25" customHeight="1" x14ac:dyDescent="0.25">
      <c r="A7">
        <v>7</v>
      </c>
      <c r="E7" s="2" t="s">
        <v>3</v>
      </c>
      <c r="G7" s="2" t="s">
        <v>4</v>
      </c>
      <c r="H7" s="3"/>
      <c r="I7" s="2" t="s">
        <v>5</v>
      </c>
      <c r="J7" s="3"/>
      <c r="K7" s="2" t="s">
        <v>6</v>
      </c>
      <c r="L7" s="3"/>
      <c r="M7" s="2" t="s">
        <v>7</v>
      </c>
      <c r="O7" s="2" t="s">
        <v>8</v>
      </c>
    </row>
    <row r="8" spans="1:16" x14ac:dyDescent="0.25">
      <c r="A8">
        <v>8</v>
      </c>
    </row>
    <row r="9" spans="1:16" ht="30" x14ac:dyDescent="0.25">
      <c r="A9">
        <v>9</v>
      </c>
      <c r="B9" s="68" t="s">
        <v>9</v>
      </c>
      <c r="E9" s="6">
        <v>1140556</v>
      </c>
      <c r="F9" s="6"/>
      <c r="G9" s="6">
        <v>403092</v>
      </c>
      <c r="H9" s="6"/>
      <c r="I9" s="6">
        <v>169723</v>
      </c>
      <c r="J9" s="6"/>
      <c r="K9" s="6">
        <v>352175</v>
      </c>
      <c r="L9" s="6"/>
      <c r="M9" s="6">
        <v>297015</v>
      </c>
      <c r="N9" s="6"/>
      <c r="O9" s="6">
        <f>SUM(E9:M9)</f>
        <v>2362561</v>
      </c>
      <c r="P9" s="6"/>
    </row>
    <row r="10" spans="1:16" x14ac:dyDescent="0.25">
      <c r="A10">
        <v>10</v>
      </c>
      <c r="B10" s="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>
        <v>11</v>
      </c>
      <c r="B11" s="9"/>
      <c r="C11" s="4" t="s">
        <v>10</v>
      </c>
    </row>
    <row r="12" spans="1:16" x14ac:dyDescent="0.25">
      <c r="A12">
        <v>12</v>
      </c>
      <c r="B12" s="9" t="s">
        <v>11</v>
      </c>
      <c r="C12" s="4">
        <v>2025</v>
      </c>
      <c r="E12" s="6">
        <v>72768</v>
      </c>
      <c r="F12" s="6"/>
      <c r="G12" s="6">
        <v>25717</v>
      </c>
      <c r="H12" s="6"/>
      <c r="I12" s="6">
        <v>10828</v>
      </c>
      <c r="J12" s="6"/>
      <c r="K12" s="6">
        <v>22469</v>
      </c>
      <c r="L12" s="6"/>
      <c r="M12" s="6">
        <f>18950</f>
        <v>18950</v>
      </c>
      <c r="N12" s="6"/>
      <c r="O12" s="6">
        <f>SUM(E12:N12)</f>
        <v>150732</v>
      </c>
    </row>
    <row r="13" spans="1:16" x14ac:dyDescent="0.25">
      <c r="A13">
        <v>13</v>
      </c>
      <c r="B13" s="9" t="s">
        <v>11</v>
      </c>
      <c r="C13" s="4">
        <v>2026</v>
      </c>
      <c r="E13" s="6">
        <v>77410</v>
      </c>
      <c r="F13" s="6"/>
      <c r="G13" s="6">
        <v>27358</v>
      </c>
      <c r="H13" s="6"/>
      <c r="I13" s="6">
        <v>11519</v>
      </c>
      <c r="J13" s="6"/>
      <c r="K13" s="6">
        <v>23902</v>
      </c>
      <c r="L13" s="6"/>
      <c r="M13" s="6">
        <f>20159-1</f>
        <v>20158</v>
      </c>
      <c r="N13" s="6"/>
      <c r="O13" s="6">
        <f t="shared" ref="O13:O16" si="0">SUM(E13:N13)</f>
        <v>160347</v>
      </c>
    </row>
    <row r="14" spans="1:16" x14ac:dyDescent="0.25">
      <c r="A14">
        <v>14</v>
      </c>
      <c r="B14" s="9" t="s">
        <v>11</v>
      </c>
      <c r="C14" s="4">
        <v>2027</v>
      </c>
      <c r="E14" s="6">
        <v>82349</v>
      </c>
      <c r="F14" s="6"/>
      <c r="G14" s="6">
        <v>29103</v>
      </c>
      <c r="H14" s="6"/>
      <c r="I14" s="6">
        <v>12254</v>
      </c>
      <c r="J14" s="6"/>
      <c r="K14" s="6">
        <v>25427</v>
      </c>
      <c r="L14" s="6"/>
      <c r="M14" s="6">
        <v>21445</v>
      </c>
      <c r="N14" s="6"/>
      <c r="O14" s="6">
        <f t="shared" si="0"/>
        <v>170578</v>
      </c>
    </row>
    <row r="15" spans="1:16" x14ac:dyDescent="0.25">
      <c r="A15">
        <v>15</v>
      </c>
      <c r="B15" s="9" t="s">
        <v>11</v>
      </c>
      <c r="C15" s="4">
        <v>2028</v>
      </c>
      <c r="E15" s="6">
        <v>36134</v>
      </c>
      <c r="F15" s="6"/>
      <c r="G15" s="6">
        <v>30960</v>
      </c>
      <c r="H15" s="6"/>
      <c r="I15" s="6">
        <v>13036</v>
      </c>
      <c r="J15" s="6"/>
      <c r="K15" s="6">
        <v>27050</v>
      </c>
      <c r="L15" s="6"/>
      <c r="M15" s="6">
        <v>22813</v>
      </c>
      <c r="N15" s="6"/>
      <c r="O15" s="6">
        <f t="shared" si="0"/>
        <v>129993</v>
      </c>
    </row>
    <row r="16" spans="1:16" x14ac:dyDescent="0.25">
      <c r="A16">
        <v>16</v>
      </c>
      <c r="B16" s="9" t="s">
        <v>11</v>
      </c>
      <c r="C16" s="4">
        <v>2029</v>
      </c>
      <c r="E16" s="6"/>
      <c r="F16" s="6"/>
      <c r="G16" s="6">
        <v>13585</v>
      </c>
      <c r="H16" s="6"/>
      <c r="I16" s="6">
        <v>5720</v>
      </c>
      <c r="J16" s="6"/>
      <c r="K16" s="6">
        <v>11869</v>
      </c>
      <c r="L16" s="6"/>
      <c r="M16" s="6">
        <v>10010</v>
      </c>
      <c r="N16" s="6"/>
      <c r="O16" s="6">
        <f t="shared" si="0"/>
        <v>41184</v>
      </c>
    </row>
    <row r="17" spans="1:15" ht="15.75" thickBot="1" x14ac:dyDescent="0.3">
      <c r="A17">
        <v>17</v>
      </c>
      <c r="B17" s="9" t="s">
        <v>12</v>
      </c>
      <c r="E17" s="8">
        <f>SUM(E12:E16)</f>
        <v>268661</v>
      </c>
      <c r="F17" s="6"/>
      <c r="G17" s="8">
        <f>SUM(G12:G16)</f>
        <v>126723</v>
      </c>
      <c r="H17" s="6"/>
      <c r="I17" s="8">
        <f>SUM(I12:I16)</f>
        <v>53357</v>
      </c>
      <c r="J17" s="6"/>
      <c r="K17" s="8">
        <f>SUM(K12:K16)</f>
        <v>110717</v>
      </c>
      <c r="L17" s="6"/>
      <c r="M17" s="8">
        <f>SUM(M12:M16)</f>
        <v>93376</v>
      </c>
      <c r="N17" s="6"/>
      <c r="O17" s="8">
        <f>SUM(O12:O16)</f>
        <v>652834</v>
      </c>
    </row>
    <row r="18" spans="1:15" ht="15.75" thickTop="1" x14ac:dyDescent="0.25">
      <c r="A18">
        <v>18</v>
      </c>
      <c r="B18" s="9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5">
      <c r="A19">
        <v>19</v>
      </c>
      <c r="B19" s="9" t="s">
        <v>13</v>
      </c>
      <c r="C19" s="4" t="s">
        <v>10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>
        <v>20</v>
      </c>
      <c r="B20" s="9" t="s">
        <v>13</v>
      </c>
      <c r="C20" s="4">
        <v>2025</v>
      </c>
      <c r="E20" s="6">
        <v>333821</v>
      </c>
      <c r="F20" s="6"/>
      <c r="G20" s="6">
        <v>91266</v>
      </c>
      <c r="H20" s="6"/>
      <c r="I20" s="6">
        <v>38428</v>
      </c>
      <c r="J20" s="6"/>
      <c r="K20" s="6">
        <v>79738</v>
      </c>
      <c r="L20" s="6"/>
      <c r="M20" s="6">
        <v>67249</v>
      </c>
      <c r="N20" s="6"/>
      <c r="O20" s="6">
        <f>SUM(E20:N20)</f>
        <v>610502</v>
      </c>
    </row>
    <row r="21" spans="1:15" x14ac:dyDescent="0.25">
      <c r="A21">
        <v>21</v>
      </c>
      <c r="B21" s="9" t="s">
        <v>13</v>
      </c>
      <c r="C21" s="4">
        <v>2026</v>
      </c>
      <c r="E21" s="6">
        <v>333821</v>
      </c>
      <c r="F21" s="6"/>
      <c r="G21" s="6">
        <v>91266</v>
      </c>
      <c r="H21" s="6"/>
      <c r="I21" s="6">
        <v>38428</v>
      </c>
      <c r="J21" s="6"/>
      <c r="K21" s="6">
        <v>79738</v>
      </c>
      <c r="L21" s="6"/>
      <c r="M21" s="6">
        <v>67249</v>
      </c>
      <c r="N21" s="6"/>
      <c r="O21" s="6">
        <f t="shared" ref="O21:O23" si="1">SUM(E21:N21)</f>
        <v>610502</v>
      </c>
    </row>
    <row r="22" spans="1:15" x14ac:dyDescent="0.25">
      <c r="A22">
        <v>22</v>
      </c>
      <c r="B22" s="9" t="s">
        <v>13</v>
      </c>
      <c r="C22" s="4">
        <v>2027</v>
      </c>
      <c r="E22" s="6">
        <v>333821</v>
      </c>
      <c r="F22" s="6"/>
      <c r="G22" s="6">
        <v>91266</v>
      </c>
      <c r="H22" s="6"/>
      <c r="I22" s="6">
        <v>38428</v>
      </c>
      <c r="J22" s="6"/>
      <c r="K22" s="6">
        <v>79738</v>
      </c>
      <c r="L22" s="6"/>
      <c r="M22" s="6">
        <v>67249</v>
      </c>
      <c r="N22" s="6"/>
      <c r="O22" s="6">
        <f t="shared" si="1"/>
        <v>610502</v>
      </c>
    </row>
    <row r="23" spans="1:15" x14ac:dyDescent="0.25">
      <c r="A23">
        <v>23</v>
      </c>
      <c r="B23" s="9" t="s">
        <v>13</v>
      </c>
      <c r="C23" s="4">
        <v>2028</v>
      </c>
      <c r="E23" s="6">
        <v>139093</v>
      </c>
      <c r="F23" s="6"/>
      <c r="G23" s="6">
        <v>91266</v>
      </c>
      <c r="H23" s="6"/>
      <c r="I23" s="6">
        <v>38428</v>
      </c>
      <c r="J23" s="6"/>
      <c r="K23" s="6">
        <v>79738</v>
      </c>
      <c r="L23" s="6"/>
      <c r="M23" s="6">
        <v>67249</v>
      </c>
      <c r="N23" s="6"/>
      <c r="O23" s="6">
        <f t="shared" si="1"/>
        <v>415774</v>
      </c>
    </row>
    <row r="24" spans="1:15" x14ac:dyDescent="0.25">
      <c r="A24">
        <v>24</v>
      </c>
      <c r="B24" s="9" t="s">
        <v>13</v>
      </c>
      <c r="C24" s="4">
        <v>2029</v>
      </c>
      <c r="E24" s="6"/>
      <c r="F24" s="6"/>
      <c r="G24" s="6">
        <v>38028</v>
      </c>
      <c r="H24" s="6"/>
      <c r="I24" s="6">
        <f>16012-1</f>
        <v>16011</v>
      </c>
      <c r="J24" s="6"/>
      <c r="K24" s="6">
        <f>33224-1</f>
        <v>33223</v>
      </c>
      <c r="L24" s="6"/>
      <c r="M24" s="6">
        <f>28020-1</f>
        <v>28019</v>
      </c>
      <c r="N24" s="6"/>
      <c r="O24" s="6">
        <f>SUM(E24:N24)</f>
        <v>115281</v>
      </c>
    </row>
    <row r="25" spans="1:15" ht="15.75" thickBot="1" x14ac:dyDescent="0.3">
      <c r="A25">
        <v>25</v>
      </c>
      <c r="B25" s="9" t="s">
        <v>14</v>
      </c>
      <c r="E25" s="8">
        <f>SUM(E20:E24)</f>
        <v>1140556</v>
      </c>
      <c r="F25" s="6"/>
      <c r="G25" s="8">
        <f>SUM(G20:G24)</f>
        <v>403092</v>
      </c>
      <c r="H25" s="6"/>
      <c r="I25" s="8">
        <f>SUM(I20:I24)</f>
        <v>169723</v>
      </c>
      <c r="J25" s="6"/>
      <c r="K25" s="8">
        <f>SUM(K20:K24)</f>
        <v>352175</v>
      </c>
      <c r="L25" s="6"/>
      <c r="M25" s="8">
        <f>SUM(M20:M24)</f>
        <v>297015</v>
      </c>
      <c r="N25" s="6"/>
      <c r="O25" s="8">
        <f>SUM(O20:O24)</f>
        <v>2362561</v>
      </c>
    </row>
    <row r="26" spans="1:15" ht="15.75" thickTop="1" x14ac:dyDescent="0.25">
      <c r="B26" s="9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25">
      <c r="B27" s="9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25">
      <c r="B28" s="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25">
      <c r="B29" s="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25">
      <c r="B30" s="9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25">
      <c r="B31" s="9"/>
    </row>
    <row r="32" spans="1:15" x14ac:dyDescent="0.25">
      <c r="B32" s="9"/>
    </row>
  </sheetData>
  <mergeCells count="3">
    <mergeCell ref="B2:P2"/>
    <mergeCell ref="B3:P3"/>
    <mergeCell ref="B4:P4"/>
  </mergeCells>
  <pageMargins left="0.25" right="0.25" top="0.75" bottom="0.75" header="0.3" footer="0.3"/>
  <pageSetup scale="81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88E62-2218-4943-896F-BE37C964B46E}">
  <sheetPr>
    <tabColor theme="0" tint="-0.14999847407452621"/>
  </sheetPr>
  <dimension ref="A2"/>
  <sheetViews>
    <sheetView topLeftCell="A25" workbookViewId="0">
      <selection activeCell="X42" sqref="X42"/>
    </sheetView>
  </sheetViews>
  <sheetFormatPr defaultRowHeight="15" x14ac:dyDescent="0.25"/>
  <sheetData>
    <row r="2" spans="1:1" x14ac:dyDescent="0.25">
      <c r="A2" s="15" t="s">
        <v>101</v>
      </c>
    </row>
  </sheetData>
  <hyperlinks>
    <hyperlink ref="A2" r:id="rId1" xr:uid="{2D89D8F8-D821-46E8-8746-59D70CA1F7C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0DFFE-E071-490F-AA95-95CB17A30FF2}">
  <sheetPr>
    <tabColor rgb="FF92D050"/>
  </sheetPr>
  <dimension ref="A2:J139"/>
  <sheetViews>
    <sheetView topLeftCell="A4" zoomScaleNormal="100" workbookViewId="0">
      <selection activeCell="A40" sqref="A40"/>
    </sheetView>
  </sheetViews>
  <sheetFormatPr defaultRowHeight="15" x14ac:dyDescent="0.25"/>
  <cols>
    <col min="1" max="1" width="16.7109375" customWidth="1"/>
    <col min="2" max="2" width="46.7109375" customWidth="1"/>
    <col min="3" max="3" width="10.85546875" style="11" customWidth="1"/>
    <col min="4" max="4" width="13.85546875" style="11" customWidth="1"/>
    <col min="5" max="6" width="12.5703125" bestFit="1" customWidth="1"/>
    <col min="7" max="7" width="7.85546875" bestFit="1" customWidth="1"/>
  </cols>
  <sheetData>
    <row r="2" spans="1:4" x14ac:dyDescent="0.25">
      <c r="A2" s="10" t="s">
        <v>0</v>
      </c>
    </row>
    <row r="4" spans="1:4" x14ac:dyDescent="0.25">
      <c r="A4" s="10" t="s">
        <v>15</v>
      </c>
    </row>
    <row r="6" spans="1:4" x14ac:dyDescent="0.25">
      <c r="A6" t="s">
        <v>16</v>
      </c>
      <c r="B6" t="s">
        <v>17</v>
      </c>
      <c r="C6" s="11">
        <f>+D7+D8</f>
        <v>406589</v>
      </c>
    </row>
    <row r="7" spans="1:4" x14ac:dyDescent="0.25">
      <c r="A7" t="s">
        <v>18</v>
      </c>
      <c r="B7" t="s">
        <v>19</v>
      </c>
      <c r="D7" s="11">
        <f>+'Legacy ARO'!E12</f>
        <v>72768</v>
      </c>
    </row>
    <row r="8" spans="1:4" x14ac:dyDescent="0.25">
      <c r="A8" t="s">
        <v>20</v>
      </c>
      <c r="B8" t="s">
        <v>21</v>
      </c>
      <c r="D8" s="11">
        <f>+'Legacy ARO'!E20</f>
        <v>333821</v>
      </c>
    </row>
    <row r="10" spans="1:4" x14ac:dyDescent="0.25">
      <c r="A10" s="73" t="s">
        <v>22</v>
      </c>
    </row>
    <row r="13" spans="1:4" x14ac:dyDescent="0.25">
      <c r="A13" t="s">
        <v>16</v>
      </c>
      <c r="B13" t="s">
        <v>17</v>
      </c>
      <c r="C13" s="11">
        <f>+D14+D15</f>
        <v>116983</v>
      </c>
    </row>
    <row r="14" spans="1:4" x14ac:dyDescent="0.25">
      <c r="A14" t="s">
        <v>18</v>
      </c>
      <c r="B14" t="s">
        <v>19</v>
      </c>
      <c r="D14" s="11">
        <f>+'Legacy ARO'!G12</f>
        <v>25717</v>
      </c>
    </row>
    <row r="15" spans="1:4" x14ac:dyDescent="0.25">
      <c r="A15" t="s">
        <v>20</v>
      </c>
      <c r="B15" t="s">
        <v>21</v>
      </c>
      <c r="D15" s="11">
        <f>+'Legacy ARO'!G20</f>
        <v>91266</v>
      </c>
    </row>
    <row r="17" spans="1:4" x14ac:dyDescent="0.25">
      <c r="A17" s="73" t="s">
        <v>23</v>
      </c>
    </row>
    <row r="20" spans="1:4" x14ac:dyDescent="0.25">
      <c r="A20" t="s">
        <v>16</v>
      </c>
      <c r="B20" t="s">
        <v>17</v>
      </c>
      <c r="C20" s="11">
        <f>+D21+D22</f>
        <v>49256</v>
      </c>
    </row>
    <row r="21" spans="1:4" x14ac:dyDescent="0.25">
      <c r="A21" t="s">
        <v>18</v>
      </c>
      <c r="B21" t="s">
        <v>19</v>
      </c>
      <c r="D21" s="11">
        <f>+'Legacy ARO'!I12</f>
        <v>10828</v>
      </c>
    </row>
    <row r="22" spans="1:4" x14ac:dyDescent="0.25">
      <c r="A22" t="s">
        <v>20</v>
      </c>
      <c r="B22" t="s">
        <v>21</v>
      </c>
      <c r="D22" s="11">
        <f>+'Legacy ARO'!I20</f>
        <v>38428</v>
      </c>
    </row>
    <row r="24" spans="1:4" x14ac:dyDescent="0.25">
      <c r="A24" s="73" t="s">
        <v>24</v>
      </c>
    </row>
    <row r="27" spans="1:4" x14ac:dyDescent="0.25">
      <c r="A27" t="s">
        <v>16</v>
      </c>
      <c r="B27" t="s">
        <v>17</v>
      </c>
      <c r="C27" s="11">
        <f>+D28+D29</f>
        <v>102207</v>
      </c>
    </row>
    <row r="28" spans="1:4" x14ac:dyDescent="0.25">
      <c r="A28" t="s">
        <v>18</v>
      </c>
      <c r="B28" t="s">
        <v>19</v>
      </c>
      <c r="D28" s="11">
        <f>+'Legacy ARO'!K12</f>
        <v>22469</v>
      </c>
    </row>
    <row r="29" spans="1:4" x14ac:dyDescent="0.25">
      <c r="A29" t="s">
        <v>20</v>
      </c>
      <c r="B29" t="s">
        <v>21</v>
      </c>
      <c r="D29" s="11">
        <f>+'Legacy ARO'!K20</f>
        <v>79738</v>
      </c>
    </row>
    <row r="31" spans="1:4" x14ac:dyDescent="0.25">
      <c r="A31" s="73" t="s">
        <v>25</v>
      </c>
    </row>
    <row r="34" spans="1:4" x14ac:dyDescent="0.25">
      <c r="A34" t="s">
        <v>16</v>
      </c>
      <c r="B34" t="s">
        <v>17</v>
      </c>
      <c r="C34" s="11">
        <f>+D35+D36</f>
        <v>86199</v>
      </c>
    </row>
    <row r="35" spans="1:4" x14ac:dyDescent="0.25">
      <c r="A35" t="s">
        <v>18</v>
      </c>
      <c r="B35" t="s">
        <v>19</v>
      </c>
      <c r="D35" s="11">
        <f>+'Legacy ARO'!M12</f>
        <v>18950</v>
      </c>
    </row>
    <row r="36" spans="1:4" x14ac:dyDescent="0.25">
      <c r="A36" t="s">
        <v>20</v>
      </c>
      <c r="B36" t="s">
        <v>21</v>
      </c>
      <c r="D36" s="11">
        <f>+'Legacy ARO'!M20</f>
        <v>67249</v>
      </c>
    </row>
    <row r="38" spans="1:4" x14ac:dyDescent="0.25">
      <c r="A38" s="73" t="s">
        <v>26</v>
      </c>
    </row>
    <row r="40" spans="1:4" x14ac:dyDescent="0.25">
      <c r="A40" s="10" t="s">
        <v>27</v>
      </c>
    </row>
    <row r="41" spans="1:4" x14ac:dyDescent="0.25">
      <c r="A41" s="73" t="s">
        <v>28</v>
      </c>
    </row>
    <row r="43" spans="1:4" x14ac:dyDescent="0.25">
      <c r="A43" t="s">
        <v>18</v>
      </c>
      <c r="B43" t="s">
        <v>19</v>
      </c>
      <c r="C43" s="11">
        <f>+ROUND('Legacy ARO'!E13/12,0)</f>
        <v>6451</v>
      </c>
    </row>
    <row r="44" spans="1:4" x14ac:dyDescent="0.25">
      <c r="A44" t="s">
        <v>29</v>
      </c>
      <c r="B44" t="s">
        <v>30</v>
      </c>
      <c r="D44" s="11">
        <f>+C43</f>
        <v>6451</v>
      </c>
    </row>
    <row r="46" spans="1:4" x14ac:dyDescent="0.25">
      <c r="A46" s="73" t="s">
        <v>31</v>
      </c>
    </row>
    <row r="49" spans="1:4" x14ac:dyDescent="0.25">
      <c r="A49" t="s">
        <v>20</v>
      </c>
      <c r="B49" t="s">
        <v>21</v>
      </c>
      <c r="C49" s="11">
        <f>ROUND('Legacy ARO'!E21/12,0)</f>
        <v>27818</v>
      </c>
    </row>
    <row r="50" spans="1:4" x14ac:dyDescent="0.25">
      <c r="A50" t="s">
        <v>32</v>
      </c>
      <c r="B50" t="s">
        <v>33</v>
      </c>
      <c r="D50" s="11">
        <f>+C49</f>
        <v>27818</v>
      </c>
    </row>
    <row r="52" spans="1:4" x14ac:dyDescent="0.25">
      <c r="A52" s="73" t="s">
        <v>34</v>
      </c>
    </row>
    <row r="55" spans="1:4" x14ac:dyDescent="0.25">
      <c r="A55" t="s">
        <v>16</v>
      </c>
      <c r="B55" t="s">
        <v>17</v>
      </c>
      <c r="C55" s="11">
        <f>+D57+D56</f>
        <v>34269</v>
      </c>
    </row>
    <row r="56" spans="1:4" x14ac:dyDescent="0.25">
      <c r="A56" t="s">
        <v>18</v>
      </c>
      <c r="B56" t="s">
        <v>19</v>
      </c>
      <c r="D56" s="11">
        <f>+C43</f>
        <v>6451</v>
      </c>
    </row>
    <row r="57" spans="1:4" x14ac:dyDescent="0.25">
      <c r="A57" t="s">
        <v>20</v>
      </c>
      <c r="B57" t="s">
        <v>21</v>
      </c>
      <c r="D57" s="11">
        <f>+C49</f>
        <v>27818</v>
      </c>
    </row>
    <row r="59" spans="1:4" x14ac:dyDescent="0.25">
      <c r="A59" s="73" t="s">
        <v>35</v>
      </c>
    </row>
    <row r="61" spans="1:4" x14ac:dyDescent="0.25">
      <c r="A61" t="s">
        <v>18</v>
      </c>
      <c r="B61" t="s">
        <v>19</v>
      </c>
      <c r="C61" s="11">
        <f>+ROUND('Legacy ARO'!G13/12,0)</f>
        <v>2280</v>
      </c>
    </row>
    <row r="62" spans="1:4" x14ac:dyDescent="0.25">
      <c r="A62" t="s">
        <v>29</v>
      </c>
      <c r="B62" t="s">
        <v>30</v>
      </c>
      <c r="D62" s="11">
        <f>+C61</f>
        <v>2280</v>
      </c>
    </row>
    <row r="64" spans="1:4" x14ac:dyDescent="0.25">
      <c r="A64" s="73" t="s">
        <v>36</v>
      </c>
    </row>
    <row r="67" spans="1:4" x14ac:dyDescent="0.25">
      <c r="A67" t="s">
        <v>20</v>
      </c>
      <c r="B67" t="s">
        <v>21</v>
      </c>
      <c r="C67" s="11">
        <f>ROUND('Legacy ARO'!G21/12,0)</f>
        <v>7606</v>
      </c>
    </row>
    <row r="68" spans="1:4" x14ac:dyDescent="0.25">
      <c r="A68" t="s">
        <v>32</v>
      </c>
      <c r="B68" t="s">
        <v>33</v>
      </c>
      <c r="D68" s="11">
        <f>+C67</f>
        <v>7606</v>
      </c>
    </row>
    <row r="70" spans="1:4" x14ac:dyDescent="0.25">
      <c r="A70" s="73" t="s">
        <v>37</v>
      </c>
    </row>
    <row r="73" spans="1:4" x14ac:dyDescent="0.25">
      <c r="A73" t="s">
        <v>16</v>
      </c>
      <c r="B73" t="s">
        <v>17</v>
      </c>
      <c r="C73" s="11">
        <f>+D75+D74</f>
        <v>9886</v>
      </c>
    </row>
    <row r="74" spans="1:4" x14ac:dyDescent="0.25">
      <c r="A74" t="s">
        <v>18</v>
      </c>
      <c r="B74" t="s">
        <v>19</v>
      </c>
      <c r="D74" s="11">
        <f>+C61</f>
        <v>2280</v>
      </c>
    </row>
    <row r="75" spans="1:4" x14ac:dyDescent="0.25">
      <c r="A75" t="s">
        <v>20</v>
      </c>
      <c r="B75" t="s">
        <v>21</v>
      </c>
      <c r="D75" s="11">
        <f>+C67</f>
        <v>7606</v>
      </c>
    </row>
    <row r="77" spans="1:4" x14ac:dyDescent="0.25">
      <c r="A77" s="73" t="s">
        <v>38</v>
      </c>
    </row>
    <row r="79" spans="1:4" x14ac:dyDescent="0.25">
      <c r="A79" t="s">
        <v>18</v>
      </c>
      <c r="B79" t="s">
        <v>19</v>
      </c>
      <c r="C79" s="11">
        <f>+ROUND('Legacy ARO'!I13/12,0)</f>
        <v>960</v>
      </c>
    </row>
    <row r="80" spans="1:4" x14ac:dyDescent="0.25">
      <c r="A80" t="s">
        <v>29</v>
      </c>
      <c r="B80" t="s">
        <v>30</v>
      </c>
      <c r="D80" s="11">
        <f>+C79</f>
        <v>960</v>
      </c>
    </row>
    <row r="82" spans="1:4" x14ac:dyDescent="0.25">
      <c r="A82" s="73" t="s">
        <v>39</v>
      </c>
    </row>
    <row r="85" spans="1:4" x14ac:dyDescent="0.25">
      <c r="A85" t="s">
        <v>20</v>
      </c>
      <c r="B85" t="s">
        <v>21</v>
      </c>
      <c r="C85" s="11">
        <f>ROUND('Legacy ARO'!I21/12,0)</f>
        <v>3202</v>
      </c>
    </row>
    <row r="86" spans="1:4" x14ac:dyDescent="0.25">
      <c r="A86" t="s">
        <v>32</v>
      </c>
      <c r="B86" t="s">
        <v>33</v>
      </c>
      <c r="D86" s="11">
        <f>+C85</f>
        <v>3202</v>
      </c>
    </row>
    <row r="88" spans="1:4" x14ac:dyDescent="0.25">
      <c r="A88" s="73" t="s">
        <v>40</v>
      </c>
    </row>
    <row r="91" spans="1:4" x14ac:dyDescent="0.25">
      <c r="A91" t="s">
        <v>16</v>
      </c>
      <c r="B91" t="s">
        <v>17</v>
      </c>
      <c r="C91" s="11">
        <f>+D93+D92</f>
        <v>4162</v>
      </c>
    </row>
    <row r="92" spans="1:4" x14ac:dyDescent="0.25">
      <c r="A92" t="s">
        <v>18</v>
      </c>
      <c r="B92" t="s">
        <v>19</v>
      </c>
      <c r="D92" s="11">
        <f>+C79</f>
        <v>960</v>
      </c>
    </row>
    <row r="93" spans="1:4" x14ac:dyDescent="0.25">
      <c r="A93" t="s">
        <v>20</v>
      </c>
      <c r="B93" t="s">
        <v>21</v>
      </c>
      <c r="D93" s="11">
        <f>+C85</f>
        <v>3202</v>
      </c>
    </row>
    <row r="95" spans="1:4" x14ac:dyDescent="0.25">
      <c r="A95" s="73" t="s">
        <v>41</v>
      </c>
    </row>
    <row r="97" spans="1:4" x14ac:dyDescent="0.25">
      <c r="A97" t="s">
        <v>18</v>
      </c>
      <c r="B97" t="s">
        <v>19</v>
      </c>
      <c r="C97" s="11">
        <f>+ROUND('Legacy ARO'!K13/12,0)</f>
        <v>1992</v>
      </c>
    </row>
    <row r="98" spans="1:4" x14ac:dyDescent="0.25">
      <c r="A98" t="s">
        <v>29</v>
      </c>
      <c r="B98" t="s">
        <v>30</v>
      </c>
      <c r="D98" s="11">
        <f>+C97</f>
        <v>1992</v>
      </c>
    </row>
    <row r="100" spans="1:4" x14ac:dyDescent="0.25">
      <c r="A100" s="73" t="s">
        <v>42</v>
      </c>
    </row>
    <row r="103" spans="1:4" x14ac:dyDescent="0.25">
      <c r="A103" t="s">
        <v>20</v>
      </c>
      <c r="B103" t="s">
        <v>21</v>
      </c>
      <c r="C103" s="11">
        <f>ROUND('Legacy ARO'!K21/12,0)</f>
        <v>6645</v>
      </c>
    </row>
    <row r="104" spans="1:4" x14ac:dyDescent="0.25">
      <c r="A104" t="s">
        <v>32</v>
      </c>
      <c r="B104" t="s">
        <v>33</v>
      </c>
      <c r="D104" s="11">
        <f>+C103</f>
        <v>6645</v>
      </c>
    </row>
    <row r="106" spans="1:4" x14ac:dyDescent="0.25">
      <c r="A106" s="73" t="s">
        <v>43</v>
      </c>
    </row>
    <row r="109" spans="1:4" x14ac:dyDescent="0.25">
      <c r="A109" t="s">
        <v>16</v>
      </c>
      <c r="B109" t="s">
        <v>17</v>
      </c>
      <c r="C109" s="11">
        <f>+D111+D110</f>
        <v>8637</v>
      </c>
    </row>
    <row r="110" spans="1:4" x14ac:dyDescent="0.25">
      <c r="A110" t="s">
        <v>18</v>
      </c>
      <c r="B110" t="s">
        <v>19</v>
      </c>
      <c r="D110" s="11">
        <f>+C97</f>
        <v>1992</v>
      </c>
    </row>
    <row r="111" spans="1:4" x14ac:dyDescent="0.25">
      <c r="A111" t="s">
        <v>20</v>
      </c>
      <c r="B111" t="s">
        <v>21</v>
      </c>
      <c r="D111" s="11">
        <f>+C103</f>
        <v>6645</v>
      </c>
    </row>
    <row r="113" spans="1:4" x14ac:dyDescent="0.25">
      <c r="A113" s="73" t="s">
        <v>44</v>
      </c>
    </row>
    <row r="115" spans="1:4" x14ac:dyDescent="0.25">
      <c r="A115" t="s">
        <v>18</v>
      </c>
      <c r="B115" t="s">
        <v>19</v>
      </c>
      <c r="C115" s="11">
        <f>+ROUND('Legacy ARO'!M13/12,0)</f>
        <v>1680</v>
      </c>
    </row>
    <row r="116" spans="1:4" x14ac:dyDescent="0.25">
      <c r="A116" t="s">
        <v>29</v>
      </c>
      <c r="B116" t="s">
        <v>30</v>
      </c>
      <c r="D116" s="11">
        <f>+C115</f>
        <v>1680</v>
      </c>
    </row>
    <row r="118" spans="1:4" x14ac:dyDescent="0.25">
      <c r="A118" s="73" t="s">
        <v>45</v>
      </c>
    </row>
    <row r="121" spans="1:4" x14ac:dyDescent="0.25">
      <c r="A121" t="s">
        <v>20</v>
      </c>
      <c r="B121" t="s">
        <v>21</v>
      </c>
      <c r="C121" s="11">
        <f>ROUND('Legacy ARO'!M21/12,0)</f>
        <v>5604</v>
      </c>
    </row>
    <row r="122" spans="1:4" x14ac:dyDescent="0.25">
      <c r="A122" t="s">
        <v>32</v>
      </c>
      <c r="B122" t="s">
        <v>33</v>
      </c>
      <c r="D122" s="11">
        <f>+C121</f>
        <v>5604</v>
      </c>
    </row>
    <row r="124" spans="1:4" x14ac:dyDescent="0.25">
      <c r="A124" s="73" t="s">
        <v>46</v>
      </c>
    </row>
    <row r="127" spans="1:4" x14ac:dyDescent="0.25">
      <c r="A127" t="s">
        <v>16</v>
      </c>
      <c r="B127" t="s">
        <v>17</v>
      </c>
      <c r="C127" s="11">
        <f>+D129+D128</f>
        <v>7284</v>
      </c>
    </row>
    <row r="128" spans="1:4" x14ac:dyDescent="0.25">
      <c r="A128" t="s">
        <v>18</v>
      </c>
      <c r="B128" t="s">
        <v>19</v>
      </c>
      <c r="D128" s="11">
        <f>+C115</f>
        <v>1680</v>
      </c>
    </row>
    <row r="129" spans="1:10" x14ac:dyDescent="0.25">
      <c r="A129" t="s">
        <v>20</v>
      </c>
      <c r="B129" t="s">
        <v>21</v>
      </c>
      <c r="D129" s="11">
        <f>+C121</f>
        <v>5604</v>
      </c>
    </row>
    <row r="131" spans="1:10" x14ac:dyDescent="0.25">
      <c r="A131" s="73" t="s">
        <v>47</v>
      </c>
    </row>
    <row r="135" spans="1:10" x14ac:dyDescent="0.25">
      <c r="C135" s="70"/>
      <c r="D135" s="71"/>
      <c r="E135" s="69"/>
      <c r="F135" s="69"/>
      <c r="G135" s="69"/>
      <c r="H135" s="69"/>
      <c r="I135" s="69"/>
      <c r="J135" s="69"/>
    </row>
    <row r="136" spans="1:10" x14ac:dyDescent="0.25">
      <c r="C136" s="70"/>
      <c r="D136" s="72"/>
      <c r="E136" s="72"/>
      <c r="F136" s="72"/>
      <c r="G136" s="72"/>
      <c r="H136" s="69"/>
      <c r="I136" s="69"/>
      <c r="J136" s="69"/>
    </row>
    <row r="137" spans="1:10" x14ac:dyDescent="0.25">
      <c r="C137" s="70"/>
      <c r="D137" s="72"/>
      <c r="E137" s="72"/>
      <c r="F137" s="72"/>
      <c r="G137" s="72"/>
      <c r="H137" s="69"/>
      <c r="I137" s="69"/>
      <c r="J137" s="69"/>
    </row>
    <row r="138" spans="1:10" x14ac:dyDescent="0.25">
      <c r="C138" s="70"/>
      <c r="D138" s="72"/>
      <c r="E138" s="72"/>
      <c r="F138" s="69"/>
      <c r="G138" s="69"/>
      <c r="H138" s="69"/>
      <c r="I138" s="69"/>
      <c r="J138" s="69"/>
    </row>
    <row r="139" spans="1:10" x14ac:dyDescent="0.25">
      <c r="C139" s="70"/>
      <c r="D139" s="70"/>
      <c r="E139" s="69"/>
      <c r="F139" s="69"/>
      <c r="G139" s="69"/>
      <c r="H139" s="69"/>
      <c r="I139" s="69"/>
      <c r="J139" s="69"/>
    </row>
  </sheetData>
  <pageMargins left="0.7" right="0.7" top="0.75" bottom="0.75" header="0.3" footer="0.3"/>
  <pageSetup scale="90" orientation="portrait" horizontalDpi="1200" verticalDpi="1200" r:id="rId1"/>
  <rowBreaks count="3" manualBreakCount="3">
    <brk id="39" max="4" man="1"/>
    <brk id="78" max="4" man="1"/>
    <brk id="11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4192-9949-4F66-8F6B-47E8E6EA8946}">
  <sheetPr>
    <tabColor theme="0" tint="-0.249977111117893"/>
    <pageSetUpPr fitToPage="1"/>
  </sheetPr>
  <dimension ref="A1:K24"/>
  <sheetViews>
    <sheetView workbookViewId="0">
      <selection activeCell="C5" sqref="C5"/>
    </sheetView>
  </sheetViews>
  <sheetFormatPr defaultColWidth="9.140625" defaultRowHeight="15" x14ac:dyDescent="0.25"/>
  <cols>
    <col min="1" max="1" width="8.85546875" customWidth="1"/>
    <col min="2" max="2" width="20.140625" customWidth="1"/>
    <col min="3" max="3" width="15.42578125" customWidth="1"/>
    <col min="4" max="4" width="15.28515625" bestFit="1" customWidth="1"/>
    <col min="5" max="5" width="2.42578125" customWidth="1"/>
    <col min="6" max="6" width="15.28515625" bestFit="1" customWidth="1"/>
    <col min="7" max="7" width="14.85546875" bestFit="1" customWidth="1"/>
    <col min="8" max="8" width="4.7109375" customWidth="1"/>
    <col min="9" max="9" width="17.28515625" customWidth="1"/>
    <col min="10" max="10" width="15.28515625" bestFit="1" customWidth="1"/>
    <col min="11" max="11" width="21.28515625" bestFit="1" customWidth="1"/>
  </cols>
  <sheetData>
    <row r="1" spans="1:11" x14ac:dyDescent="0.25">
      <c r="A1" s="10" t="s">
        <v>48</v>
      </c>
    </row>
    <row r="2" spans="1:11" x14ac:dyDescent="0.25">
      <c r="A2" s="10" t="s">
        <v>49</v>
      </c>
    </row>
    <row r="3" spans="1:11" x14ac:dyDescent="0.25">
      <c r="A3" t="s">
        <v>50</v>
      </c>
      <c r="C3" s="31">
        <v>1295000</v>
      </c>
    </row>
    <row r="4" spans="1:11" x14ac:dyDescent="0.25">
      <c r="A4" t="s">
        <v>51</v>
      </c>
      <c r="C4" s="32">
        <f>ROUND(3+(5/12),2)</f>
        <v>3.42</v>
      </c>
      <c r="D4" t="s">
        <v>52</v>
      </c>
      <c r="F4" s="7"/>
    </row>
    <row r="5" spans="1:11" x14ac:dyDescent="0.25">
      <c r="A5" t="s">
        <v>53</v>
      </c>
      <c r="C5" s="33">
        <v>6.3799999999999996E-2</v>
      </c>
    </row>
    <row r="6" spans="1:11" x14ac:dyDescent="0.25">
      <c r="A6" t="s">
        <v>54</v>
      </c>
      <c r="C6" s="34">
        <v>2.5000000000000001E-2</v>
      </c>
    </row>
    <row r="7" spans="1:11" x14ac:dyDescent="0.25">
      <c r="A7" t="s">
        <v>55</v>
      </c>
      <c r="C7" s="35">
        <f>+D17</f>
        <v>1409216.38</v>
      </c>
      <c r="D7" s="36"/>
      <c r="F7" s="14"/>
      <c r="G7" s="36"/>
    </row>
    <row r="8" spans="1:11" x14ac:dyDescent="0.25">
      <c r="A8" t="s">
        <v>56</v>
      </c>
      <c r="C8" s="37">
        <f>ROUND(-PV(C5,C4,,C7,0),2)</f>
        <v>1140555.78</v>
      </c>
      <c r="D8" t="s">
        <v>56</v>
      </c>
      <c r="G8" s="38"/>
    </row>
    <row r="9" spans="1:11" ht="15.75" thickBot="1" x14ac:dyDescent="0.3"/>
    <row r="10" spans="1:11" x14ac:dyDescent="0.25">
      <c r="A10" s="76" t="s">
        <v>57</v>
      </c>
      <c r="B10" s="77"/>
      <c r="C10" s="77"/>
      <c r="D10" s="77"/>
      <c r="E10" s="77"/>
      <c r="F10" s="77"/>
      <c r="G10" s="77"/>
      <c r="H10" s="77"/>
      <c r="I10" s="77"/>
      <c r="J10" s="77"/>
      <c r="K10" s="39"/>
    </row>
    <row r="11" spans="1:11" x14ac:dyDescent="0.25">
      <c r="A11" s="78" t="s">
        <v>50</v>
      </c>
      <c r="B11" s="79"/>
      <c r="C11" s="79"/>
      <c r="D11" s="79"/>
      <c r="E11" s="4"/>
      <c r="F11">
        <v>230003</v>
      </c>
      <c r="G11" s="4">
        <v>411100</v>
      </c>
      <c r="H11" s="4"/>
      <c r="I11" s="4">
        <v>230003</v>
      </c>
      <c r="J11" t="s">
        <v>58</v>
      </c>
      <c r="K11" s="40"/>
    </row>
    <row r="12" spans="1:11" s="4" customFormat="1" ht="45" x14ac:dyDescent="0.25">
      <c r="A12" s="41" t="s">
        <v>10</v>
      </c>
      <c r="B12" s="42" t="s">
        <v>59</v>
      </c>
      <c r="C12" s="1" t="s">
        <v>60</v>
      </c>
      <c r="D12" s="42" t="s">
        <v>61</v>
      </c>
      <c r="E12" s="42"/>
      <c r="F12" s="42" t="s">
        <v>62</v>
      </c>
      <c r="G12" s="42" t="s">
        <v>11</v>
      </c>
      <c r="H12" s="42"/>
      <c r="I12" s="42" t="s">
        <v>63</v>
      </c>
      <c r="J12" s="42" t="s">
        <v>13</v>
      </c>
      <c r="K12" s="43"/>
    </row>
    <row r="13" spans="1:11" x14ac:dyDescent="0.25">
      <c r="A13" s="44">
        <v>2024</v>
      </c>
      <c r="B13" s="45"/>
      <c r="C13" s="46"/>
      <c r="D13" s="47">
        <f>+C3</f>
        <v>1295000</v>
      </c>
      <c r="E13" s="45"/>
      <c r="F13" s="48"/>
      <c r="G13" s="49"/>
      <c r="H13" s="49"/>
      <c r="I13" s="50">
        <f>+C8</f>
        <v>1140555.78</v>
      </c>
      <c r="J13" s="51" t="s">
        <v>64</v>
      </c>
      <c r="K13" s="52"/>
    </row>
    <row r="14" spans="1:11" x14ac:dyDescent="0.25">
      <c r="A14" s="44">
        <v>2025</v>
      </c>
      <c r="B14" s="46">
        <f>D13</f>
        <v>1295000</v>
      </c>
      <c r="C14" s="46">
        <f>ROUND(B14*$C$6,2)</f>
        <v>32375</v>
      </c>
      <c r="D14" s="46">
        <f t="shared" ref="D14:D16" si="0">C14+B14</f>
        <v>1327375</v>
      </c>
      <c r="E14" s="45"/>
      <c r="F14" s="45">
        <f>+I13</f>
        <v>1140555.78</v>
      </c>
      <c r="G14" s="53">
        <f>ROUND((F14*$C$5),2)</f>
        <v>72767.460000000006</v>
      </c>
      <c r="H14" s="54" t="s">
        <v>65</v>
      </c>
      <c r="I14" s="45">
        <f t="shared" ref="I14:I16" si="1">SUM(G14,F14)</f>
        <v>1213323.24</v>
      </c>
      <c r="J14" s="55">
        <f>+ROUND(($C$8/41)*12,2)</f>
        <v>333821.2</v>
      </c>
      <c r="K14" s="56"/>
    </row>
    <row r="15" spans="1:11" x14ac:dyDescent="0.25">
      <c r="A15" s="44">
        <v>2026</v>
      </c>
      <c r="B15" s="46">
        <f t="shared" ref="B15:B17" si="2">D14</f>
        <v>1327375</v>
      </c>
      <c r="C15" s="46">
        <f>ROUND(B15*$C$6,2)</f>
        <v>33184.379999999997</v>
      </c>
      <c r="D15" s="46">
        <f t="shared" si="0"/>
        <v>1360559.38</v>
      </c>
      <c r="E15" s="45"/>
      <c r="F15" s="46">
        <f t="shared" ref="F15" si="3">I14</f>
        <v>1213323.24</v>
      </c>
      <c r="G15" s="53">
        <f>ROUND((F15*$C$5),2)</f>
        <v>77410.02</v>
      </c>
      <c r="H15" s="46"/>
      <c r="I15" s="57">
        <f t="shared" si="1"/>
        <v>1290733.26</v>
      </c>
      <c r="J15" s="55">
        <f t="shared" ref="J15:J16" si="4">+ROUND(($C$8/41)*12,2)</f>
        <v>333821.2</v>
      </c>
      <c r="K15" s="52"/>
    </row>
    <row r="16" spans="1:11" x14ac:dyDescent="0.25">
      <c r="A16" s="44">
        <v>2027</v>
      </c>
      <c r="B16" s="46">
        <f t="shared" si="2"/>
        <v>1360559.38</v>
      </c>
      <c r="C16" s="46">
        <f>ROUND(B16*$C$6,2)</f>
        <v>34013.980000000003</v>
      </c>
      <c r="D16" s="46">
        <f t="shared" si="0"/>
        <v>1394573.3599999999</v>
      </c>
      <c r="E16" s="45"/>
      <c r="F16" s="12">
        <f>I15</f>
        <v>1290733.26</v>
      </c>
      <c r="G16" s="53">
        <f>ROUND((F16*$C$5),2)</f>
        <v>82348.78</v>
      </c>
      <c r="H16" s="46"/>
      <c r="I16" s="45">
        <f t="shared" si="1"/>
        <v>1373082.04</v>
      </c>
      <c r="J16" s="55">
        <f t="shared" si="4"/>
        <v>333821.2</v>
      </c>
      <c r="K16" s="52"/>
    </row>
    <row r="17" spans="1:11" x14ac:dyDescent="0.25">
      <c r="A17" s="58" t="s">
        <v>66</v>
      </c>
      <c r="B17" s="46">
        <f t="shared" si="2"/>
        <v>1394573.3599999999</v>
      </c>
      <c r="C17" s="46">
        <f>ROUND((B17*$C$6)*(0.42),2)</f>
        <v>14643.02</v>
      </c>
      <c r="D17" s="59">
        <f>C17+B17</f>
        <v>1409216.38</v>
      </c>
      <c r="E17" s="45"/>
      <c r="F17" s="46">
        <f>+I16</f>
        <v>1373082.04</v>
      </c>
      <c r="G17" s="53">
        <f>ROUND((F17*$C$5)*(0.42),2)-658.77</f>
        <v>36134.340000000004</v>
      </c>
      <c r="H17" s="46"/>
      <c r="I17" s="59">
        <f>SUM(G17,F17)</f>
        <v>1409216.3800000001</v>
      </c>
      <c r="J17" s="55">
        <f>+ROUND(($C$8/41)*5,2)+0.01</f>
        <v>139092.18000000002</v>
      </c>
      <c r="K17" s="52"/>
    </row>
    <row r="18" spans="1:11" ht="15.75" thickBot="1" x14ac:dyDescent="0.3">
      <c r="A18" s="44"/>
      <c r="B18" s="46"/>
      <c r="C18" s="46"/>
      <c r="D18" s="60"/>
      <c r="E18" s="60"/>
      <c r="F18" s="46"/>
      <c r="G18" s="61">
        <f>SUM(G14:G17)</f>
        <v>268660.60000000003</v>
      </c>
      <c r="H18" s="45"/>
      <c r="I18" s="46"/>
      <c r="J18" s="62">
        <f>SUM(J14:J17)</f>
        <v>1140555.78</v>
      </c>
      <c r="K18" s="63">
        <f>SUM(G18:J18)</f>
        <v>1409216.3800000001</v>
      </c>
    </row>
    <row r="19" spans="1:11" ht="16.5" thickTop="1" thickBot="1" x14ac:dyDescent="0.3">
      <c r="A19" s="64"/>
      <c r="B19" s="65"/>
      <c r="C19" s="65"/>
      <c r="D19" s="65"/>
      <c r="E19" s="66"/>
      <c r="F19" s="65"/>
      <c r="G19" s="65"/>
      <c r="H19" s="65"/>
      <c r="I19" s="65"/>
      <c r="J19" s="65"/>
      <c r="K19" s="67" t="s">
        <v>67</v>
      </c>
    </row>
    <row r="20" spans="1:11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G21" s="14"/>
      <c r="I21" s="14"/>
      <c r="J21" s="14"/>
    </row>
    <row r="22" spans="1:11" x14ac:dyDescent="0.25">
      <c r="I22" s="14"/>
      <c r="J22" s="14"/>
    </row>
    <row r="23" spans="1:11" x14ac:dyDescent="0.25">
      <c r="J23" s="14"/>
    </row>
    <row r="24" spans="1:11" x14ac:dyDescent="0.25">
      <c r="J24" s="14"/>
    </row>
  </sheetData>
  <mergeCells count="2">
    <mergeCell ref="A10:J10"/>
    <mergeCell ref="A11:D11"/>
  </mergeCells>
  <pageMargins left="0.7" right="0.7" top="0.75" bottom="0.75" header="0.3" footer="0.3"/>
  <pageSetup scale="81" orientation="landscape" r:id="rId1"/>
  <headerFooter>
    <oddFooter>&amp;L&amp;Z&amp;F&amp;R&amp;A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676EF-7AE0-4CB5-8F24-BFA1CD1555C4}">
  <sheetPr>
    <tabColor theme="0" tint="-0.249977111117893"/>
    <pageSetUpPr fitToPage="1"/>
  </sheetPr>
  <dimension ref="A1:M25"/>
  <sheetViews>
    <sheetView workbookViewId="0">
      <selection activeCell="J28" sqref="J28"/>
    </sheetView>
  </sheetViews>
  <sheetFormatPr defaultColWidth="9.140625" defaultRowHeight="15" x14ac:dyDescent="0.25"/>
  <cols>
    <col min="1" max="1" width="8.85546875" customWidth="1"/>
    <col min="2" max="2" width="20.140625" customWidth="1"/>
    <col min="3" max="3" width="15.42578125" customWidth="1"/>
    <col min="4" max="4" width="15.28515625" bestFit="1" customWidth="1"/>
    <col min="5" max="5" width="2.42578125" customWidth="1"/>
    <col min="6" max="6" width="15.28515625" bestFit="1" customWidth="1"/>
    <col min="7" max="7" width="14.85546875" bestFit="1" customWidth="1"/>
    <col min="8" max="8" width="4.7109375" customWidth="1"/>
    <col min="9" max="9" width="17.28515625" customWidth="1"/>
    <col min="10" max="10" width="15.28515625" bestFit="1" customWidth="1"/>
    <col min="11" max="11" width="21.28515625" bestFit="1" customWidth="1"/>
    <col min="13" max="13" width="11.5703125" bestFit="1" customWidth="1"/>
  </cols>
  <sheetData>
    <row r="1" spans="1:13" x14ac:dyDescent="0.25">
      <c r="A1" s="10" t="s">
        <v>68</v>
      </c>
    </row>
    <row r="2" spans="1:13" x14ac:dyDescent="0.25">
      <c r="A2" s="10" t="s">
        <v>49</v>
      </c>
    </row>
    <row r="3" spans="1:13" x14ac:dyDescent="0.25">
      <c r="A3" t="s">
        <v>50</v>
      </c>
      <c r="C3" s="31">
        <v>475000</v>
      </c>
    </row>
    <row r="4" spans="1:13" x14ac:dyDescent="0.25">
      <c r="A4" t="s">
        <v>51</v>
      </c>
      <c r="C4" s="32">
        <f>ROUND(4+(5/12),2)</f>
        <v>4.42</v>
      </c>
      <c r="D4" t="s">
        <v>69</v>
      </c>
      <c r="F4" s="7"/>
    </row>
    <row r="5" spans="1:13" x14ac:dyDescent="0.25">
      <c r="A5" t="s">
        <v>53</v>
      </c>
      <c r="C5" s="33">
        <v>6.3799999999999996E-2</v>
      </c>
    </row>
    <row r="6" spans="1:13" x14ac:dyDescent="0.25">
      <c r="A6" t="s">
        <v>54</v>
      </c>
      <c r="C6" s="34">
        <v>2.5000000000000001E-2</v>
      </c>
    </row>
    <row r="7" spans="1:13" x14ac:dyDescent="0.25">
      <c r="A7" t="s">
        <v>55</v>
      </c>
      <c r="C7" s="35">
        <f>+D18</f>
        <v>529816.4</v>
      </c>
      <c r="F7" s="14"/>
      <c r="G7" s="36"/>
    </row>
    <row r="8" spans="1:13" x14ac:dyDescent="0.25">
      <c r="A8" t="s">
        <v>56</v>
      </c>
      <c r="C8" s="37">
        <f>ROUND(-PV(C5,C4,,C7,0),2)</f>
        <v>403092.07</v>
      </c>
      <c r="D8" t="s">
        <v>56</v>
      </c>
      <c r="G8" s="38"/>
    </row>
    <row r="9" spans="1:13" ht="15.75" thickBot="1" x14ac:dyDescent="0.3"/>
    <row r="10" spans="1:13" x14ac:dyDescent="0.25">
      <c r="A10" s="76" t="s">
        <v>57</v>
      </c>
      <c r="B10" s="77"/>
      <c r="C10" s="77"/>
      <c r="D10" s="77"/>
      <c r="E10" s="77"/>
      <c r="F10" s="77"/>
      <c r="G10" s="77"/>
      <c r="H10" s="77"/>
      <c r="I10" s="77"/>
      <c r="J10" s="77"/>
      <c r="K10" s="39"/>
    </row>
    <row r="11" spans="1:13" x14ac:dyDescent="0.25">
      <c r="A11" s="78" t="s">
        <v>50</v>
      </c>
      <c r="B11" s="79"/>
      <c r="C11" s="79"/>
      <c r="D11" s="79"/>
      <c r="E11" s="4"/>
      <c r="F11">
        <v>230003</v>
      </c>
      <c r="G11" s="4">
        <v>411100</v>
      </c>
      <c r="H11" s="4"/>
      <c r="I11" s="4">
        <v>230003</v>
      </c>
      <c r="J11" t="s">
        <v>58</v>
      </c>
      <c r="K11" s="40"/>
    </row>
    <row r="12" spans="1:13" s="4" customFormat="1" ht="45" x14ac:dyDescent="0.25">
      <c r="A12" s="41" t="s">
        <v>10</v>
      </c>
      <c r="B12" s="42" t="s">
        <v>59</v>
      </c>
      <c r="C12" s="1" t="s">
        <v>60</v>
      </c>
      <c r="D12" s="42" t="s">
        <v>61</v>
      </c>
      <c r="E12" s="42"/>
      <c r="F12" s="42" t="s">
        <v>62</v>
      </c>
      <c r="G12" s="42" t="s">
        <v>11</v>
      </c>
      <c r="H12" s="42"/>
      <c r="I12" s="42" t="s">
        <v>63</v>
      </c>
      <c r="J12" s="42" t="s">
        <v>13</v>
      </c>
      <c r="K12" s="43"/>
    </row>
    <row r="13" spans="1:13" x14ac:dyDescent="0.25">
      <c r="A13" s="44">
        <v>2024</v>
      </c>
      <c r="B13" s="45"/>
      <c r="C13" s="46"/>
      <c r="D13" s="47">
        <f>+C3</f>
        <v>475000</v>
      </c>
      <c r="E13" s="45"/>
      <c r="F13" s="48"/>
      <c r="G13" s="49"/>
      <c r="H13" s="49"/>
      <c r="I13" s="50">
        <f>+C8</f>
        <v>403092.07</v>
      </c>
      <c r="J13" s="51" t="s">
        <v>70</v>
      </c>
      <c r="K13" s="52"/>
    </row>
    <row r="14" spans="1:13" x14ac:dyDescent="0.25">
      <c r="A14" s="44">
        <v>2025</v>
      </c>
      <c r="B14" s="46">
        <f>D13</f>
        <v>475000</v>
      </c>
      <c r="C14" s="46">
        <f>ROUND(B14*$C$6,2)</f>
        <v>11875</v>
      </c>
      <c r="D14" s="46">
        <f t="shared" ref="D14:D17" si="0">C14+B14</f>
        <v>486875</v>
      </c>
      <c r="E14" s="45"/>
      <c r="F14" s="45">
        <f>+I13</f>
        <v>403092.07</v>
      </c>
      <c r="G14" s="53">
        <f>ROUND((F14*$C$5),2)</f>
        <v>25717.27</v>
      </c>
      <c r="H14" s="54" t="s">
        <v>71</v>
      </c>
      <c r="I14" s="45">
        <f t="shared" ref="I14:I17" si="1">SUM(G14,F14)</f>
        <v>428809.34</v>
      </c>
      <c r="J14" s="55">
        <f>+ROUND(($C$8/53)*12,2)</f>
        <v>91266.13</v>
      </c>
      <c r="K14" s="56"/>
      <c r="M14" s="14"/>
    </row>
    <row r="15" spans="1:13" x14ac:dyDescent="0.25">
      <c r="A15" s="44">
        <v>2026</v>
      </c>
      <c r="B15" s="46">
        <f t="shared" ref="B15:B18" si="2">D14</f>
        <v>486875</v>
      </c>
      <c r="C15" s="46">
        <f>ROUND(B15*$C$6,2)</f>
        <v>12171.88</v>
      </c>
      <c r="D15" s="46">
        <f t="shared" si="0"/>
        <v>499046.88</v>
      </c>
      <c r="E15" s="45"/>
      <c r="F15" s="46">
        <f t="shared" ref="F15" si="3">I14</f>
        <v>428809.34</v>
      </c>
      <c r="G15" s="53">
        <f>ROUND((F15*$C$5),2)</f>
        <v>27358.04</v>
      </c>
      <c r="H15" s="46"/>
      <c r="I15" s="57">
        <f t="shared" si="1"/>
        <v>456167.38</v>
      </c>
      <c r="J15" s="55">
        <f t="shared" ref="J15:J17" si="4">+ROUND(($C$8/53)*12,2)</f>
        <v>91266.13</v>
      </c>
      <c r="K15" s="52"/>
      <c r="M15" s="14"/>
    </row>
    <row r="16" spans="1:13" x14ac:dyDescent="0.25">
      <c r="A16" s="44">
        <v>2027</v>
      </c>
      <c r="B16" s="46">
        <f t="shared" si="2"/>
        <v>499046.88</v>
      </c>
      <c r="C16" s="46">
        <f>ROUND(B16*$C$6,2)</f>
        <v>12476.17</v>
      </c>
      <c r="D16" s="46">
        <f t="shared" si="0"/>
        <v>511523.05</v>
      </c>
      <c r="E16" s="45"/>
      <c r="F16" s="12">
        <f>I15</f>
        <v>456167.38</v>
      </c>
      <c r="G16" s="53">
        <f t="shared" ref="G16:G17" si="5">ROUND((F16*$C$5),2)</f>
        <v>29103.48</v>
      </c>
      <c r="H16" s="46"/>
      <c r="I16" s="45">
        <f t="shared" si="1"/>
        <v>485270.86</v>
      </c>
      <c r="J16" s="55">
        <f t="shared" si="4"/>
        <v>91266.13</v>
      </c>
      <c r="K16" s="52"/>
      <c r="M16" s="14"/>
    </row>
    <row r="17" spans="1:13" x14ac:dyDescent="0.25">
      <c r="A17" s="44">
        <v>2028</v>
      </c>
      <c r="B17" s="46">
        <f t="shared" si="2"/>
        <v>511523.05</v>
      </c>
      <c r="C17" s="46">
        <f>ROUND(B17*$C$6,2)</f>
        <v>12788.08</v>
      </c>
      <c r="D17" s="46">
        <f t="shared" si="0"/>
        <v>524311.13</v>
      </c>
      <c r="E17" s="45"/>
      <c r="F17" s="12">
        <f>I16</f>
        <v>485270.86</v>
      </c>
      <c r="G17" s="53">
        <f t="shared" si="5"/>
        <v>30960.28</v>
      </c>
      <c r="H17" s="46"/>
      <c r="I17" s="45">
        <f t="shared" si="1"/>
        <v>516231.14</v>
      </c>
      <c r="J17" s="55">
        <f t="shared" si="4"/>
        <v>91266.13</v>
      </c>
      <c r="K17" s="52"/>
      <c r="M17" s="14"/>
    </row>
    <row r="18" spans="1:13" x14ac:dyDescent="0.25">
      <c r="A18" s="58" t="s">
        <v>72</v>
      </c>
      <c r="B18" s="46">
        <f t="shared" si="2"/>
        <v>524311.13</v>
      </c>
      <c r="C18" s="46">
        <f>ROUND((B18*$C$6)*(0.42),2)</f>
        <v>5505.27</v>
      </c>
      <c r="D18" s="59">
        <f>C18+B18</f>
        <v>529816.4</v>
      </c>
      <c r="E18" s="45"/>
      <c r="F18" s="12">
        <f>I17</f>
        <v>516231.14</v>
      </c>
      <c r="G18" s="53">
        <f>ROUND((F18*$C$5)*0.42,2)-247.67</f>
        <v>13585.26</v>
      </c>
      <c r="H18" s="46"/>
      <c r="I18" s="59">
        <f>SUM(G18,F18)</f>
        <v>529816.4</v>
      </c>
      <c r="J18" s="55">
        <f>+ROUND(($C$8/53)*5,2)</f>
        <v>38027.550000000003</v>
      </c>
      <c r="K18" s="52"/>
      <c r="M18" s="14"/>
    </row>
    <row r="19" spans="1:13" ht="15.75" thickBot="1" x14ac:dyDescent="0.3">
      <c r="A19" s="44"/>
      <c r="B19" s="46"/>
      <c r="C19" s="46"/>
      <c r="D19" s="60"/>
      <c r="E19" s="60"/>
      <c r="F19" s="46"/>
      <c r="G19" s="61">
        <f>SUM(G14:G18)</f>
        <v>126724.32999999999</v>
      </c>
      <c r="H19" s="45"/>
      <c r="I19" s="46"/>
      <c r="J19" s="62">
        <f>SUM(J14:J18)</f>
        <v>403092.07</v>
      </c>
      <c r="K19" s="63">
        <f>SUM(G19:J19)</f>
        <v>529816.4</v>
      </c>
    </row>
    <row r="20" spans="1:13" ht="16.5" thickTop="1" thickBot="1" x14ac:dyDescent="0.3">
      <c r="A20" s="64"/>
      <c r="B20" s="65"/>
      <c r="C20" s="65"/>
      <c r="D20" s="65"/>
      <c r="E20" s="66"/>
      <c r="F20" s="65"/>
      <c r="G20" s="65"/>
      <c r="H20" s="65"/>
      <c r="I20" s="65"/>
      <c r="J20" s="65"/>
      <c r="K20" s="67" t="s">
        <v>67</v>
      </c>
    </row>
    <row r="21" spans="1:13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3" x14ac:dyDescent="0.25">
      <c r="G22" s="14"/>
      <c r="I22" s="14"/>
    </row>
    <row r="23" spans="1:13" x14ac:dyDescent="0.25">
      <c r="I23" s="14"/>
      <c r="J23" s="14"/>
    </row>
    <row r="24" spans="1:13" x14ac:dyDescent="0.25">
      <c r="J24" s="14"/>
    </row>
    <row r="25" spans="1:13" x14ac:dyDescent="0.25">
      <c r="J25" s="14"/>
    </row>
  </sheetData>
  <mergeCells count="2">
    <mergeCell ref="A10:J10"/>
    <mergeCell ref="A11:D11"/>
  </mergeCells>
  <pageMargins left="0.7" right="0.7" top="0.75" bottom="0.75" header="0.3" footer="0.3"/>
  <pageSetup scale="81" orientation="landscape" r:id="rId1"/>
  <headerFooter>
    <oddFooter>&amp;L&amp;Z&amp;F&amp;R&amp;A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F486-D9BF-4DF0-80EC-F2392BFD71B4}">
  <sheetPr>
    <tabColor theme="0" tint="-0.249977111117893"/>
    <pageSetUpPr fitToPage="1"/>
  </sheetPr>
  <dimension ref="A1:M25"/>
  <sheetViews>
    <sheetView topLeftCell="A2" workbookViewId="0">
      <selection activeCell="L33" sqref="L33:M33"/>
    </sheetView>
  </sheetViews>
  <sheetFormatPr defaultColWidth="9.140625" defaultRowHeight="15" x14ac:dyDescent="0.25"/>
  <cols>
    <col min="1" max="1" width="8.85546875" customWidth="1"/>
    <col min="2" max="2" width="20.140625" customWidth="1"/>
    <col min="3" max="3" width="15.42578125" customWidth="1"/>
    <col min="4" max="4" width="15.28515625" bestFit="1" customWidth="1"/>
    <col min="5" max="5" width="2.42578125" customWidth="1"/>
    <col min="6" max="6" width="15.28515625" bestFit="1" customWidth="1"/>
    <col min="7" max="7" width="14.85546875" bestFit="1" customWidth="1"/>
    <col min="8" max="8" width="4.7109375" customWidth="1"/>
    <col min="9" max="9" width="17.28515625" customWidth="1"/>
    <col min="10" max="10" width="15.28515625" bestFit="1" customWidth="1"/>
    <col min="11" max="11" width="21.28515625" bestFit="1" customWidth="1"/>
    <col min="13" max="13" width="11.5703125" bestFit="1" customWidth="1"/>
  </cols>
  <sheetData>
    <row r="1" spans="1:13" x14ac:dyDescent="0.25">
      <c r="A1" s="10" t="s">
        <v>73</v>
      </c>
    </row>
    <row r="2" spans="1:13" x14ac:dyDescent="0.25">
      <c r="A2" s="10" t="s">
        <v>49</v>
      </c>
    </row>
    <row r="3" spans="1:13" x14ac:dyDescent="0.25">
      <c r="A3" t="s">
        <v>50</v>
      </c>
      <c r="C3" s="31">
        <v>200000</v>
      </c>
    </row>
    <row r="4" spans="1:13" x14ac:dyDescent="0.25">
      <c r="A4" t="s">
        <v>51</v>
      </c>
      <c r="C4" s="32">
        <f>ROUND(4+(5/12),2)</f>
        <v>4.42</v>
      </c>
      <c r="D4" t="s">
        <v>69</v>
      </c>
      <c r="F4" s="7"/>
    </row>
    <row r="5" spans="1:13" x14ac:dyDescent="0.25">
      <c r="A5" t="s">
        <v>53</v>
      </c>
      <c r="C5" s="33">
        <v>6.3799999999999996E-2</v>
      </c>
    </row>
    <row r="6" spans="1:13" x14ac:dyDescent="0.25">
      <c r="A6" t="s">
        <v>54</v>
      </c>
      <c r="C6" s="34">
        <v>2.5000000000000001E-2</v>
      </c>
    </row>
    <row r="7" spans="1:13" x14ac:dyDescent="0.25">
      <c r="A7" t="s">
        <v>55</v>
      </c>
      <c r="C7" s="35">
        <f>+D18</f>
        <v>223080.59000000003</v>
      </c>
      <c r="F7" s="14"/>
      <c r="G7" s="36"/>
    </row>
    <row r="8" spans="1:13" x14ac:dyDescent="0.25">
      <c r="A8" t="s">
        <v>56</v>
      </c>
      <c r="C8" s="37">
        <f>ROUND(-PV(C5,C4,,C7,0),2)</f>
        <v>169722.98</v>
      </c>
      <c r="D8" t="s">
        <v>56</v>
      </c>
      <c r="G8" s="38"/>
    </row>
    <row r="9" spans="1:13" ht="15.75" thickBot="1" x14ac:dyDescent="0.3"/>
    <row r="10" spans="1:13" x14ac:dyDescent="0.25">
      <c r="A10" s="76" t="s">
        <v>57</v>
      </c>
      <c r="B10" s="77"/>
      <c r="C10" s="77"/>
      <c r="D10" s="77"/>
      <c r="E10" s="77"/>
      <c r="F10" s="77"/>
      <c r="G10" s="77"/>
      <c r="H10" s="77"/>
      <c r="I10" s="77"/>
      <c r="J10" s="77"/>
      <c r="K10" s="39"/>
    </row>
    <row r="11" spans="1:13" x14ac:dyDescent="0.25">
      <c r="A11" s="78" t="s">
        <v>50</v>
      </c>
      <c r="B11" s="79"/>
      <c r="C11" s="79"/>
      <c r="D11" s="79"/>
      <c r="E11" s="4"/>
      <c r="F11">
        <v>230003</v>
      </c>
      <c r="G11" s="4">
        <v>411100</v>
      </c>
      <c r="H11" s="4"/>
      <c r="I11" s="4">
        <v>230003</v>
      </c>
      <c r="J11" t="s">
        <v>58</v>
      </c>
      <c r="K11" s="40"/>
    </row>
    <row r="12" spans="1:13" s="4" customFormat="1" ht="45" x14ac:dyDescent="0.25">
      <c r="A12" s="41" t="s">
        <v>10</v>
      </c>
      <c r="B12" s="42" t="s">
        <v>59</v>
      </c>
      <c r="C12" s="1" t="s">
        <v>60</v>
      </c>
      <c r="D12" s="42" t="s">
        <v>61</v>
      </c>
      <c r="E12" s="42"/>
      <c r="F12" s="42" t="s">
        <v>62</v>
      </c>
      <c r="G12" s="42" t="s">
        <v>11</v>
      </c>
      <c r="H12" s="42"/>
      <c r="I12" s="42" t="s">
        <v>63</v>
      </c>
      <c r="J12" s="42" t="s">
        <v>13</v>
      </c>
      <c r="K12" s="43"/>
    </row>
    <row r="13" spans="1:13" x14ac:dyDescent="0.25">
      <c r="A13" s="44">
        <v>2024</v>
      </c>
      <c r="B13" s="45"/>
      <c r="C13" s="46"/>
      <c r="D13" s="47">
        <f>+C3</f>
        <v>200000</v>
      </c>
      <c r="E13" s="45"/>
      <c r="F13" s="48"/>
      <c r="G13" s="49"/>
      <c r="H13" s="49"/>
      <c r="I13" s="50">
        <f>+C8</f>
        <v>169722.98</v>
      </c>
      <c r="J13" s="51" t="s">
        <v>74</v>
      </c>
      <c r="K13" s="52"/>
    </row>
    <row r="14" spans="1:13" x14ac:dyDescent="0.25">
      <c r="A14" s="44">
        <v>2025</v>
      </c>
      <c r="B14" s="46">
        <f>D13</f>
        <v>200000</v>
      </c>
      <c r="C14" s="46">
        <f>ROUND(B14*$C$6,2)</f>
        <v>5000</v>
      </c>
      <c r="D14" s="46">
        <f t="shared" ref="D14:D17" si="0">C14+B14</f>
        <v>205000</v>
      </c>
      <c r="E14" s="45"/>
      <c r="F14" s="45">
        <f>+I13</f>
        <v>169722.98</v>
      </c>
      <c r="G14" s="53">
        <f>ROUND((F14*$C$5),2)</f>
        <v>10828.33</v>
      </c>
      <c r="H14" s="54" t="s">
        <v>75</v>
      </c>
      <c r="I14" s="45">
        <f t="shared" ref="I14:I17" si="1">SUM(G14,F14)</f>
        <v>180551.31</v>
      </c>
      <c r="J14" s="55">
        <f>+ROUND(($C$8/53)*12,2)</f>
        <v>38427.839999999997</v>
      </c>
      <c r="K14" s="56"/>
      <c r="M14" s="14"/>
    </row>
    <row r="15" spans="1:13" x14ac:dyDescent="0.25">
      <c r="A15" s="44">
        <v>2026</v>
      </c>
      <c r="B15" s="46">
        <f t="shared" ref="B15:B18" si="2">D14</f>
        <v>205000</v>
      </c>
      <c r="C15" s="46">
        <f>ROUND(B15*$C$6,2)</f>
        <v>5125</v>
      </c>
      <c r="D15" s="46">
        <f t="shared" si="0"/>
        <v>210125</v>
      </c>
      <c r="E15" s="45"/>
      <c r="F15" s="46">
        <f t="shared" ref="F15" si="3">I14</f>
        <v>180551.31</v>
      </c>
      <c r="G15" s="53">
        <f>ROUND((F15*$C$5),2)</f>
        <v>11519.17</v>
      </c>
      <c r="H15" s="46"/>
      <c r="I15" s="57">
        <f t="shared" si="1"/>
        <v>192070.48</v>
      </c>
      <c r="J15" s="55">
        <f t="shared" ref="J15:J17" si="4">+ROUND(($C$8/53)*12,2)</f>
        <v>38427.839999999997</v>
      </c>
      <c r="K15" s="52"/>
      <c r="M15" s="14"/>
    </row>
    <row r="16" spans="1:13" x14ac:dyDescent="0.25">
      <c r="A16" s="44">
        <v>2027</v>
      </c>
      <c r="B16" s="46">
        <f t="shared" si="2"/>
        <v>210125</v>
      </c>
      <c r="C16" s="46">
        <f>ROUND(B16*$C$6,2)</f>
        <v>5253.13</v>
      </c>
      <c r="D16" s="46">
        <f t="shared" si="0"/>
        <v>215378.13</v>
      </c>
      <c r="E16" s="45"/>
      <c r="F16" s="12">
        <f>I15</f>
        <v>192070.48</v>
      </c>
      <c r="G16" s="53">
        <f t="shared" ref="G16:G17" si="5">ROUND((F16*$C$5),2)</f>
        <v>12254.1</v>
      </c>
      <c r="H16" s="46"/>
      <c r="I16" s="45">
        <f t="shared" si="1"/>
        <v>204324.58000000002</v>
      </c>
      <c r="J16" s="55">
        <f t="shared" si="4"/>
        <v>38427.839999999997</v>
      </c>
      <c r="K16" s="52"/>
      <c r="M16" s="14"/>
    </row>
    <row r="17" spans="1:13" x14ac:dyDescent="0.25">
      <c r="A17" s="44">
        <v>2028</v>
      </c>
      <c r="B17" s="46">
        <f t="shared" si="2"/>
        <v>215378.13</v>
      </c>
      <c r="C17" s="46">
        <f>ROUND(B17*$C$6,2)</f>
        <v>5384.45</v>
      </c>
      <c r="D17" s="46">
        <f t="shared" si="0"/>
        <v>220762.58000000002</v>
      </c>
      <c r="E17" s="45"/>
      <c r="F17" s="12">
        <f>I16</f>
        <v>204324.58000000002</v>
      </c>
      <c r="G17" s="53">
        <f t="shared" si="5"/>
        <v>13035.91</v>
      </c>
      <c r="H17" s="46"/>
      <c r="I17" s="45">
        <f t="shared" si="1"/>
        <v>217360.49000000002</v>
      </c>
      <c r="J17" s="55">
        <f t="shared" si="4"/>
        <v>38427.839999999997</v>
      </c>
      <c r="K17" s="52"/>
      <c r="M17" s="14"/>
    </row>
    <row r="18" spans="1:13" x14ac:dyDescent="0.25">
      <c r="A18" s="58" t="s">
        <v>72</v>
      </c>
      <c r="B18" s="46">
        <f t="shared" si="2"/>
        <v>220762.58000000002</v>
      </c>
      <c r="C18" s="46">
        <f>ROUND((B18*$C$6)*(0.42),2)</f>
        <v>2318.0100000000002</v>
      </c>
      <c r="D18" s="59">
        <f>C18+B18</f>
        <v>223080.59000000003</v>
      </c>
      <c r="E18" s="45"/>
      <c r="F18" s="12">
        <f>I17</f>
        <v>217360.49000000002</v>
      </c>
      <c r="G18" s="53">
        <f>ROUND((F18*$C$5)*0.42,2)-104.29</f>
        <v>5720.1</v>
      </c>
      <c r="H18" s="46"/>
      <c r="I18" s="59">
        <f>SUM(G18,F18)</f>
        <v>223080.59000000003</v>
      </c>
      <c r="J18" s="55">
        <f>+ROUND(($C$8/53)*5,2)+0.02</f>
        <v>16011.62</v>
      </c>
      <c r="K18" s="52"/>
      <c r="M18" s="14"/>
    </row>
    <row r="19" spans="1:13" ht="15.75" thickBot="1" x14ac:dyDescent="0.3">
      <c r="A19" s="44"/>
      <c r="B19" s="46"/>
      <c r="C19" s="46"/>
      <c r="D19" s="60"/>
      <c r="E19" s="60"/>
      <c r="F19" s="46"/>
      <c r="G19" s="61">
        <f>SUM(G14:G18)</f>
        <v>53357.609999999993</v>
      </c>
      <c r="H19" s="45"/>
      <c r="I19" s="46"/>
      <c r="J19" s="62">
        <f>SUM(J14:J18)</f>
        <v>169722.97999999998</v>
      </c>
      <c r="K19" s="63">
        <f>SUM(G19:J19)</f>
        <v>223080.58999999997</v>
      </c>
    </row>
    <row r="20" spans="1:13" ht="16.5" thickTop="1" thickBot="1" x14ac:dyDescent="0.3">
      <c r="A20" s="64"/>
      <c r="B20" s="65"/>
      <c r="C20" s="65"/>
      <c r="D20" s="65"/>
      <c r="E20" s="66"/>
      <c r="F20" s="65"/>
      <c r="G20" s="65"/>
      <c r="H20" s="65"/>
      <c r="I20" s="65"/>
      <c r="J20" s="65"/>
      <c r="K20" s="67" t="s">
        <v>67</v>
      </c>
    </row>
    <row r="21" spans="1:13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3" x14ac:dyDescent="0.25">
      <c r="G22" s="14"/>
      <c r="I22" s="14"/>
    </row>
    <row r="23" spans="1:13" x14ac:dyDescent="0.25">
      <c r="G23" s="14"/>
      <c r="I23" s="14"/>
      <c r="J23" s="14"/>
    </row>
    <row r="24" spans="1:13" x14ac:dyDescent="0.25">
      <c r="J24" s="14"/>
    </row>
    <row r="25" spans="1:13" x14ac:dyDescent="0.25">
      <c r="J25" s="14"/>
    </row>
  </sheetData>
  <mergeCells count="2">
    <mergeCell ref="A10:J10"/>
    <mergeCell ref="A11:D11"/>
  </mergeCells>
  <pageMargins left="0.7" right="0.7" top="0.75" bottom="0.75" header="0.3" footer="0.3"/>
  <pageSetup scale="81" orientation="landscape" r:id="rId1"/>
  <headerFooter>
    <oddFooter>&amp;L&amp;Z&amp;F&amp;R&amp;A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982D9-32D5-42F9-AAAF-62C3019BC244}">
  <sheetPr>
    <tabColor theme="0" tint="-0.249977111117893"/>
    <pageSetUpPr fitToPage="1"/>
  </sheetPr>
  <dimension ref="A1:M25"/>
  <sheetViews>
    <sheetView workbookViewId="0">
      <selection activeCell="M33" sqref="M33"/>
    </sheetView>
  </sheetViews>
  <sheetFormatPr defaultColWidth="9.140625" defaultRowHeight="15" x14ac:dyDescent="0.25"/>
  <cols>
    <col min="1" max="1" width="8.85546875" customWidth="1"/>
    <col min="2" max="2" width="20.140625" customWidth="1"/>
    <col min="3" max="3" width="15.42578125" customWidth="1"/>
    <col min="4" max="4" width="15.28515625" bestFit="1" customWidth="1"/>
    <col min="5" max="5" width="2.42578125" customWidth="1"/>
    <col min="6" max="6" width="15.28515625" bestFit="1" customWidth="1"/>
    <col min="7" max="7" width="14.85546875" bestFit="1" customWidth="1"/>
    <col min="8" max="8" width="4.7109375" customWidth="1"/>
    <col min="9" max="9" width="17.28515625" customWidth="1"/>
    <col min="10" max="10" width="15.28515625" bestFit="1" customWidth="1"/>
    <col min="11" max="11" width="21.28515625" bestFit="1" customWidth="1"/>
    <col min="13" max="13" width="11.5703125" bestFit="1" customWidth="1"/>
  </cols>
  <sheetData>
    <row r="1" spans="1:13" x14ac:dyDescent="0.25">
      <c r="A1" s="10" t="s">
        <v>76</v>
      </c>
    </row>
    <row r="2" spans="1:13" x14ac:dyDescent="0.25">
      <c r="A2" s="10" t="s">
        <v>49</v>
      </c>
    </row>
    <row r="3" spans="1:13" x14ac:dyDescent="0.25">
      <c r="A3" t="s">
        <v>50</v>
      </c>
      <c r="C3" s="31">
        <v>415000</v>
      </c>
    </row>
    <row r="4" spans="1:13" x14ac:dyDescent="0.25">
      <c r="A4" t="s">
        <v>51</v>
      </c>
      <c r="C4" s="32">
        <f>ROUND(4+(5/12),2)</f>
        <v>4.42</v>
      </c>
      <c r="D4" t="s">
        <v>69</v>
      </c>
      <c r="F4" s="7"/>
    </row>
    <row r="5" spans="1:13" x14ac:dyDescent="0.25">
      <c r="A5" t="s">
        <v>53</v>
      </c>
      <c r="C5" s="33">
        <v>6.3799999999999996E-2</v>
      </c>
    </row>
    <row r="6" spans="1:13" x14ac:dyDescent="0.25">
      <c r="A6" t="s">
        <v>54</v>
      </c>
      <c r="C6" s="34">
        <v>2.5000000000000001E-2</v>
      </c>
    </row>
    <row r="7" spans="1:13" x14ac:dyDescent="0.25">
      <c r="A7" t="s">
        <v>55</v>
      </c>
      <c r="C7" s="35">
        <f>+D18</f>
        <v>462892.20999999996</v>
      </c>
      <c r="G7" s="36"/>
    </row>
    <row r="8" spans="1:13" x14ac:dyDescent="0.25">
      <c r="A8" t="s">
        <v>56</v>
      </c>
      <c r="C8" s="37">
        <f>ROUND(-PV(C5,C4,,C7,0),2)</f>
        <v>352175.17</v>
      </c>
      <c r="D8" t="s">
        <v>56</v>
      </c>
      <c r="G8" s="38"/>
    </row>
    <row r="9" spans="1:13" ht="15.75" thickBot="1" x14ac:dyDescent="0.3"/>
    <row r="10" spans="1:13" x14ac:dyDescent="0.25">
      <c r="A10" s="76" t="s">
        <v>57</v>
      </c>
      <c r="B10" s="77"/>
      <c r="C10" s="77"/>
      <c r="D10" s="77"/>
      <c r="E10" s="77"/>
      <c r="F10" s="77"/>
      <c r="G10" s="77"/>
      <c r="H10" s="77"/>
      <c r="I10" s="77"/>
      <c r="J10" s="77"/>
      <c r="K10" s="39"/>
    </row>
    <row r="11" spans="1:13" x14ac:dyDescent="0.25">
      <c r="A11" s="78" t="s">
        <v>50</v>
      </c>
      <c r="B11" s="79"/>
      <c r="C11" s="79"/>
      <c r="D11" s="79"/>
      <c r="E11" s="4"/>
      <c r="F11">
        <v>230003</v>
      </c>
      <c r="G11" s="4">
        <v>411100</v>
      </c>
      <c r="H11" s="4"/>
      <c r="I11" s="4">
        <v>230003</v>
      </c>
      <c r="J11" t="s">
        <v>58</v>
      </c>
      <c r="K11" s="40"/>
    </row>
    <row r="12" spans="1:13" s="4" customFormat="1" ht="45" x14ac:dyDescent="0.25">
      <c r="A12" s="41" t="s">
        <v>10</v>
      </c>
      <c r="B12" s="42" t="s">
        <v>59</v>
      </c>
      <c r="C12" s="1" t="s">
        <v>60</v>
      </c>
      <c r="D12" s="42" t="s">
        <v>61</v>
      </c>
      <c r="E12" s="42"/>
      <c r="F12" s="42" t="s">
        <v>62</v>
      </c>
      <c r="G12" s="42" t="s">
        <v>11</v>
      </c>
      <c r="H12" s="42"/>
      <c r="I12" s="42" t="s">
        <v>63</v>
      </c>
      <c r="J12" s="42" t="s">
        <v>13</v>
      </c>
      <c r="K12" s="43"/>
    </row>
    <row r="13" spans="1:13" x14ac:dyDescent="0.25">
      <c r="A13" s="44">
        <v>2024</v>
      </c>
      <c r="B13" s="45"/>
      <c r="C13" s="46"/>
      <c r="D13" s="47">
        <f>+C3</f>
        <v>415000</v>
      </c>
      <c r="E13" s="45"/>
      <c r="F13" s="48"/>
      <c r="G13" s="49"/>
      <c r="H13" s="49"/>
      <c r="I13" s="50">
        <f>+C8</f>
        <v>352175.17</v>
      </c>
      <c r="J13" s="51" t="s">
        <v>77</v>
      </c>
      <c r="K13" s="52"/>
    </row>
    <row r="14" spans="1:13" x14ac:dyDescent="0.25">
      <c r="A14" s="44">
        <v>2025</v>
      </c>
      <c r="B14" s="46">
        <f>D13</f>
        <v>415000</v>
      </c>
      <c r="C14" s="46">
        <f>ROUND(B14*$C$6,2)</f>
        <v>10375</v>
      </c>
      <c r="D14" s="46">
        <f t="shared" ref="D14:D17" si="0">C14+B14</f>
        <v>425375</v>
      </c>
      <c r="E14" s="45"/>
      <c r="F14" s="45">
        <f>+I13</f>
        <v>352175.17</v>
      </c>
      <c r="G14" s="53">
        <f>ROUND((F14*$C$5),2)</f>
        <v>22468.78</v>
      </c>
      <c r="H14" s="54" t="s">
        <v>78</v>
      </c>
      <c r="I14" s="45">
        <f t="shared" ref="I14:I17" si="1">SUM(G14,F14)</f>
        <v>374643.94999999995</v>
      </c>
      <c r="J14" s="55">
        <f>+ROUND(($C$8/53)*12,2)</f>
        <v>79737.77</v>
      </c>
      <c r="K14" s="56"/>
      <c r="M14" s="14"/>
    </row>
    <row r="15" spans="1:13" x14ac:dyDescent="0.25">
      <c r="A15" s="44">
        <v>2026</v>
      </c>
      <c r="B15" s="46">
        <f t="shared" ref="B15:B18" si="2">D14</f>
        <v>425375</v>
      </c>
      <c r="C15" s="46">
        <f>ROUND(B15*$C$6,2)</f>
        <v>10634.38</v>
      </c>
      <c r="D15" s="46">
        <f t="shared" si="0"/>
        <v>436009.38</v>
      </c>
      <c r="E15" s="45"/>
      <c r="F15" s="46">
        <f t="shared" ref="F15" si="3">I14</f>
        <v>374643.94999999995</v>
      </c>
      <c r="G15" s="53">
        <f>ROUND((F15*$C$5),2)</f>
        <v>23902.28</v>
      </c>
      <c r="H15" s="46"/>
      <c r="I15" s="57">
        <f t="shared" si="1"/>
        <v>398546.23</v>
      </c>
      <c r="J15" s="55">
        <f t="shared" ref="J15:J17" si="4">+ROUND(($C$8/53)*12,2)</f>
        <v>79737.77</v>
      </c>
      <c r="K15" s="52"/>
      <c r="M15" s="14"/>
    </row>
    <row r="16" spans="1:13" x14ac:dyDescent="0.25">
      <c r="A16" s="44">
        <v>2027</v>
      </c>
      <c r="B16" s="46">
        <f t="shared" si="2"/>
        <v>436009.38</v>
      </c>
      <c r="C16" s="46">
        <f>ROUND(B16*$C$6,2)</f>
        <v>10900.23</v>
      </c>
      <c r="D16" s="46">
        <f t="shared" si="0"/>
        <v>446909.61</v>
      </c>
      <c r="E16" s="45"/>
      <c r="F16" s="12">
        <f>I15</f>
        <v>398546.23</v>
      </c>
      <c r="G16" s="53">
        <f t="shared" ref="G16:G17" si="5">ROUND((F16*$C$5),2)</f>
        <v>25427.25</v>
      </c>
      <c r="H16" s="46"/>
      <c r="I16" s="45">
        <f t="shared" si="1"/>
        <v>423973.48</v>
      </c>
      <c r="J16" s="55">
        <f t="shared" si="4"/>
        <v>79737.77</v>
      </c>
      <c r="K16" s="52"/>
      <c r="M16" s="14"/>
    </row>
    <row r="17" spans="1:13" x14ac:dyDescent="0.25">
      <c r="A17" s="44">
        <v>2028</v>
      </c>
      <c r="B17" s="46">
        <f t="shared" si="2"/>
        <v>446909.61</v>
      </c>
      <c r="C17" s="46">
        <f>ROUND(B17*$C$6,2)</f>
        <v>11172.74</v>
      </c>
      <c r="D17" s="46">
        <f t="shared" si="0"/>
        <v>458082.35</v>
      </c>
      <c r="E17" s="45"/>
      <c r="F17" s="12">
        <f>I16</f>
        <v>423973.48</v>
      </c>
      <c r="G17" s="53">
        <f t="shared" si="5"/>
        <v>27049.51</v>
      </c>
      <c r="H17" s="46"/>
      <c r="I17" s="45">
        <f t="shared" si="1"/>
        <v>451022.99</v>
      </c>
      <c r="J17" s="55">
        <f t="shared" si="4"/>
        <v>79737.77</v>
      </c>
      <c r="K17" s="52"/>
      <c r="M17" s="14"/>
    </row>
    <row r="18" spans="1:13" x14ac:dyDescent="0.25">
      <c r="A18" s="58" t="s">
        <v>72</v>
      </c>
      <c r="B18" s="46">
        <f t="shared" si="2"/>
        <v>458082.35</v>
      </c>
      <c r="C18" s="46">
        <f>ROUND((B18*$C$6)*(0.42),2)</f>
        <v>4809.8599999999997</v>
      </c>
      <c r="D18" s="59">
        <f>C18+B18</f>
        <v>462892.20999999996</v>
      </c>
      <c r="E18" s="45"/>
      <c r="F18" s="12">
        <f>I17</f>
        <v>451022.99</v>
      </c>
      <c r="G18" s="53">
        <f>ROUND((F18*$C$5)*0.42,2)-216.39</f>
        <v>11869.220000000001</v>
      </c>
      <c r="H18" s="46"/>
      <c r="I18" s="59">
        <f>SUM(G18,F18)</f>
        <v>462892.20999999996</v>
      </c>
      <c r="J18" s="55">
        <f>+ROUND(($C$8/53)*5,2)+0.02</f>
        <v>33224.089999999997</v>
      </c>
      <c r="K18" s="52"/>
      <c r="M18" s="14"/>
    </row>
    <row r="19" spans="1:13" ht="15.75" thickBot="1" x14ac:dyDescent="0.3">
      <c r="A19" s="44"/>
      <c r="B19" s="46"/>
      <c r="C19" s="46"/>
      <c r="D19" s="60"/>
      <c r="E19" s="60"/>
      <c r="F19" s="46"/>
      <c r="G19" s="61">
        <f>SUM(G14:G18)</f>
        <v>110717.04</v>
      </c>
      <c r="H19" s="45"/>
      <c r="I19" s="46"/>
      <c r="J19" s="62">
        <f>SUM(J14:J18)</f>
        <v>352175.17000000004</v>
      </c>
      <c r="K19" s="63">
        <f>SUM(G19:J19)</f>
        <v>462892.21</v>
      </c>
    </row>
    <row r="20" spans="1:13" ht="16.5" thickTop="1" thickBot="1" x14ac:dyDescent="0.3">
      <c r="A20" s="64"/>
      <c r="B20" s="65"/>
      <c r="C20" s="65"/>
      <c r="D20" s="65"/>
      <c r="E20" s="66"/>
      <c r="F20" s="65"/>
      <c r="G20" s="65"/>
      <c r="H20" s="65"/>
      <c r="I20" s="65"/>
      <c r="J20" s="65"/>
      <c r="K20" s="67" t="s">
        <v>67</v>
      </c>
    </row>
    <row r="21" spans="1:13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3" x14ac:dyDescent="0.25">
      <c r="G22" s="14"/>
      <c r="I22" s="14"/>
    </row>
    <row r="23" spans="1:13" x14ac:dyDescent="0.25">
      <c r="G23" s="14"/>
      <c r="I23" s="14"/>
      <c r="J23" s="14"/>
    </row>
    <row r="24" spans="1:13" x14ac:dyDescent="0.25">
      <c r="J24" s="14"/>
    </row>
    <row r="25" spans="1:13" x14ac:dyDescent="0.25">
      <c r="J25" s="14"/>
    </row>
  </sheetData>
  <mergeCells count="2">
    <mergeCell ref="A10:J10"/>
    <mergeCell ref="A11:D11"/>
  </mergeCells>
  <pageMargins left="0.7" right="0.7" top="0.75" bottom="0.75" header="0.3" footer="0.3"/>
  <pageSetup scale="81" orientation="landscape" r:id="rId1"/>
  <headerFooter>
    <oddFooter>&amp;L&amp;Z&amp;F&amp;R&amp;A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7BF0-B031-44D3-B2D2-9692DB7ECCC3}">
  <sheetPr>
    <tabColor theme="0" tint="-0.249977111117893"/>
    <pageSetUpPr fitToPage="1"/>
  </sheetPr>
  <dimension ref="A1:P25"/>
  <sheetViews>
    <sheetView workbookViewId="0">
      <selection activeCell="O30" sqref="O30"/>
    </sheetView>
  </sheetViews>
  <sheetFormatPr defaultColWidth="9.140625" defaultRowHeight="15" x14ac:dyDescent="0.25"/>
  <cols>
    <col min="1" max="1" width="8.85546875" customWidth="1"/>
    <col min="2" max="2" width="20.140625" customWidth="1"/>
    <col min="3" max="3" width="15.42578125" customWidth="1"/>
    <col min="4" max="4" width="15.28515625" bestFit="1" customWidth="1"/>
    <col min="5" max="5" width="2.42578125" customWidth="1"/>
    <col min="6" max="6" width="15.28515625" bestFit="1" customWidth="1"/>
    <col min="7" max="7" width="14.85546875" bestFit="1" customWidth="1"/>
    <col min="8" max="8" width="4.7109375" customWidth="1"/>
    <col min="9" max="9" width="17.28515625" customWidth="1"/>
    <col min="10" max="10" width="15.28515625" bestFit="1" customWidth="1"/>
    <col min="11" max="11" width="21.28515625" bestFit="1" customWidth="1"/>
    <col min="13" max="13" width="11.5703125" bestFit="1" customWidth="1"/>
    <col min="16" max="16" width="12.28515625" bestFit="1" customWidth="1"/>
  </cols>
  <sheetData>
    <row r="1" spans="1:13" x14ac:dyDescent="0.25">
      <c r="A1" s="10" t="s">
        <v>79</v>
      </c>
    </row>
    <row r="2" spans="1:13" x14ac:dyDescent="0.25">
      <c r="A2" s="10" t="s">
        <v>49</v>
      </c>
    </row>
    <row r="3" spans="1:13" x14ac:dyDescent="0.25">
      <c r="A3" t="s">
        <v>50</v>
      </c>
      <c r="C3" s="31">
        <v>350000</v>
      </c>
    </row>
    <row r="4" spans="1:13" x14ac:dyDescent="0.25">
      <c r="A4" t="s">
        <v>51</v>
      </c>
      <c r="C4" s="32">
        <f>ROUND(4+(5/12),2)</f>
        <v>4.42</v>
      </c>
      <c r="D4" t="s">
        <v>69</v>
      </c>
      <c r="F4" s="7"/>
    </row>
    <row r="5" spans="1:13" x14ac:dyDescent="0.25">
      <c r="A5" t="s">
        <v>53</v>
      </c>
      <c r="C5" s="33">
        <v>6.3799999999999996E-2</v>
      </c>
    </row>
    <row r="6" spans="1:13" x14ac:dyDescent="0.25">
      <c r="A6" t="s">
        <v>54</v>
      </c>
      <c r="C6" s="34">
        <v>2.5000000000000001E-2</v>
      </c>
    </row>
    <row r="7" spans="1:13" x14ac:dyDescent="0.25">
      <c r="A7" t="s">
        <v>55</v>
      </c>
      <c r="C7" s="35">
        <f>+D18</f>
        <v>390391.01999999996</v>
      </c>
      <c r="F7" s="13"/>
      <c r="G7" s="36"/>
    </row>
    <row r="8" spans="1:13" x14ac:dyDescent="0.25">
      <c r="A8" t="s">
        <v>56</v>
      </c>
      <c r="C8" s="37">
        <f>ROUND(-PV(C5,C4,,C7,0),2)</f>
        <v>297015.2</v>
      </c>
      <c r="D8" t="s">
        <v>56</v>
      </c>
      <c r="G8" s="38"/>
    </row>
    <row r="9" spans="1:13" ht="15.75" thickBot="1" x14ac:dyDescent="0.3"/>
    <row r="10" spans="1:13" x14ac:dyDescent="0.25">
      <c r="A10" s="76" t="s">
        <v>57</v>
      </c>
      <c r="B10" s="77"/>
      <c r="C10" s="77"/>
      <c r="D10" s="77"/>
      <c r="E10" s="77"/>
      <c r="F10" s="77"/>
      <c r="G10" s="77"/>
      <c r="H10" s="77"/>
      <c r="I10" s="77"/>
      <c r="J10" s="77"/>
      <c r="K10" s="39"/>
    </row>
    <row r="11" spans="1:13" x14ac:dyDescent="0.25">
      <c r="A11" s="78" t="s">
        <v>50</v>
      </c>
      <c r="B11" s="79"/>
      <c r="C11" s="79"/>
      <c r="D11" s="79"/>
      <c r="E11" s="4"/>
      <c r="F11">
        <v>230003</v>
      </c>
      <c r="G11" s="4">
        <v>411100</v>
      </c>
      <c r="H11" s="4"/>
      <c r="I11" s="4">
        <v>230003</v>
      </c>
      <c r="J11" t="s">
        <v>58</v>
      </c>
      <c r="K11" s="40"/>
    </row>
    <row r="12" spans="1:13" s="4" customFormat="1" ht="45" x14ac:dyDescent="0.25">
      <c r="A12" s="41" t="s">
        <v>10</v>
      </c>
      <c r="B12" s="42" t="s">
        <v>59</v>
      </c>
      <c r="C12" s="1" t="s">
        <v>60</v>
      </c>
      <c r="D12" s="42" t="s">
        <v>61</v>
      </c>
      <c r="E12" s="42"/>
      <c r="F12" s="42" t="s">
        <v>62</v>
      </c>
      <c r="G12" s="42" t="s">
        <v>11</v>
      </c>
      <c r="H12" s="42"/>
      <c r="I12" s="42" t="s">
        <v>63</v>
      </c>
      <c r="J12" s="42" t="s">
        <v>13</v>
      </c>
      <c r="K12" s="43"/>
    </row>
    <row r="13" spans="1:13" x14ac:dyDescent="0.25">
      <c r="A13" s="44">
        <v>2024</v>
      </c>
      <c r="B13" s="45"/>
      <c r="C13" s="46"/>
      <c r="D13" s="47">
        <f>+C3</f>
        <v>350000</v>
      </c>
      <c r="E13" s="45"/>
      <c r="F13" s="48"/>
      <c r="G13" s="49"/>
      <c r="H13" s="49"/>
      <c r="I13" s="50">
        <f>+C8</f>
        <v>297015.2</v>
      </c>
      <c r="J13" s="51" t="s">
        <v>80</v>
      </c>
      <c r="K13" s="52"/>
    </row>
    <row r="14" spans="1:13" x14ac:dyDescent="0.25">
      <c r="A14" s="44">
        <v>2025</v>
      </c>
      <c r="B14" s="46">
        <f>D13</f>
        <v>350000</v>
      </c>
      <c r="C14" s="46">
        <f>ROUND(B14*$C$6,2)</f>
        <v>8750</v>
      </c>
      <c r="D14" s="46">
        <f t="shared" ref="D14:D17" si="0">C14+B14</f>
        <v>358750</v>
      </c>
      <c r="E14" s="45"/>
      <c r="F14" s="45">
        <f>+I13</f>
        <v>297015.2</v>
      </c>
      <c r="G14" s="53">
        <f>ROUND((F14*$C$5),2)</f>
        <v>18949.57</v>
      </c>
      <c r="H14" s="54" t="s">
        <v>81</v>
      </c>
      <c r="I14" s="45">
        <f t="shared" ref="I14:I17" si="1">SUM(G14,F14)</f>
        <v>315964.77</v>
      </c>
      <c r="J14" s="55">
        <f>+ROUND(($C$8/53)*12,2)</f>
        <v>67248.72</v>
      </c>
      <c r="K14" s="56"/>
      <c r="M14" s="14">
        <f>+ROUND(J14,0)</f>
        <v>67249</v>
      </c>
    </row>
    <row r="15" spans="1:13" x14ac:dyDescent="0.25">
      <c r="A15" s="44">
        <v>2026</v>
      </c>
      <c r="B15" s="46">
        <f t="shared" ref="B15:B18" si="2">D14</f>
        <v>358750</v>
      </c>
      <c r="C15" s="46">
        <f>ROUND(B15*$C$6,2)</f>
        <v>8968.75</v>
      </c>
      <c r="D15" s="46">
        <f t="shared" si="0"/>
        <v>367718.75</v>
      </c>
      <c r="E15" s="45"/>
      <c r="F15" s="46">
        <f t="shared" ref="F15" si="3">I14</f>
        <v>315964.77</v>
      </c>
      <c r="G15" s="53">
        <f>ROUND((F15*$C$5),2)</f>
        <v>20158.55</v>
      </c>
      <c r="H15" s="46"/>
      <c r="I15" s="57">
        <f t="shared" si="1"/>
        <v>336123.32</v>
      </c>
      <c r="J15" s="55">
        <f t="shared" ref="J15:J17" si="4">+ROUND(($C$8/53)*12,2)</f>
        <v>67248.72</v>
      </c>
      <c r="K15" s="52"/>
      <c r="M15" s="14">
        <f t="shared" ref="M15:M18" si="5">+ROUND(J15,0)</f>
        <v>67249</v>
      </c>
    </row>
    <row r="16" spans="1:13" x14ac:dyDescent="0.25">
      <c r="A16" s="44">
        <v>2027</v>
      </c>
      <c r="B16" s="46">
        <f t="shared" si="2"/>
        <v>367718.75</v>
      </c>
      <c r="C16" s="46">
        <f>ROUND(B16*$C$6,2)</f>
        <v>9192.9699999999993</v>
      </c>
      <c r="D16" s="46">
        <f t="shared" si="0"/>
        <v>376911.72</v>
      </c>
      <c r="E16" s="45"/>
      <c r="F16" s="12">
        <f>I15</f>
        <v>336123.32</v>
      </c>
      <c r="G16" s="53">
        <f t="shared" ref="G16:G17" si="6">ROUND((F16*$C$5),2)</f>
        <v>21444.67</v>
      </c>
      <c r="H16" s="46"/>
      <c r="I16" s="45">
        <f t="shared" si="1"/>
        <v>357567.99</v>
      </c>
      <c r="J16" s="55">
        <f t="shared" si="4"/>
        <v>67248.72</v>
      </c>
      <c r="K16" s="52"/>
      <c r="M16" s="14">
        <f t="shared" si="5"/>
        <v>67249</v>
      </c>
    </row>
    <row r="17" spans="1:16" x14ac:dyDescent="0.25">
      <c r="A17" s="44">
        <v>2028</v>
      </c>
      <c r="B17" s="46">
        <f t="shared" si="2"/>
        <v>376911.72</v>
      </c>
      <c r="C17" s="46">
        <f>ROUND(B17*$C$6,2)</f>
        <v>9422.7900000000009</v>
      </c>
      <c r="D17" s="46">
        <f t="shared" si="0"/>
        <v>386334.50999999995</v>
      </c>
      <c r="E17" s="45"/>
      <c r="F17" s="12">
        <f>I16</f>
        <v>357567.99</v>
      </c>
      <c r="G17" s="53">
        <f t="shared" si="6"/>
        <v>22812.84</v>
      </c>
      <c r="H17" s="46"/>
      <c r="I17" s="45">
        <f t="shared" si="1"/>
        <v>380380.83</v>
      </c>
      <c r="J17" s="55">
        <f t="shared" si="4"/>
        <v>67248.72</v>
      </c>
      <c r="K17" s="52"/>
      <c r="M17" s="14">
        <f t="shared" si="5"/>
        <v>67249</v>
      </c>
    </row>
    <row r="18" spans="1:16" x14ac:dyDescent="0.25">
      <c r="A18" s="58" t="s">
        <v>72</v>
      </c>
      <c r="B18" s="46">
        <f t="shared" si="2"/>
        <v>386334.50999999995</v>
      </c>
      <c r="C18" s="46">
        <f>ROUND((B18*$C$6)*(0.42),2)</f>
        <v>4056.51</v>
      </c>
      <c r="D18" s="59">
        <f>C18+B18</f>
        <v>390391.01999999996</v>
      </c>
      <c r="E18" s="45"/>
      <c r="F18" s="12">
        <f>I17</f>
        <v>380380.83</v>
      </c>
      <c r="G18" s="53">
        <f>ROUND((F18*$C$5)*0.42,2)-182.49</f>
        <v>10010.19</v>
      </c>
      <c r="H18" s="46"/>
      <c r="I18" s="59">
        <f>SUM(G18,F18)</f>
        <v>390391.02</v>
      </c>
      <c r="J18" s="55">
        <f>+ROUND(($C$8/53)*5,2)+0.02</f>
        <v>28020.32</v>
      </c>
      <c r="K18" s="52"/>
      <c r="M18" s="14">
        <f t="shared" si="5"/>
        <v>28020</v>
      </c>
    </row>
    <row r="19" spans="1:16" ht="15.75" thickBot="1" x14ac:dyDescent="0.3">
      <c r="A19" s="44"/>
      <c r="B19" s="46"/>
      <c r="C19" s="46"/>
      <c r="D19" s="60"/>
      <c r="E19" s="60"/>
      <c r="F19" s="46"/>
      <c r="G19" s="61">
        <f>SUM(G14:G18)</f>
        <v>93375.819999999992</v>
      </c>
      <c r="H19" s="45"/>
      <c r="I19" s="46"/>
      <c r="J19" s="62">
        <f>SUM(J14:J18)</f>
        <v>297015.2</v>
      </c>
      <c r="K19" s="63">
        <f>SUM(G19:J19)</f>
        <v>390391.02</v>
      </c>
    </row>
    <row r="20" spans="1:16" ht="16.5" thickTop="1" thickBot="1" x14ac:dyDescent="0.3">
      <c r="A20" s="64"/>
      <c r="B20" s="65"/>
      <c r="C20" s="65"/>
      <c r="D20" s="65"/>
      <c r="E20" s="66"/>
      <c r="F20" s="65"/>
      <c r="G20" s="65"/>
      <c r="H20" s="65"/>
      <c r="I20" s="65"/>
      <c r="J20" s="65"/>
      <c r="K20" s="67" t="s">
        <v>67</v>
      </c>
    </row>
    <row r="21" spans="1:16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6" x14ac:dyDescent="0.25">
      <c r="G22" s="14"/>
      <c r="I22" s="14"/>
      <c r="P22" s="14"/>
    </row>
    <row r="23" spans="1:16" x14ac:dyDescent="0.25">
      <c r="G23" s="14"/>
      <c r="I23" s="14"/>
      <c r="J23" s="14"/>
      <c r="P23" s="14"/>
    </row>
    <row r="24" spans="1:16" x14ac:dyDescent="0.25">
      <c r="J24" s="14"/>
    </row>
    <row r="25" spans="1:16" x14ac:dyDescent="0.25">
      <c r="J25" s="14"/>
      <c r="P25" s="14"/>
    </row>
  </sheetData>
  <mergeCells count="2">
    <mergeCell ref="A10:J10"/>
    <mergeCell ref="A11:D11"/>
  </mergeCells>
  <pageMargins left="0.7" right="0.7" top="0.75" bottom="0.75" header="0.3" footer="0.3"/>
  <pageSetup scale="81" orientation="landscape" r:id="rId1"/>
  <headerFooter>
    <oddFooter>&amp;L&amp;Z&amp;F&amp;R&amp;A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8A8D-0F23-4944-8B86-C6722980C8EA}">
  <sheetPr>
    <tabColor rgb="FF92D050"/>
  </sheetPr>
  <dimension ref="A1:D6"/>
  <sheetViews>
    <sheetView workbookViewId="0">
      <selection activeCell="A8" sqref="A8"/>
    </sheetView>
  </sheetViews>
  <sheetFormatPr defaultRowHeight="15" x14ac:dyDescent="0.25"/>
  <cols>
    <col min="1" max="1" width="19.140625" customWidth="1"/>
    <col min="2" max="2" width="38.85546875" customWidth="1"/>
    <col min="3" max="4" width="11.140625" bestFit="1" customWidth="1"/>
  </cols>
  <sheetData>
    <row r="1" spans="1:4" x14ac:dyDescent="0.25">
      <c r="A1" s="10" t="s">
        <v>0</v>
      </c>
    </row>
    <row r="2" spans="1:4" x14ac:dyDescent="0.25">
      <c r="A2" s="10"/>
    </row>
    <row r="3" spans="1:4" x14ac:dyDescent="0.25">
      <c r="A3" s="10" t="s">
        <v>82</v>
      </c>
      <c r="C3" s="11"/>
      <c r="D3" s="11"/>
    </row>
    <row r="4" spans="1:4" x14ac:dyDescent="0.25">
      <c r="C4" s="11"/>
      <c r="D4" s="11"/>
    </row>
    <row r="5" spans="1:4" x14ac:dyDescent="0.25">
      <c r="A5" t="s">
        <v>16</v>
      </c>
      <c r="B5" t="s">
        <v>17</v>
      </c>
      <c r="C5" s="11">
        <v>20165905</v>
      </c>
      <c r="D5" s="11"/>
    </row>
    <row r="6" spans="1:4" x14ac:dyDescent="0.25">
      <c r="A6" t="s">
        <v>83</v>
      </c>
      <c r="B6" t="s">
        <v>84</v>
      </c>
      <c r="C6" s="11"/>
      <c r="D6" s="11">
        <v>20165905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9490-C705-4C01-BF82-06B5161E4CE3}">
  <dimension ref="A2:K61"/>
  <sheetViews>
    <sheetView topLeftCell="A27" zoomScale="90" zoomScaleNormal="90" workbookViewId="0">
      <selection activeCell="E60" sqref="E60"/>
    </sheetView>
  </sheetViews>
  <sheetFormatPr defaultColWidth="17.85546875" defaultRowHeight="12.75" x14ac:dyDescent="0.2"/>
  <cols>
    <col min="1" max="1" width="7" style="16" customWidth="1"/>
    <col min="2" max="2" width="34.85546875" style="16" customWidth="1"/>
    <col min="3" max="16384" width="17.85546875" style="16"/>
  </cols>
  <sheetData>
    <row r="2" spans="1:11" x14ac:dyDescent="0.2">
      <c r="F2" s="17"/>
    </row>
    <row r="3" spans="1:11" x14ac:dyDescent="0.2">
      <c r="A3" s="80" t="s">
        <v>85</v>
      </c>
      <c r="B3" s="80"/>
      <c r="C3" s="80"/>
      <c r="D3" s="80"/>
      <c r="E3" s="80"/>
      <c r="F3" s="80"/>
    </row>
    <row r="4" spans="1:11" x14ac:dyDescent="0.2">
      <c r="A4" s="80" t="s">
        <v>86</v>
      </c>
      <c r="B4" s="80"/>
      <c r="C4" s="80"/>
      <c r="D4" s="80"/>
      <c r="E4" s="80"/>
      <c r="F4" s="80"/>
    </row>
    <row r="6" spans="1:11" x14ac:dyDescent="0.2">
      <c r="A6" s="16" t="s">
        <v>87</v>
      </c>
    </row>
    <row r="7" spans="1:11" x14ac:dyDescent="0.2">
      <c r="A7" s="16" t="s">
        <v>88</v>
      </c>
    </row>
    <row r="8" spans="1:11" x14ac:dyDescent="0.2">
      <c r="A8" s="16" t="s">
        <v>89</v>
      </c>
    </row>
    <row r="10" spans="1:11" x14ac:dyDescent="0.2">
      <c r="C10" s="18" t="s">
        <v>90</v>
      </c>
      <c r="D10" s="18" t="s">
        <v>91</v>
      </c>
      <c r="E10" s="18" t="s">
        <v>92</v>
      </c>
    </row>
    <row r="11" spans="1:11" ht="13.5" thickBot="1" x14ac:dyDescent="0.25">
      <c r="B11" s="19" t="s">
        <v>93</v>
      </c>
      <c r="C11" s="19" t="s">
        <v>94</v>
      </c>
      <c r="D11" s="19" t="s">
        <v>94</v>
      </c>
      <c r="E11" s="19" t="s">
        <v>94</v>
      </c>
    </row>
    <row r="12" spans="1:11" x14ac:dyDescent="0.2">
      <c r="I12" s="20"/>
      <c r="J12" s="20"/>
      <c r="K12" s="20"/>
    </row>
    <row r="13" spans="1:11" x14ac:dyDescent="0.2">
      <c r="B13" s="21">
        <v>44927</v>
      </c>
      <c r="C13" s="20">
        <v>993370</v>
      </c>
      <c r="D13" s="20">
        <v>-39014.82</v>
      </c>
      <c r="E13" s="20">
        <f t="shared" ref="E13:E24" si="0">C13+D13</f>
        <v>954355.18</v>
      </c>
      <c r="I13" s="20"/>
      <c r="J13" s="20"/>
      <c r="K13" s="20"/>
    </row>
    <row r="14" spans="1:11" x14ac:dyDescent="0.2">
      <c r="B14" s="22">
        <v>44958</v>
      </c>
      <c r="C14" s="20">
        <v>954661</v>
      </c>
      <c r="D14" s="20">
        <v>-39014.82</v>
      </c>
      <c r="E14" s="20">
        <f t="shared" si="0"/>
        <v>915646.18</v>
      </c>
      <c r="I14" s="20"/>
      <c r="J14" s="20"/>
      <c r="K14" s="20"/>
    </row>
    <row r="15" spans="1:11" x14ac:dyDescent="0.2">
      <c r="B15" s="21">
        <v>44986</v>
      </c>
      <c r="C15" s="20">
        <v>954683</v>
      </c>
      <c r="D15" s="20">
        <v>-39014.82</v>
      </c>
      <c r="E15" s="20">
        <f t="shared" si="0"/>
        <v>915668.18</v>
      </c>
      <c r="I15" s="20"/>
      <c r="J15" s="20"/>
      <c r="K15" s="20"/>
    </row>
    <row r="16" spans="1:11" x14ac:dyDescent="0.2">
      <c r="B16" s="22">
        <v>45017</v>
      </c>
      <c r="C16" s="20">
        <v>956122</v>
      </c>
      <c r="D16" s="20">
        <v>-39014.82</v>
      </c>
      <c r="E16" s="20">
        <f t="shared" si="0"/>
        <v>917107.18</v>
      </c>
      <c r="I16" s="20"/>
      <c r="J16" s="20"/>
      <c r="K16" s="20"/>
    </row>
    <row r="17" spans="2:11" x14ac:dyDescent="0.2">
      <c r="B17" s="21">
        <v>45047</v>
      </c>
      <c r="C17" s="20">
        <v>956121</v>
      </c>
      <c r="D17" s="20">
        <v>-39014.82</v>
      </c>
      <c r="E17" s="20">
        <f t="shared" si="0"/>
        <v>917106.18</v>
      </c>
      <c r="H17" s="23"/>
      <c r="I17" s="20"/>
      <c r="J17" s="20"/>
      <c r="K17" s="20"/>
    </row>
    <row r="18" spans="2:11" x14ac:dyDescent="0.2">
      <c r="B18" s="22">
        <v>45078</v>
      </c>
      <c r="C18" s="20">
        <v>981110</v>
      </c>
      <c r="D18" s="20">
        <v>-39014.82</v>
      </c>
      <c r="E18" s="20">
        <f t="shared" si="0"/>
        <v>942095.18</v>
      </c>
      <c r="H18" s="23"/>
      <c r="I18" s="20"/>
      <c r="J18" s="20"/>
      <c r="K18" s="20"/>
    </row>
    <row r="19" spans="2:11" x14ac:dyDescent="0.2">
      <c r="B19" s="21">
        <v>45108</v>
      </c>
      <c r="C19" s="20">
        <v>981111</v>
      </c>
      <c r="D19" s="20">
        <v>-39014.82</v>
      </c>
      <c r="E19" s="20">
        <f t="shared" si="0"/>
        <v>942096.18</v>
      </c>
      <c r="I19" s="20"/>
      <c r="J19" s="20"/>
      <c r="K19" s="20"/>
    </row>
    <row r="20" spans="2:11" x14ac:dyDescent="0.2">
      <c r="B20" s="22">
        <v>45139</v>
      </c>
      <c r="C20" s="20">
        <v>981111</v>
      </c>
      <c r="D20" s="20">
        <v>-39014.82</v>
      </c>
      <c r="E20" s="20">
        <f t="shared" si="0"/>
        <v>942096.18</v>
      </c>
      <c r="I20" s="20"/>
      <c r="J20" s="20"/>
      <c r="K20" s="20"/>
    </row>
    <row r="21" spans="2:11" x14ac:dyDescent="0.2">
      <c r="B21" s="21">
        <v>45170</v>
      </c>
      <c r="C21" s="20">
        <v>981111</v>
      </c>
      <c r="D21" s="20">
        <v>-39014.82</v>
      </c>
      <c r="E21" s="20">
        <f t="shared" si="0"/>
        <v>942096.18</v>
      </c>
      <c r="I21" s="20"/>
      <c r="J21" s="20"/>
      <c r="K21" s="20"/>
    </row>
    <row r="22" spans="2:11" x14ac:dyDescent="0.2">
      <c r="B22" s="22">
        <v>45200</v>
      </c>
      <c r="C22" s="20">
        <v>981111</v>
      </c>
      <c r="D22" s="20">
        <v>-39014.82</v>
      </c>
      <c r="E22" s="20">
        <f t="shared" si="0"/>
        <v>942096.18</v>
      </c>
      <c r="I22" s="20"/>
      <c r="J22" s="20"/>
      <c r="K22" s="20"/>
    </row>
    <row r="23" spans="2:11" x14ac:dyDescent="0.2">
      <c r="B23" s="21">
        <v>45231</v>
      </c>
      <c r="C23" s="20">
        <v>981110</v>
      </c>
      <c r="D23" s="20">
        <v>-39014.82</v>
      </c>
      <c r="E23" s="20">
        <f t="shared" si="0"/>
        <v>942095.18</v>
      </c>
      <c r="H23" s="23"/>
      <c r="I23" s="20"/>
      <c r="J23" s="20"/>
      <c r="K23" s="20"/>
    </row>
    <row r="24" spans="2:11" x14ac:dyDescent="0.2">
      <c r="B24" s="22">
        <v>45261</v>
      </c>
      <c r="C24" s="24">
        <v>890614</v>
      </c>
      <c r="D24" s="20">
        <v>-39014.82</v>
      </c>
      <c r="E24" s="24">
        <f t="shared" si="0"/>
        <v>851599.18</v>
      </c>
      <c r="I24" s="20"/>
      <c r="J24" s="20"/>
      <c r="K24" s="20"/>
    </row>
    <row r="25" spans="2:11" ht="13.5" thickBot="1" x14ac:dyDescent="0.25">
      <c r="B25" s="25" t="s">
        <v>95</v>
      </c>
      <c r="C25" s="26">
        <f>SUM(C13:C24)</f>
        <v>11592235</v>
      </c>
      <c r="D25" s="26">
        <f>SUM(D13:D24)</f>
        <v>-468177.84</v>
      </c>
      <c r="E25" s="26">
        <f>SUM(E13:E24)</f>
        <v>11124057.159999998</v>
      </c>
      <c r="K25" s="20"/>
    </row>
    <row r="26" spans="2:11" ht="13.5" thickTop="1" x14ac:dyDescent="0.2">
      <c r="B26" s="25"/>
      <c r="C26" s="20"/>
      <c r="D26" s="20"/>
      <c r="E26" s="20"/>
      <c r="K26" s="20"/>
    </row>
    <row r="27" spans="2:11" x14ac:dyDescent="0.2">
      <c r="B27" s="27">
        <v>45292</v>
      </c>
      <c r="C27" s="20">
        <v>903212.67</v>
      </c>
      <c r="D27" s="20">
        <v>-38984.550000000003</v>
      </c>
      <c r="E27" s="20">
        <f t="shared" ref="E27:E38" si="1">C27+D27</f>
        <v>864228.12</v>
      </c>
    </row>
    <row r="28" spans="2:11" x14ac:dyDescent="0.2">
      <c r="B28" s="28">
        <v>45323</v>
      </c>
      <c r="C28" s="20">
        <v>906154.63</v>
      </c>
      <c r="D28" s="20">
        <v>-38984.550000000003</v>
      </c>
      <c r="E28" s="20">
        <f t="shared" si="1"/>
        <v>867170.08</v>
      </c>
      <c r="H28" s="23"/>
      <c r="I28" s="20"/>
      <c r="J28" s="20"/>
      <c r="K28" s="20"/>
    </row>
    <row r="29" spans="2:11" x14ac:dyDescent="0.2">
      <c r="B29" s="28">
        <v>45352</v>
      </c>
      <c r="C29" s="20">
        <v>906154.63</v>
      </c>
      <c r="D29" s="20">
        <v>-38984.550000000003</v>
      </c>
      <c r="E29" s="20">
        <f t="shared" si="1"/>
        <v>867170.08</v>
      </c>
      <c r="I29" s="20"/>
      <c r="J29" s="20"/>
      <c r="K29" s="20"/>
    </row>
    <row r="30" spans="2:11" x14ac:dyDescent="0.2">
      <c r="B30" s="27">
        <v>45383</v>
      </c>
      <c r="C30" s="20">
        <v>906154.63</v>
      </c>
      <c r="D30" s="20">
        <v>-38984.550000000003</v>
      </c>
      <c r="E30" s="20">
        <f t="shared" si="1"/>
        <v>867170.08</v>
      </c>
      <c r="I30" s="20"/>
      <c r="J30" s="20"/>
      <c r="K30" s="20"/>
    </row>
    <row r="31" spans="2:11" x14ac:dyDescent="0.2">
      <c r="B31" s="28">
        <v>45413</v>
      </c>
      <c r="C31" s="20">
        <v>906154.63</v>
      </c>
      <c r="D31" s="20">
        <v>-38984.550000000003</v>
      </c>
      <c r="E31" s="20">
        <f t="shared" si="1"/>
        <v>867170.08</v>
      </c>
      <c r="I31" s="20"/>
      <c r="J31" s="20"/>
      <c r="K31" s="20"/>
    </row>
    <row r="32" spans="2:11" x14ac:dyDescent="0.2">
      <c r="B32" s="28">
        <v>45444</v>
      </c>
      <c r="C32" s="20">
        <v>899590.55</v>
      </c>
      <c r="D32" s="20">
        <v>-38984.550000000003</v>
      </c>
      <c r="E32" s="20">
        <f t="shared" si="1"/>
        <v>860606</v>
      </c>
      <c r="I32" s="20"/>
      <c r="J32" s="20"/>
      <c r="K32" s="20"/>
    </row>
    <row r="33" spans="2:11" x14ac:dyDescent="0.2">
      <c r="B33" s="27">
        <v>45474</v>
      </c>
      <c r="C33" s="20">
        <v>899590.55</v>
      </c>
      <c r="D33" s="20">
        <v>-38984.550000000003</v>
      </c>
      <c r="E33" s="20">
        <f t="shared" si="1"/>
        <v>860606</v>
      </c>
      <c r="I33" s="20"/>
      <c r="J33" s="20"/>
      <c r="K33" s="20"/>
    </row>
    <row r="34" spans="2:11" x14ac:dyDescent="0.2">
      <c r="B34" s="28">
        <v>45505</v>
      </c>
      <c r="C34" s="20">
        <v>899590.55</v>
      </c>
      <c r="D34" s="20">
        <v>-38984.550000000003</v>
      </c>
      <c r="E34" s="20">
        <f t="shared" si="1"/>
        <v>860606</v>
      </c>
      <c r="I34" s="20"/>
      <c r="J34" s="20"/>
      <c r="K34" s="20"/>
    </row>
    <row r="35" spans="2:11" x14ac:dyDescent="0.2">
      <c r="B35" s="28">
        <v>45536</v>
      </c>
      <c r="C35" s="20">
        <v>899590.55</v>
      </c>
      <c r="D35" s="20">
        <v>-38984.550000000003</v>
      </c>
      <c r="E35" s="20">
        <f t="shared" si="1"/>
        <v>860606</v>
      </c>
      <c r="I35" s="20"/>
      <c r="J35" s="20"/>
      <c r="K35" s="20"/>
    </row>
    <row r="36" spans="2:11" x14ac:dyDescent="0.2">
      <c r="B36" s="27">
        <v>45566</v>
      </c>
      <c r="C36" s="20">
        <v>899590.55</v>
      </c>
      <c r="D36" s="20">
        <v>-38984.550000000003</v>
      </c>
      <c r="E36" s="20">
        <f t="shared" si="1"/>
        <v>860606</v>
      </c>
      <c r="I36" s="20"/>
      <c r="J36" s="20"/>
      <c r="K36" s="20"/>
    </row>
    <row r="37" spans="2:11" x14ac:dyDescent="0.2">
      <c r="B37" s="28">
        <v>45597</v>
      </c>
      <c r="C37" s="20">
        <v>899590.55</v>
      </c>
      <c r="D37" s="20">
        <v>-38984.550000000003</v>
      </c>
      <c r="E37" s="20">
        <f t="shared" si="1"/>
        <v>860606</v>
      </c>
      <c r="I37" s="20"/>
      <c r="J37" s="20"/>
      <c r="K37" s="20"/>
    </row>
    <row r="38" spans="2:11" x14ac:dyDescent="0.2">
      <c r="B38" s="28">
        <v>45627</v>
      </c>
      <c r="C38" s="24">
        <v>899590.55</v>
      </c>
      <c r="D38" s="20">
        <v>-38984.550000000003</v>
      </c>
      <c r="E38" s="24">
        <f t="shared" si="1"/>
        <v>860606</v>
      </c>
      <c r="I38" s="20"/>
      <c r="J38" s="20"/>
      <c r="K38" s="20"/>
    </row>
    <row r="39" spans="2:11" ht="13.5" thickBot="1" x14ac:dyDescent="0.25">
      <c r="B39" s="22" t="s">
        <v>96</v>
      </c>
      <c r="C39" s="26">
        <f>SUM(C27:C38)</f>
        <v>10824965.040000001</v>
      </c>
      <c r="D39" s="26">
        <f>SUM(D27:D38)</f>
        <v>-467814.59999999992</v>
      </c>
      <c r="E39" s="26">
        <f>SUM(E27:E38)</f>
        <v>10357150.439999999</v>
      </c>
      <c r="H39" s="23"/>
      <c r="I39" s="20"/>
      <c r="J39" s="20"/>
      <c r="K39" s="20"/>
    </row>
    <row r="40" spans="2:11" ht="13.5" thickTop="1" x14ac:dyDescent="0.2">
      <c r="B40" s="28"/>
    </row>
    <row r="41" spans="2:11" x14ac:dyDescent="0.2">
      <c r="B41" s="27">
        <v>45658</v>
      </c>
      <c r="C41" s="20">
        <v>2484487.56</v>
      </c>
      <c r="D41" s="20">
        <v>-39043.97</v>
      </c>
      <c r="E41" s="20">
        <f t="shared" ref="E41:E52" si="2">C41+D41</f>
        <v>2445443.59</v>
      </c>
    </row>
    <row r="42" spans="2:11" x14ac:dyDescent="0.2">
      <c r="B42" s="28">
        <v>45689</v>
      </c>
      <c r="C42" s="20">
        <v>2501618.42</v>
      </c>
      <c r="D42" s="20">
        <v>-39043.97</v>
      </c>
      <c r="E42" s="20">
        <f t="shared" si="2"/>
        <v>2462574.4499999997</v>
      </c>
    </row>
    <row r="43" spans="2:11" x14ac:dyDescent="0.2">
      <c r="B43" s="27">
        <v>45717</v>
      </c>
      <c r="C43" s="20">
        <v>2501587.66</v>
      </c>
      <c r="D43" s="20">
        <v>-39043.97</v>
      </c>
      <c r="E43" s="20">
        <f t="shared" si="2"/>
        <v>2462543.69</v>
      </c>
    </row>
    <row r="44" spans="2:11" x14ac:dyDescent="0.2">
      <c r="B44" s="28">
        <v>45748</v>
      </c>
      <c r="C44" s="20">
        <v>2501618.42</v>
      </c>
      <c r="D44" s="20">
        <v>-39043.97</v>
      </c>
      <c r="E44" s="20">
        <f t="shared" si="2"/>
        <v>2462574.4499999997</v>
      </c>
    </row>
    <row r="45" spans="2:11" x14ac:dyDescent="0.2">
      <c r="B45" s="27">
        <v>45778</v>
      </c>
      <c r="C45" s="20">
        <v>2501618.42</v>
      </c>
      <c r="D45" s="20">
        <v>-39043.97</v>
      </c>
      <c r="E45" s="20">
        <f t="shared" ref="E45:E51" si="3">C45+D45</f>
        <v>2462574.4499999997</v>
      </c>
    </row>
    <row r="46" spans="2:11" x14ac:dyDescent="0.2">
      <c r="B46" s="28">
        <v>45809</v>
      </c>
      <c r="C46" s="20"/>
      <c r="D46" s="20"/>
      <c r="E46" s="20">
        <f t="shared" si="3"/>
        <v>0</v>
      </c>
    </row>
    <row r="47" spans="2:11" x14ac:dyDescent="0.2">
      <c r="B47" s="27">
        <v>45839</v>
      </c>
      <c r="C47" s="20"/>
      <c r="D47" s="20"/>
      <c r="E47" s="20">
        <f t="shared" si="3"/>
        <v>0</v>
      </c>
    </row>
    <row r="48" spans="2:11" x14ac:dyDescent="0.2">
      <c r="B48" s="28">
        <v>45870</v>
      </c>
      <c r="C48" s="20"/>
      <c r="D48" s="20"/>
      <c r="E48" s="20">
        <f t="shared" si="3"/>
        <v>0</v>
      </c>
    </row>
    <row r="49" spans="2:6" x14ac:dyDescent="0.2">
      <c r="B49" s="27">
        <v>45901</v>
      </c>
      <c r="C49" s="20"/>
      <c r="D49" s="20"/>
      <c r="E49" s="20">
        <f t="shared" si="3"/>
        <v>0</v>
      </c>
    </row>
    <row r="50" spans="2:6" x14ac:dyDescent="0.2">
      <c r="B50" s="28">
        <v>45931</v>
      </c>
      <c r="C50" s="20"/>
      <c r="D50" s="20"/>
      <c r="E50" s="20">
        <f t="shared" si="3"/>
        <v>0</v>
      </c>
    </row>
    <row r="51" spans="2:6" x14ac:dyDescent="0.2">
      <c r="B51" s="27">
        <v>45962</v>
      </c>
      <c r="C51" s="20"/>
      <c r="D51" s="20"/>
      <c r="E51" s="20">
        <f t="shared" si="3"/>
        <v>0</v>
      </c>
    </row>
    <row r="52" spans="2:6" x14ac:dyDescent="0.2">
      <c r="B52" s="28">
        <v>45992</v>
      </c>
      <c r="C52" s="24"/>
      <c r="D52" s="20"/>
      <c r="E52" s="24">
        <f t="shared" si="2"/>
        <v>0</v>
      </c>
    </row>
    <row r="53" spans="2:6" ht="13.5" thickBot="1" x14ac:dyDescent="0.25">
      <c r="B53" s="22" t="s">
        <v>97</v>
      </c>
      <c r="C53" s="26">
        <f>SUM(C41:C52)</f>
        <v>12490930.48</v>
      </c>
      <c r="D53" s="26">
        <f>SUM(D41:D52)</f>
        <v>-195219.85</v>
      </c>
      <c r="E53" s="26">
        <f>SUM(E41:E52)</f>
        <v>12295710.629999997</v>
      </c>
    </row>
    <row r="54" spans="2:6" ht="13.5" thickTop="1" x14ac:dyDescent="0.2"/>
    <row r="57" spans="2:6" x14ac:dyDescent="0.2">
      <c r="C57" s="29"/>
    </row>
    <row r="58" spans="2:6" x14ac:dyDescent="0.2">
      <c r="D58" s="25" t="s">
        <v>98</v>
      </c>
      <c r="E58" s="29">
        <f>ROUND((E53/5)*12,0)</f>
        <v>29509706</v>
      </c>
    </row>
    <row r="59" spans="2:6" x14ac:dyDescent="0.2">
      <c r="D59" s="25" t="s">
        <v>99</v>
      </c>
      <c r="E59" s="29">
        <v>-9343801</v>
      </c>
      <c r="F59" s="16" t="s">
        <v>100</v>
      </c>
    </row>
    <row r="60" spans="2:6" ht="13.5" thickBot="1" x14ac:dyDescent="0.25">
      <c r="E60" s="30">
        <f>SUM(E58:E59)</f>
        <v>20165905</v>
      </c>
    </row>
    <row r="61" spans="2:6" ht="13.5" thickTop="1" x14ac:dyDescent="0.2">
      <c r="C61" s="29"/>
    </row>
  </sheetData>
  <mergeCells count="2">
    <mergeCell ref="A3:F3"/>
    <mergeCell ref="A4:F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ae06fcea-541a-49e3-952a-5eaf56d381f3" xsi:nil="true"/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D58946-1361-414B-B525-1731FDD7D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10D006-79FE-49EE-9A9E-6BE01EF3F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C9C4E0-ED66-450E-A74B-A79EE05B042B}">
  <ds:schemaRefs>
    <ds:schemaRef ds:uri="http://schemas.microsoft.com/office/2006/metadata/properties"/>
    <ds:schemaRef ds:uri="http://schemas.microsoft.com/office/infopath/2007/PartnerControls"/>
    <ds:schemaRef ds:uri="ae06fcea-541a-49e3-952a-5eaf56d381f3"/>
    <ds:schemaRef ds:uri="daea435f-7073-4c60-9060-e78a3a9f8d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Legacy ARO</vt:lpstr>
      <vt:lpstr>Sample Legacy Reg Asset JEs</vt:lpstr>
      <vt:lpstr>Legacy CCR Dale LSI</vt:lpstr>
      <vt:lpstr>Legacy CCR Cooper CCRMU</vt:lpstr>
      <vt:lpstr>Legacy CCR Spurlock CCRMU</vt:lpstr>
      <vt:lpstr>Legacy CCR Smith CCRMU</vt:lpstr>
      <vt:lpstr>Legacy CCR Hancock Creek CCRMU</vt:lpstr>
      <vt:lpstr>RTEP JE</vt:lpstr>
      <vt:lpstr>RTEP basis</vt:lpstr>
      <vt:lpstr>2021-00103 RTEP</vt:lpstr>
      <vt:lpstr>'Legacy CCR Cooper CCRMU'!Print_Area</vt:lpstr>
      <vt:lpstr>'Legacy CCR Dale LSI'!Print_Area</vt:lpstr>
      <vt:lpstr>'Legacy CCR Hancock Creek CCRMU'!Print_Area</vt:lpstr>
      <vt:lpstr>'Legacy CCR Smith CCRMU'!Print_Area</vt:lpstr>
      <vt:lpstr>'Legacy CCR Spurlock CCRMU'!Print_Area</vt:lpstr>
      <vt:lpstr>'Sample Legacy Reg Asset JEs'!Print_Area</vt:lpstr>
    </vt:vector>
  </TitlesOfParts>
  <Manager/>
  <Company>East Kentucky Power Cooperative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Kara Clark</dc:creator>
  <cp:keywords/>
  <dc:description/>
  <cp:lastModifiedBy>Christian Everly</cp:lastModifiedBy>
  <cp:revision/>
  <dcterms:created xsi:type="dcterms:W3CDTF">2025-06-02T14:54:24Z</dcterms:created>
  <dcterms:modified xsi:type="dcterms:W3CDTF">2025-06-26T13:47:40Z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