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x-19\home\tina.frederick\Farmdale Show Cause\ARF 2025\1st DR Response\Exhibits and Attachments\"/>
    </mc:Choice>
  </mc:AlternateContent>
  <xr:revisionPtr revIDLastSave="0" documentId="14_{0C2FBDEA-5F6F-40E7-95A5-9BF04399BC99}" xr6:coauthVersionLast="47" xr6:coauthVersionMax="47" xr10:uidLastSave="{00000000-0000-0000-0000-000000000000}"/>
  <bookViews>
    <workbookView xWindow="-120" yWindow="-120" windowWidth="29040" windowHeight="15840" tabRatio="641" activeTab="2" xr2:uid="{00000000-000D-0000-FFFF-FFFF00000000}"/>
  </bookViews>
  <sheets>
    <sheet name="SAO" sheetId="6" r:id="rId1"/>
    <sheet name="Revenue Requirement" sheetId="67" r:id="rId2"/>
    <sheet name="Wages" sheetId="55" r:id="rId3"/>
    <sheet name="Medical" sheetId="74" r:id="rId4"/>
    <sheet name="Water Loss Surcharge" sheetId="68" r:id="rId5"/>
    <sheet name="Depreciation" sheetId="69" r:id="rId6"/>
    <sheet name="Debt Service" sheetId="50" r:id="rId7"/>
    <sheet name="Tap Fees" sheetId="71" r:id="rId8"/>
    <sheet name="Rate Case Expenses" sheetId="70" r:id="rId9"/>
    <sheet name="Rates" sheetId="2" r:id="rId10"/>
    <sheet name="Bills" sheetId="42" r:id="rId11"/>
    <sheet name="Bills with Surcharge" sheetId="75" r:id="rId12"/>
    <sheet name="Existing Billing Analysis" sheetId="63" r:id="rId13"/>
    <sheet name="Proposed Billing Analysis" sheetId="65" r:id="rId14"/>
  </sheets>
  <externalReferences>
    <externalReference r:id="rId15"/>
    <externalReference r:id="rId16"/>
  </externalReferences>
  <definedNames>
    <definedName name="AHV">#REF!</definedName>
    <definedName name="_xlnm.Print_Area" localSheetId="10">Bills!$A$1:$I$71</definedName>
    <definedName name="_xlnm.Print_Area" localSheetId="11">'Bills with Surcharge'!$A$1:$I$71</definedName>
    <definedName name="_xlnm.Print_Area" localSheetId="6">'Debt Service'!$A$1:$N$20</definedName>
    <definedName name="_xlnm.Print_Area" localSheetId="5">Depreciation!$A$1:$M$50</definedName>
    <definedName name="_xlnm.Print_Area" localSheetId="12">'Existing Billing Analysis'!$A$1:$M$157</definedName>
    <definedName name="_xlnm.Print_Area" localSheetId="13">'Proposed Billing Analysis'!$A$1:$M$157</definedName>
    <definedName name="_xlnm.Print_Area" localSheetId="9">Rates!$A$1:$I$38</definedName>
    <definedName name="_xlnm.Print_Area" localSheetId="1">'Revenue Requirement'!$A$1:$F$21</definedName>
    <definedName name="_xlnm.Print_Area" localSheetId="0">SAO!$A$1:$H$52</definedName>
    <definedName name="_xlnm.Print_Area" localSheetId="4">'Water Loss Surcharge'!$C$3:$H$44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C20" i="74"/>
  <c r="D19" i="74"/>
  <c r="C19" i="74"/>
  <c r="C18" i="74"/>
  <c r="H138" i="65"/>
  <c r="F11" i="6"/>
  <c r="D69" i="75"/>
  <c r="D68" i="75"/>
  <c r="D67" i="75"/>
  <c r="D66" i="75"/>
  <c r="D61" i="75"/>
  <c r="D65" i="75"/>
  <c r="D64" i="75"/>
  <c r="D63" i="75"/>
  <c r="D62" i="75"/>
  <c r="D60" i="75"/>
  <c r="D59" i="75"/>
  <c r="D58" i="75"/>
  <c r="D57" i="75"/>
  <c r="D56" i="75"/>
  <c r="D55" i="75"/>
  <c r="D54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F37" i="69"/>
  <c r="J37" i="69" s="1"/>
  <c r="K37" i="69" s="1"/>
  <c r="F36" i="69"/>
  <c r="J36" i="69" s="1"/>
  <c r="K36" i="69" s="1"/>
  <c r="B50" i="75" l="1"/>
  <c r="B28" i="75"/>
  <c r="B6" i="75"/>
  <c r="C16" i="74"/>
  <c r="C14" i="74" l="1"/>
  <c r="J10" i="74"/>
  <c r="J9" i="74"/>
  <c r="J8" i="74"/>
  <c r="J7" i="74"/>
  <c r="J6" i="74"/>
  <c r="E8" i="74"/>
  <c r="E7" i="74"/>
  <c r="E6" i="74"/>
  <c r="E9" i="74"/>
  <c r="D8" i="74"/>
  <c r="D7" i="74"/>
  <c r="D6" i="74"/>
  <c r="D9" i="74"/>
  <c r="J14" i="55"/>
  <c r="J13" i="55"/>
  <c r="J11" i="55"/>
  <c r="J8" i="55"/>
  <c r="I26" i="55"/>
  <c r="I32" i="55"/>
  <c r="J6" i="55" l="1"/>
  <c r="J5" i="55"/>
  <c r="J31" i="69" l="1"/>
  <c r="K31" i="69" s="1"/>
  <c r="F42" i="69"/>
  <c r="J40" i="69"/>
  <c r="C10" i="74" l="1"/>
  <c r="B10" i="74"/>
  <c r="H9" i="74"/>
  <c r="H8" i="74"/>
  <c r="G8" i="74"/>
  <c r="H7" i="74"/>
  <c r="G7" i="74"/>
  <c r="H6" i="74"/>
  <c r="G6" i="74"/>
  <c r="H10" i="74" l="1"/>
  <c r="E10" i="74"/>
  <c r="A7" i="55" l="1"/>
  <c r="A8" i="55" s="1"/>
  <c r="A9" i="55" s="1"/>
  <c r="A10" i="55" s="1"/>
  <c r="A11" i="55" s="1"/>
  <c r="A12" i="55" s="1"/>
  <c r="A13" i="55" s="1"/>
  <c r="A14" i="55" s="1"/>
  <c r="A6" i="55"/>
  <c r="F49" i="69"/>
  <c r="K40" i="69"/>
  <c r="J35" i="69"/>
  <c r="K35" i="69" s="1"/>
  <c r="J30" i="69"/>
  <c r="K30" i="69" s="1"/>
  <c r="J29" i="69"/>
  <c r="K29" i="69" s="1"/>
  <c r="J28" i="69"/>
  <c r="K28" i="69" s="1"/>
  <c r="J25" i="69"/>
  <c r="K25" i="69" s="1"/>
  <c r="J15" i="69"/>
  <c r="K15" i="69" s="1"/>
  <c r="J14" i="69"/>
  <c r="K14" i="69" s="1"/>
  <c r="H42" i="69"/>
  <c r="J12" i="69"/>
  <c r="K12" i="69" l="1"/>
  <c r="K42" i="69" l="1"/>
  <c r="J42" i="69"/>
  <c r="F48" i="69" s="1"/>
  <c r="F50" i="69" s="1"/>
  <c r="D37" i="6" s="1"/>
  <c r="D69" i="42" l="1"/>
  <c r="D68" i="42"/>
  <c r="D67" i="42"/>
  <c r="D66" i="42"/>
  <c r="D47" i="42"/>
  <c r="D46" i="42"/>
  <c r="D45" i="42"/>
  <c r="D44" i="42"/>
  <c r="D43" i="42"/>
  <c r="D42" i="42"/>
  <c r="D41" i="42"/>
  <c r="D40" i="42"/>
  <c r="D39" i="42"/>
  <c r="D38" i="42"/>
  <c r="O133" i="63"/>
  <c r="O38" i="63"/>
  <c r="O22" i="63"/>
  <c r="D37" i="42"/>
  <c r="D36" i="42"/>
  <c r="D35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F147" i="65" l="1"/>
  <c r="E147" i="65"/>
  <c r="D147" i="65"/>
  <c r="F146" i="65"/>
  <c r="E146" i="65"/>
  <c r="D146" i="65"/>
  <c r="F145" i="65"/>
  <c r="E145" i="65"/>
  <c r="D145" i="65"/>
  <c r="F144" i="65"/>
  <c r="E144" i="65"/>
  <c r="D144" i="65"/>
  <c r="F132" i="65"/>
  <c r="E132" i="65"/>
  <c r="D132" i="65"/>
  <c r="F131" i="65"/>
  <c r="E131" i="65"/>
  <c r="D131" i="65"/>
  <c r="F130" i="65"/>
  <c r="E130" i="65"/>
  <c r="D130" i="65"/>
  <c r="F129" i="65"/>
  <c r="E129" i="65"/>
  <c r="D129" i="65"/>
  <c r="F117" i="65"/>
  <c r="E117" i="65"/>
  <c r="D117" i="65"/>
  <c r="F116" i="65"/>
  <c r="E116" i="65"/>
  <c r="D116" i="65"/>
  <c r="F115" i="65"/>
  <c r="E115" i="65"/>
  <c r="D115" i="65"/>
  <c r="F114" i="65"/>
  <c r="E114" i="65"/>
  <c r="D114" i="65"/>
  <c r="F101" i="65"/>
  <c r="E101" i="65"/>
  <c r="D101" i="65"/>
  <c r="F100" i="65"/>
  <c r="E100" i="65"/>
  <c r="D100" i="65"/>
  <c r="F99" i="65"/>
  <c r="E99" i="65"/>
  <c r="D99" i="65"/>
  <c r="F98" i="65"/>
  <c r="E98" i="65"/>
  <c r="D98" i="65"/>
  <c r="F85" i="65"/>
  <c r="E85" i="65"/>
  <c r="D85" i="65"/>
  <c r="F84" i="65"/>
  <c r="E84" i="65"/>
  <c r="D84" i="65"/>
  <c r="F83" i="65"/>
  <c r="E83" i="65"/>
  <c r="D83" i="65"/>
  <c r="F82" i="65"/>
  <c r="E82" i="65"/>
  <c r="D82" i="65"/>
  <c r="F69" i="65"/>
  <c r="E69" i="65"/>
  <c r="D69" i="65"/>
  <c r="F68" i="65"/>
  <c r="E68" i="65"/>
  <c r="D68" i="65"/>
  <c r="F67" i="65"/>
  <c r="E67" i="65"/>
  <c r="D67" i="65"/>
  <c r="F66" i="65"/>
  <c r="E66" i="65"/>
  <c r="D66" i="65"/>
  <c r="F53" i="65"/>
  <c r="E53" i="65"/>
  <c r="D53" i="65"/>
  <c r="F52" i="65"/>
  <c r="E52" i="65"/>
  <c r="D52" i="65"/>
  <c r="F51" i="65"/>
  <c r="E51" i="65"/>
  <c r="D51" i="65"/>
  <c r="F50" i="65"/>
  <c r="E50" i="65"/>
  <c r="D50" i="65"/>
  <c r="F37" i="65"/>
  <c r="E37" i="65"/>
  <c r="D37" i="65"/>
  <c r="F36" i="65"/>
  <c r="E36" i="65"/>
  <c r="D36" i="65"/>
  <c r="F35" i="65"/>
  <c r="E35" i="65"/>
  <c r="D35" i="65"/>
  <c r="F34" i="65"/>
  <c r="E34" i="65"/>
  <c r="D34" i="65"/>
  <c r="F21" i="65"/>
  <c r="E21" i="65"/>
  <c r="D21" i="65"/>
  <c r="F20" i="65"/>
  <c r="E20" i="65"/>
  <c r="D20" i="65"/>
  <c r="F19" i="65"/>
  <c r="E19" i="65"/>
  <c r="D19" i="65"/>
  <c r="F18" i="65"/>
  <c r="E18" i="65"/>
  <c r="D18" i="65"/>
  <c r="G9" i="65"/>
  <c r="G9" i="63"/>
  <c r="F8" i="63"/>
  <c r="E8" i="63"/>
  <c r="G138" i="63"/>
  <c r="F85" i="63"/>
  <c r="E85" i="63"/>
  <c r="F53" i="63"/>
  <c r="E53" i="63"/>
  <c r="B6" i="71"/>
  <c r="D24" i="6" s="1"/>
  <c r="B5" i="71" l="1"/>
  <c r="G138" i="65"/>
  <c r="H138" i="63"/>
  <c r="B5" i="70"/>
  <c r="B7" i="70" s="1"/>
  <c r="D32" i="6" s="1"/>
  <c r="F32" i="6"/>
  <c r="D25" i="68"/>
  <c r="L14" i="50"/>
  <c r="K14" i="50"/>
  <c r="J14" i="50"/>
  <c r="I14" i="50"/>
  <c r="H14" i="50"/>
  <c r="G14" i="50"/>
  <c r="F14" i="50"/>
  <c r="E14" i="50"/>
  <c r="D14" i="50"/>
  <c r="M13" i="50"/>
  <c r="C14" i="50"/>
  <c r="D16" i="6" l="1"/>
  <c r="B7" i="71"/>
  <c r="F37" i="68"/>
  <c r="C36" i="68"/>
  <c r="C35" i="68"/>
  <c r="G136" i="63" l="1"/>
  <c r="G122" i="63"/>
  <c r="H122" i="63" s="1"/>
  <c r="G11" i="63"/>
  <c r="D34" i="42"/>
  <c r="D33" i="42"/>
  <c r="D32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B50" i="42"/>
  <c r="D154" i="65"/>
  <c r="D153" i="65"/>
  <c r="D152" i="65"/>
  <c r="D151" i="65"/>
  <c r="F148" i="65"/>
  <c r="E148" i="65"/>
  <c r="E151" i="65" s="1"/>
  <c r="I147" i="65"/>
  <c r="H147" i="65"/>
  <c r="G147" i="65"/>
  <c r="H146" i="65"/>
  <c r="G146" i="65"/>
  <c r="I146" i="65" s="1"/>
  <c r="G145" i="65"/>
  <c r="H145" i="65" s="1"/>
  <c r="K145" i="65" s="1"/>
  <c r="G144" i="65"/>
  <c r="K144" i="65" s="1"/>
  <c r="J143" i="65"/>
  <c r="I143" i="65"/>
  <c r="H143" i="65"/>
  <c r="G143" i="65"/>
  <c r="J142" i="65"/>
  <c r="I142" i="65"/>
  <c r="H142" i="65"/>
  <c r="G142" i="65"/>
  <c r="D139" i="65"/>
  <c r="D138" i="65"/>
  <c r="D137" i="65"/>
  <c r="D136" i="65"/>
  <c r="F133" i="65"/>
  <c r="E133" i="65"/>
  <c r="E136" i="65" s="1"/>
  <c r="I132" i="65"/>
  <c r="H132" i="65"/>
  <c r="G132" i="65"/>
  <c r="H131" i="65"/>
  <c r="G131" i="65"/>
  <c r="G130" i="65"/>
  <c r="G129" i="65"/>
  <c r="K129" i="65" s="1"/>
  <c r="J128" i="65"/>
  <c r="I128" i="65"/>
  <c r="H128" i="65"/>
  <c r="G128" i="65"/>
  <c r="J127" i="65"/>
  <c r="I127" i="65"/>
  <c r="H127" i="65"/>
  <c r="G127" i="65"/>
  <c r="D124" i="65"/>
  <c r="C124" i="65"/>
  <c r="D123" i="65"/>
  <c r="C123" i="65"/>
  <c r="D122" i="65"/>
  <c r="C122" i="65"/>
  <c r="D121" i="65"/>
  <c r="C121" i="65"/>
  <c r="F118" i="65"/>
  <c r="E118" i="65"/>
  <c r="E121" i="65" s="1"/>
  <c r="E125" i="65" s="1"/>
  <c r="I117" i="65"/>
  <c r="H117" i="65"/>
  <c r="G117" i="65"/>
  <c r="H116" i="65"/>
  <c r="G116" i="65"/>
  <c r="G115" i="65"/>
  <c r="H115" i="65" s="1"/>
  <c r="G114" i="65"/>
  <c r="J113" i="65"/>
  <c r="I113" i="65"/>
  <c r="H113" i="65"/>
  <c r="G113" i="65"/>
  <c r="J112" i="65"/>
  <c r="I112" i="65"/>
  <c r="H112" i="65"/>
  <c r="G112" i="65"/>
  <c r="D108" i="65"/>
  <c r="C108" i="65"/>
  <c r="D107" i="65"/>
  <c r="C107" i="65"/>
  <c r="D106" i="65"/>
  <c r="C106" i="65"/>
  <c r="D105" i="65"/>
  <c r="C105" i="65"/>
  <c r="F102" i="65"/>
  <c r="E102" i="65"/>
  <c r="E105" i="65" s="1"/>
  <c r="I101" i="65"/>
  <c r="H101" i="65"/>
  <c r="G101" i="65"/>
  <c r="H100" i="65"/>
  <c r="G100" i="65"/>
  <c r="G99" i="65"/>
  <c r="G98" i="65"/>
  <c r="K98" i="65" s="1"/>
  <c r="J97" i="65"/>
  <c r="I97" i="65"/>
  <c r="H97" i="65"/>
  <c r="G97" i="65"/>
  <c r="J96" i="65"/>
  <c r="I96" i="65"/>
  <c r="H96" i="65"/>
  <c r="G96" i="65"/>
  <c r="D92" i="65"/>
  <c r="C92" i="65"/>
  <c r="D91" i="65"/>
  <c r="C91" i="65"/>
  <c r="D90" i="65"/>
  <c r="C90" i="65"/>
  <c r="D89" i="65"/>
  <c r="C89" i="65"/>
  <c r="F86" i="65"/>
  <c r="E86" i="65"/>
  <c r="E89" i="65" s="1"/>
  <c r="I85" i="65"/>
  <c r="H85" i="65"/>
  <c r="G85" i="65"/>
  <c r="H84" i="65"/>
  <c r="G84" i="65"/>
  <c r="G83" i="65"/>
  <c r="H83" i="65" s="1"/>
  <c r="G82" i="65"/>
  <c r="J81" i="65"/>
  <c r="I81" i="65"/>
  <c r="H81" i="65"/>
  <c r="G81" i="65"/>
  <c r="J80" i="65"/>
  <c r="I80" i="65"/>
  <c r="H80" i="65"/>
  <c r="G80" i="65"/>
  <c r="D76" i="65"/>
  <c r="C76" i="65"/>
  <c r="D75" i="65"/>
  <c r="C75" i="65"/>
  <c r="D74" i="65"/>
  <c r="C74" i="65"/>
  <c r="D73" i="65"/>
  <c r="C73" i="65"/>
  <c r="F70" i="65"/>
  <c r="E70" i="65"/>
  <c r="E73" i="65" s="1"/>
  <c r="I69" i="65"/>
  <c r="H69" i="65"/>
  <c r="G69" i="65"/>
  <c r="H68" i="65"/>
  <c r="G68" i="65"/>
  <c r="G67" i="65"/>
  <c r="H67" i="65" s="1"/>
  <c r="K67" i="65" s="1"/>
  <c r="G66" i="65"/>
  <c r="J65" i="65"/>
  <c r="I65" i="65"/>
  <c r="H65" i="65"/>
  <c r="G65" i="65"/>
  <c r="J64" i="65"/>
  <c r="I64" i="65"/>
  <c r="H64" i="65"/>
  <c r="G64" i="65"/>
  <c r="D60" i="65"/>
  <c r="C60" i="65"/>
  <c r="D59" i="65"/>
  <c r="C59" i="65"/>
  <c r="D58" i="65"/>
  <c r="C58" i="65"/>
  <c r="D57" i="65"/>
  <c r="C57" i="65"/>
  <c r="F54" i="65"/>
  <c r="E54" i="65"/>
  <c r="E57" i="65" s="1"/>
  <c r="I53" i="65"/>
  <c r="H53" i="65"/>
  <c r="G53" i="65"/>
  <c r="H52" i="65"/>
  <c r="G52" i="65"/>
  <c r="G51" i="65"/>
  <c r="G50" i="65"/>
  <c r="K50" i="65" s="1"/>
  <c r="J49" i="65"/>
  <c r="I49" i="65"/>
  <c r="H49" i="65"/>
  <c r="G49" i="65"/>
  <c r="J48" i="65"/>
  <c r="I48" i="65"/>
  <c r="H48" i="65"/>
  <c r="G48" i="65"/>
  <c r="D44" i="65"/>
  <c r="C44" i="65"/>
  <c r="D43" i="65"/>
  <c r="C43" i="65"/>
  <c r="D42" i="65"/>
  <c r="C42" i="65"/>
  <c r="D41" i="65"/>
  <c r="C41" i="65"/>
  <c r="F38" i="65"/>
  <c r="E38" i="65"/>
  <c r="E41" i="65" s="1"/>
  <c r="I37" i="65"/>
  <c r="H37" i="65"/>
  <c r="G37" i="65"/>
  <c r="H36" i="65"/>
  <c r="G36" i="65"/>
  <c r="I36" i="65" s="1"/>
  <c r="G35" i="65"/>
  <c r="G34" i="65"/>
  <c r="G38" i="65" s="1"/>
  <c r="F41" i="65" s="1"/>
  <c r="J33" i="65"/>
  <c r="I33" i="65"/>
  <c r="H33" i="65"/>
  <c r="G33" i="65"/>
  <c r="J32" i="65"/>
  <c r="I32" i="65"/>
  <c r="H32" i="65"/>
  <c r="G32" i="65"/>
  <c r="D28" i="65"/>
  <c r="C28" i="65"/>
  <c r="D27" i="65"/>
  <c r="C27" i="65"/>
  <c r="D26" i="65"/>
  <c r="C26" i="65"/>
  <c r="D25" i="65"/>
  <c r="C25" i="65"/>
  <c r="F22" i="65"/>
  <c r="E22" i="65"/>
  <c r="E25" i="65" s="1"/>
  <c r="E29" i="65" s="1"/>
  <c r="I21" i="65"/>
  <c r="H21" i="65"/>
  <c r="G21" i="65"/>
  <c r="J21" i="65" s="1"/>
  <c r="H20" i="65"/>
  <c r="G20" i="65"/>
  <c r="I20" i="65" s="1"/>
  <c r="G19" i="65"/>
  <c r="G18" i="65"/>
  <c r="K18" i="65" s="1"/>
  <c r="J17" i="65"/>
  <c r="I17" i="65"/>
  <c r="H17" i="65"/>
  <c r="G17" i="65"/>
  <c r="J16" i="65"/>
  <c r="I16" i="65"/>
  <c r="H16" i="65"/>
  <c r="G16" i="65"/>
  <c r="G139" i="63"/>
  <c r="H139" i="63" s="1"/>
  <c r="G137" i="63"/>
  <c r="H137" i="63" s="1"/>
  <c r="G151" i="63"/>
  <c r="G154" i="63"/>
  <c r="H154" i="63" s="1"/>
  <c r="G153" i="63"/>
  <c r="H153" i="63" s="1"/>
  <c r="G152" i="63"/>
  <c r="H152" i="63" s="1"/>
  <c r="D154" i="63"/>
  <c r="D153" i="63"/>
  <c r="D151" i="63"/>
  <c r="I147" i="63"/>
  <c r="H147" i="63"/>
  <c r="G147" i="63"/>
  <c r="H146" i="63"/>
  <c r="G146" i="63"/>
  <c r="G145" i="63"/>
  <c r="H145" i="63" s="1"/>
  <c r="K145" i="63" s="1"/>
  <c r="G144" i="63"/>
  <c r="K144" i="63" s="1"/>
  <c r="I132" i="63"/>
  <c r="H132" i="63"/>
  <c r="G132" i="63"/>
  <c r="H131" i="63"/>
  <c r="G131" i="63"/>
  <c r="G130" i="63"/>
  <c r="G129" i="63"/>
  <c r="K129" i="63" s="1"/>
  <c r="J143" i="63"/>
  <c r="I143" i="63"/>
  <c r="H143" i="63"/>
  <c r="G143" i="63"/>
  <c r="J142" i="63"/>
  <c r="I142" i="63"/>
  <c r="H142" i="63"/>
  <c r="G142" i="63"/>
  <c r="D139" i="63"/>
  <c r="D138" i="63"/>
  <c r="D137" i="63"/>
  <c r="D136" i="63"/>
  <c r="J128" i="63"/>
  <c r="I128" i="63"/>
  <c r="H128" i="63"/>
  <c r="G128" i="63"/>
  <c r="J127" i="63"/>
  <c r="I127" i="63"/>
  <c r="H127" i="63"/>
  <c r="G127" i="63"/>
  <c r="D124" i="63"/>
  <c r="C124" i="63"/>
  <c r="D123" i="63"/>
  <c r="C123" i="63"/>
  <c r="D122" i="63"/>
  <c r="C122" i="63"/>
  <c r="D121" i="63"/>
  <c r="C121" i="63"/>
  <c r="J113" i="63"/>
  <c r="I113" i="63"/>
  <c r="H113" i="63"/>
  <c r="G113" i="63"/>
  <c r="J112" i="63"/>
  <c r="I112" i="63"/>
  <c r="H112" i="63"/>
  <c r="G112" i="63"/>
  <c r="I117" i="63"/>
  <c r="H117" i="63"/>
  <c r="G117" i="63"/>
  <c r="H116" i="63"/>
  <c r="G116" i="63"/>
  <c r="G115" i="63"/>
  <c r="H115" i="63" s="1"/>
  <c r="K115" i="63" s="1"/>
  <c r="G114" i="63"/>
  <c r="K114" i="63" s="1"/>
  <c r="D108" i="63"/>
  <c r="C108" i="63"/>
  <c r="D107" i="63"/>
  <c r="C107" i="63"/>
  <c r="D106" i="63"/>
  <c r="C106" i="63"/>
  <c r="D105" i="63"/>
  <c r="C105" i="63"/>
  <c r="I101" i="63"/>
  <c r="H101" i="63"/>
  <c r="G101" i="63"/>
  <c r="H100" i="63"/>
  <c r="G100" i="63"/>
  <c r="G99" i="63"/>
  <c r="H99" i="63" s="1"/>
  <c r="K99" i="63" s="1"/>
  <c r="G98" i="63"/>
  <c r="K98" i="63" s="1"/>
  <c r="J97" i="63"/>
  <c r="I97" i="63"/>
  <c r="H97" i="63"/>
  <c r="G97" i="63"/>
  <c r="J96" i="63"/>
  <c r="I96" i="63"/>
  <c r="H96" i="63"/>
  <c r="G96" i="63"/>
  <c r="G89" i="63"/>
  <c r="H89" i="63" s="1"/>
  <c r="D92" i="63"/>
  <c r="C92" i="63"/>
  <c r="D91" i="63"/>
  <c r="C91" i="63"/>
  <c r="D90" i="63"/>
  <c r="C90" i="63"/>
  <c r="D89" i="63"/>
  <c r="C89" i="63"/>
  <c r="J81" i="63"/>
  <c r="I81" i="63"/>
  <c r="H81" i="63"/>
  <c r="G81" i="63"/>
  <c r="J80" i="63"/>
  <c r="I80" i="63"/>
  <c r="H80" i="63"/>
  <c r="G80" i="63"/>
  <c r="I85" i="63"/>
  <c r="H85" i="63"/>
  <c r="G85" i="63"/>
  <c r="H84" i="63"/>
  <c r="G84" i="63"/>
  <c r="G83" i="63"/>
  <c r="H83" i="63" s="1"/>
  <c r="G82" i="63"/>
  <c r="K82" i="63" s="1"/>
  <c r="G73" i="63"/>
  <c r="H73" i="63" s="1"/>
  <c r="G74" i="63"/>
  <c r="H74" i="63" s="1"/>
  <c r="G75" i="63"/>
  <c r="H75" i="63" s="1"/>
  <c r="G76" i="63"/>
  <c r="H76" i="63" s="1"/>
  <c r="D76" i="63"/>
  <c r="C76" i="63"/>
  <c r="D75" i="63"/>
  <c r="C75" i="63"/>
  <c r="D74" i="63"/>
  <c r="C74" i="63"/>
  <c r="D73" i="63"/>
  <c r="C73" i="63"/>
  <c r="I69" i="63"/>
  <c r="H69" i="63"/>
  <c r="G69" i="63"/>
  <c r="H68" i="63"/>
  <c r="G68" i="63"/>
  <c r="G67" i="63"/>
  <c r="H67" i="63" s="1"/>
  <c r="K67" i="63" s="1"/>
  <c r="G66" i="63"/>
  <c r="K66" i="63" s="1"/>
  <c r="J65" i="63"/>
  <c r="I65" i="63"/>
  <c r="H65" i="63"/>
  <c r="G65" i="63"/>
  <c r="J64" i="63"/>
  <c r="I64" i="63"/>
  <c r="H64" i="63"/>
  <c r="G64" i="63"/>
  <c r="G57" i="63"/>
  <c r="D60" i="63"/>
  <c r="D59" i="63"/>
  <c r="D58" i="63"/>
  <c r="D57" i="63"/>
  <c r="C60" i="63"/>
  <c r="C59" i="63"/>
  <c r="C58" i="63"/>
  <c r="C57" i="63"/>
  <c r="I53" i="63"/>
  <c r="H53" i="63"/>
  <c r="G53" i="63"/>
  <c r="H52" i="63"/>
  <c r="G52" i="63"/>
  <c r="G51" i="63"/>
  <c r="H51" i="63" s="1"/>
  <c r="K51" i="63" s="1"/>
  <c r="G50" i="63"/>
  <c r="K50" i="63" s="1"/>
  <c r="J49" i="63"/>
  <c r="I49" i="63"/>
  <c r="H49" i="63"/>
  <c r="G49" i="63"/>
  <c r="J48" i="63"/>
  <c r="I48" i="63"/>
  <c r="H48" i="63"/>
  <c r="G48" i="63"/>
  <c r="J32" i="63"/>
  <c r="I32" i="63"/>
  <c r="H32" i="63"/>
  <c r="G32" i="63"/>
  <c r="J16" i="63"/>
  <c r="I16" i="63"/>
  <c r="H16" i="63"/>
  <c r="G16" i="63"/>
  <c r="C28" i="63"/>
  <c r="C27" i="63"/>
  <c r="C26" i="63"/>
  <c r="C25" i="63"/>
  <c r="C44" i="63"/>
  <c r="C43" i="63"/>
  <c r="C42" i="63"/>
  <c r="C41" i="63"/>
  <c r="D44" i="63"/>
  <c r="D43" i="63"/>
  <c r="D42" i="63"/>
  <c r="D41" i="63"/>
  <c r="J33" i="63"/>
  <c r="I33" i="63"/>
  <c r="H33" i="63"/>
  <c r="D28" i="63"/>
  <c r="D27" i="63"/>
  <c r="D26" i="63"/>
  <c r="D25" i="63"/>
  <c r="I37" i="63"/>
  <c r="H37" i="63"/>
  <c r="G37" i="63"/>
  <c r="H36" i="63"/>
  <c r="G36" i="63"/>
  <c r="G35" i="63"/>
  <c r="H35" i="63" s="1"/>
  <c r="K35" i="63" s="1"/>
  <c r="G34" i="63"/>
  <c r="K34" i="63" s="1"/>
  <c r="I21" i="63"/>
  <c r="H21" i="63"/>
  <c r="G21" i="63"/>
  <c r="H20" i="63"/>
  <c r="G20" i="63"/>
  <c r="J17" i="63"/>
  <c r="I17" i="63"/>
  <c r="H17" i="63"/>
  <c r="G19" i="63"/>
  <c r="H19" i="63" s="1"/>
  <c r="G18" i="63"/>
  <c r="I116" i="65" l="1"/>
  <c r="I118" i="65" s="1"/>
  <c r="F123" i="65" s="1"/>
  <c r="I131" i="65"/>
  <c r="J132" i="65"/>
  <c r="J133" i="65" s="1"/>
  <c r="F139" i="65" s="1"/>
  <c r="H86" i="65"/>
  <c r="F90" i="65" s="1"/>
  <c r="I22" i="65"/>
  <c r="F27" i="65" s="1"/>
  <c r="K131" i="65"/>
  <c r="I133" i="65"/>
  <c r="F138" i="65" s="1"/>
  <c r="K115" i="65"/>
  <c r="H118" i="65"/>
  <c r="F122" i="65" s="1"/>
  <c r="I84" i="65"/>
  <c r="K84" i="65" s="1"/>
  <c r="K116" i="65"/>
  <c r="J101" i="65"/>
  <c r="J102" i="65" s="1"/>
  <c r="F108" i="65" s="1"/>
  <c r="H51" i="65"/>
  <c r="H54" i="65" s="1"/>
  <c r="F58" i="65" s="1"/>
  <c r="G70" i="65"/>
  <c r="F73" i="65" s="1"/>
  <c r="H99" i="65"/>
  <c r="H102" i="65" s="1"/>
  <c r="F106" i="65" s="1"/>
  <c r="G133" i="65"/>
  <c r="F136" i="65" s="1"/>
  <c r="J37" i="65"/>
  <c r="J38" i="65" s="1"/>
  <c r="F44" i="65" s="1"/>
  <c r="G148" i="65"/>
  <c r="F151" i="65" s="1"/>
  <c r="K37" i="65"/>
  <c r="G86" i="65"/>
  <c r="F89" i="65" s="1"/>
  <c r="G118" i="65"/>
  <c r="F121" i="65" s="1"/>
  <c r="J53" i="65"/>
  <c r="J54" i="65" s="1"/>
  <c r="F60" i="65" s="1"/>
  <c r="I68" i="65"/>
  <c r="I70" i="65" s="1"/>
  <c r="F75" i="65" s="1"/>
  <c r="K82" i="65"/>
  <c r="I100" i="65"/>
  <c r="I102" i="65" s="1"/>
  <c r="F107" i="65" s="1"/>
  <c r="K114" i="65"/>
  <c r="K83" i="65"/>
  <c r="H148" i="65"/>
  <c r="F152" i="65" s="1"/>
  <c r="I131" i="63"/>
  <c r="K131" i="63" s="1"/>
  <c r="E77" i="65"/>
  <c r="H73" i="65"/>
  <c r="E109" i="65"/>
  <c r="K146" i="65"/>
  <c r="I148" i="65"/>
  <c r="F153" i="65" s="1"/>
  <c r="E140" i="65"/>
  <c r="E93" i="65"/>
  <c r="H89" i="65"/>
  <c r="K21" i="65"/>
  <c r="J22" i="65"/>
  <c r="F28" i="65" s="1"/>
  <c r="K36" i="65"/>
  <c r="I38" i="65"/>
  <c r="F43" i="65" s="1"/>
  <c r="E61" i="65"/>
  <c r="E45" i="65"/>
  <c r="K68" i="65"/>
  <c r="E155" i="65"/>
  <c r="K132" i="65"/>
  <c r="K34" i="65"/>
  <c r="H130" i="65"/>
  <c r="H133" i="65" s="1"/>
  <c r="F137" i="65" s="1"/>
  <c r="K20" i="65"/>
  <c r="G22" i="65"/>
  <c r="F25" i="65" s="1"/>
  <c r="H35" i="65"/>
  <c r="H38" i="65" s="1"/>
  <c r="F42" i="65" s="1"/>
  <c r="K66" i="65"/>
  <c r="H70" i="65"/>
  <c r="F74" i="65" s="1"/>
  <c r="J85" i="65"/>
  <c r="J86" i="65" s="1"/>
  <c r="F92" i="65" s="1"/>
  <c r="J147" i="65"/>
  <c r="J148" i="65" s="1"/>
  <c r="F154" i="65" s="1"/>
  <c r="I52" i="65"/>
  <c r="I54" i="65" s="1"/>
  <c r="F59" i="65" s="1"/>
  <c r="G102" i="65"/>
  <c r="F105" i="65" s="1"/>
  <c r="G54" i="65"/>
  <c r="F57" i="65" s="1"/>
  <c r="J117" i="65"/>
  <c r="J118" i="65" s="1"/>
  <c r="F124" i="65" s="1"/>
  <c r="H19" i="65"/>
  <c r="H22" i="65" s="1"/>
  <c r="F26" i="65" s="1"/>
  <c r="J69" i="65"/>
  <c r="J70" i="65" s="1"/>
  <c r="F76" i="65" s="1"/>
  <c r="J117" i="63"/>
  <c r="K117" i="63" s="1"/>
  <c r="I146" i="63"/>
  <c r="K146" i="63" s="1"/>
  <c r="H130" i="63"/>
  <c r="K130" i="63" s="1"/>
  <c r="J147" i="63"/>
  <c r="K147" i="63" s="1"/>
  <c r="J132" i="63"/>
  <c r="K132" i="63" s="1"/>
  <c r="I116" i="63"/>
  <c r="K116" i="63" s="1"/>
  <c r="J101" i="63"/>
  <c r="K101" i="63" s="1"/>
  <c r="I100" i="63"/>
  <c r="K100" i="63" s="1"/>
  <c r="J85" i="63"/>
  <c r="K85" i="63" s="1"/>
  <c r="K83" i="63"/>
  <c r="I84" i="63"/>
  <c r="K84" i="63" s="1"/>
  <c r="J69" i="63"/>
  <c r="K69" i="63" s="1"/>
  <c r="I68" i="63"/>
  <c r="K68" i="63" s="1"/>
  <c r="I36" i="63"/>
  <c r="K36" i="63" s="1"/>
  <c r="J37" i="63"/>
  <c r="K37" i="63" s="1"/>
  <c r="I52" i="63"/>
  <c r="K52" i="63" s="1"/>
  <c r="J53" i="63"/>
  <c r="K53" i="63" s="1"/>
  <c r="I20" i="63"/>
  <c r="J21" i="63"/>
  <c r="D36" i="68"/>
  <c r="D35" i="68"/>
  <c r="E26" i="68"/>
  <c r="E19" i="68"/>
  <c r="E10" i="68"/>
  <c r="K101" i="65" l="1"/>
  <c r="K51" i="65"/>
  <c r="I86" i="65"/>
  <c r="F91" i="65" s="1"/>
  <c r="E8" i="65"/>
  <c r="F109" i="65"/>
  <c r="K117" i="65"/>
  <c r="K118" i="65" s="1"/>
  <c r="K100" i="65"/>
  <c r="K99" i="65"/>
  <c r="K85" i="65"/>
  <c r="K86" i="65" s="1"/>
  <c r="K53" i="65"/>
  <c r="F125" i="65"/>
  <c r="K69" i="65"/>
  <c r="K70" i="65" s="1"/>
  <c r="K130" i="65"/>
  <c r="K133" i="65" s="1"/>
  <c r="F77" i="65"/>
  <c r="F61" i="65"/>
  <c r="K52" i="65"/>
  <c r="K147" i="65"/>
  <c r="K148" i="65" s="1"/>
  <c r="K19" i="65"/>
  <c r="K22" i="65" s="1"/>
  <c r="F93" i="65"/>
  <c r="F45" i="65"/>
  <c r="F29" i="65"/>
  <c r="K35" i="65"/>
  <c r="K38" i="65" s="1"/>
  <c r="F155" i="65"/>
  <c r="F140" i="65"/>
  <c r="E27" i="68"/>
  <c r="F30" i="68"/>
  <c r="F32" i="68" s="1"/>
  <c r="F36" i="68" s="1"/>
  <c r="D38" i="68"/>
  <c r="F35" i="68" l="1"/>
  <c r="D22" i="6" s="1"/>
  <c r="K102" i="65"/>
  <c r="K54" i="65"/>
  <c r="F8" i="65"/>
  <c r="D23" i="6"/>
  <c r="F38" i="68" l="1"/>
  <c r="F41" i="68" s="1"/>
  <c r="B15" i="67" l="1"/>
  <c r="B14" i="67"/>
  <c r="B13" i="67"/>
  <c r="B12" i="67"/>
  <c r="B6" i="67"/>
  <c r="B5" i="67"/>
  <c r="C52" i="6"/>
  <c r="C39" i="6"/>
  <c r="C44" i="6"/>
  <c r="D44" i="6"/>
  <c r="F43" i="6"/>
  <c r="F42" i="6"/>
  <c r="F37" i="6"/>
  <c r="F44" i="6" l="1"/>
  <c r="F15" i="67" s="1"/>
  <c r="F12" i="6" l="1"/>
  <c r="F14" i="67" s="1"/>
  <c r="G123" i="63" l="1"/>
  <c r="H123" i="63" s="1"/>
  <c r="G124" i="63"/>
  <c r="H124" i="63" s="1"/>
  <c r="G121" i="63"/>
  <c r="G106" i="63"/>
  <c r="H106" i="63" s="1"/>
  <c r="G107" i="63"/>
  <c r="H107" i="63" s="1"/>
  <c r="G108" i="63"/>
  <c r="H108" i="63" s="1"/>
  <c r="G105" i="63"/>
  <c r="G90" i="63"/>
  <c r="H90" i="63" s="1"/>
  <c r="G91" i="63"/>
  <c r="H91" i="63" s="1"/>
  <c r="G92" i="63"/>
  <c r="H92" i="63" s="1"/>
  <c r="K86" i="63"/>
  <c r="J148" i="63"/>
  <c r="F154" i="63" s="1"/>
  <c r="I148" i="63"/>
  <c r="F153" i="63" s="1"/>
  <c r="H148" i="63"/>
  <c r="F152" i="63" s="1"/>
  <c r="G148" i="63"/>
  <c r="F151" i="63" s="1"/>
  <c r="F148" i="63"/>
  <c r="E148" i="63"/>
  <c r="E151" i="63" s="1"/>
  <c r="J133" i="63"/>
  <c r="F139" i="63" s="1"/>
  <c r="I133" i="63"/>
  <c r="F138" i="63" s="1"/>
  <c r="H133" i="63"/>
  <c r="F137" i="63" s="1"/>
  <c r="G133" i="63"/>
  <c r="F136" i="63" s="1"/>
  <c r="F133" i="63"/>
  <c r="E133" i="63"/>
  <c r="E136" i="63" s="1"/>
  <c r="J118" i="63"/>
  <c r="F124" i="63" s="1"/>
  <c r="I118" i="63"/>
  <c r="F123" i="63" s="1"/>
  <c r="H118" i="63"/>
  <c r="F122" i="63" s="1"/>
  <c r="G118" i="63"/>
  <c r="F121" i="63" s="1"/>
  <c r="F118" i="63"/>
  <c r="E118" i="63"/>
  <c r="E121" i="63" s="1"/>
  <c r="E125" i="63" s="1"/>
  <c r="J102" i="63"/>
  <c r="F108" i="63" s="1"/>
  <c r="I102" i="63"/>
  <c r="F107" i="63" s="1"/>
  <c r="H102" i="63"/>
  <c r="F106" i="63" s="1"/>
  <c r="G102" i="63"/>
  <c r="F105" i="63" s="1"/>
  <c r="F102" i="63"/>
  <c r="E102" i="63"/>
  <c r="E105" i="63" s="1"/>
  <c r="G58" i="63"/>
  <c r="H58" i="63" s="1"/>
  <c r="G59" i="63"/>
  <c r="H59" i="63" s="1"/>
  <c r="G60" i="63"/>
  <c r="H60" i="63" s="1"/>
  <c r="G42" i="63"/>
  <c r="H42" i="63" s="1"/>
  <c r="G43" i="63"/>
  <c r="H43" i="63" s="1"/>
  <c r="G44" i="63"/>
  <c r="H44" i="63" s="1"/>
  <c r="G41" i="63"/>
  <c r="F8" i="6"/>
  <c r="F12" i="67" s="1"/>
  <c r="F86" i="63"/>
  <c r="E86" i="63"/>
  <c r="E89" i="63" s="1"/>
  <c r="H86" i="63"/>
  <c r="F90" i="63" s="1"/>
  <c r="G86" i="63"/>
  <c r="F89" i="63" s="1"/>
  <c r="F70" i="63"/>
  <c r="E70" i="63"/>
  <c r="E73" i="63" s="1"/>
  <c r="H70" i="63"/>
  <c r="F74" i="63" s="1"/>
  <c r="G70" i="63"/>
  <c r="F73" i="63" s="1"/>
  <c r="F155" i="63" l="1"/>
  <c r="E155" i="63"/>
  <c r="H151" i="63"/>
  <c r="H155" i="63" s="1"/>
  <c r="K70" i="63"/>
  <c r="E77" i="63"/>
  <c r="E140" i="63"/>
  <c r="H105" i="63"/>
  <c r="K148" i="63"/>
  <c r="K133" i="63"/>
  <c r="K118" i="63"/>
  <c r="K102" i="63"/>
  <c r="F140" i="63"/>
  <c r="F125" i="63"/>
  <c r="H121" i="63"/>
  <c r="E109" i="63"/>
  <c r="F109" i="63"/>
  <c r="J86" i="63"/>
  <c r="F92" i="63" s="1"/>
  <c r="E93" i="63"/>
  <c r="J70" i="63"/>
  <c r="F76" i="63" s="1"/>
  <c r="F54" i="63"/>
  <c r="E54" i="63"/>
  <c r="E57" i="63" s="1"/>
  <c r="H57" i="63" s="1"/>
  <c r="H54" i="63"/>
  <c r="F58" i="63" s="1"/>
  <c r="E61" i="63" l="1"/>
  <c r="G54" i="63"/>
  <c r="F57" i="63" s="1"/>
  <c r="H109" i="63"/>
  <c r="H125" i="63"/>
  <c r="I86" i="63"/>
  <c r="F91" i="63" s="1"/>
  <c r="I70" i="63"/>
  <c r="F75" i="63" s="1"/>
  <c r="J54" i="63"/>
  <c r="F60" i="63" s="1"/>
  <c r="H93" i="63" l="1"/>
  <c r="F93" i="63"/>
  <c r="H77" i="63"/>
  <c r="F77" i="63"/>
  <c r="I54" i="63"/>
  <c r="F59" i="63" s="1"/>
  <c r="H61" i="63" s="1"/>
  <c r="D27" i="6"/>
  <c r="D26" i="6"/>
  <c r="D25" i="6"/>
  <c r="K54" i="63" l="1"/>
  <c r="F61" i="63"/>
  <c r="H38" i="63"/>
  <c r="F42" i="63" s="1"/>
  <c r="G27" i="63"/>
  <c r="H27" i="63" s="1"/>
  <c r="G28" i="63"/>
  <c r="H28" i="63" s="1"/>
  <c r="G26" i="63"/>
  <c r="H26" i="63" s="1"/>
  <c r="G25" i="63"/>
  <c r="I22" i="63"/>
  <c r="F27" i="63" s="1"/>
  <c r="J22" i="63"/>
  <c r="F28" i="63" s="1"/>
  <c r="K20" i="63"/>
  <c r="K21" i="63"/>
  <c r="G33" i="63"/>
  <c r="F24" i="6"/>
  <c r="F25" i="6"/>
  <c r="F26" i="6"/>
  <c r="F27" i="6"/>
  <c r="F28" i="6"/>
  <c r="F29" i="6"/>
  <c r="F30" i="6"/>
  <c r="F31" i="6"/>
  <c r="F38" i="63" l="1"/>
  <c r="E38" i="63"/>
  <c r="E41" i="63" s="1"/>
  <c r="F22" i="63"/>
  <c r="E22" i="63"/>
  <c r="G17" i="63"/>
  <c r="C34" i="6"/>
  <c r="F33" i="6"/>
  <c r="F23" i="6"/>
  <c r="F22" i="6"/>
  <c r="F18" i="6"/>
  <c r="C13" i="6"/>
  <c r="C46" i="6" l="1"/>
  <c r="E25" i="63"/>
  <c r="H25" i="63" s="1"/>
  <c r="E45" i="63"/>
  <c r="H41" i="63"/>
  <c r="J38" i="63"/>
  <c r="F44" i="63" s="1"/>
  <c r="K18" i="63"/>
  <c r="G38" i="63"/>
  <c r="F41" i="63" s="1"/>
  <c r="G22" i="63"/>
  <c r="F25" i="63" s="1"/>
  <c r="B28" i="42"/>
  <c r="D52" i="6" l="1"/>
  <c r="C54" i="6"/>
  <c r="E29" i="63"/>
  <c r="F42" i="68" s="1"/>
  <c r="F43" i="68" s="1"/>
  <c r="I38" i="63"/>
  <c r="F43" i="63" s="1"/>
  <c r="H45" i="63" s="1"/>
  <c r="D11" i="42"/>
  <c r="D10" i="42"/>
  <c r="B6" i="42"/>
  <c r="F45" i="63" l="1"/>
  <c r="M12" i="50"/>
  <c r="M14" i="50" l="1"/>
  <c r="M16" i="50" s="1"/>
  <c r="F7" i="67" s="1"/>
  <c r="K38" i="63"/>
  <c r="M18" i="50" l="1"/>
  <c r="F8" i="67" s="1"/>
  <c r="F13" i="67" l="1"/>
  <c r="F16" i="67" s="1"/>
  <c r="I20" i="55" l="1"/>
  <c r="E16" i="55" l="1"/>
  <c r="D16" i="55"/>
  <c r="H12" i="55"/>
  <c r="G12" i="55"/>
  <c r="H11" i="55"/>
  <c r="G11" i="55"/>
  <c r="I11" i="55" s="1"/>
  <c r="H10" i="55"/>
  <c r="G10" i="55"/>
  <c r="I10" i="55" l="1"/>
  <c r="J10" i="55" s="1"/>
  <c r="I12" i="55"/>
  <c r="J12" i="55" s="1"/>
  <c r="G5" i="55" l="1"/>
  <c r="G13" i="55" l="1"/>
  <c r="G8" i="55"/>
  <c r="H7" i="55"/>
  <c r="G7" i="55"/>
  <c r="H14" i="55"/>
  <c r="H9" i="55"/>
  <c r="H6" i="55"/>
  <c r="G9" i="55"/>
  <c r="G6" i="55"/>
  <c r="H5" i="55"/>
  <c r="G14" i="55" l="1"/>
  <c r="I14" i="55" s="1"/>
  <c r="I6" i="55"/>
  <c r="H8" i="55"/>
  <c r="H13" i="55"/>
  <c r="I13" i="55" s="1"/>
  <c r="I9" i="55"/>
  <c r="J9" i="55" s="1"/>
  <c r="I7" i="55"/>
  <c r="J7" i="55" s="1"/>
  <c r="J16" i="55" l="1"/>
  <c r="I29" i="55" s="1"/>
  <c r="G16" i="55"/>
  <c r="H16" i="55"/>
  <c r="I8" i="55"/>
  <c r="I5" i="55"/>
  <c r="I16" i="55" l="1"/>
  <c r="I19" i="55" l="1"/>
  <c r="I21" i="55" s="1"/>
  <c r="D17" i="6" s="1"/>
  <c r="I31" i="55"/>
  <c r="I33" i="55" s="1"/>
  <c r="D21" i="6" s="1"/>
  <c r="F21" i="6" s="1"/>
  <c r="I23" i="55"/>
  <c r="I25" i="55" s="1"/>
  <c r="I27" i="55" s="1"/>
  <c r="D38" i="6" s="1"/>
  <c r="D39" i="6" l="1"/>
  <c r="F38" i="6"/>
  <c r="F39" i="6" s="1"/>
  <c r="F6" i="67" s="1"/>
  <c r="F17" i="6"/>
  <c r="F34" i="6" s="1"/>
  <c r="F5" i="67" s="1"/>
  <c r="D34" i="6"/>
  <c r="H22" i="63"/>
  <c r="F26" i="63" s="1"/>
  <c r="K19" i="63"/>
  <c r="K22" i="63" s="1"/>
  <c r="F9" i="67" l="1"/>
  <c r="F18" i="67" s="1"/>
  <c r="G11" i="65" s="1"/>
  <c r="F29" i="63"/>
  <c r="H29" i="63"/>
  <c r="H136" i="63"/>
  <c r="H140" i="63" s="1"/>
  <c r="G8" i="63" l="1"/>
  <c r="G10" i="63" s="1"/>
  <c r="G12" i="63" s="1"/>
  <c r="G13" i="63" s="1"/>
  <c r="D7" i="6" l="1"/>
  <c r="F7" i="6" s="1"/>
  <c r="D13" i="6" l="1"/>
  <c r="D46" i="6" s="1"/>
  <c r="F13" i="6"/>
  <c r="F46" i="6" s="1"/>
  <c r="F19" i="67"/>
  <c r="F20" i="67" l="1"/>
  <c r="F21" i="67" s="1"/>
  <c r="E36" i="2" l="1"/>
  <c r="F36" i="2" s="1"/>
  <c r="E29" i="2" l="1"/>
  <c r="G137" i="65" s="1"/>
  <c r="H137" i="65" s="1"/>
  <c r="E30" i="2"/>
  <c r="E22" i="2"/>
  <c r="G76" i="65" s="1"/>
  <c r="H76" i="65" s="1"/>
  <c r="E20" i="2"/>
  <c r="G74" i="65" s="1"/>
  <c r="H74" i="65" s="1"/>
  <c r="E21" i="2"/>
  <c r="F21" i="2" s="1"/>
  <c r="G21" i="2" s="1"/>
  <c r="E13" i="2"/>
  <c r="G108" i="65" s="1"/>
  <c r="H108" i="65" s="1"/>
  <c r="E12" i="2"/>
  <c r="F12" i="2" s="1"/>
  <c r="G12" i="2" s="1"/>
  <c r="E11" i="2"/>
  <c r="G106" i="65" s="1"/>
  <c r="H106" i="65" s="1"/>
  <c r="E10" i="2"/>
  <c r="E28" i="2"/>
  <c r="E19" i="2"/>
  <c r="E69" i="75" l="1"/>
  <c r="F69" i="75" s="1"/>
  <c r="G69" i="75" s="1"/>
  <c r="E68" i="75"/>
  <c r="F68" i="75" s="1"/>
  <c r="G68" i="75" s="1"/>
  <c r="E67" i="75"/>
  <c r="F67" i="75" s="1"/>
  <c r="G67" i="75" s="1"/>
  <c r="E66" i="75"/>
  <c r="F66" i="75" s="1"/>
  <c r="G66" i="75" s="1"/>
  <c r="E65" i="75"/>
  <c r="F65" i="75" s="1"/>
  <c r="G65" i="75" s="1"/>
  <c r="E64" i="75"/>
  <c r="F64" i="75" s="1"/>
  <c r="G64" i="75" s="1"/>
  <c r="E63" i="75"/>
  <c r="F63" i="75" s="1"/>
  <c r="G63" i="75" s="1"/>
  <c r="E55" i="75"/>
  <c r="F55" i="75" s="1"/>
  <c r="G55" i="75" s="1"/>
  <c r="E54" i="75"/>
  <c r="F54" i="75" s="1"/>
  <c r="G54" i="75" s="1"/>
  <c r="E56" i="75"/>
  <c r="F56" i="75" s="1"/>
  <c r="G56" i="75" s="1"/>
  <c r="E62" i="75"/>
  <c r="F62" i="75" s="1"/>
  <c r="G62" i="75" s="1"/>
  <c r="E61" i="75"/>
  <c r="F61" i="75" s="1"/>
  <c r="G61" i="75" s="1"/>
  <c r="E60" i="75"/>
  <c r="F60" i="75" s="1"/>
  <c r="G60" i="75" s="1"/>
  <c r="E59" i="75"/>
  <c r="F59" i="75" s="1"/>
  <c r="G59" i="75" s="1"/>
  <c r="E58" i="75"/>
  <c r="F58" i="75" s="1"/>
  <c r="G58" i="75" s="1"/>
  <c r="E57" i="75"/>
  <c r="F57" i="75" s="1"/>
  <c r="G57" i="75" s="1"/>
  <c r="E23" i="75"/>
  <c r="F23" i="75" s="1"/>
  <c r="G23" i="75" s="1"/>
  <c r="E13" i="75"/>
  <c r="F13" i="75" s="1"/>
  <c r="G13" i="75" s="1"/>
  <c r="E22" i="75"/>
  <c r="F22" i="75" s="1"/>
  <c r="G22" i="75" s="1"/>
  <c r="E12" i="75"/>
  <c r="F12" i="75" s="1"/>
  <c r="G12" i="75" s="1"/>
  <c r="E21" i="75"/>
  <c r="F21" i="75" s="1"/>
  <c r="G21" i="75" s="1"/>
  <c r="E11" i="75"/>
  <c r="F11" i="75" s="1"/>
  <c r="G11" i="75" s="1"/>
  <c r="E17" i="75"/>
  <c r="F17" i="75" s="1"/>
  <c r="G17" i="75" s="1"/>
  <c r="E16" i="75"/>
  <c r="F16" i="75" s="1"/>
  <c r="G16" i="75" s="1"/>
  <c r="E15" i="75"/>
  <c r="F15" i="75" s="1"/>
  <c r="G15" i="75" s="1"/>
  <c r="E24" i="75"/>
  <c r="F24" i="75" s="1"/>
  <c r="G24" i="75" s="1"/>
  <c r="E20" i="75"/>
  <c r="F20" i="75" s="1"/>
  <c r="G20" i="75" s="1"/>
  <c r="E10" i="75"/>
  <c r="F10" i="75" s="1"/>
  <c r="G10" i="75" s="1"/>
  <c r="E19" i="75"/>
  <c r="F19" i="75" s="1"/>
  <c r="G19" i="75" s="1"/>
  <c r="E18" i="75"/>
  <c r="F18" i="75" s="1"/>
  <c r="G18" i="75" s="1"/>
  <c r="E25" i="75"/>
  <c r="F25" i="75" s="1"/>
  <c r="G25" i="75" s="1"/>
  <c r="E14" i="75"/>
  <c r="F14" i="75" s="1"/>
  <c r="G14" i="75" s="1"/>
  <c r="E39" i="75"/>
  <c r="F39" i="75" s="1"/>
  <c r="G39" i="75" s="1"/>
  <c r="E38" i="75"/>
  <c r="F38" i="75" s="1"/>
  <c r="G38" i="75" s="1"/>
  <c r="E37" i="75"/>
  <c r="F37" i="75" s="1"/>
  <c r="G37" i="75" s="1"/>
  <c r="E42" i="75"/>
  <c r="F42" i="75" s="1"/>
  <c r="G42" i="75" s="1"/>
  <c r="E41" i="75"/>
  <c r="F41" i="75" s="1"/>
  <c r="G41" i="75" s="1"/>
  <c r="E47" i="75"/>
  <c r="F47" i="75" s="1"/>
  <c r="G47" i="75" s="1"/>
  <c r="E46" i="75"/>
  <c r="F46" i="75" s="1"/>
  <c r="G46" i="75" s="1"/>
  <c r="E36" i="75"/>
  <c r="F36" i="75" s="1"/>
  <c r="G36" i="75" s="1"/>
  <c r="E45" i="75"/>
  <c r="F45" i="75" s="1"/>
  <c r="G45" i="75" s="1"/>
  <c r="E35" i="75"/>
  <c r="F35" i="75" s="1"/>
  <c r="G35" i="75" s="1"/>
  <c r="E44" i="75"/>
  <c r="F44" i="75" s="1"/>
  <c r="G44" i="75" s="1"/>
  <c r="E34" i="75"/>
  <c r="F34" i="75" s="1"/>
  <c r="G34" i="75" s="1"/>
  <c r="E43" i="75"/>
  <c r="F43" i="75" s="1"/>
  <c r="G43" i="75" s="1"/>
  <c r="E33" i="75"/>
  <c r="F33" i="75" s="1"/>
  <c r="G33" i="75" s="1"/>
  <c r="E32" i="75"/>
  <c r="F32" i="75" s="1"/>
  <c r="G32" i="75" s="1"/>
  <c r="E40" i="75"/>
  <c r="F40" i="75" s="1"/>
  <c r="G40" i="75" s="1"/>
  <c r="G136" i="65"/>
  <c r="H136" i="65" s="1"/>
  <c r="E69" i="42"/>
  <c r="F69" i="42" s="1"/>
  <c r="G69" i="42" s="1"/>
  <c r="E68" i="42"/>
  <c r="F68" i="42" s="1"/>
  <c r="G68" i="42" s="1"/>
  <c r="E67" i="42"/>
  <c r="F67" i="42" s="1"/>
  <c r="G67" i="42" s="1"/>
  <c r="E66" i="42"/>
  <c r="F66" i="42" s="1"/>
  <c r="G66" i="42" s="1"/>
  <c r="G57" i="65"/>
  <c r="H57" i="65" s="1"/>
  <c r="E23" i="42"/>
  <c r="F23" i="42" s="1"/>
  <c r="G23" i="42" s="1"/>
  <c r="E13" i="42"/>
  <c r="F13" i="42" s="1"/>
  <c r="G13" i="42" s="1"/>
  <c r="E20" i="42"/>
  <c r="F20" i="42" s="1"/>
  <c r="G20" i="42" s="1"/>
  <c r="E19" i="42"/>
  <c r="F19" i="42" s="1"/>
  <c r="G19" i="42" s="1"/>
  <c r="E22" i="42"/>
  <c r="F22" i="42" s="1"/>
  <c r="G22" i="42" s="1"/>
  <c r="E21" i="42"/>
  <c r="F21" i="42" s="1"/>
  <c r="G21" i="42" s="1"/>
  <c r="E18" i="42"/>
  <c r="F18" i="42" s="1"/>
  <c r="G18" i="42" s="1"/>
  <c r="E17" i="42"/>
  <c r="F17" i="42" s="1"/>
  <c r="G17" i="42" s="1"/>
  <c r="E12" i="42"/>
  <c r="F12" i="42" s="1"/>
  <c r="G12" i="42" s="1"/>
  <c r="E16" i="42"/>
  <c r="F16" i="42" s="1"/>
  <c r="G16" i="42" s="1"/>
  <c r="E25" i="42"/>
  <c r="F25" i="42" s="1"/>
  <c r="G25" i="42" s="1"/>
  <c r="E15" i="42"/>
  <c r="F15" i="42" s="1"/>
  <c r="G15" i="42" s="1"/>
  <c r="E24" i="42"/>
  <c r="F24" i="42" s="1"/>
  <c r="G24" i="42" s="1"/>
  <c r="E14" i="42"/>
  <c r="F14" i="42" s="1"/>
  <c r="G14" i="42" s="1"/>
  <c r="G41" i="65"/>
  <c r="H41" i="65" s="1"/>
  <c r="E46" i="42"/>
  <c r="F46" i="42" s="1"/>
  <c r="G46" i="42" s="1"/>
  <c r="E41" i="42"/>
  <c r="F41" i="42" s="1"/>
  <c r="G41" i="42" s="1"/>
  <c r="E36" i="42"/>
  <c r="F36" i="42" s="1"/>
  <c r="G36" i="42" s="1"/>
  <c r="E44" i="42"/>
  <c r="F44" i="42" s="1"/>
  <c r="G44" i="42" s="1"/>
  <c r="E45" i="42"/>
  <c r="F45" i="42" s="1"/>
  <c r="G45" i="42" s="1"/>
  <c r="E40" i="42"/>
  <c r="F40" i="42" s="1"/>
  <c r="G40" i="42" s="1"/>
  <c r="E37" i="42"/>
  <c r="F37" i="42" s="1"/>
  <c r="G37" i="42" s="1"/>
  <c r="E39" i="42"/>
  <c r="F39" i="42" s="1"/>
  <c r="G39" i="42" s="1"/>
  <c r="E35" i="42"/>
  <c r="F35" i="42" s="1"/>
  <c r="G35" i="42" s="1"/>
  <c r="E43" i="42"/>
  <c r="F43" i="42" s="1"/>
  <c r="G43" i="42" s="1"/>
  <c r="E38" i="42"/>
  <c r="F38" i="42" s="1"/>
  <c r="G38" i="42" s="1"/>
  <c r="E47" i="42"/>
  <c r="F47" i="42" s="1"/>
  <c r="G47" i="42" s="1"/>
  <c r="E42" i="42"/>
  <c r="F42" i="42" s="1"/>
  <c r="G42" i="42" s="1"/>
  <c r="G105" i="65"/>
  <c r="H105" i="65" s="1"/>
  <c r="G25" i="65"/>
  <c r="H25" i="65" s="1"/>
  <c r="F10" i="2"/>
  <c r="G10" i="2" s="1"/>
  <c r="E11" i="42"/>
  <c r="F11" i="42" s="1"/>
  <c r="G11" i="42" s="1"/>
  <c r="G151" i="65"/>
  <c r="H151" i="65" s="1"/>
  <c r="E10" i="42"/>
  <c r="F10" i="42" s="1"/>
  <c r="G10" i="42" s="1"/>
  <c r="G89" i="65"/>
  <c r="G152" i="65"/>
  <c r="H152" i="65" s="1"/>
  <c r="E61" i="42"/>
  <c r="F61" i="42" s="1"/>
  <c r="G61" i="42" s="1"/>
  <c r="G90" i="65"/>
  <c r="H90" i="65" s="1"/>
  <c r="G28" i="65"/>
  <c r="H28" i="65" s="1"/>
  <c r="G154" i="65"/>
  <c r="H154" i="65" s="1"/>
  <c r="G58" i="65"/>
  <c r="H58" i="65" s="1"/>
  <c r="G26" i="65"/>
  <c r="H26" i="65" s="1"/>
  <c r="F11" i="2"/>
  <c r="G11" i="2" s="1"/>
  <c r="F13" i="2"/>
  <c r="G13" i="2" s="1"/>
  <c r="G124" i="65"/>
  <c r="H124" i="65" s="1"/>
  <c r="G44" i="65"/>
  <c r="H44" i="65" s="1"/>
  <c r="G92" i="65"/>
  <c r="H92" i="65" s="1"/>
  <c r="E58" i="42"/>
  <c r="F58" i="42" s="1"/>
  <c r="G58" i="42" s="1"/>
  <c r="F22" i="2"/>
  <c r="G22" i="2" s="1"/>
  <c r="E54" i="42"/>
  <c r="F54" i="42" s="1"/>
  <c r="G54" i="42" s="1"/>
  <c r="F28" i="2"/>
  <c r="G28" i="2" s="1"/>
  <c r="E65" i="42"/>
  <c r="F65" i="42" s="1"/>
  <c r="G65" i="42" s="1"/>
  <c r="E63" i="42"/>
  <c r="F63" i="42" s="1"/>
  <c r="G63" i="42" s="1"/>
  <c r="G60" i="65"/>
  <c r="H60" i="65" s="1"/>
  <c r="E56" i="42"/>
  <c r="F56" i="42" s="1"/>
  <c r="G56" i="42" s="1"/>
  <c r="E62" i="42"/>
  <c r="F62" i="42" s="1"/>
  <c r="G62" i="42" s="1"/>
  <c r="E57" i="42"/>
  <c r="F57" i="42" s="1"/>
  <c r="G57" i="42" s="1"/>
  <c r="E55" i="42"/>
  <c r="F55" i="42" s="1"/>
  <c r="G55" i="42" s="1"/>
  <c r="F29" i="2"/>
  <c r="G29" i="2" s="1"/>
  <c r="E64" i="42"/>
  <c r="F64" i="42" s="1"/>
  <c r="G64" i="42" s="1"/>
  <c r="E60" i="42"/>
  <c r="F60" i="42" s="1"/>
  <c r="G60" i="42" s="1"/>
  <c r="E59" i="42"/>
  <c r="F59" i="42" s="1"/>
  <c r="G59" i="42" s="1"/>
  <c r="G123" i="65"/>
  <c r="H123" i="65" s="1"/>
  <c r="G43" i="65"/>
  <c r="H43" i="65" s="1"/>
  <c r="G75" i="65"/>
  <c r="E34" i="42"/>
  <c r="F34" i="42" s="1"/>
  <c r="G34" i="42" s="1"/>
  <c r="G91" i="65"/>
  <c r="H91" i="65" s="1"/>
  <c r="G27" i="65"/>
  <c r="H27" i="65" s="1"/>
  <c r="G59" i="65"/>
  <c r="H59" i="65" s="1"/>
  <c r="G153" i="65"/>
  <c r="H153" i="65" s="1"/>
  <c r="E33" i="42"/>
  <c r="F33" i="42" s="1"/>
  <c r="G33" i="42" s="1"/>
  <c r="G107" i="65"/>
  <c r="H107" i="65" s="1"/>
  <c r="G121" i="65"/>
  <c r="H121" i="65" s="1"/>
  <c r="E32" i="42"/>
  <c r="F32" i="42" s="1"/>
  <c r="G32" i="42" s="1"/>
  <c r="G73" i="65"/>
  <c r="F19" i="2"/>
  <c r="G19" i="2" s="1"/>
  <c r="G42" i="65"/>
  <c r="H42" i="65" s="1"/>
  <c r="G122" i="65"/>
  <c r="H122" i="65" s="1"/>
  <c r="F20" i="2"/>
  <c r="G20" i="2" s="1"/>
  <c r="G139" i="65"/>
  <c r="H139" i="65" s="1"/>
  <c r="F30" i="2"/>
  <c r="G30" i="2" s="1"/>
  <c r="H75" i="65" l="1"/>
  <c r="H77" i="65" s="1"/>
  <c r="H140" i="65"/>
  <c r="H109" i="65"/>
  <c r="H155" i="65"/>
  <c r="H61" i="65"/>
  <c r="H29" i="65"/>
  <c r="H93" i="65"/>
  <c r="H45" i="65"/>
  <c r="H125" i="65"/>
  <c r="G8" i="65" l="1"/>
  <c r="G10" i="65" s="1"/>
  <c r="G12" i="65" l="1"/>
  <c r="G13" i="65" s="1"/>
  <c r="D10" i="74"/>
  <c r="G9" i="74"/>
  <c r="G10" i="74" s="1"/>
</calcChain>
</file>

<file path=xl/sharedStrings.xml><?xml version="1.0" encoding="utf-8"?>
<sst xmlns="http://schemas.openxmlformats.org/spreadsheetml/2006/main" count="739" uniqueCount="305">
  <si>
    <t>Proposed</t>
  </si>
  <si>
    <t>Total</t>
  </si>
  <si>
    <t>Gallons</t>
  </si>
  <si>
    <t>Less:</t>
  </si>
  <si>
    <t>Existing</t>
  </si>
  <si>
    <t>Change</t>
  </si>
  <si>
    <t>Table A</t>
  </si>
  <si>
    <t>Test Year</t>
  </si>
  <si>
    <t>Adjustments</t>
  </si>
  <si>
    <t>Proforma</t>
  </si>
  <si>
    <t>BILLS</t>
  </si>
  <si>
    <t>RATE</t>
  </si>
  <si>
    <t>CURRENT AND PROPOSED RATES</t>
  </si>
  <si>
    <t>Current</t>
  </si>
  <si>
    <t>Revenue from Sales with Present Rates</t>
  </si>
  <si>
    <t>Total Revenue Requirement</t>
  </si>
  <si>
    <t>Required Revenue Increase</t>
  </si>
  <si>
    <t>Difference</t>
  </si>
  <si>
    <t>Bill</t>
  </si>
  <si>
    <t>Percentage</t>
  </si>
  <si>
    <t>TOTALS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</si>
  <si>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</si>
  <si>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</si>
  <si>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</si>
  <si>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</si>
  <si>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</si>
  <si>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</si>
  <si>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</si>
  <si>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</si>
  <si>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</si>
  <si>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</si>
  <si>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</si>
  <si>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</si>
  <si>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</si>
  <si>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</si>
  <si>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</si>
  <si>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</si>
  <si>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</si>
  <si>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</si>
  <si>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</si>
  <si>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</si>
  <si>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</si>
  <si>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</si>
  <si>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</si>
  <si>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DEBT SERVICE SCHDULE</t>
  </si>
  <si>
    <t>Interest</t>
  </si>
  <si>
    <t>Principal</t>
  </si>
  <si>
    <t>&amp; Fees</t>
  </si>
  <si>
    <t>Average Annual Principal &amp; Interest</t>
  </si>
  <si>
    <t>Average Annual Coverage</t>
  </si>
  <si>
    <t>Total Gross Wages</t>
  </si>
  <si>
    <t>Pension</t>
  </si>
  <si>
    <t>Eligible</t>
  </si>
  <si>
    <t>TABLE D</t>
  </si>
  <si>
    <t>CURRENT AND PROPOSED BILLS</t>
  </si>
  <si>
    <t>CERS</t>
  </si>
  <si>
    <t>Monthly Charge</t>
  </si>
  <si>
    <t>per Month</t>
  </si>
  <si>
    <t>Input Coverage Percent</t>
  </si>
  <si>
    <t xml:space="preserve">Overall Percent Increase </t>
  </si>
  <si>
    <t>Pro Forma Expenses</t>
  </si>
  <si>
    <t xml:space="preserve"> COMPONENT </t>
  </si>
  <si>
    <t>GALLONS</t>
  </si>
  <si>
    <t xml:space="preserve"> REVENUE </t>
  </si>
  <si>
    <t>Adjustment to SAO Billed Revenues</t>
  </si>
  <si>
    <t>CONSUMPTION BY RATE INCREMENT</t>
  </si>
  <si>
    <t>First</t>
  </si>
  <si>
    <t>Over</t>
  </si>
  <si>
    <t xml:space="preserve"> USAGE </t>
  </si>
  <si>
    <t xml:space="preserve"> Total </t>
  </si>
  <si>
    <t>REVENUE BY RATE INCREMENT</t>
  </si>
  <si>
    <t>First 2,000 Gallons (Minimum Bill)</t>
  </si>
  <si>
    <t>Revenue Required From Sales of Water</t>
  </si>
  <si>
    <t>Debt Service Coverage</t>
  </si>
  <si>
    <t>Operating Expenses</t>
  </si>
  <si>
    <t>Water Sales</t>
  </si>
  <si>
    <t>Miscellaneous</t>
  </si>
  <si>
    <t>Next</t>
  </si>
  <si>
    <t>Description of Adjustments</t>
  </si>
  <si>
    <t>Schedule of Adjusted Operations</t>
  </si>
  <si>
    <t>Farmdale Water District</t>
  </si>
  <si>
    <t>First 5,000 Gallons (Minimum Bill)</t>
  </si>
  <si>
    <t>First 50,000 Gallons (Minimum Bill)</t>
  </si>
  <si>
    <t xml:space="preserve">01 Residential 3/4 </t>
  </si>
  <si>
    <t>02 Residential 1"</t>
  </si>
  <si>
    <t>Forfeited Discounts</t>
  </si>
  <si>
    <t>Materials and Supplies</t>
  </si>
  <si>
    <t>11 Res 3/4 w/trailer</t>
  </si>
  <si>
    <t>12 Res 1" w/1 trailer</t>
  </si>
  <si>
    <t>13 Res 3/4" w/2 trailers</t>
  </si>
  <si>
    <t>21 Comm 3/4"</t>
  </si>
  <si>
    <t>22 Comm 1"</t>
  </si>
  <si>
    <t>23 Stewart Home</t>
  </si>
  <si>
    <t>34 Four Apts</t>
  </si>
  <si>
    <t>Salaries and Wages-Employees</t>
  </si>
  <si>
    <t>Salaries and Wages-Directors</t>
  </si>
  <si>
    <t>Employee Pensions and Benefits</t>
  </si>
  <si>
    <t>Purchased Water</t>
  </si>
  <si>
    <t>Contractual Services-Accounting</t>
  </si>
  <si>
    <t>Contractual Services-Legal</t>
  </si>
  <si>
    <t>Contractual Services-Water Testing</t>
  </si>
  <si>
    <t>Transportation</t>
  </si>
  <si>
    <t>Insurance-General Liability</t>
  </si>
  <si>
    <t>Insurance-Workers Compensation</t>
  </si>
  <si>
    <t>Miscellansous Expense</t>
  </si>
  <si>
    <t>Purchased Power</t>
  </si>
  <si>
    <t>Depreciation</t>
  </si>
  <si>
    <t>Operating Revenues</t>
  </si>
  <si>
    <t>Total Operating Revenues</t>
  </si>
  <si>
    <t>Total Operating Expenses</t>
  </si>
  <si>
    <t>Taxes</t>
  </si>
  <si>
    <t>Other Expenses</t>
  </si>
  <si>
    <t>Total Other Expenses</t>
  </si>
  <si>
    <t>Other Income</t>
  </si>
  <si>
    <t>Non-Utility Income</t>
  </si>
  <si>
    <t>Interest Income</t>
  </si>
  <si>
    <t>Total Other Income</t>
  </si>
  <si>
    <t>Net Income</t>
  </si>
  <si>
    <t>Check Total</t>
  </si>
  <si>
    <t>Net Income from Annual Report</t>
  </si>
  <si>
    <t>Plus: Interest Expense</t>
  </si>
  <si>
    <t>Less: Gain From Disposition of Property</t>
  </si>
  <si>
    <t>Exclusions from Revenue Requirement</t>
  </si>
  <si>
    <t>Total Exclusions from Revenue Requirement</t>
  </si>
  <si>
    <t>Monthly Water Loss Reduction Surcharge</t>
  </si>
  <si>
    <t>Per Customer</t>
  </si>
  <si>
    <t>Table B</t>
  </si>
  <si>
    <t>Water Loss Adjustment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</si>
  <si>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</si>
  <si>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</si>
  <si>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</si>
  <si>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</si>
  <si>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</si>
  <si>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</si>
  <si>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</si>
  <si>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</si>
  <si>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</si>
  <si>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</si>
  <si>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</si>
  <si>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</si>
  <si>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</si>
  <si>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</si>
  <si>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</si>
  <si>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</si>
  <si>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</si>
  <si>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</si>
  <si>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</si>
  <si>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</si>
  <si>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Costs Subject to Water Loss Adjustment</t>
  </si>
  <si>
    <t>Adjustment</t>
  </si>
  <si>
    <t>Computation of Water Loss Surcharge</t>
  </si>
  <si>
    <t>Total Adjustment</t>
  </si>
  <si>
    <t>/ Number of Bills</t>
  </si>
  <si>
    <t/>
  </si>
  <si>
    <t>Annual Report</t>
  </si>
  <si>
    <t xml:space="preserve">Difference </t>
  </si>
  <si>
    <t xml:space="preserve">Total   </t>
  </si>
  <si>
    <t xml:space="preserve">Less Adjustments </t>
  </si>
  <si>
    <t xml:space="preserve">Total Sales </t>
  </si>
  <si>
    <t>Revenue Requirement</t>
  </si>
  <si>
    <t>Monthly Surcharge Amount if Rate Increase &gt; 0</t>
  </si>
  <si>
    <t>Exclude amount above 15% water loss</t>
  </si>
  <si>
    <t>Chemicals</t>
  </si>
  <si>
    <t>Schedule of Revenue Requirements</t>
  </si>
  <si>
    <t>USDA Loan 2016</t>
  </si>
  <si>
    <t>USDA Loan 2025</t>
  </si>
  <si>
    <t>TABLE E</t>
  </si>
  <si>
    <t>Table G</t>
  </si>
  <si>
    <t xml:space="preserve">Rents from water property </t>
  </si>
  <si>
    <t>Adjust to reflect updated water rates</t>
  </si>
  <si>
    <t>Advertising</t>
  </si>
  <si>
    <t>Billing Analysis With 2024 Usage and Existing Rates</t>
  </si>
  <si>
    <t>Billing Analysis With 2024 Usage and Proposed Rates</t>
  </si>
  <si>
    <t>Rate Case Expenses</t>
  </si>
  <si>
    <t>KRWA</t>
  </si>
  <si>
    <t>SKO</t>
  </si>
  <si>
    <t>Amortization Years</t>
  </si>
  <si>
    <t>Annual Expense</t>
  </si>
  <si>
    <t>FY 2026 - 2030</t>
  </si>
  <si>
    <t>Meters Set in 2024</t>
  </si>
  <si>
    <t>Total Tap Fees Collected</t>
  </si>
  <si>
    <t>30% Credit to Labor</t>
  </si>
  <si>
    <t>70% Credit to Materials</t>
  </si>
  <si>
    <t>Attributable to 2024-00223 August 15 2024</t>
  </si>
  <si>
    <t>5/8" x 3/4" Meter Tap</t>
  </si>
  <si>
    <t>1" Meter Tap</t>
  </si>
  <si>
    <t>4" Meter Tap</t>
  </si>
  <si>
    <t>Next 5,000 gallons per gallon</t>
  </si>
  <si>
    <t>Next 3,000 gallons per gallon</t>
  </si>
  <si>
    <t>Over 10,000 gallons per gallon</t>
  </si>
  <si>
    <t>Next 140,000 gallons per gallon</t>
  </si>
  <si>
    <t>Over 150,000 gallons per gallon</t>
  </si>
  <si>
    <t>Next 100,000 gallons per gallon</t>
  </si>
  <si>
    <t>Average</t>
  </si>
  <si>
    <t>DEPRECIATION EXPENSE ADJUSTMENTS</t>
  </si>
  <si>
    <t>Date in</t>
  </si>
  <si>
    <t>Expense</t>
  </si>
  <si>
    <t>Service</t>
  </si>
  <si>
    <t>Depr. Exp.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</si>
  <si>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</si>
  <si>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</si>
  <si>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</si>
  <si>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</si>
  <si>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</si>
  <si>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</si>
  <si>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</si>
  <si>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</si>
  <si>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</si>
  <si>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</si>
  <si>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</si>
  <si>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</si>
  <si>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</si>
  <si>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</si>
  <si>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</si>
  <si>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</si>
  <si>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Meters</t>
  </si>
  <si>
    <t>Pump Equipment</t>
  </si>
  <si>
    <t>Tank Fence</t>
  </si>
  <si>
    <t>Services</t>
  </si>
  <si>
    <t>Reservoirs &amp; Tanks</t>
  </si>
  <si>
    <t>Transportation Equipment</t>
  </si>
  <si>
    <t>Entire Group</t>
  </si>
  <si>
    <t xml:space="preserve">              *  Includes only costs associated with assets that contributed to depreciation expense in the test year.</t>
  </si>
  <si>
    <t>Allowed Depreciation</t>
  </si>
  <si>
    <t>Less: Reported Depreciation</t>
  </si>
  <si>
    <t>Adjustment to Allowed Depreciation</t>
  </si>
  <si>
    <t>Original</t>
  </si>
  <si>
    <t>Reported</t>
  </si>
  <si>
    <t>Asset</t>
  </si>
  <si>
    <t>Life</t>
  </si>
  <si>
    <t>Cost *</t>
  </si>
  <si>
    <t>Exclude labor on tap installations</t>
  </si>
  <si>
    <t>Exclude materials on tap installations</t>
  </si>
  <si>
    <t>Employee ID</t>
  </si>
  <si>
    <t>2024 Name</t>
  </si>
  <si>
    <t>2025 Name</t>
  </si>
  <si>
    <t>Chris Ralph</t>
  </si>
  <si>
    <t>Chris Obrien</t>
  </si>
  <si>
    <t>Matt Perry</t>
  </si>
  <si>
    <t>Mike Hieatt</t>
  </si>
  <si>
    <t>Harmon Clark</t>
  </si>
  <si>
    <t>Zachrey Pelphrey</t>
  </si>
  <si>
    <t>Jan Sanders</t>
  </si>
  <si>
    <t>Deavon Johnson</t>
  </si>
  <si>
    <t>Yvonne Poole</t>
  </si>
  <si>
    <t># of Empl</t>
  </si>
  <si>
    <t>Annual</t>
  </si>
  <si>
    <t xml:space="preserve"> Coverage Types</t>
  </si>
  <si>
    <t>Covered</t>
  </si>
  <si>
    <t>Monthly Rates</t>
  </si>
  <si>
    <t>Family (F)</t>
  </si>
  <si>
    <t>Employee/Children (EC)</t>
  </si>
  <si>
    <t>Employeel/Spouse (ES)</t>
  </si>
  <si>
    <t>Employee Only (E)</t>
  </si>
  <si>
    <t>District</t>
  </si>
  <si>
    <t>Meter Installations</t>
  </si>
  <si>
    <t>Exclude OPEB Adjustments</t>
  </si>
  <si>
    <t>Times: CERS Contribution Rate</t>
  </si>
  <si>
    <t>Pro Forma Pension Eligible Expense</t>
  </si>
  <si>
    <t>Adjust to current salaries and wages</t>
  </si>
  <si>
    <t>Julia Ellis Email 5/5/2025 417 PM</t>
  </si>
  <si>
    <t>Effective July 1, 2025</t>
  </si>
  <si>
    <t>Vacant / To Be Filled</t>
  </si>
  <si>
    <t>Holly Mayer</t>
  </si>
  <si>
    <t>Not To Be Filled</t>
  </si>
  <si>
    <t>Jordaan Metts</t>
  </si>
  <si>
    <t>Garrett Bourne</t>
  </si>
  <si>
    <t>Adjust to allowable useful lives and recently added assets</t>
  </si>
  <si>
    <t>Adjust to new employees added to KPPA/CERS</t>
  </si>
  <si>
    <t>Rate case expenses amortized over 3 years</t>
  </si>
  <si>
    <t xml:space="preserve">Note: Farmdale has experience significant turnover. </t>
  </si>
  <si>
    <t>New employees are hire full-time for 40 hours per week.</t>
  </si>
  <si>
    <t>Health Insurance Benefits</t>
  </si>
  <si>
    <t>Employee Medical</t>
  </si>
  <si>
    <t xml:space="preserve">Eligible </t>
  </si>
  <si>
    <t>Percent</t>
  </si>
  <si>
    <t>Amount</t>
  </si>
  <si>
    <t>Eligible Amount</t>
  </si>
  <si>
    <t>Less Test Year Amount</t>
  </si>
  <si>
    <t>Adjust to new employees to medical insurance</t>
  </si>
  <si>
    <t>Account 503 Group Hospitalization</t>
  </si>
  <si>
    <t>A</t>
  </si>
  <si>
    <t>I</t>
  </si>
  <si>
    <t>E</t>
  </si>
  <si>
    <t>B</t>
  </si>
  <si>
    <t>C</t>
  </si>
  <si>
    <t>D</t>
  </si>
  <si>
    <t>F</t>
  </si>
  <si>
    <t>G</t>
  </si>
  <si>
    <t>H</t>
  </si>
  <si>
    <t>J</t>
  </si>
  <si>
    <t>CURRENT AND PROPOSED BILLS WITH SURCHARGE</t>
  </si>
  <si>
    <t>Balance of A/C Project</t>
  </si>
  <si>
    <t>Balance of Meter Project</t>
  </si>
  <si>
    <t>K</t>
  </si>
  <si>
    <t>N</t>
  </si>
  <si>
    <t>L</t>
  </si>
  <si>
    <t>M</t>
  </si>
  <si>
    <t>Exclude tap fees collected</t>
  </si>
  <si>
    <t>Exclude insurance proceeds</t>
  </si>
  <si>
    <t>Exclude water loss reduction surcharge collections</t>
  </si>
  <si>
    <t>O</t>
  </si>
  <si>
    <t>Table F</t>
  </si>
  <si>
    <t>Annual Amount</t>
  </si>
  <si>
    <t>TABLE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</si>
</sst>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0_);_(&quot;$&quot;* \(#,##0.00000\);_(&quot;$&quot;* &quot;-&quot;??_);_(@_)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</numFmts>
  <fonts count="3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 val="singleAccounting"/>
      <sz val="11"/>
      <name val="Calibri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u val="singleAccounting"/>
      <sz val="11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24">
    <xf numFmtId="0" fontId="0" fillId="0" borderId="0" xfId="0"/>
    <xf numFmtId="0" fontId="3" fillId="0" borderId="0" xfId="0" applyFont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7" xfId="1" applyNumberFormat="1" applyFont="1" applyBorder="1"/>
    <xf numFmtId="165" fontId="3" fillId="0" borderId="8" xfId="1" applyNumberFormat="1" applyFont="1" applyBorder="1"/>
    <xf numFmtId="43" fontId="3" fillId="0" borderId="0" xfId="1" applyFont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5" applyNumberFormat="1" applyFont="1" applyBorder="1"/>
    <xf numFmtId="43" fontId="3" fillId="0" borderId="0" xfId="1" applyFont="1" applyBorder="1" applyAlignment="1"/>
    <xf numFmtId="43" fontId="9" fillId="0" borderId="0" xfId="1" applyFont="1" applyBorder="1" applyAlignment="1">
      <alignment horizontal="center"/>
    </xf>
    <xf numFmtId="44" fontId="3" fillId="0" borderId="0" xfId="2" applyFont="1" applyBorder="1" applyAlignment="1"/>
    <xf numFmtId="165" fontId="3" fillId="0" borderId="1" xfId="0" applyNumberFormat="1" applyFont="1" applyBorder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6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0" xfId="1" applyFont="1" applyFill="1" applyBorder="1"/>
    <xf numFmtId="166" fontId="3" fillId="2" borderId="8" xfId="3" applyNumberFormat="1" applyFont="1" applyFill="1" applyBorder="1"/>
    <xf numFmtId="165" fontId="11" fillId="0" borderId="0" xfId="1" applyNumberFormat="1" applyFont="1"/>
    <xf numFmtId="44" fontId="3" fillId="0" borderId="0" xfId="2" applyFont="1" applyBorder="1"/>
    <xf numFmtId="43" fontId="3" fillId="0" borderId="0" xfId="1" applyFont="1" applyBorder="1" applyAlignment="1">
      <alignment horizontal="center"/>
    </xf>
    <xf numFmtId="165" fontId="13" fillId="0" borderId="0" xfId="1" applyNumberFormat="1" applyFont="1"/>
    <xf numFmtId="165" fontId="3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/>
    <xf numFmtId="10" fontId="3" fillId="0" borderId="0" xfId="3" applyNumberFormat="1" applyFont="1" applyBorder="1"/>
    <xf numFmtId="10" fontId="3" fillId="2" borderId="0" xfId="3" applyNumberFormat="1" applyFont="1" applyFill="1" applyBorder="1"/>
    <xf numFmtId="43" fontId="3" fillId="0" borderId="0" xfId="1" applyFont="1" applyAlignment="1">
      <alignment horizontal="right"/>
    </xf>
    <xf numFmtId="10" fontId="3" fillId="0" borderId="1" xfId="3" applyNumberFormat="1" applyFont="1" applyBorder="1"/>
    <xf numFmtId="2" fontId="3" fillId="0" borderId="0" xfId="0" applyNumberFormat="1" applyFont="1"/>
    <xf numFmtId="44" fontId="3" fillId="0" borderId="0" xfId="5" applyNumberFormat="1" applyFont="1" applyBorder="1"/>
    <xf numFmtId="10" fontId="3" fillId="0" borderId="0" xfId="3" applyNumberFormat="1" applyFont="1" applyBorder="1" applyAlignment="1"/>
    <xf numFmtId="43" fontId="3" fillId="0" borderId="7" xfId="1" applyFont="1" applyBorder="1" applyAlignment="1"/>
    <xf numFmtId="43" fontId="3" fillId="0" borderId="8" xfId="1" applyFont="1" applyBorder="1" applyAlignment="1"/>
    <xf numFmtId="44" fontId="3" fillId="0" borderId="0" xfId="2" applyFont="1"/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0" fontId="16" fillId="0" borderId="0" xfId="0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44" fontId="3" fillId="0" borderId="0" xfId="2" applyFont="1" applyFill="1"/>
    <xf numFmtId="44" fontId="3" fillId="0" borderId="0" xfId="3" applyNumberFormat="1" applyFont="1" applyBorder="1" applyAlignment="1"/>
    <xf numFmtId="10" fontId="3" fillId="0" borderId="0" xfId="3" applyNumberFormat="1" applyFont="1" applyBorder="1" applyAlignment="1">
      <alignment horizontal="right"/>
    </xf>
    <xf numFmtId="164" fontId="3" fillId="0" borderId="0" xfId="5" applyNumberFormat="1" applyFont="1" applyBorder="1"/>
    <xf numFmtId="165" fontId="3" fillId="0" borderId="1" xfId="5" applyNumberFormat="1" applyFont="1" applyBorder="1"/>
    <xf numFmtId="0" fontId="17" fillId="0" borderId="0" xfId="0" applyFont="1"/>
    <xf numFmtId="43" fontId="3" fillId="0" borderId="1" xfId="1" applyFont="1" applyFill="1" applyBorder="1"/>
    <xf numFmtId="165" fontId="8" fillId="0" borderId="0" xfId="1" applyNumberFormat="1" applyFont="1" applyAlignment="1">
      <alignment vertical="center"/>
    </xf>
    <xf numFmtId="0" fontId="18" fillId="0" borderId="0" xfId="0" applyFont="1"/>
    <xf numFmtId="165" fontId="3" fillId="0" borderId="1" xfId="1" applyNumberFormat="1" applyFont="1" applyFill="1" applyBorder="1" applyAlignment="1">
      <alignment vertical="center"/>
    </xf>
    <xf numFmtId="165" fontId="16" fillId="0" borderId="0" xfId="5" applyNumberFormat="1" applyFont="1" applyFill="1" applyBorder="1"/>
    <xf numFmtId="165" fontId="16" fillId="0" borderId="0" xfId="5" applyNumberFormat="1" applyFont="1" applyFill="1" applyBorder="1" applyAlignment="1">
      <alignment horizontal="right"/>
    </xf>
    <xf numFmtId="165" fontId="16" fillId="0" borderId="3" xfId="5" applyNumberFormat="1" applyFont="1" applyFill="1" applyBorder="1"/>
    <xf numFmtId="165" fontId="16" fillId="0" borderId="2" xfId="5" applyNumberFormat="1" applyFont="1" applyFill="1" applyBorder="1" applyAlignment="1">
      <alignment horizontal="right"/>
    </xf>
    <xf numFmtId="165" fontId="16" fillId="0" borderId="4" xfId="5" applyNumberFormat="1" applyFont="1" applyFill="1" applyBorder="1"/>
    <xf numFmtId="165" fontId="17" fillId="0" borderId="0" xfId="5" applyNumberFormat="1" applyFont="1" applyFill="1" applyBorder="1" applyAlignment="1">
      <alignment horizontal="right"/>
    </xf>
    <xf numFmtId="165" fontId="16" fillId="0" borderId="8" xfId="5" applyNumberFormat="1" applyFont="1" applyFill="1" applyBorder="1"/>
    <xf numFmtId="165" fontId="21" fillId="0" borderId="0" xfId="5" applyNumberFormat="1" applyFont="1" applyFill="1" applyBorder="1" applyAlignment="1">
      <alignment horizontal="right"/>
    </xf>
    <xf numFmtId="165" fontId="16" fillId="0" borderId="7" xfId="5" applyNumberFormat="1" applyFont="1" applyFill="1" applyBorder="1" applyAlignment="1">
      <alignment horizontal="centerContinuous"/>
    </xf>
    <xf numFmtId="165" fontId="16" fillId="0" borderId="3" xfId="5" applyNumberFormat="1" applyFont="1" applyFill="1" applyBorder="1" applyAlignment="1">
      <alignment horizontal="right"/>
    </xf>
    <xf numFmtId="165" fontId="16" fillId="0" borderId="4" xfId="5" applyNumberFormat="1" applyFont="1" applyFill="1" applyBorder="1" applyAlignment="1">
      <alignment horizontal="right"/>
    </xf>
    <xf numFmtId="165" fontId="16" fillId="0" borderId="9" xfId="5" applyNumberFormat="1" applyFont="1" applyFill="1" applyBorder="1"/>
    <xf numFmtId="165" fontId="24" fillId="0" borderId="0" xfId="5" applyNumberFormat="1" applyFont="1" applyFill="1" applyBorder="1" applyAlignment="1">
      <alignment horizontal="right" vertical="center"/>
    </xf>
    <xf numFmtId="165" fontId="17" fillId="0" borderId="8" xfId="5" applyNumberFormat="1" applyFont="1" applyFill="1" applyBorder="1" applyAlignment="1">
      <alignment horizontal="right" vertical="center"/>
    </xf>
    <xf numFmtId="165" fontId="17" fillId="0" borderId="0" xfId="5" applyNumberFormat="1" applyFont="1" applyFill="1" applyBorder="1" applyAlignment="1">
      <alignment horizontal="right" vertical="center"/>
    </xf>
    <xf numFmtId="165" fontId="16" fillId="0" borderId="9" xfId="5" applyNumberFormat="1" applyFont="1" applyFill="1" applyBorder="1" applyAlignment="1">
      <alignment horizontal="left"/>
    </xf>
    <xf numFmtId="37" fontId="16" fillId="0" borderId="0" xfId="5" quotePrefix="1" applyNumberFormat="1" applyFont="1" applyFill="1" applyBorder="1" applyAlignment="1">
      <alignment horizontal="right"/>
    </xf>
    <xf numFmtId="165" fontId="16" fillId="0" borderId="6" xfId="5" applyNumberFormat="1" applyFont="1" applyFill="1" applyBorder="1"/>
    <xf numFmtId="165" fontId="17" fillId="0" borderId="7" xfId="5" applyNumberFormat="1" applyFont="1" applyFill="1" applyBorder="1" applyAlignment="1">
      <alignment horizontal="right"/>
    </xf>
    <xf numFmtId="165" fontId="17" fillId="0" borderId="2" xfId="5" applyNumberFormat="1" applyFont="1" applyFill="1" applyBorder="1" applyAlignment="1">
      <alignment horizontal="right"/>
    </xf>
    <xf numFmtId="165" fontId="17" fillId="0" borderId="7" xfId="5" applyNumberFormat="1" applyFont="1" applyFill="1" applyBorder="1"/>
    <xf numFmtId="164" fontId="17" fillId="0" borderId="0" xfId="6" applyNumberFormat="1" applyFont="1" applyFill="1" applyBorder="1" applyAlignment="1">
      <alignment horizontal="right"/>
    </xf>
    <xf numFmtId="165" fontId="16" fillId="0" borderId="7" xfId="5" applyNumberFormat="1" applyFont="1" applyFill="1" applyBorder="1"/>
    <xf numFmtId="164" fontId="16" fillId="0" borderId="0" xfId="6" applyNumberFormat="1" applyFont="1" applyFill="1" applyBorder="1" applyAlignment="1">
      <alignment horizontal="right"/>
    </xf>
    <xf numFmtId="165" fontId="16" fillId="0" borderId="5" xfId="5" applyNumberFormat="1" applyFont="1" applyFill="1" applyBorder="1" applyAlignment="1">
      <alignment horizontal="center"/>
    </xf>
    <xf numFmtId="165" fontId="16" fillId="0" borderId="1" xfId="5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37" fontId="18" fillId="0" borderId="0" xfId="0" applyNumberFormat="1" applyFont="1" applyAlignment="1">
      <alignment horizontal="right"/>
    </xf>
    <xf numFmtId="9" fontId="18" fillId="0" borderId="0" xfId="3" applyFont="1" applyFill="1" applyBorder="1" applyAlignment="1">
      <alignment horizontal="left"/>
    </xf>
    <xf numFmtId="44" fontId="9" fillId="0" borderId="0" xfId="2" applyFont="1" applyBorder="1" applyAlignment="1">
      <alignment horizontal="right"/>
    </xf>
    <xf numFmtId="43" fontId="3" fillId="0" borderId="3" xfId="1" applyFont="1" applyBorder="1" applyAlignment="1"/>
    <xf numFmtId="43" fontId="3" fillId="0" borderId="4" xfId="1" applyFont="1" applyBorder="1" applyAlignment="1"/>
    <xf numFmtId="43" fontId="3" fillId="0" borderId="2" xfId="1" applyFont="1" applyBorder="1" applyAlignment="1">
      <alignment horizontal="center"/>
    </xf>
    <xf numFmtId="44" fontId="3" fillId="0" borderId="2" xfId="2" applyFont="1" applyBorder="1" applyAlignment="1"/>
    <xf numFmtId="165" fontId="10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165" fontId="16" fillId="0" borderId="0" xfId="1" applyNumberFormat="1" applyFont="1" applyAlignment="1">
      <alignment horizontal="right"/>
    </xf>
    <xf numFmtId="165" fontId="16" fillId="0" borderId="0" xfId="1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0" fontId="0" fillId="0" borderId="8" xfId="0" applyBorder="1"/>
    <xf numFmtId="165" fontId="3" fillId="0" borderId="10" xfId="1" applyNumberFormat="1" applyFont="1" applyBorder="1"/>
    <xf numFmtId="0" fontId="0" fillId="0" borderId="10" xfId="0" applyBorder="1"/>
    <xf numFmtId="43" fontId="3" fillId="0" borderId="10" xfId="1" applyFont="1" applyBorder="1"/>
    <xf numFmtId="43" fontId="3" fillId="0" borderId="0" xfId="1" applyFont="1" applyFill="1" applyBorder="1"/>
    <xf numFmtId="43" fontId="3" fillId="0" borderId="7" xfId="1" applyFont="1" applyFill="1" applyBorder="1" applyAlignment="1"/>
    <xf numFmtId="43" fontId="3" fillId="0" borderId="0" xfId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3" fillId="0" borderId="0" xfId="2" applyFont="1" applyFill="1" applyBorder="1" applyAlignment="1">
      <alignment vertical="center"/>
    </xf>
    <xf numFmtId="10" fontId="3" fillId="0" borderId="0" xfId="3" applyNumberFormat="1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4" fontId="3" fillId="0" borderId="5" xfId="2" applyFont="1" applyFill="1" applyBorder="1" applyAlignment="1">
      <alignment horizontal="right"/>
    </xf>
    <xf numFmtId="44" fontId="3" fillId="0" borderId="1" xfId="2" applyFont="1" applyFill="1" applyBorder="1" applyAlignment="1">
      <alignment horizontal="center"/>
    </xf>
    <xf numFmtId="44" fontId="3" fillId="0" borderId="1" xfId="2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horizontal="center"/>
    </xf>
    <xf numFmtId="44" fontId="15" fillId="0" borderId="6" xfId="2" applyFont="1" applyFill="1" applyBorder="1" applyAlignment="1">
      <alignment horizontal="center"/>
    </xf>
    <xf numFmtId="44" fontId="3" fillId="0" borderId="7" xfId="2" applyFont="1" applyFill="1" applyBorder="1" applyAlignment="1">
      <alignment horizontal="right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4" fontId="9" fillId="0" borderId="0" xfId="2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43" fontId="16" fillId="0" borderId="0" xfId="1" applyFont="1" applyAlignment="1">
      <alignment horizontal="right"/>
    </xf>
    <xf numFmtId="0" fontId="16" fillId="0" borderId="0" xfId="1" applyNumberFormat="1" applyFont="1" applyAlignment="1">
      <alignment horizontal="right"/>
    </xf>
    <xf numFmtId="165" fontId="7" fillId="0" borderId="0" xfId="1" applyNumberFormat="1" applyFont="1"/>
    <xf numFmtId="43" fontId="16" fillId="0" borderId="0" xfId="1" applyFont="1" applyBorder="1" applyAlignment="1">
      <alignment horizontal="right"/>
    </xf>
    <xf numFmtId="44" fontId="16" fillId="0" borderId="0" xfId="1" applyNumberFormat="1" applyFont="1" applyBorder="1" applyAlignment="1">
      <alignment horizontal="right"/>
    </xf>
    <xf numFmtId="0" fontId="16" fillId="0" borderId="0" xfId="1" applyNumberFormat="1" applyFont="1" applyBorder="1" applyAlignment="1">
      <alignment horizontal="right"/>
    </xf>
    <xf numFmtId="44" fontId="16" fillId="0" borderId="0" xfId="3" applyNumberFormat="1" applyFont="1" applyBorder="1"/>
    <xf numFmtId="165" fontId="3" fillId="0" borderId="0" xfId="1" applyNumberFormat="1" applyFont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 wrapText="1"/>
    </xf>
    <xf numFmtId="3" fontId="16" fillId="0" borderId="0" xfId="1" applyNumberFormat="1" applyFont="1" applyBorder="1" applyAlignment="1">
      <alignment horizontal="right"/>
    </xf>
    <xf numFmtId="44" fontId="16" fillId="0" borderId="0" xfId="0" applyNumberFormat="1" applyFont="1" applyAlignment="1">
      <alignment horizontal="right"/>
    </xf>
    <xf numFmtId="165" fontId="16" fillId="0" borderId="0" xfId="1" applyNumberFormat="1" applyFont="1" applyBorder="1"/>
    <xf numFmtId="165" fontId="3" fillId="2" borderId="7" xfId="1" applyNumberFormat="1" applyFont="1" applyFill="1" applyBorder="1"/>
    <xf numFmtId="0" fontId="21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3" fillId="0" borderId="0" xfId="1" applyNumberFormat="1" applyFont="1" applyFill="1" applyAlignment="1"/>
    <xf numFmtId="164" fontId="16" fillId="0" borderId="1" xfId="2" applyNumberFormat="1" applyFont="1" applyBorder="1" applyAlignment="1">
      <alignment horizontal="right"/>
    </xf>
    <xf numFmtId="164" fontId="16" fillId="0" borderId="1" xfId="2" applyNumberFormat="1" applyFont="1" applyFill="1" applyBorder="1" applyAlignment="1">
      <alignment horizontal="right"/>
    </xf>
    <xf numFmtId="44" fontId="10" fillId="0" borderId="0" xfId="2" applyFont="1" applyAlignment="1">
      <alignment horizontal="center" vertical="center"/>
    </xf>
    <xf numFmtId="44" fontId="10" fillId="0" borderId="7" xfId="2" applyFont="1" applyBorder="1" applyAlignment="1">
      <alignment horizontal="center" vertical="center"/>
    </xf>
    <xf numFmtId="44" fontId="9" fillId="0" borderId="7" xfId="2" applyFont="1" applyBorder="1" applyAlignment="1">
      <alignment horizontal="center"/>
    </xf>
    <xf numFmtId="44" fontId="3" fillId="0" borderId="7" xfId="2" applyFont="1" applyBorder="1"/>
    <xf numFmtId="44" fontId="3" fillId="2" borderId="7" xfId="2" applyFont="1" applyFill="1" applyBorder="1"/>
    <xf numFmtId="44" fontId="3" fillId="0" borderId="7" xfId="2" applyFont="1" applyFill="1" applyBorder="1"/>
    <xf numFmtId="44" fontId="3" fillId="0" borderId="10" xfId="2" applyFont="1" applyBorder="1"/>
    <xf numFmtId="44" fontId="9" fillId="0" borderId="0" xfId="2" applyFont="1" applyBorder="1" applyAlignment="1">
      <alignment horizontal="center"/>
    </xf>
    <xf numFmtId="164" fontId="16" fillId="0" borderId="0" xfId="2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 wrapText="1"/>
    </xf>
    <xf numFmtId="165" fontId="3" fillId="0" borderId="2" xfId="1" applyNumberFormat="1" applyFont="1" applyBorder="1"/>
    <xf numFmtId="0" fontId="0" fillId="0" borderId="2" xfId="0" applyBorder="1"/>
    <xf numFmtId="44" fontId="3" fillId="0" borderId="2" xfId="2" applyFont="1" applyBorder="1"/>
    <xf numFmtId="43" fontId="3" fillId="0" borderId="2" xfId="1" applyFont="1" applyBorder="1"/>
    <xf numFmtId="165" fontId="26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49" fontId="27" fillId="0" borderId="0" xfId="0" applyNumberFormat="1" applyFont="1" applyAlignment="1">
      <alignment horizontal="left"/>
    </xf>
    <xf numFmtId="165" fontId="27" fillId="0" borderId="0" xfId="1" applyNumberFormat="1" applyFont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left" vertical="center"/>
    </xf>
    <xf numFmtId="10" fontId="3" fillId="0" borderId="0" xfId="3" applyNumberFormat="1" applyFont="1" applyFill="1" applyAlignment="1">
      <alignment horizontal="right" vertical="center" wrapText="1"/>
    </xf>
    <xf numFmtId="165" fontId="28" fillId="0" borderId="0" xfId="5" applyNumberFormat="1" applyFont="1"/>
    <xf numFmtId="0" fontId="28" fillId="0" borderId="0" xfId="0" applyFont="1"/>
    <xf numFmtId="164" fontId="3" fillId="0" borderId="1" xfId="5" applyNumberFormat="1" applyFont="1" applyBorder="1"/>
    <xf numFmtId="44" fontId="3" fillId="0" borderId="1" xfId="0" applyNumberFormat="1" applyFont="1" applyBorder="1"/>
    <xf numFmtId="165" fontId="28" fillId="0" borderId="0" xfId="5" applyNumberFormat="1" applyFont="1" applyBorder="1"/>
    <xf numFmtId="10" fontId="3" fillId="0" borderId="1" xfId="0" applyNumberFormat="1" applyFont="1" applyBorder="1"/>
    <xf numFmtId="165" fontId="3" fillId="0" borderId="11" xfId="1" applyNumberFormat="1" applyFont="1" applyBorder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4" fontId="16" fillId="0" borderId="0" xfId="0" applyNumberFormat="1" applyFont="1"/>
    <xf numFmtId="49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165" fontId="16" fillId="0" borderId="12" xfId="1" applyNumberFormat="1" applyFont="1" applyBorder="1" applyAlignment="1">
      <alignment horizontal="right"/>
    </xf>
    <xf numFmtId="165" fontId="16" fillId="0" borderId="12" xfId="1" applyNumberFormat="1" applyFont="1" applyBorder="1"/>
    <xf numFmtId="164" fontId="16" fillId="0" borderId="12" xfId="2" applyNumberFormat="1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3" fontId="16" fillId="0" borderId="12" xfId="1" applyNumberFormat="1" applyFont="1" applyBorder="1" applyAlignment="1">
      <alignment horizontal="right"/>
    </xf>
    <xf numFmtId="44" fontId="16" fillId="0" borderId="12" xfId="0" applyNumberFormat="1" applyFont="1" applyBorder="1" applyAlignment="1">
      <alignment horizontal="right"/>
    </xf>
    <xf numFmtId="0" fontId="16" fillId="0" borderId="12" xfId="1" applyNumberFormat="1" applyFont="1" applyBorder="1" applyAlignment="1">
      <alignment horizontal="right"/>
    </xf>
    <xf numFmtId="43" fontId="16" fillId="0" borderId="12" xfId="1" applyFont="1" applyBorder="1" applyAlignment="1">
      <alignment horizontal="right"/>
    </xf>
    <xf numFmtId="0" fontId="16" fillId="0" borderId="12" xfId="0" applyFont="1" applyBorder="1"/>
    <xf numFmtId="164" fontId="16" fillId="0" borderId="0" xfId="2" applyNumberFormat="1" applyFont="1" applyFill="1" applyBorder="1" applyAlignment="1">
      <alignment horizontal="right"/>
    </xf>
    <xf numFmtId="10" fontId="16" fillId="0" borderId="0" xfId="3" applyNumberFormat="1" applyFont="1" applyBorder="1" applyAlignment="1">
      <alignment horizontal="right"/>
    </xf>
    <xf numFmtId="0" fontId="16" fillId="0" borderId="13" xfId="0" applyFont="1" applyBorder="1" applyAlignment="1">
      <alignment horizontal="center"/>
    </xf>
    <xf numFmtId="0" fontId="16" fillId="0" borderId="14" xfId="0" applyFont="1" applyBorder="1"/>
    <xf numFmtId="43" fontId="16" fillId="0" borderId="14" xfId="1" applyFont="1" applyBorder="1" applyAlignment="1">
      <alignment horizontal="right"/>
    </xf>
    <xf numFmtId="165" fontId="16" fillId="0" borderId="14" xfId="1" applyNumberFormat="1" applyFont="1" applyBorder="1" applyAlignment="1">
      <alignment horizontal="right"/>
    </xf>
    <xf numFmtId="0" fontId="16" fillId="0" borderId="14" xfId="1" applyNumberFormat="1" applyFont="1" applyBorder="1" applyAlignment="1">
      <alignment horizontal="right"/>
    </xf>
    <xf numFmtId="0" fontId="16" fillId="0" borderId="15" xfId="0" applyFont="1" applyBorder="1"/>
    <xf numFmtId="0" fontId="16" fillId="0" borderId="17" xfId="0" applyFont="1" applyBorder="1"/>
    <xf numFmtId="0" fontId="16" fillId="0" borderId="16" xfId="0" applyFont="1" applyBorder="1" applyAlignment="1">
      <alignment horizontal="center"/>
    </xf>
    <xf numFmtId="10" fontId="16" fillId="0" borderId="17" xfId="3" applyNumberFormat="1" applyFont="1" applyBorder="1"/>
    <xf numFmtId="44" fontId="17" fillId="0" borderId="0" xfId="0" applyNumberFormat="1" applyFont="1"/>
    <xf numFmtId="165" fontId="16" fillId="0" borderId="0" xfId="0" applyNumberFormat="1" applyFont="1"/>
    <xf numFmtId="0" fontId="21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165" fontId="3" fillId="0" borderId="5" xfId="1" applyNumberFormat="1" applyFont="1" applyBorder="1"/>
    <xf numFmtId="0" fontId="0" fillId="0" borderId="6" xfId="0" applyBorder="1"/>
    <xf numFmtId="44" fontId="3" fillId="0" borderId="5" xfId="2" applyFont="1" applyBorder="1"/>
    <xf numFmtId="44" fontId="3" fillId="0" borderId="1" xfId="2" applyFont="1" applyBorder="1"/>
    <xf numFmtId="43" fontId="3" fillId="0" borderId="1" xfId="1" applyFont="1" applyBorder="1"/>
    <xf numFmtId="165" fontId="3" fillId="0" borderId="6" xfId="1" applyNumberFormat="1" applyFont="1" applyBorder="1"/>
    <xf numFmtId="0" fontId="28" fillId="0" borderId="0" xfId="0" quotePrefix="1" applyFont="1"/>
    <xf numFmtId="0" fontId="7" fillId="0" borderId="0" xfId="0" applyFont="1"/>
    <xf numFmtId="49" fontId="3" fillId="0" borderId="0" xfId="0" applyNumberFormat="1" applyFont="1"/>
    <xf numFmtId="0" fontId="28" fillId="0" borderId="13" xfId="0" applyFont="1" applyBorder="1"/>
    <xf numFmtId="0" fontId="28" fillId="0" borderId="14" xfId="0" applyFont="1" applyBorder="1"/>
    <xf numFmtId="165" fontId="28" fillId="0" borderId="14" xfId="5" applyNumberFormat="1" applyFont="1" applyBorder="1"/>
    <xf numFmtId="0" fontId="28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3" fillId="0" borderId="17" xfId="0" applyFont="1" applyBorder="1"/>
    <xf numFmtId="10" fontId="3" fillId="0" borderId="0" xfId="0" applyNumberFormat="1" applyFont="1"/>
    <xf numFmtId="44" fontId="3" fillId="0" borderId="0" xfId="0" applyNumberFormat="1" applyFont="1"/>
    <xf numFmtId="0" fontId="3" fillId="0" borderId="17" xfId="0" applyFont="1" applyBorder="1" applyAlignment="1">
      <alignment horizontal="center"/>
    </xf>
    <xf numFmtId="0" fontId="28" fillId="0" borderId="18" xfId="0" applyFont="1" applyBorder="1"/>
    <xf numFmtId="0" fontId="28" fillId="0" borderId="12" xfId="0" applyFont="1" applyBorder="1"/>
    <xf numFmtId="165" fontId="28" fillId="0" borderId="12" xfId="5" applyNumberFormat="1" applyFont="1" applyBorder="1"/>
    <xf numFmtId="0" fontId="28" fillId="0" borderId="19" xfId="0" applyFont="1" applyBorder="1"/>
    <xf numFmtId="165" fontId="16" fillId="0" borderId="20" xfId="5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right"/>
    </xf>
    <xf numFmtId="165" fontId="17" fillId="0" borderId="5" xfId="5" applyNumberFormat="1" applyFont="1" applyFill="1" applyBorder="1" applyAlignment="1">
      <alignment horizontal="right" vertical="center"/>
    </xf>
    <xf numFmtId="165" fontId="17" fillId="0" borderId="6" xfId="5" applyNumberFormat="1" applyFont="1" applyFill="1" applyBorder="1" applyAlignment="1">
      <alignment horizontal="right" vertical="center"/>
    </xf>
    <xf numFmtId="165" fontId="17" fillId="0" borderId="1" xfId="5" applyNumberFormat="1" applyFont="1" applyFill="1" applyBorder="1" applyAlignment="1">
      <alignment horizontal="right" vertical="center"/>
    </xf>
    <xf numFmtId="165" fontId="16" fillId="0" borderId="5" xfId="1" applyNumberFormat="1" applyFont="1" applyFill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165" fontId="16" fillId="0" borderId="6" xfId="1" applyNumberFormat="1" applyFont="1" applyFill="1" applyBorder="1" applyAlignment="1">
      <alignment horizontal="right"/>
    </xf>
    <xf numFmtId="165" fontId="16" fillId="0" borderId="4" xfId="1" applyNumberFormat="1" applyFont="1" applyFill="1" applyBorder="1" applyAlignment="1">
      <alignment horizontal="right"/>
    </xf>
    <xf numFmtId="165" fontId="16" fillId="0" borderId="21" xfId="1" applyNumberFormat="1" applyFont="1" applyBorder="1"/>
    <xf numFmtId="165" fontId="16" fillId="0" borderId="10" xfId="1" applyNumberFormat="1" applyFont="1" applyFill="1" applyBorder="1"/>
    <xf numFmtId="37" fontId="16" fillId="0" borderId="5" xfId="5" quotePrefix="1" applyNumberFormat="1" applyFont="1" applyFill="1" applyBorder="1" applyAlignment="1">
      <alignment horizontal="right"/>
    </xf>
    <xf numFmtId="37" fontId="16" fillId="0" borderId="21" xfId="5" quotePrefix="1" applyNumberFormat="1" applyFont="1" applyFill="1" applyBorder="1" applyAlignment="1">
      <alignment horizontal="right"/>
    </xf>
    <xf numFmtId="165" fontId="16" fillId="0" borderId="22" xfId="5" applyNumberFormat="1" applyFont="1" applyFill="1" applyBorder="1"/>
    <xf numFmtId="0" fontId="7" fillId="0" borderId="0" xfId="1" applyNumberFormat="1" applyFont="1" applyAlignment="1">
      <alignment horizontal="center" vertical="center"/>
    </xf>
    <xf numFmtId="43" fontId="16" fillId="0" borderId="0" xfId="1" applyFont="1"/>
    <xf numFmtId="165" fontId="16" fillId="0" borderId="1" xfId="1" applyNumberFormat="1" applyFont="1" applyBorder="1"/>
    <xf numFmtId="164" fontId="16" fillId="0" borderId="0" xfId="0" applyNumberFormat="1" applyFont="1"/>
    <xf numFmtId="164" fontId="30" fillId="0" borderId="0" xfId="0" applyNumberFormat="1" applyFont="1"/>
    <xf numFmtId="167" fontId="3" fillId="0" borderId="0" xfId="2" applyNumberFormat="1" applyFont="1" applyFill="1" applyBorder="1" applyAlignment="1">
      <alignment horizontal="center"/>
    </xf>
    <xf numFmtId="167" fontId="3" fillId="0" borderId="0" xfId="2" applyNumberFormat="1" applyFont="1" applyFill="1" applyBorder="1" applyAlignment="1">
      <alignment vertical="center"/>
    </xf>
    <xf numFmtId="167" fontId="16" fillId="0" borderId="0" xfId="1" applyNumberFormat="1" applyFont="1" applyBorder="1" applyAlignment="1">
      <alignment horizontal="right"/>
    </xf>
    <xf numFmtId="165" fontId="3" fillId="0" borderId="7" xfId="1" applyNumberFormat="1" applyFont="1" applyFill="1" applyBorder="1"/>
    <xf numFmtId="10" fontId="3" fillId="0" borderId="0" xfId="3" applyNumberFormat="1" applyFont="1" applyFill="1" applyBorder="1"/>
    <xf numFmtId="166" fontId="3" fillId="0" borderId="8" xfId="3" applyNumberFormat="1" applyFont="1" applyFill="1" applyBorder="1"/>
    <xf numFmtId="3" fontId="16" fillId="0" borderId="0" xfId="0" applyNumberFormat="1" applyFont="1"/>
    <xf numFmtId="164" fontId="16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/>
    <xf numFmtId="0" fontId="1" fillId="0" borderId="0" xfId="0" applyFont="1"/>
    <xf numFmtId="0" fontId="16" fillId="0" borderId="3" xfId="0" applyFont="1" applyBorder="1"/>
    <xf numFmtId="3" fontId="16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8" fontId="16" fillId="0" borderId="2" xfId="5" applyNumberFormat="1" applyFont="1" applyFill="1" applyBorder="1"/>
    <xf numFmtId="3" fontId="16" fillId="0" borderId="2" xfId="0" applyNumberFormat="1" applyFont="1" applyBorder="1" applyAlignment="1">
      <alignment horizontal="right"/>
    </xf>
    <xf numFmtId="3" fontId="16" fillId="0" borderId="4" xfId="0" applyNumberFormat="1" applyFont="1" applyBorder="1"/>
    <xf numFmtId="3" fontId="16" fillId="0" borderId="7" xfId="0" applyNumberFormat="1" applyFont="1" applyBorder="1"/>
    <xf numFmtId="0" fontId="16" fillId="0" borderId="7" xfId="0" applyFont="1" applyBorder="1"/>
    <xf numFmtId="3" fontId="16" fillId="0" borderId="8" xfId="0" applyNumberFormat="1" applyFont="1" applyBorder="1"/>
    <xf numFmtId="3" fontId="22" fillId="0" borderId="0" xfId="0" applyNumberFormat="1" applyFont="1" applyAlignment="1">
      <alignment horizontal="center" vertical="center"/>
    </xf>
    <xf numFmtId="0" fontId="16" fillId="0" borderId="5" xfId="0" applyFont="1" applyBorder="1"/>
    <xf numFmtId="3" fontId="22" fillId="0" borderId="1" xfId="0" applyNumberFormat="1" applyFont="1" applyBorder="1" applyAlignment="1">
      <alignment horizontal="center" vertical="center"/>
    </xf>
    <xf numFmtId="3" fontId="16" fillId="0" borderId="6" xfId="0" applyNumberFormat="1" applyFont="1" applyBorder="1"/>
    <xf numFmtId="3" fontId="21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8" fontId="21" fillId="0" borderId="0" xfId="5" applyNumberFormat="1" applyFont="1" applyFill="1" applyBorder="1" applyAlignment="1">
      <alignment horizontal="center"/>
    </xf>
    <xf numFmtId="44" fontId="24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3" fontId="21" fillId="0" borderId="0" xfId="0" applyNumberFormat="1" applyFont="1"/>
    <xf numFmtId="169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4" fontId="16" fillId="0" borderId="0" xfId="5" applyNumberFormat="1" applyFont="1" applyFill="1" applyBorder="1" applyAlignment="1">
      <alignment horizontal="right"/>
    </xf>
    <xf numFmtId="165" fontId="16" fillId="0" borderId="0" xfId="5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>
      <alignment horizontal="center"/>
    </xf>
    <xf numFmtId="168" fontId="16" fillId="0" borderId="0" xfId="5" quotePrefix="1" applyNumberFormat="1" applyFont="1" applyFill="1" applyBorder="1" applyAlignment="1">
      <alignment horizontal="center"/>
    </xf>
    <xf numFmtId="168" fontId="16" fillId="0" borderId="0" xfId="5" applyNumberFormat="1" applyFont="1" applyFill="1" applyBorder="1" applyAlignment="1">
      <alignment horizontal="right"/>
    </xf>
    <xf numFmtId="3" fontId="17" fillId="0" borderId="0" xfId="0" applyNumberFormat="1" applyFont="1"/>
    <xf numFmtId="170" fontId="17" fillId="0" borderId="0" xfId="0" applyNumberFormat="1" applyFont="1" applyAlignment="1">
      <alignment horizontal="right"/>
    </xf>
    <xf numFmtId="171" fontId="16" fillId="0" borderId="0" xfId="0" applyNumberFormat="1" applyFont="1"/>
    <xf numFmtId="170" fontId="17" fillId="0" borderId="0" xfId="0" applyNumberFormat="1" applyFont="1"/>
    <xf numFmtId="3" fontId="16" fillId="0" borderId="1" xfId="0" applyNumberFormat="1" applyFont="1" applyBorder="1"/>
    <xf numFmtId="164" fontId="16" fillId="0" borderId="1" xfId="0" applyNumberFormat="1" applyFont="1" applyBorder="1" applyAlignment="1">
      <alignment horizontal="right"/>
    </xf>
    <xf numFmtId="168" fontId="16" fillId="0" borderId="1" xfId="5" applyNumberFormat="1" applyFont="1" applyFill="1" applyBorder="1" applyAlignment="1">
      <alignment horizontal="right"/>
    </xf>
    <xf numFmtId="4" fontId="16" fillId="0" borderId="7" xfId="0" applyNumberFormat="1" applyFont="1" applyBorder="1"/>
    <xf numFmtId="0" fontId="1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3" fillId="0" borderId="1" xfId="1" applyNumberFormat="1" applyFont="1" applyFill="1" applyBorder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8" fontId="3" fillId="0" borderId="0" xfId="1" applyNumberFormat="1" applyFont="1" applyFill="1"/>
    <xf numFmtId="0" fontId="31" fillId="0" borderId="0" xfId="0" applyFont="1" applyAlignment="1">
      <alignment horizontal="center"/>
    </xf>
    <xf numFmtId="43" fontId="16" fillId="0" borderId="1" xfId="1" applyFont="1" applyFill="1" applyBorder="1"/>
    <xf numFmtId="165" fontId="27" fillId="0" borderId="0" xfId="1" applyNumberFormat="1" applyFont="1" applyFill="1" applyAlignment="1">
      <alignment horizontal="right"/>
    </xf>
    <xf numFmtId="164" fontId="16" fillId="0" borderId="0" xfId="2" applyNumberFormat="1" applyFont="1" applyAlignment="1">
      <alignment horizontal="right"/>
    </xf>
    <xf numFmtId="165" fontId="27" fillId="0" borderId="1" xfId="1" applyNumberFormat="1" applyFont="1" applyFill="1" applyBorder="1" applyAlignment="1">
      <alignment horizontal="right"/>
    </xf>
    <xf numFmtId="43" fontId="3" fillId="0" borderId="0" xfId="0" applyNumberFormat="1" applyFont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8" fontId="3" fillId="0" borderId="0" xfId="1" applyNumberFormat="1" applyFont="1" applyFill="1" applyBorder="1"/>
    <xf numFmtId="43" fontId="18" fillId="0" borderId="1" xfId="0" applyNumberFormat="1" applyFont="1" applyBorder="1"/>
    <xf numFmtId="43" fontId="16" fillId="0" borderId="0" xfId="5" applyFont="1" applyFill="1" applyBorder="1"/>
    <xf numFmtId="0" fontId="17" fillId="0" borderId="9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9" fontId="17" fillId="0" borderId="1" xfId="0" applyNumberFormat="1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5" fontId="16" fillId="0" borderId="9" xfId="5" applyNumberFormat="1" applyFont="1" applyFill="1" applyBorder="1" applyAlignment="1" applyProtection="1">
      <alignment horizontal="center"/>
      <protection locked="0"/>
    </xf>
    <xf numFmtId="43" fontId="16" fillId="0" borderId="24" xfId="5" applyFont="1" applyFill="1" applyBorder="1" applyAlignment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3" fontId="16" fillId="0" borderId="9" xfId="5" applyFont="1" applyFill="1" applyBorder="1" applyAlignment="1" applyProtection="1">
      <protection locked="0"/>
    </xf>
    <xf numFmtId="0" fontId="16" fillId="0" borderId="23" xfId="0" applyFont="1" applyBorder="1" applyAlignment="1" applyProtection="1">
      <alignment horizontal="center"/>
      <protection locked="0"/>
    </xf>
    <xf numFmtId="165" fontId="16" fillId="0" borderId="23" xfId="5" applyNumberFormat="1" applyFont="1" applyFill="1" applyBorder="1" applyAlignment="1" applyProtection="1">
      <alignment horizontal="center"/>
      <protection locked="0"/>
    </xf>
    <xf numFmtId="43" fontId="16" fillId="0" borderId="23" xfId="5" applyFont="1" applyFill="1" applyBorder="1" applyAlignment="1" applyProtection="1">
      <protection locked="0"/>
    </xf>
    <xf numFmtId="43" fontId="16" fillId="0" borderId="1" xfId="5" applyFont="1" applyFill="1" applyBorder="1"/>
    <xf numFmtId="43" fontId="16" fillId="0" borderId="0" xfId="0" applyNumberFormat="1" applyFont="1"/>
    <xf numFmtId="165" fontId="16" fillId="0" borderId="0" xfId="5" applyNumberFormat="1" applyFont="1" applyFill="1" applyBorder="1" applyAlignment="1" applyProtection="1">
      <alignment horizontal="center"/>
      <protection locked="0"/>
    </xf>
    <xf numFmtId="43" fontId="16" fillId="0" borderId="5" xfId="5" applyFont="1" applyFill="1" applyBorder="1"/>
    <xf numFmtId="43" fontId="16" fillId="0" borderId="7" xfId="5" applyFont="1" applyFill="1" applyBorder="1"/>
    <xf numFmtId="43" fontId="17" fillId="0" borderId="10" xfId="5" applyFont="1" applyFill="1" applyBorder="1" applyAlignment="1">
      <alignment horizontal="center"/>
    </xf>
    <xf numFmtId="43" fontId="17" fillId="0" borderId="0" xfId="5" applyFont="1" applyFill="1" applyBorder="1" applyAlignment="1">
      <alignment horizontal="right"/>
    </xf>
    <xf numFmtId="43" fontId="17" fillId="0" borderId="1" xfId="5" applyFont="1" applyFill="1" applyBorder="1" applyAlignment="1">
      <alignment horizontal="right"/>
    </xf>
    <xf numFmtId="166" fontId="16" fillId="0" borderId="0" xfId="3" applyNumberFormat="1" applyFont="1" applyFill="1" applyBorder="1"/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43" fontId="16" fillId="0" borderId="1" xfId="0" applyNumberFormat="1" applyFont="1" applyBorder="1"/>
    <xf numFmtId="165" fontId="10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43" fontId="3" fillId="0" borderId="0" xfId="1" applyFont="1" applyFill="1"/>
    <xf numFmtId="168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8" fontId="3" fillId="0" borderId="1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7" fontId="16" fillId="0" borderId="0" xfId="1" applyNumberFormat="1" applyFont="1" applyBorder="1" applyAlignment="1">
      <alignment horizontal="right"/>
    </xf>
    <xf numFmtId="167" fontId="16" fillId="0" borderId="0" xfId="2" applyNumberFormat="1" applyFont="1" applyAlignment="1">
      <alignment horizontal="right"/>
    </xf>
    <xf numFmtId="165" fontId="33" fillId="0" borderId="1" xfId="1" applyNumberFormat="1" applyFont="1" applyBorder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3" fontId="17" fillId="0" borderId="1" xfId="5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168" fontId="21" fillId="0" borderId="0" xfId="5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165" fontId="19" fillId="0" borderId="7" xfId="5" applyNumberFormat="1" applyFont="1" applyFill="1" applyBorder="1" applyAlignment="1">
      <alignment horizontal="center"/>
    </xf>
    <xf numFmtId="165" fontId="19" fillId="0" borderId="0" xfId="5" applyNumberFormat="1" applyFont="1" applyFill="1" applyBorder="1" applyAlignment="1">
      <alignment horizontal="center"/>
    </xf>
    <xf numFmtId="165" fontId="20" fillId="0" borderId="7" xfId="5" applyNumberFormat="1" applyFont="1" applyFill="1" applyBorder="1" applyAlignment="1">
      <alignment horizontal="center"/>
    </xf>
    <xf numFmtId="165" fontId="20" fillId="0" borderId="0" xfId="5" applyNumberFormat="1" applyFont="1" applyFill="1" applyBorder="1" applyAlignment="1">
      <alignment horizontal="center"/>
    </xf>
    <xf numFmtId="165" fontId="22" fillId="0" borderId="7" xfId="5" applyNumberFormat="1" applyFont="1" applyFill="1" applyBorder="1" applyAlignment="1">
      <alignment horizontal="center" vertical="center"/>
    </xf>
    <xf numFmtId="165" fontId="22" fillId="0" borderId="0" xfId="5" applyNumberFormat="1" applyFont="1" applyFill="1" applyBorder="1" applyAlignment="1">
      <alignment horizontal="center" vertical="center"/>
    </xf>
    <xf numFmtId="165" fontId="23" fillId="0" borderId="7" xfId="5" applyNumberFormat="1" applyFont="1" applyFill="1" applyBorder="1" applyAlignment="1">
      <alignment horizontal="center"/>
    </xf>
    <xf numFmtId="165" fontId="23" fillId="0" borderId="0" xfId="5" applyNumberFormat="1" applyFont="1" applyFill="1" applyBorder="1" applyAlignment="1">
      <alignment horizontal="center"/>
    </xf>
    <xf numFmtId="0" fontId="17" fillId="0" borderId="5" xfId="5" applyNumberFormat="1" applyFont="1" applyFill="1" applyBorder="1" applyAlignment="1">
      <alignment horizontal="center" vertical="center"/>
    </xf>
    <xf numFmtId="0" fontId="17" fillId="0" borderId="6" xfId="5" applyNumberFormat="1" applyFont="1" applyFill="1" applyBorder="1" applyAlignment="1">
      <alignment horizontal="center" vertical="center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3" fontId="32" fillId="0" borderId="3" xfId="1" applyFont="1" applyBorder="1" applyAlignment="1">
      <alignment horizontal="center"/>
    </xf>
    <xf numFmtId="43" fontId="32" fillId="0" borderId="2" xfId="1" applyFont="1" applyBorder="1" applyAlignment="1">
      <alignment horizontal="center"/>
    </xf>
    <xf numFmtId="43" fontId="32" fillId="0" borderId="4" xfId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44" fontId="25" fillId="0" borderId="3" xfId="2" applyFont="1" applyBorder="1" applyAlignment="1">
      <alignment horizontal="center"/>
    </xf>
    <xf numFmtId="44" fontId="25" fillId="0" borderId="2" xfId="2" applyFont="1" applyBorder="1" applyAlignment="1">
      <alignment horizontal="center"/>
    </xf>
    <xf numFmtId="44" fontId="25" fillId="0" borderId="4" xfId="2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5" fontId="25" fillId="0" borderId="3" xfId="1" applyNumberFormat="1" applyFont="1" applyBorder="1" applyAlignment="1">
      <alignment horizontal="center"/>
    </xf>
    <xf numFmtId="165" fontId="25" fillId="0" borderId="2" xfId="1" applyNumberFormat="1" applyFont="1" applyBorder="1" applyAlignment="1">
      <alignment horizontal="center"/>
    </xf>
    <xf numFmtId="165" fontId="25" fillId="0" borderId="4" xfId="1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  <xf numFmtId="0" fontId="3" fillId="3" borderId="0" xfId="0" applyFont="1" applyFill="1"/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Farmdale%20WD/Payroll%20Worksheet%202024.xlsm" TargetMode="External"/><Relationship Id="rId1" Type="http://schemas.openxmlformats.org/officeDocument/2006/relationships/externalLinkPath" Target="https://d.docs.live.net/4620783bd5d64abe/Farmdale%20WD/Payroll%20Worksheet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Farmdale%20WD/2024%20Depreciation%20Schedule.xlsx" TargetMode="External"/><Relationship Id="rId1" Type="http://schemas.openxmlformats.org/officeDocument/2006/relationships/externalLinkPath" Target="https://d.docs.live.net/4620783bd5d64abe/Farmdale%20WD/2024%20Depreciation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tirement"/>
      <sheetName val="Pension Note"/>
      <sheetName val="Pension Expense"/>
      <sheetName val="OPEB Note"/>
      <sheetName val="OPEB Expense"/>
      <sheetName val="x"/>
    </sheetNames>
    <sheetDataSet>
      <sheetData sheetId="0">
        <row r="14">
          <cell r="E14">
            <v>21572.835160000002</v>
          </cell>
        </row>
      </sheetData>
      <sheetData sheetId="1">
        <row r="19">
          <cell r="I19">
            <v>27957.451719568497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51">
          <cell r="G251">
            <v>1778783.62</v>
          </cell>
        </row>
        <row r="259">
          <cell r="G259">
            <v>413744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workbookViewId="0">
      <selection activeCell="D24" sqref="D24"/>
    </sheetView>
  </sheetViews>
  <sheetFormatPr defaultColWidth="8.77734375" defaultRowHeight="15" x14ac:dyDescent="0.25"/>
  <cols>
    <col min="1" max="1" width="4.5546875" style="4" customWidth="1"/>
    <col min="2" max="2" width="27.6640625" style="4" customWidth="1"/>
    <col min="3" max="3" width="12.5546875" style="4" customWidth="1"/>
    <col min="4" max="4" width="10.5546875" style="4" customWidth="1"/>
    <col min="5" max="5" width="3.5546875" style="346" customWidth="1"/>
    <col min="6" max="6" width="10.5546875" style="133" customWidth="1"/>
    <col min="7" max="7" width="1.5546875" style="4" customWidth="1"/>
    <col min="8" max="8" width="40.5546875" style="4" customWidth="1"/>
    <col min="9" max="10" width="11.33203125" style="4" customWidth="1"/>
    <col min="11" max="11" width="10.77734375" style="4" customWidth="1"/>
    <col min="12" max="16384" width="8.77734375" style="4"/>
  </cols>
  <sheetData>
    <row r="1" spans="1:11" ht="18.75" x14ac:dyDescent="0.25">
      <c r="A1" s="362" t="s">
        <v>79</v>
      </c>
      <c r="B1" s="362"/>
      <c r="C1" s="362"/>
      <c r="D1" s="362"/>
      <c r="E1" s="362"/>
      <c r="F1" s="362"/>
      <c r="G1" s="31"/>
      <c r="H1" s="31"/>
      <c r="I1" s="31"/>
      <c r="J1" s="31"/>
    </row>
    <row r="2" spans="1:11" ht="18.75" x14ac:dyDescent="0.25">
      <c r="A2" s="362" t="s">
        <v>80</v>
      </c>
      <c r="B2" s="362"/>
      <c r="C2" s="362"/>
      <c r="D2" s="362"/>
      <c r="E2" s="362"/>
      <c r="F2" s="362"/>
      <c r="G2" s="31"/>
      <c r="H2" s="31"/>
      <c r="I2" s="31"/>
      <c r="J2" s="31"/>
      <c r="K2" s="31"/>
    </row>
    <row r="3" spans="1:11" ht="15.75" x14ac:dyDescent="0.25">
      <c r="A3" s="96"/>
      <c r="B3" s="96"/>
      <c r="C3" s="96"/>
      <c r="D3" s="96"/>
      <c r="E3" s="343"/>
      <c r="F3" s="96"/>
      <c r="G3" s="31"/>
      <c r="H3" s="31"/>
      <c r="I3" s="31"/>
      <c r="J3" s="31"/>
      <c r="K3" s="31"/>
    </row>
    <row r="4" spans="1:11" x14ac:dyDescent="0.25">
      <c r="A4" s="27"/>
      <c r="B4" s="33"/>
      <c r="C4" s="248">
        <v>2024</v>
      </c>
      <c r="D4" s="97"/>
      <c r="E4" s="344"/>
      <c r="F4" s="131"/>
      <c r="G4" s="31"/>
      <c r="H4" s="31"/>
      <c r="I4" s="31"/>
      <c r="J4" s="31"/>
    </row>
    <row r="5" spans="1:11" ht="17.25" x14ac:dyDescent="0.25">
      <c r="A5" s="31"/>
      <c r="B5" s="31"/>
      <c r="C5" s="32" t="s">
        <v>7</v>
      </c>
      <c r="D5" s="32" t="s">
        <v>8</v>
      </c>
      <c r="E5" s="345"/>
      <c r="F5" s="132" t="s">
        <v>9</v>
      </c>
      <c r="G5" s="31"/>
      <c r="H5" s="361" t="s">
        <v>78</v>
      </c>
      <c r="I5" s="31"/>
      <c r="J5" s="31"/>
    </row>
    <row r="6" spans="1:11" x14ac:dyDescent="0.25">
      <c r="A6" s="59" t="s">
        <v>107</v>
      </c>
      <c r="B6" s="31"/>
      <c r="C6" s="31"/>
      <c r="F6" s="131"/>
      <c r="G6" s="31"/>
      <c r="I6" s="31"/>
      <c r="J6" s="31"/>
    </row>
    <row r="7" spans="1:11" x14ac:dyDescent="0.25">
      <c r="A7" s="31"/>
      <c r="B7" s="163" t="s">
        <v>75</v>
      </c>
      <c r="C7" s="4">
        <v>1441455</v>
      </c>
      <c r="D7" s="101">
        <f>'Existing Billing Analysis'!G12</f>
        <v>84548.993999999948</v>
      </c>
      <c r="E7" s="352" t="s">
        <v>281</v>
      </c>
      <c r="F7" s="141">
        <f>C7+D7</f>
        <v>1526003.9939999999</v>
      </c>
      <c r="G7" s="161"/>
      <c r="H7" s="31" t="s">
        <v>169</v>
      </c>
      <c r="I7" s="31"/>
      <c r="J7" s="31"/>
    </row>
    <row r="8" spans="1:11" x14ac:dyDescent="0.25">
      <c r="A8" s="31"/>
      <c r="B8" s="168" t="s">
        <v>85</v>
      </c>
      <c r="C8" s="164">
        <v>46220</v>
      </c>
      <c r="D8" s="101">
        <v>0</v>
      </c>
      <c r="E8" s="347"/>
      <c r="F8" s="141">
        <f t="shared" ref="F8" si="0">C8+D8</f>
        <v>46220</v>
      </c>
      <c r="G8" s="162"/>
      <c r="H8" s="30"/>
      <c r="I8" s="31"/>
      <c r="J8" s="31"/>
    </row>
    <row r="9" spans="1:11" x14ac:dyDescent="0.25">
      <c r="A9" s="31"/>
      <c r="B9" s="163" t="s">
        <v>76</v>
      </c>
      <c r="C9" s="4">
        <v>159869</v>
      </c>
      <c r="D9" s="101">
        <v>-62314.49</v>
      </c>
      <c r="E9" s="347" t="s">
        <v>284</v>
      </c>
      <c r="F9" s="142"/>
      <c r="G9" s="31"/>
      <c r="H9" s="31" t="s">
        <v>300</v>
      </c>
      <c r="I9" s="31"/>
      <c r="J9" s="31"/>
    </row>
    <row r="10" spans="1:11" x14ac:dyDescent="0.25">
      <c r="A10" s="31"/>
      <c r="B10" s="163"/>
      <c r="D10" s="101">
        <v>-3035</v>
      </c>
      <c r="E10" s="347" t="s">
        <v>285</v>
      </c>
      <c r="F10" s="142"/>
      <c r="G10" s="31"/>
      <c r="H10" s="31" t="s">
        <v>299</v>
      </c>
      <c r="I10" s="31"/>
      <c r="J10" s="31"/>
    </row>
    <row r="11" spans="1:11" x14ac:dyDescent="0.25">
      <c r="A11" s="31"/>
      <c r="B11" s="163"/>
      <c r="D11" s="101">
        <v>-29432</v>
      </c>
      <c r="E11" s="347" t="s">
        <v>286</v>
      </c>
      <c r="F11" s="142">
        <f>C9+D9+D10+D11</f>
        <v>65087.510000000009</v>
      </c>
      <c r="G11" s="31"/>
      <c r="H11" s="31" t="s">
        <v>298</v>
      </c>
      <c r="I11" s="31"/>
      <c r="J11" s="31"/>
    </row>
    <row r="12" spans="1:11" x14ac:dyDescent="0.25">
      <c r="A12" s="31"/>
      <c r="B12" s="163" t="s">
        <v>168</v>
      </c>
      <c r="C12" s="2">
        <v>1200</v>
      </c>
      <c r="D12" s="61">
        <v>0</v>
      </c>
      <c r="E12" s="348"/>
      <c r="F12" s="143">
        <f>C12+D12</f>
        <v>1200</v>
      </c>
      <c r="G12" s="31"/>
      <c r="H12" s="31"/>
      <c r="I12" s="31"/>
      <c r="J12" s="31"/>
    </row>
    <row r="13" spans="1:11" x14ac:dyDescent="0.25">
      <c r="A13" s="34" t="s">
        <v>108</v>
      </c>
      <c r="B13" s="31"/>
      <c r="C13" s="141">
        <f>SUM(C7:C12)</f>
        <v>1648744</v>
      </c>
      <c r="D13" s="31">
        <f>SUM(D7:D12)</f>
        <v>-10232.49600000005</v>
      </c>
      <c r="F13" s="141">
        <f>SUM(F7:F12)</f>
        <v>1638511.504</v>
      </c>
      <c r="G13" s="31"/>
      <c r="I13" s="33"/>
      <c r="J13" s="31"/>
    </row>
    <row r="14" spans="1:11" x14ac:dyDescent="0.25">
      <c r="A14" s="31"/>
      <c r="B14" s="31"/>
      <c r="C14" s="31"/>
      <c r="D14" s="101"/>
      <c r="E14" s="347"/>
      <c r="F14" s="131"/>
      <c r="G14" s="31"/>
      <c r="H14" s="31"/>
      <c r="I14" s="31"/>
      <c r="J14" s="31"/>
    </row>
    <row r="15" spans="1:11" x14ac:dyDescent="0.25">
      <c r="A15" s="59" t="s">
        <v>74</v>
      </c>
      <c r="B15" s="31"/>
      <c r="C15" s="31"/>
      <c r="D15" s="101"/>
      <c r="E15" s="347"/>
      <c r="F15" s="131"/>
      <c r="G15" s="31"/>
      <c r="H15" s="31"/>
      <c r="I15" s="167"/>
      <c r="J15" s="31"/>
    </row>
    <row r="16" spans="1:11" x14ac:dyDescent="0.25">
      <c r="A16" s="31"/>
      <c r="B16" s="163" t="s">
        <v>94</v>
      </c>
      <c r="C16" s="4">
        <v>243031</v>
      </c>
      <c r="D16" s="101">
        <f>-'Tap Fees'!B5</f>
        <v>-8830</v>
      </c>
      <c r="E16" s="347" t="s">
        <v>290</v>
      </c>
      <c r="F16" s="141"/>
      <c r="G16" s="161"/>
      <c r="H16" s="31" t="s">
        <v>231</v>
      </c>
      <c r="I16" s="31"/>
      <c r="J16" s="31"/>
    </row>
    <row r="17" spans="1:10" x14ac:dyDescent="0.25">
      <c r="A17" s="31"/>
      <c r="B17" s="163"/>
      <c r="D17" s="101">
        <f>Wages!I21</f>
        <v>152735.04999999999</v>
      </c>
      <c r="E17" s="352" t="s">
        <v>283</v>
      </c>
      <c r="F17" s="141">
        <f>C16+D16+D17</f>
        <v>386936.05</v>
      </c>
      <c r="G17" s="161"/>
      <c r="H17" s="31" t="s">
        <v>259</v>
      </c>
      <c r="I17" s="31"/>
      <c r="J17" s="31"/>
    </row>
    <row r="18" spans="1:10" x14ac:dyDescent="0.25">
      <c r="A18" s="31"/>
      <c r="B18" s="163" t="s">
        <v>95</v>
      </c>
      <c r="C18" s="4">
        <v>14600</v>
      </c>
      <c r="D18" s="101"/>
      <c r="E18" s="347"/>
      <c r="F18" s="141">
        <f t="shared" ref="F18:F33" si="1">C18+D18</f>
        <v>14600</v>
      </c>
      <c r="G18" s="161"/>
      <c r="H18" s="31"/>
      <c r="I18" s="31"/>
      <c r="J18" s="31"/>
    </row>
    <row r="19" spans="1:10" x14ac:dyDescent="0.25">
      <c r="A19" s="31"/>
      <c r="B19" s="163" t="s">
        <v>96</v>
      </c>
      <c r="C19" s="50">
        <v>-4884</v>
      </c>
      <c r="D19" s="101">
        <v>32841.449999999997</v>
      </c>
      <c r="E19" s="347" t="s">
        <v>287</v>
      </c>
      <c r="F19" s="141"/>
      <c r="G19" s="161"/>
      <c r="H19" s="31" t="s">
        <v>256</v>
      </c>
      <c r="I19" s="31"/>
      <c r="J19" s="31"/>
    </row>
    <row r="20" spans="1:10" x14ac:dyDescent="0.25">
      <c r="A20" s="31"/>
      <c r="B20" s="163"/>
      <c r="C20" s="50"/>
      <c r="D20" s="101">
        <f>Medical!C20</f>
        <v>20315.909999999996</v>
      </c>
      <c r="E20" s="347" t="s">
        <v>288</v>
      </c>
      <c r="F20" s="141"/>
      <c r="G20" s="161"/>
      <c r="H20" s="31" t="s">
        <v>279</v>
      </c>
      <c r="I20" s="31"/>
      <c r="J20" s="31"/>
    </row>
    <row r="21" spans="1:10" x14ac:dyDescent="0.25">
      <c r="A21" s="31"/>
      <c r="B21" s="163"/>
      <c r="C21" s="50"/>
      <c r="D21" s="101">
        <f>Wages!I33</f>
        <v>45734.186790431508</v>
      </c>
      <c r="E21" s="347" t="s">
        <v>289</v>
      </c>
      <c r="F21" s="141">
        <f>C19+D19+D20+D21</f>
        <v>94007.546790431501</v>
      </c>
      <c r="G21" s="161"/>
      <c r="H21" s="31" t="s">
        <v>268</v>
      </c>
      <c r="I21" s="31"/>
      <c r="J21" s="31"/>
    </row>
    <row r="22" spans="1:10" x14ac:dyDescent="0.25">
      <c r="A22" s="31"/>
      <c r="B22" s="163" t="s">
        <v>97</v>
      </c>
      <c r="C22" s="164">
        <v>639708</v>
      </c>
      <c r="D22" s="101">
        <f>'Water Loss Surcharge'!F35</f>
        <v>-87373.721298886128</v>
      </c>
      <c r="E22" s="347" t="s">
        <v>294</v>
      </c>
      <c r="F22" s="141">
        <f t="shared" si="1"/>
        <v>552334.27870111389</v>
      </c>
      <c r="G22" s="161"/>
      <c r="H22" s="31" t="s">
        <v>161</v>
      </c>
      <c r="I22" s="31"/>
      <c r="J22" s="31"/>
    </row>
    <row r="23" spans="1:10" x14ac:dyDescent="0.25">
      <c r="A23" s="31"/>
      <c r="B23" s="163" t="s">
        <v>105</v>
      </c>
      <c r="C23" s="164">
        <v>22061</v>
      </c>
      <c r="D23" s="101">
        <f>'Water Loss Surcharge'!F36</f>
        <v>-3013.1742382066927</v>
      </c>
      <c r="E23" s="347" t="s">
        <v>294</v>
      </c>
      <c r="F23" s="141">
        <f t="shared" si="1"/>
        <v>19047.825761793309</v>
      </c>
      <c r="G23" s="161"/>
      <c r="H23" s="31" t="s">
        <v>161</v>
      </c>
      <c r="I23" s="31"/>
      <c r="J23" s="31"/>
    </row>
    <row r="24" spans="1:10" x14ac:dyDescent="0.25">
      <c r="A24" s="31"/>
      <c r="B24" s="163" t="s">
        <v>86</v>
      </c>
      <c r="C24" s="164">
        <v>61014</v>
      </c>
      <c r="D24" s="101">
        <f>-'Tap Fees'!B6</f>
        <v>-20602</v>
      </c>
      <c r="E24" s="347" t="s">
        <v>290</v>
      </c>
      <c r="F24" s="141">
        <f t="shared" si="1"/>
        <v>40412</v>
      </c>
      <c r="G24" s="161"/>
      <c r="H24" s="31" t="s">
        <v>232</v>
      </c>
      <c r="I24" s="31"/>
      <c r="J24" s="31"/>
    </row>
    <row r="25" spans="1:10" x14ac:dyDescent="0.25">
      <c r="A25" s="31"/>
      <c r="B25" s="163" t="s">
        <v>98</v>
      </c>
      <c r="C25" s="164">
        <v>32518</v>
      </c>
      <c r="D25" s="101">
        <f>D18*0.062</f>
        <v>0</v>
      </c>
      <c r="E25" s="347"/>
      <c r="F25" s="141">
        <f t="shared" si="1"/>
        <v>32518</v>
      </c>
      <c r="G25" s="161"/>
      <c r="H25" s="31"/>
      <c r="I25" s="31"/>
      <c r="J25" s="31"/>
    </row>
    <row r="26" spans="1:10" x14ac:dyDescent="0.25">
      <c r="A26" s="31"/>
      <c r="B26" s="163" t="s">
        <v>99</v>
      </c>
      <c r="C26" s="310">
        <v>114127</v>
      </c>
      <c r="D26" s="101">
        <f>D18*0.0145</f>
        <v>0</v>
      </c>
      <c r="E26" s="347"/>
      <c r="F26" s="141">
        <f t="shared" si="1"/>
        <v>114127</v>
      </c>
      <c r="G26" s="161"/>
      <c r="H26" s="31"/>
      <c r="I26" s="31"/>
      <c r="J26" s="31"/>
    </row>
    <row r="27" spans="1:10" x14ac:dyDescent="0.25">
      <c r="A27" s="31"/>
      <c r="B27" s="163" t="s">
        <v>100</v>
      </c>
      <c r="C27" s="4">
        <v>6335</v>
      </c>
      <c r="D27" s="101">
        <f>D18*0.035</f>
        <v>0</v>
      </c>
      <c r="E27" s="347"/>
      <c r="F27" s="141">
        <f t="shared" si="1"/>
        <v>6335</v>
      </c>
      <c r="G27" s="161"/>
      <c r="H27" s="31"/>
      <c r="I27" s="31"/>
      <c r="J27" s="31"/>
    </row>
    <row r="28" spans="1:10" x14ac:dyDescent="0.25">
      <c r="A28" s="31"/>
      <c r="B28" s="163" t="s">
        <v>101</v>
      </c>
      <c r="C28" s="164">
        <v>14256</v>
      </c>
      <c r="D28" s="101">
        <v>0</v>
      </c>
      <c r="E28" s="347"/>
      <c r="F28" s="141">
        <f t="shared" si="1"/>
        <v>14256</v>
      </c>
      <c r="G28" s="161"/>
      <c r="H28" s="31" t="s">
        <v>34</v>
      </c>
      <c r="I28" s="31"/>
      <c r="J28" s="31"/>
    </row>
    <row r="29" spans="1:10" x14ac:dyDescent="0.25">
      <c r="A29" s="31"/>
      <c r="B29" s="163" t="s">
        <v>102</v>
      </c>
      <c r="C29" s="164">
        <v>25802</v>
      </c>
      <c r="D29" s="101">
        <v>0</v>
      </c>
      <c r="E29" s="347"/>
      <c r="F29" s="141">
        <f t="shared" si="1"/>
        <v>25802</v>
      </c>
      <c r="G29" s="161"/>
      <c r="H29" s="31"/>
      <c r="I29" s="31"/>
      <c r="J29" s="31"/>
    </row>
    <row r="30" spans="1:10" x14ac:dyDescent="0.25">
      <c r="A30" s="31"/>
      <c r="B30" s="163" t="s">
        <v>103</v>
      </c>
      <c r="C30" s="164">
        <v>4018</v>
      </c>
      <c r="D30" s="101">
        <v>0</v>
      </c>
      <c r="E30" s="347"/>
      <c r="F30" s="141">
        <f t="shared" si="1"/>
        <v>4018</v>
      </c>
      <c r="G30" s="161"/>
      <c r="H30" s="31"/>
      <c r="I30" s="31"/>
      <c r="J30" s="31"/>
    </row>
    <row r="31" spans="1:10" x14ac:dyDescent="0.25">
      <c r="A31" s="31"/>
      <c r="B31" s="163" t="s">
        <v>170</v>
      </c>
      <c r="C31" s="164">
        <v>875</v>
      </c>
      <c r="D31" s="101">
        <v>0</v>
      </c>
      <c r="E31" s="347"/>
      <c r="F31" s="141">
        <f t="shared" si="1"/>
        <v>875</v>
      </c>
      <c r="G31" s="161"/>
      <c r="H31" s="31"/>
      <c r="I31" s="31"/>
      <c r="J31" s="31"/>
    </row>
    <row r="32" spans="1:10" x14ac:dyDescent="0.25">
      <c r="A32" s="31"/>
      <c r="B32" s="163" t="s">
        <v>173</v>
      </c>
      <c r="C32" s="164">
        <v>0</v>
      </c>
      <c r="D32" s="101">
        <f>'Rate Case Expenses'!B7</f>
        <v>10000</v>
      </c>
      <c r="E32" s="347" t="s">
        <v>301</v>
      </c>
      <c r="F32" s="141">
        <f t="shared" si="1"/>
        <v>10000</v>
      </c>
      <c r="G32" s="161"/>
      <c r="H32" s="31" t="s">
        <v>269</v>
      </c>
      <c r="I32" s="31"/>
      <c r="J32" s="31"/>
    </row>
    <row r="33" spans="1:10" x14ac:dyDescent="0.25">
      <c r="A33" s="31"/>
      <c r="B33" s="163" t="s">
        <v>104</v>
      </c>
      <c r="C33" s="312">
        <v>147410</v>
      </c>
      <c r="D33" s="61">
        <v>0</v>
      </c>
      <c r="E33" s="348"/>
      <c r="F33" s="143">
        <f t="shared" si="1"/>
        <v>147410</v>
      </c>
      <c r="G33" s="161"/>
      <c r="H33" s="31"/>
      <c r="I33" s="31"/>
      <c r="J33" s="31"/>
    </row>
    <row r="34" spans="1:10" x14ac:dyDescent="0.25">
      <c r="A34" s="126" t="s">
        <v>109</v>
      </c>
      <c r="C34" s="98">
        <f>SUM(C16:C33)</f>
        <v>1320871</v>
      </c>
      <c r="D34" s="4">
        <f>SUM(D16:D33)</f>
        <v>141807.70125333866</v>
      </c>
      <c r="F34" s="4">
        <f>SUM(F16:F33)</f>
        <v>1462678.7012533387</v>
      </c>
    </row>
    <row r="35" spans="1:10" x14ac:dyDescent="0.25">
      <c r="A35" s="126"/>
      <c r="C35" s="98"/>
      <c r="F35" s="4"/>
    </row>
    <row r="36" spans="1:10" x14ac:dyDescent="0.25">
      <c r="A36" s="126" t="s">
        <v>111</v>
      </c>
      <c r="C36" s="98"/>
      <c r="F36" s="4"/>
    </row>
    <row r="37" spans="1:10" x14ac:dyDescent="0.25">
      <c r="B37" s="4" t="s">
        <v>106</v>
      </c>
      <c r="C37" s="4">
        <v>150611</v>
      </c>
      <c r="D37" s="4">
        <f>Depreciation!F50</f>
        <v>51899.886955873051</v>
      </c>
      <c r="E37" s="346" t="s">
        <v>296</v>
      </c>
      <c r="F37" s="141">
        <f>C37+D37</f>
        <v>202510.88695587305</v>
      </c>
      <c r="H37" s="4" t="s">
        <v>267</v>
      </c>
    </row>
    <row r="38" spans="1:10" x14ac:dyDescent="0.25">
      <c r="A38" s="126"/>
      <c r="B38" s="4" t="s">
        <v>110</v>
      </c>
      <c r="C38" s="314">
        <v>73109</v>
      </c>
      <c r="D38" s="2">
        <f>Wages!I27</f>
        <v>8703.2676649999958</v>
      </c>
      <c r="E38" s="349" t="s">
        <v>282</v>
      </c>
      <c r="F38" s="2">
        <f>C38+D38</f>
        <v>81812.267664999992</v>
      </c>
      <c r="H38" s="4" t="s">
        <v>259</v>
      </c>
    </row>
    <row r="39" spans="1:10" x14ac:dyDescent="0.25">
      <c r="A39" s="126" t="s">
        <v>112</v>
      </c>
      <c r="C39" s="166">
        <f>SUM(C37:C38)</f>
        <v>223720</v>
      </c>
      <c r="D39" s="3">
        <f t="shared" ref="D39:F39" si="2">SUM(D37:D38)</f>
        <v>60603.154620873043</v>
      </c>
      <c r="E39" s="350"/>
      <c r="F39" s="3">
        <f t="shared" si="2"/>
        <v>284323.15462087304</v>
      </c>
    </row>
    <row r="40" spans="1:10" x14ac:dyDescent="0.25">
      <c r="A40" s="126"/>
      <c r="C40" s="166"/>
      <c r="D40" s="3"/>
      <c r="E40" s="350"/>
      <c r="F40" s="3"/>
    </row>
    <row r="41" spans="1:10" x14ac:dyDescent="0.25">
      <c r="A41" s="126" t="s">
        <v>113</v>
      </c>
      <c r="C41" s="166"/>
      <c r="D41" s="3"/>
      <c r="E41" s="350"/>
      <c r="F41" s="3"/>
    </row>
    <row r="42" spans="1:10" x14ac:dyDescent="0.25">
      <c r="A42" s="126"/>
      <c r="B42" s="4" t="s">
        <v>115</v>
      </c>
      <c r="C42" s="166">
        <v>8631</v>
      </c>
      <c r="D42" s="4">
        <v>0</v>
      </c>
      <c r="F42" s="98">
        <f>C42+D42</f>
        <v>8631</v>
      </c>
    </row>
    <row r="43" spans="1:10" x14ac:dyDescent="0.25">
      <c r="A43" s="126"/>
      <c r="B43" s="4" t="s">
        <v>114</v>
      </c>
      <c r="C43" s="165">
        <v>16502</v>
      </c>
      <c r="D43" s="303">
        <v>0</v>
      </c>
      <c r="E43" s="348"/>
      <c r="F43" s="2">
        <f>C43+D43</f>
        <v>16502</v>
      </c>
    </row>
    <row r="44" spans="1:10" x14ac:dyDescent="0.25">
      <c r="A44" s="126" t="s">
        <v>116</v>
      </c>
      <c r="C44" s="166">
        <f>SUM(C42:C43)</f>
        <v>25133</v>
      </c>
      <c r="D44" s="3">
        <f t="shared" ref="D44" si="3">SUM(D42:D43)</f>
        <v>0</v>
      </c>
      <c r="E44" s="350"/>
      <c r="F44" s="3">
        <f t="shared" ref="F44" si="4">SUM(F42:F43)</f>
        <v>25133</v>
      </c>
    </row>
    <row r="45" spans="1:10" x14ac:dyDescent="0.25">
      <c r="A45" s="126"/>
      <c r="C45" s="166"/>
      <c r="D45" s="3"/>
      <c r="E45" s="350"/>
      <c r="F45" s="3"/>
    </row>
    <row r="46" spans="1:10" ht="15.75" thickBot="1" x14ac:dyDescent="0.3">
      <c r="A46" s="126" t="s">
        <v>117</v>
      </c>
      <c r="C46" s="176">
        <f>C13-C34-C39+C44</f>
        <v>129286</v>
      </c>
      <c r="D46" s="176">
        <f t="shared" ref="D46:F46" si="5">D13-D34-D39+D44</f>
        <v>-212643.35187421174</v>
      </c>
      <c r="E46" s="351"/>
      <c r="F46" s="176">
        <f t="shared" si="5"/>
        <v>-83357.351874211803</v>
      </c>
    </row>
    <row r="47" spans="1:10" ht="15.75" thickTop="1" x14ac:dyDescent="0.25">
      <c r="A47" s="126"/>
      <c r="F47" s="4"/>
    </row>
    <row r="48" spans="1:10" x14ac:dyDescent="0.25">
      <c r="A48" s="126" t="s">
        <v>118</v>
      </c>
      <c r="F48" s="4"/>
    </row>
    <row r="49" spans="1:10" x14ac:dyDescent="0.25">
      <c r="A49" s="126"/>
      <c r="B49" s="4" t="s">
        <v>119</v>
      </c>
      <c r="C49" s="4">
        <v>26157</v>
      </c>
      <c r="F49" s="4"/>
    </row>
    <row r="50" spans="1:10" x14ac:dyDescent="0.25">
      <c r="A50" s="126"/>
      <c r="B50" s="4" t="s">
        <v>120</v>
      </c>
      <c r="C50" s="4">
        <v>103129</v>
      </c>
      <c r="F50" s="4"/>
    </row>
    <row r="51" spans="1:10" x14ac:dyDescent="0.25">
      <c r="A51" s="126"/>
      <c r="B51" s="4" t="s">
        <v>121</v>
      </c>
      <c r="C51" s="2">
        <v>0</v>
      </c>
      <c r="F51" s="4"/>
    </row>
    <row r="52" spans="1:10" x14ac:dyDescent="0.25">
      <c r="A52" s="126" t="s">
        <v>118</v>
      </c>
      <c r="C52" s="4">
        <f>SUM(C49:C51)</f>
        <v>129286</v>
      </c>
      <c r="D52" s="98" t="str">
        <f>IF(C52=C46,"OK","Out of Balance")</f>
        <v>OK</v>
      </c>
      <c r="F52" s="4"/>
    </row>
    <row r="53" spans="1:10" x14ac:dyDescent="0.25">
      <c r="A53" s="31"/>
      <c r="B53" s="31"/>
      <c r="C53" s="31"/>
      <c r="D53" s="31"/>
      <c r="F53" s="131"/>
      <c r="G53" s="31"/>
      <c r="H53" s="31"/>
      <c r="I53" s="31"/>
      <c r="J53" s="31"/>
    </row>
    <row r="54" spans="1:10" x14ac:dyDescent="0.25">
      <c r="A54" s="31"/>
      <c r="B54" s="31"/>
      <c r="C54" s="35">
        <f>C52-C46</f>
        <v>0</v>
      </c>
      <c r="D54" s="31"/>
      <c r="F54" s="131"/>
    </row>
    <row r="55" spans="1:10" x14ac:dyDescent="0.25">
      <c r="A55" s="34"/>
      <c r="B55" s="31"/>
      <c r="C55" s="35"/>
      <c r="D55" s="31"/>
      <c r="F55" s="131"/>
    </row>
  </sheetData>
  <mergeCells count="2">
    <mergeCell ref="A1:F1"/>
    <mergeCell ref="A2:F2"/>
  </mergeCells>
  <printOptions horizontalCentered="1" verticalCentered="1"/>
  <pageMargins left="0.45" right="0.25" top="0.5" bottom="0.5" header="0.3" footer="0.3"/>
  <pageSetup scale="72" orientation="landscape" horizontalDpi="4294967293" r:id="rId1"/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G37"/>
  <sheetViews>
    <sheetView showGridLines="0" topLeftCell="A15" workbookViewId="0">
      <selection sqref="A1:I38"/>
    </sheetView>
  </sheetViews>
  <sheetFormatPr defaultColWidth="8.77734375" defaultRowHeight="15" x14ac:dyDescent="0.25"/>
  <cols>
    <col min="1" max="1" width="2.77734375" style="13" customWidth="1"/>
    <col min="2" max="2" width="2.5546875" style="13" customWidth="1"/>
    <col min="3" max="3" width="30.5546875" style="29" customWidth="1"/>
    <col min="4" max="4" width="9.33203125" style="15" bestFit="1" customWidth="1"/>
    <col min="5" max="5" width="9.5546875" style="15" customWidth="1"/>
    <col min="6" max="7" width="9.5546875" style="29" customWidth="1"/>
    <col min="8" max="8" width="2.5546875" style="13" customWidth="1"/>
    <col min="9" max="9" width="2" style="13" customWidth="1"/>
    <col min="10" max="10" width="9.5546875" style="42" customWidth="1"/>
    <col min="11" max="189" width="9.5546875" style="13" customWidth="1"/>
    <col min="190" max="16384" width="8.77734375" style="9"/>
  </cols>
  <sheetData>
    <row r="2" spans="2:10" ht="18" customHeight="1" x14ac:dyDescent="0.35">
      <c r="B2" s="389" t="s">
        <v>304</v>
      </c>
      <c r="C2" s="390"/>
      <c r="D2" s="390"/>
      <c r="E2" s="390"/>
      <c r="F2" s="390"/>
      <c r="G2" s="390"/>
      <c r="H2" s="391"/>
    </row>
    <row r="3" spans="2:10" ht="21" x14ac:dyDescent="0.35">
      <c r="B3" s="393" t="s">
        <v>12</v>
      </c>
      <c r="C3" s="394"/>
      <c r="D3" s="394"/>
      <c r="E3" s="394"/>
      <c r="F3" s="394"/>
      <c r="G3" s="394"/>
      <c r="H3" s="395"/>
    </row>
    <row r="4" spans="2:10" ht="18" customHeight="1" x14ac:dyDescent="0.25">
      <c r="B4" s="396" t="s">
        <v>80</v>
      </c>
      <c r="C4" s="397"/>
      <c r="D4" s="397"/>
      <c r="E4" s="397"/>
      <c r="F4" s="397"/>
      <c r="G4" s="397"/>
      <c r="H4" s="398"/>
    </row>
    <row r="5" spans="2:10" ht="6" customHeight="1" x14ac:dyDescent="0.25">
      <c r="B5" s="43"/>
      <c r="H5" s="44"/>
    </row>
    <row r="6" spans="2:10" ht="8.1" customHeight="1" x14ac:dyDescent="0.25">
      <c r="B6" s="92"/>
      <c r="C6" s="94"/>
      <c r="D6" s="95"/>
      <c r="E6" s="95"/>
      <c r="F6" s="94"/>
      <c r="G6" s="94"/>
      <c r="H6" s="93"/>
    </row>
    <row r="7" spans="2:10" ht="18.75" x14ac:dyDescent="0.3">
      <c r="B7" s="399" t="s">
        <v>184</v>
      </c>
      <c r="C7" s="400"/>
      <c r="D7" s="400"/>
      <c r="E7" s="400"/>
      <c r="F7" s="400"/>
      <c r="G7" s="400"/>
      <c r="H7" s="401"/>
    </row>
    <row r="8" spans="2:10" ht="8.1" customHeight="1" x14ac:dyDescent="0.3">
      <c r="B8" s="46"/>
      <c r="C8" s="47"/>
      <c r="D8" s="47"/>
      <c r="E8" s="47"/>
      <c r="F8" s="47"/>
      <c r="G8" s="47"/>
      <c r="H8" s="48"/>
    </row>
    <row r="9" spans="2:10" ht="20.25" x14ac:dyDescent="0.4">
      <c r="B9" s="43"/>
      <c r="C9" s="14" t="s">
        <v>56</v>
      </c>
      <c r="D9" s="91" t="s">
        <v>13</v>
      </c>
      <c r="E9" s="91" t="s">
        <v>0</v>
      </c>
      <c r="F9" s="392" t="s">
        <v>17</v>
      </c>
      <c r="G9" s="392"/>
      <c r="H9" s="48"/>
      <c r="J9" s="54"/>
    </row>
    <row r="10" spans="2:10" ht="18.75" x14ac:dyDescent="0.3">
      <c r="B10" s="107"/>
      <c r="C10" s="108" t="s">
        <v>71</v>
      </c>
      <c r="D10" s="109">
        <v>23.93</v>
      </c>
      <c r="E10" s="110">
        <f>ROUND(D10*(1+'Revenue Requirement'!$F$21),2)</f>
        <v>29.59</v>
      </c>
      <c r="F10" s="109">
        <f t="shared" ref="F10:F13" si="0">E10-D10</f>
        <v>5.66</v>
      </c>
      <c r="G10" s="111">
        <f t="shared" ref="G10:G13" si="1">F10/D10</f>
        <v>0.23652319264521521</v>
      </c>
      <c r="H10" s="112"/>
      <c r="J10" s="53"/>
    </row>
    <row r="11" spans="2:10" ht="18.75" x14ac:dyDescent="0.3">
      <c r="B11" s="107"/>
      <c r="C11" s="108" t="s">
        <v>188</v>
      </c>
      <c r="D11" s="253">
        <v>8.6599999999999993E-3</v>
      </c>
      <c r="E11" s="254">
        <f>ROUND(D11*(1+'Revenue Requirement'!$F$21),5)</f>
        <v>1.0710000000000001E-2</v>
      </c>
      <c r="F11" s="253">
        <f t="shared" si="0"/>
        <v>2.0500000000000015E-3</v>
      </c>
      <c r="G11" s="111">
        <f t="shared" si="1"/>
        <v>0.23672055427251751</v>
      </c>
      <c r="H11" s="112"/>
      <c r="J11" s="53"/>
    </row>
    <row r="12" spans="2:10" ht="18.75" x14ac:dyDescent="0.3">
      <c r="B12" s="107"/>
      <c r="C12" s="108" t="s">
        <v>187</v>
      </c>
      <c r="D12" s="253">
        <v>7.6699999999999997E-3</v>
      </c>
      <c r="E12" s="254">
        <f>ROUND(D12*(1+'Revenue Requirement'!$F$21),5)</f>
        <v>9.4800000000000006E-3</v>
      </c>
      <c r="F12" s="253">
        <f t="shared" si="0"/>
        <v>1.8100000000000008E-3</v>
      </c>
      <c r="G12" s="111">
        <f t="shared" si="1"/>
        <v>0.23598435462842254</v>
      </c>
      <c r="H12" s="112"/>
      <c r="J12" s="53"/>
    </row>
    <row r="13" spans="2:10" ht="18.75" x14ac:dyDescent="0.3">
      <c r="B13" s="107"/>
      <c r="C13" s="108" t="s">
        <v>189</v>
      </c>
      <c r="D13" s="253">
        <v>6.6800000000000002E-3</v>
      </c>
      <c r="E13" s="254">
        <f>ROUND(D13*(1+'Revenue Requirement'!$F$21),5)</f>
        <v>8.26E-3</v>
      </c>
      <c r="F13" s="253">
        <f t="shared" si="0"/>
        <v>1.5799999999999998E-3</v>
      </c>
      <c r="G13" s="111">
        <f t="shared" si="1"/>
        <v>0.23652694610778441</v>
      </c>
      <c r="H13" s="112"/>
      <c r="J13" s="53"/>
    </row>
    <row r="14" spans="2:10" ht="8.1" customHeight="1" x14ac:dyDescent="0.3">
      <c r="B14" s="113"/>
      <c r="C14" s="114"/>
      <c r="D14" s="114"/>
      <c r="E14" s="115"/>
      <c r="F14" s="114"/>
      <c r="G14" s="116"/>
      <c r="H14" s="117"/>
    </row>
    <row r="15" spans="2:10" ht="8.1" customHeight="1" x14ac:dyDescent="0.3">
      <c r="B15" s="118"/>
      <c r="C15" s="109"/>
      <c r="D15" s="109"/>
      <c r="E15" s="110"/>
      <c r="F15" s="109"/>
      <c r="G15" s="111"/>
      <c r="H15" s="112"/>
    </row>
    <row r="16" spans="2:10" ht="18" customHeight="1" x14ac:dyDescent="0.3">
      <c r="B16" s="385" t="s">
        <v>185</v>
      </c>
      <c r="C16" s="386"/>
      <c r="D16" s="386"/>
      <c r="E16" s="386"/>
      <c r="F16" s="386"/>
      <c r="G16" s="386"/>
      <c r="H16" s="387"/>
    </row>
    <row r="17" spans="2:8" ht="9" customHeight="1" x14ac:dyDescent="0.3">
      <c r="B17" s="119"/>
      <c r="C17" s="120"/>
      <c r="D17" s="120"/>
      <c r="E17" s="120"/>
      <c r="F17" s="120"/>
      <c r="G17" s="120"/>
      <c r="H17" s="112"/>
    </row>
    <row r="18" spans="2:8" ht="18" customHeight="1" x14ac:dyDescent="0.4">
      <c r="B18" s="107"/>
      <c r="C18" s="121" t="s">
        <v>56</v>
      </c>
      <c r="D18" s="122" t="s">
        <v>13</v>
      </c>
      <c r="E18" s="122" t="s">
        <v>0</v>
      </c>
      <c r="F18" s="388" t="s">
        <v>17</v>
      </c>
      <c r="G18" s="388"/>
      <c r="H18" s="112"/>
    </row>
    <row r="19" spans="2:8" ht="18.75" x14ac:dyDescent="0.3">
      <c r="B19" s="118"/>
      <c r="C19" s="108" t="s">
        <v>81</v>
      </c>
      <c r="D19" s="109">
        <v>49.9</v>
      </c>
      <c r="E19" s="110">
        <f>ROUND(D19*(1+'Revenue Requirement'!$F$21),2)</f>
        <v>61.7</v>
      </c>
      <c r="F19" s="109">
        <f>E19-D19</f>
        <v>11.800000000000004</v>
      </c>
      <c r="G19" s="111">
        <f>F19/D19</f>
        <v>0.23647294589178366</v>
      </c>
      <c r="H19" s="112"/>
    </row>
    <row r="20" spans="2:8" ht="18.75" x14ac:dyDescent="0.3">
      <c r="B20" s="118"/>
      <c r="C20" s="108" t="s">
        <v>187</v>
      </c>
      <c r="D20" s="253">
        <v>8.6599999999999993E-3</v>
      </c>
      <c r="E20" s="254">
        <f>ROUND(D20*(1+'Revenue Requirement'!$F$21),5)</f>
        <v>1.0710000000000001E-2</v>
      </c>
      <c r="F20" s="253">
        <f t="shared" ref="F20:F22" si="2">E20-D20</f>
        <v>2.0500000000000015E-3</v>
      </c>
      <c r="G20" s="111">
        <f t="shared" ref="G20:G22" si="3">F20/D20</f>
        <v>0.23672055427251751</v>
      </c>
      <c r="H20" s="112"/>
    </row>
    <row r="21" spans="2:8" ht="18.75" x14ac:dyDescent="0.3">
      <c r="B21" s="118"/>
      <c r="C21" s="108" t="s">
        <v>190</v>
      </c>
      <c r="D21" s="253">
        <v>7.6699999999999997E-3</v>
      </c>
      <c r="E21" s="254">
        <f>ROUND(D21*(1+'Revenue Requirement'!$F$21),5)</f>
        <v>9.4800000000000006E-3</v>
      </c>
      <c r="F21" s="253">
        <f t="shared" si="2"/>
        <v>1.8100000000000008E-3</v>
      </c>
      <c r="G21" s="111">
        <f t="shared" si="3"/>
        <v>0.23598435462842254</v>
      </c>
      <c r="H21" s="112"/>
    </row>
    <row r="22" spans="2:8" ht="18.75" x14ac:dyDescent="0.3">
      <c r="B22" s="118"/>
      <c r="C22" s="108" t="s">
        <v>191</v>
      </c>
      <c r="D22" s="253">
        <v>6.6800000000000002E-3</v>
      </c>
      <c r="E22" s="254">
        <f>ROUND(D22*(1+'Revenue Requirement'!$F$21),5)</f>
        <v>8.26E-3</v>
      </c>
      <c r="F22" s="253">
        <f t="shared" si="2"/>
        <v>1.5799999999999998E-3</v>
      </c>
      <c r="G22" s="111">
        <f t="shared" si="3"/>
        <v>0.23652694610778441</v>
      </c>
      <c r="H22" s="112"/>
    </row>
    <row r="23" spans="2:8" ht="7.9" customHeight="1" x14ac:dyDescent="0.3">
      <c r="B23" s="113"/>
      <c r="C23" s="114"/>
      <c r="D23" s="114"/>
      <c r="E23" s="115"/>
      <c r="F23" s="114"/>
      <c r="G23" s="116"/>
      <c r="H23" s="117"/>
    </row>
    <row r="24" spans="2:8" ht="7.9" customHeight="1" x14ac:dyDescent="0.25">
      <c r="B24" s="92"/>
      <c r="H24" s="93"/>
    </row>
    <row r="25" spans="2:8" ht="18.75" x14ac:dyDescent="0.3">
      <c r="B25" s="385" t="s">
        <v>186</v>
      </c>
      <c r="C25" s="386"/>
      <c r="D25" s="386"/>
      <c r="E25" s="386"/>
      <c r="F25" s="386"/>
      <c r="G25" s="386"/>
      <c r="H25" s="387"/>
    </row>
    <row r="26" spans="2:8" ht="7.9" customHeight="1" x14ac:dyDescent="0.3">
      <c r="B26" s="119"/>
      <c r="C26" s="120"/>
      <c r="D26" s="120"/>
      <c r="E26" s="120"/>
      <c r="F26" s="120"/>
      <c r="G26" s="120"/>
      <c r="H26" s="112"/>
    </row>
    <row r="27" spans="2:8" ht="20.25" x14ac:dyDescent="0.4">
      <c r="B27" s="107"/>
      <c r="C27" s="121" t="s">
        <v>56</v>
      </c>
      <c r="D27" s="122" t="s">
        <v>13</v>
      </c>
      <c r="E27" s="122" t="s">
        <v>0</v>
      </c>
      <c r="F27" s="388" t="s">
        <v>17</v>
      </c>
      <c r="G27" s="388"/>
      <c r="H27" s="112"/>
    </row>
    <row r="28" spans="2:8" ht="18.75" x14ac:dyDescent="0.3">
      <c r="B28" s="118"/>
      <c r="C28" s="108" t="s">
        <v>82</v>
      </c>
      <c r="D28" s="109">
        <v>400.01</v>
      </c>
      <c r="E28" s="110">
        <f>ROUND(D28*(1+'Revenue Requirement'!$F$21),2)</f>
        <v>494.63</v>
      </c>
      <c r="F28" s="109">
        <f>E28-D28</f>
        <v>94.62</v>
      </c>
      <c r="G28" s="111">
        <f>F28/D28</f>
        <v>0.23654408639784008</v>
      </c>
      <c r="H28" s="112"/>
    </row>
    <row r="29" spans="2:8" ht="18.75" x14ac:dyDescent="0.3">
      <c r="B29" s="118"/>
      <c r="C29" s="108" t="s">
        <v>192</v>
      </c>
      <c r="D29" s="253">
        <v>7.6699999999999997E-3</v>
      </c>
      <c r="E29" s="254">
        <f>ROUND(D29*(1+'Revenue Requirement'!$F$21),5)</f>
        <v>9.4800000000000006E-3</v>
      </c>
      <c r="F29" s="253">
        <f t="shared" ref="F29:F30" si="4">E29-D29</f>
        <v>1.8100000000000008E-3</v>
      </c>
      <c r="G29" s="111">
        <f t="shared" ref="G29:G30" si="5">F29/D29</f>
        <v>0.23598435462842254</v>
      </c>
      <c r="H29" s="112"/>
    </row>
    <row r="30" spans="2:8" ht="18.75" x14ac:dyDescent="0.3">
      <c r="B30" s="118"/>
      <c r="C30" s="108" t="s">
        <v>191</v>
      </c>
      <c r="D30" s="253">
        <v>6.6800000000000002E-3</v>
      </c>
      <c r="E30" s="254">
        <f>ROUND(D30*(1+'Revenue Requirement'!$F$21),5)</f>
        <v>8.26E-3</v>
      </c>
      <c r="F30" s="253">
        <f t="shared" si="4"/>
        <v>1.5799999999999998E-3</v>
      </c>
      <c r="G30" s="111">
        <f t="shared" si="5"/>
        <v>0.23652694610778441</v>
      </c>
      <c r="H30" s="112"/>
    </row>
    <row r="31" spans="2:8" ht="7.9" customHeight="1" x14ac:dyDescent="0.3">
      <c r="B31" s="113"/>
      <c r="C31" s="114"/>
      <c r="D31" s="114"/>
      <c r="E31" s="115"/>
      <c r="F31" s="114"/>
      <c r="G31" s="116"/>
      <c r="H31" s="117"/>
    </row>
    <row r="32" spans="2:8" ht="7.9" customHeight="1" x14ac:dyDescent="0.25">
      <c r="B32" s="92"/>
      <c r="H32" s="93"/>
    </row>
    <row r="33" spans="2:8" ht="18.75" x14ac:dyDescent="0.3">
      <c r="B33" s="385" t="s">
        <v>124</v>
      </c>
      <c r="C33" s="386"/>
      <c r="D33" s="386"/>
      <c r="E33" s="386"/>
      <c r="F33" s="386"/>
      <c r="G33" s="386"/>
      <c r="H33" s="387"/>
    </row>
    <row r="34" spans="2:8" ht="7.9" customHeight="1" x14ac:dyDescent="0.3">
      <c r="B34" s="119"/>
      <c r="C34" s="120"/>
      <c r="D34" s="120"/>
      <c r="E34" s="120"/>
      <c r="F34" s="120"/>
      <c r="G34" s="120"/>
      <c r="H34" s="112"/>
    </row>
    <row r="35" spans="2:8" ht="20.25" x14ac:dyDescent="0.4">
      <c r="B35" s="107"/>
      <c r="C35" s="121" t="s">
        <v>56</v>
      </c>
      <c r="D35" s="122" t="s">
        <v>13</v>
      </c>
      <c r="E35" s="122" t="s">
        <v>0</v>
      </c>
      <c r="F35" s="388" t="s">
        <v>17</v>
      </c>
      <c r="G35" s="388"/>
      <c r="H35" s="112"/>
    </row>
    <row r="36" spans="2:8" ht="18.75" x14ac:dyDescent="0.3">
      <c r="B36" s="118"/>
      <c r="C36" s="108" t="s">
        <v>125</v>
      </c>
      <c r="D36" s="109">
        <v>0</v>
      </c>
      <c r="E36" s="110">
        <f>IF('Revenue Requirement'!F20&gt;0,'Water Loss Surcharge'!F43,'Water Loss Surcharge'!#REF!)</f>
        <v>2.73</v>
      </c>
      <c r="F36" s="109">
        <f>E36-D36</f>
        <v>2.73</v>
      </c>
      <c r="G36" s="111">
        <v>1</v>
      </c>
      <c r="H36" s="112"/>
    </row>
    <row r="37" spans="2:8" ht="7.9" customHeight="1" x14ac:dyDescent="0.3">
      <c r="B37" s="113"/>
      <c r="C37" s="114"/>
      <c r="D37" s="114"/>
      <c r="E37" s="115"/>
      <c r="F37" s="114"/>
      <c r="G37" s="116"/>
      <c r="H37" s="117"/>
    </row>
  </sheetData>
  <mergeCells count="11">
    <mergeCell ref="B33:H33"/>
    <mergeCell ref="F35:G35"/>
    <mergeCell ref="B25:H25"/>
    <mergeCell ref="F27:G27"/>
    <mergeCell ref="B2:H2"/>
    <mergeCell ref="F9:G9"/>
    <mergeCell ref="B16:H16"/>
    <mergeCell ref="F18:G18"/>
    <mergeCell ref="B3:H3"/>
    <mergeCell ref="B4:H4"/>
    <mergeCell ref="B7:H7"/>
  </mergeCells>
  <printOptions horizontalCentered="1" verticalCentered="1"/>
  <pageMargins left="0.7" right="0.7" top="0.75" bottom="0.75" header="0.3" footer="0.3"/>
  <pageSetup scale="96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70"/>
  <sheetViews>
    <sheetView showGridLines="0" zoomScale="99" zoomScaleNormal="99" workbookViewId="0">
      <selection activeCell="I71" sqref="A1:I71"/>
    </sheetView>
  </sheetViews>
  <sheetFormatPr defaultColWidth="8.77734375" defaultRowHeight="15" x14ac:dyDescent="0.25"/>
  <cols>
    <col min="1" max="1" width="3" style="4" customWidth="1"/>
    <col min="2" max="2" width="1.77734375" style="4" customWidth="1"/>
    <col min="3" max="3" width="9.77734375" style="4" customWidth="1"/>
    <col min="4" max="5" width="9.77734375" style="45" customWidth="1"/>
    <col min="6" max="7" width="9.77734375" style="4" customWidth="1"/>
    <col min="8" max="8" width="1.77734375" style="4" customWidth="1"/>
    <col min="9" max="9" width="2.77734375" style="4" customWidth="1"/>
    <col min="10" max="16384" width="8.77734375" style="4"/>
  </cols>
  <sheetData>
    <row r="1" spans="2:10" ht="20.100000000000001" customHeight="1" x14ac:dyDescent="0.25"/>
    <row r="2" spans="2:10" ht="20.100000000000001" customHeight="1" x14ac:dyDescent="0.3">
      <c r="B2" s="405" t="s">
        <v>53</v>
      </c>
      <c r="C2" s="406"/>
      <c r="D2" s="406"/>
      <c r="E2" s="406"/>
      <c r="F2" s="406"/>
      <c r="G2" s="406"/>
      <c r="H2" s="407"/>
    </row>
    <row r="3" spans="2:10" ht="18.75" x14ac:dyDescent="0.3">
      <c r="B3" s="408" t="s">
        <v>54</v>
      </c>
      <c r="C3" s="409"/>
      <c r="D3" s="409"/>
      <c r="E3" s="409"/>
      <c r="F3" s="409"/>
      <c r="G3" s="409"/>
      <c r="H3" s="410"/>
    </row>
    <row r="4" spans="2:10" ht="15.75" x14ac:dyDescent="0.25">
      <c r="B4" s="411" t="s">
        <v>80</v>
      </c>
      <c r="C4" s="412"/>
      <c r="D4" s="412"/>
      <c r="E4" s="412"/>
      <c r="F4" s="412"/>
      <c r="G4" s="412"/>
      <c r="H4" s="413"/>
    </row>
    <row r="5" spans="2:10" ht="6" customHeight="1" x14ac:dyDescent="0.25">
      <c r="B5" s="20"/>
      <c r="C5" s="21"/>
      <c r="D5" s="147"/>
      <c r="E5" s="147"/>
      <c r="F5" s="21"/>
      <c r="G5" s="21"/>
      <c r="H5" s="22"/>
    </row>
    <row r="6" spans="2:10" ht="15.75" x14ac:dyDescent="0.25">
      <c r="B6" s="414" t="str">
        <f>Rates!B7</f>
        <v>5/8" x 3/4" Meter Tap</v>
      </c>
      <c r="C6" s="415"/>
      <c r="D6" s="415"/>
      <c r="E6" s="415"/>
      <c r="F6" s="415"/>
      <c r="G6" s="415"/>
      <c r="H6" s="416"/>
      <c r="I6" s="5"/>
    </row>
    <row r="7" spans="2:10" ht="6" customHeight="1" x14ac:dyDescent="0.25">
      <c r="B7" s="5"/>
      <c r="C7" s="6"/>
      <c r="D7" s="148"/>
      <c r="E7" s="147"/>
      <c r="F7" s="21"/>
      <c r="G7" s="21"/>
      <c r="H7" s="22"/>
      <c r="I7" s="19"/>
      <c r="J7" s="19"/>
    </row>
    <row r="8" spans="2:10" ht="17.25" x14ac:dyDescent="0.4">
      <c r="B8" s="5"/>
      <c r="C8" s="18" t="s">
        <v>2</v>
      </c>
      <c r="D8" s="149" t="s">
        <v>4</v>
      </c>
      <c r="E8" s="154" t="s">
        <v>0</v>
      </c>
      <c r="F8" s="8"/>
      <c r="G8" s="8"/>
      <c r="H8" s="18"/>
    </row>
    <row r="9" spans="2:10" ht="17.25" x14ac:dyDescent="0.4">
      <c r="B9" s="5"/>
      <c r="C9" s="18" t="s">
        <v>57</v>
      </c>
      <c r="D9" s="149" t="s">
        <v>18</v>
      </c>
      <c r="E9" s="154" t="s">
        <v>18</v>
      </c>
      <c r="F9" s="8" t="s">
        <v>5</v>
      </c>
      <c r="G9" s="8" t="s">
        <v>19</v>
      </c>
      <c r="H9" s="18"/>
    </row>
    <row r="10" spans="2:10" x14ac:dyDescent="0.25">
      <c r="B10" s="5"/>
      <c r="C10" s="9">
        <v>0</v>
      </c>
      <c r="D10" s="150">
        <f>Rates!D10</f>
        <v>23.93</v>
      </c>
      <c r="E10" s="150">
        <f>Rates!E10</f>
        <v>29.59</v>
      </c>
      <c r="F10" s="28">
        <f>E10-D10</f>
        <v>5.66</v>
      </c>
      <c r="G10" s="36">
        <f>F10/D10</f>
        <v>0.23652319264521521</v>
      </c>
      <c r="H10" s="23"/>
    </row>
    <row r="11" spans="2:10" x14ac:dyDescent="0.25">
      <c r="B11" s="5"/>
      <c r="C11" s="3">
        <v>2000</v>
      </c>
      <c r="D11" s="150">
        <f>Rates!D10</f>
        <v>23.93</v>
      </c>
      <c r="E11" s="150">
        <f>Rates!E10</f>
        <v>29.59</v>
      </c>
      <c r="F11" s="9">
        <f t="shared" ref="F11:F18" si="0">E11-D11</f>
        <v>5.66</v>
      </c>
      <c r="G11" s="36">
        <f t="shared" ref="G11:G25" si="1">F11/D11</f>
        <v>0.23652319264521521</v>
      </c>
      <c r="H11" s="23"/>
    </row>
    <row r="12" spans="2:10" x14ac:dyDescent="0.25">
      <c r="B12" s="139"/>
      <c r="C12" s="24">
        <v>3751</v>
      </c>
      <c r="D12" s="151">
        <f>Rates!$D$10+((Bills!$C12-2000)*Rates!$D$11)</f>
        <v>39.09366</v>
      </c>
      <c r="E12" s="151">
        <f>Rates!$E$10+((Bills!$C12-2000)*Rates!$E$11)</f>
        <v>48.343209999999999</v>
      </c>
      <c r="F12" s="25">
        <f t="shared" si="0"/>
        <v>9.2495499999999993</v>
      </c>
      <c r="G12" s="37">
        <f t="shared" si="1"/>
        <v>0.23659974532954958</v>
      </c>
      <c r="H12" s="26"/>
    </row>
    <row r="13" spans="2:10" x14ac:dyDescent="0.25">
      <c r="B13" s="5"/>
      <c r="C13" s="3">
        <v>6000</v>
      </c>
      <c r="D13" s="152">
        <f>Rates!$D$10+(3000*Rates!$D$11)+((Bills!C13-5000)*Rates!$D$12)</f>
        <v>57.58</v>
      </c>
      <c r="E13" s="152">
        <f>Rates!$E$10+(3000*Rates!$E$11)+((Bills!C13-5000)*Rates!$E$12)</f>
        <v>71.2</v>
      </c>
      <c r="F13" s="106">
        <f t="shared" ref="F13" si="2">E13-D13</f>
        <v>13.620000000000005</v>
      </c>
      <c r="G13" s="36">
        <f t="shared" si="1"/>
        <v>0.23654046543938875</v>
      </c>
      <c r="H13" s="23"/>
    </row>
    <row r="14" spans="2:10" x14ac:dyDescent="0.25">
      <c r="B14" s="5"/>
      <c r="C14" s="3">
        <v>8000</v>
      </c>
      <c r="D14" s="152">
        <f>Rates!$D$10+(3000*Rates!$D$11)+((Bills!C14-5000)*Rates!$D$12)</f>
        <v>72.919999999999987</v>
      </c>
      <c r="E14" s="152">
        <f>Rates!$E$10+(3000*Rates!$E$11)+((Bills!C14-5000)*Rates!$E$12)</f>
        <v>90.16</v>
      </c>
      <c r="F14" s="9">
        <f t="shared" si="0"/>
        <v>17.240000000000009</v>
      </c>
      <c r="G14" s="36">
        <f t="shared" si="1"/>
        <v>0.2364234777838729</v>
      </c>
      <c r="H14" s="23"/>
    </row>
    <row r="15" spans="2:10" x14ac:dyDescent="0.25">
      <c r="B15" s="5"/>
      <c r="C15" s="3">
        <v>10000</v>
      </c>
      <c r="D15" s="152">
        <f>Rates!$D$10+(3000*Rates!$D$11)+((Bills!C15-5000)*Rates!$D$12)</f>
        <v>88.259999999999991</v>
      </c>
      <c r="E15" s="152">
        <f>Rates!$E$10+(3000*Rates!$E$11)+((Bills!C15-5000)*Rates!$E$12)</f>
        <v>109.12</v>
      </c>
      <c r="F15" s="9">
        <f t="shared" si="0"/>
        <v>20.860000000000014</v>
      </c>
      <c r="G15" s="36">
        <f t="shared" si="1"/>
        <v>0.23634715612961721</v>
      </c>
      <c r="H15" s="23"/>
    </row>
    <row r="16" spans="2:10" x14ac:dyDescent="0.25">
      <c r="B16" s="5"/>
      <c r="C16" s="3">
        <v>15000</v>
      </c>
      <c r="D16" s="152">
        <f>Rates!$D$10+(3000*Rates!$D$11)+(5000*Rates!$D$12)+((Bills!C16-10000)*Rates!$D$13)</f>
        <v>121.66</v>
      </c>
      <c r="E16" s="152">
        <f>Rates!$E$10+(3000*Rates!$E$11)+(5000*Rates!$E$12)+((Bills!C16-10000)*Rates!$E$13)</f>
        <v>150.42000000000002</v>
      </c>
      <c r="F16" s="9">
        <f>E16-D16</f>
        <v>28.760000000000019</v>
      </c>
      <c r="G16" s="36">
        <f>F16/D16</f>
        <v>0.23639651487752769</v>
      </c>
      <c r="H16" s="23"/>
    </row>
    <row r="17" spans="2:14" x14ac:dyDescent="0.25">
      <c r="B17" s="5"/>
      <c r="C17" s="3">
        <v>20000</v>
      </c>
      <c r="D17" s="152">
        <f>Rates!$D$10+(3000*Rates!$D$11)+(5000*Rates!$D$12)+((Bills!C17-10000)*Rates!$D$13)</f>
        <v>155.06</v>
      </c>
      <c r="E17" s="152">
        <f>Rates!$E$10+(3000*Rates!$E$11)+(5000*Rates!$E$12)+((Bills!C17-10000)*Rates!$E$13)</f>
        <v>191.72</v>
      </c>
      <c r="F17" s="9">
        <f>E17-D17</f>
        <v>36.659999999999997</v>
      </c>
      <c r="G17" s="36">
        <f>F17/D17</f>
        <v>0.23642460982845348</v>
      </c>
      <c r="H17" s="23"/>
    </row>
    <row r="18" spans="2:14" x14ac:dyDescent="0.25">
      <c r="B18" s="5"/>
      <c r="C18" s="3">
        <v>25000</v>
      </c>
      <c r="D18" s="152">
        <f>Rates!$D$10+(3000*Rates!$D$11)+(5000*Rates!$D$12)+((Bills!C18-10000)*Rates!$D$13)</f>
        <v>188.45999999999998</v>
      </c>
      <c r="E18" s="152">
        <f>Rates!$E$10+(3000*Rates!$E$11)+(5000*Rates!$E$12)+((Bills!C18-10000)*Rates!$E$13)</f>
        <v>233.02</v>
      </c>
      <c r="F18" s="9">
        <f t="shared" si="0"/>
        <v>44.560000000000031</v>
      </c>
      <c r="G18" s="36">
        <f t="shared" si="1"/>
        <v>0.23644274647139996</v>
      </c>
      <c r="H18" s="23"/>
    </row>
    <row r="19" spans="2:14" x14ac:dyDescent="0.25">
      <c r="B19" s="5"/>
      <c r="C19" s="3">
        <v>30000</v>
      </c>
      <c r="D19" s="152">
        <f>Rates!$D$10+(3000*Rates!$D$11)+(5000*Rates!$D$12)+((Bills!C19-10000)*Rates!$D$13)</f>
        <v>221.85999999999999</v>
      </c>
      <c r="E19" s="152">
        <f>Rates!$E$10+(3000*Rates!$E$11)+(5000*Rates!$E$12)+((Bills!C19-10000)*Rates!$E$13)</f>
        <v>274.32</v>
      </c>
      <c r="F19" s="9">
        <f t="shared" ref="F19:F25" si="3">E19-D19</f>
        <v>52.460000000000008</v>
      </c>
      <c r="G19" s="36">
        <f t="shared" si="1"/>
        <v>0.23645542233841166</v>
      </c>
      <c r="H19" s="23"/>
      <c r="N19" s="3"/>
    </row>
    <row r="20" spans="2:14" x14ac:dyDescent="0.25">
      <c r="B20" s="5"/>
      <c r="C20" s="3">
        <v>40000</v>
      </c>
      <c r="D20" s="152">
        <f>Rates!$D$10+(3000*Rates!$D$11)+(5000*Rates!$D$12)+((Bills!C20-10000)*Rates!$D$13)</f>
        <v>288.65999999999997</v>
      </c>
      <c r="E20" s="152">
        <f>Rates!$E$10+(3000*Rates!$E$11)+(5000*Rates!$E$12)+((Bills!C20-10000)*Rates!$E$13)</f>
        <v>356.92</v>
      </c>
      <c r="F20" s="9">
        <f t="shared" si="3"/>
        <v>68.260000000000048</v>
      </c>
      <c r="G20" s="36">
        <f t="shared" si="1"/>
        <v>0.23647197394859024</v>
      </c>
      <c r="H20" s="23"/>
    </row>
    <row r="21" spans="2:14" x14ac:dyDescent="0.25">
      <c r="B21" s="5"/>
      <c r="C21" s="3">
        <v>50000</v>
      </c>
      <c r="D21" s="152">
        <f>Rates!$D$10+(3000*Rates!$D$11)+(5000*Rates!$D$12)+((Bills!C21-10000)*Rates!$D$13)</f>
        <v>355.46</v>
      </c>
      <c r="E21" s="152">
        <f>Rates!$E$10+(3000*Rates!$E$11)+(5000*Rates!$E$12)+((Bills!C21-10000)*Rates!$E$13)</f>
        <v>439.52</v>
      </c>
      <c r="F21" s="9">
        <f t="shared" si="3"/>
        <v>84.06</v>
      </c>
      <c r="G21" s="36">
        <f t="shared" si="1"/>
        <v>0.23648230461936648</v>
      </c>
      <c r="H21" s="23"/>
    </row>
    <row r="22" spans="2:14" x14ac:dyDescent="0.25">
      <c r="B22" s="5"/>
      <c r="C22" s="3">
        <v>75000</v>
      </c>
      <c r="D22" s="152">
        <f>Rates!$D$10+(3000*Rates!$D$11)+(5000*Rates!$D$12)+((Bills!C22-10000)*Rates!$D$13)</f>
        <v>522.46</v>
      </c>
      <c r="E22" s="152">
        <f>Rates!$E$10+(3000*Rates!$E$11)+(5000*Rates!$E$12)+((Bills!C22-10000)*Rates!$E$13)</f>
        <v>646.02</v>
      </c>
      <c r="F22" s="9">
        <f t="shared" si="3"/>
        <v>123.55999999999995</v>
      </c>
      <c r="G22" s="36">
        <f t="shared" si="1"/>
        <v>0.23649657390039416</v>
      </c>
      <c r="H22" s="23"/>
    </row>
    <row r="23" spans="2:14" x14ac:dyDescent="0.25">
      <c r="B23" s="5"/>
      <c r="C23" s="3">
        <v>100000</v>
      </c>
      <c r="D23" s="152">
        <f>Rates!$D$10+(3000*Rates!$D$11)+(5000*Rates!$D$12)+((Bills!C23-10000)*Rates!$D$13)</f>
        <v>689.46</v>
      </c>
      <c r="E23" s="152">
        <f>Rates!$E$10+(3000*Rates!$E$11)+(5000*Rates!$E$12)+((Bills!C23-10000)*Rates!$E$13)</f>
        <v>852.52</v>
      </c>
      <c r="F23" s="9">
        <f t="shared" si="3"/>
        <v>163.05999999999995</v>
      </c>
      <c r="G23" s="36">
        <f t="shared" si="1"/>
        <v>0.23650393061236322</v>
      </c>
      <c r="H23" s="23"/>
    </row>
    <row r="24" spans="2:14" x14ac:dyDescent="0.25">
      <c r="B24" s="5"/>
      <c r="C24" s="3">
        <v>200000</v>
      </c>
      <c r="D24" s="152">
        <f>Rates!$D$10+(3000*Rates!$D$11)+(5000*Rates!$D$12)+((Bills!C24-10000)*Rates!$D$13)</f>
        <v>1357.46</v>
      </c>
      <c r="E24" s="152">
        <f>Rates!$E$10+(3000*Rates!$E$11)+(5000*Rates!$E$12)+((Bills!C24-10000)*Rates!$E$13)</f>
        <v>1678.52</v>
      </c>
      <c r="F24" s="9">
        <f t="shared" si="3"/>
        <v>321.05999999999995</v>
      </c>
      <c r="G24" s="36">
        <f t="shared" si="1"/>
        <v>0.23651525643481203</v>
      </c>
      <c r="H24" s="23"/>
    </row>
    <row r="25" spans="2:14" x14ac:dyDescent="0.25">
      <c r="B25" s="5"/>
      <c r="C25" s="3">
        <v>500000</v>
      </c>
      <c r="D25" s="152">
        <f>Rates!$D$10+(3000*Rates!$D$11)+(5000*Rates!$D$12)+((Bills!C25-10000)*Rates!$D$13)</f>
        <v>3361.46</v>
      </c>
      <c r="E25" s="152">
        <f>Rates!$E$10+(3000*Rates!$E$11)+(5000*Rates!$E$12)+((Bills!C25-10000)*Rates!$E$13)</f>
        <v>4156.5200000000004</v>
      </c>
      <c r="F25" s="9">
        <f t="shared" si="3"/>
        <v>795.0600000000004</v>
      </c>
      <c r="G25" s="36">
        <f t="shared" si="1"/>
        <v>0.23652222546155552</v>
      </c>
      <c r="H25" s="23"/>
    </row>
    <row r="26" spans="2:14" ht="6" customHeight="1" x14ac:dyDescent="0.25">
      <c r="B26" s="5"/>
      <c r="C26" s="102"/>
      <c r="D26" s="150"/>
      <c r="E26" s="28"/>
      <c r="F26" s="9"/>
      <c r="G26" s="3"/>
      <c r="H26" s="6"/>
    </row>
    <row r="27" spans="2:14" ht="16.5" customHeight="1" x14ac:dyDescent="0.25">
      <c r="B27" s="103"/>
      <c r="C27" s="104"/>
      <c r="D27" s="153"/>
      <c r="E27" s="153"/>
      <c r="F27" s="105"/>
      <c r="G27" s="103"/>
      <c r="H27" s="103"/>
    </row>
    <row r="28" spans="2:14" ht="15.75" x14ac:dyDescent="0.25">
      <c r="B28" s="402" t="str">
        <f>Rates!B16</f>
        <v>1" Meter Tap</v>
      </c>
      <c r="C28" s="403"/>
      <c r="D28" s="403"/>
      <c r="E28" s="403"/>
      <c r="F28" s="403"/>
      <c r="G28" s="403"/>
      <c r="H28" s="404"/>
    </row>
    <row r="29" spans="2:14" ht="6" customHeight="1" x14ac:dyDescent="0.25">
      <c r="B29" s="5"/>
      <c r="C29" s="6"/>
      <c r="D29" s="148"/>
      <c r="E29" s="147"/>
      <c r="F29" s="21"/>
      <c r="G29" s="21"/>
      <c r="H29" s="22"/>
    </row>
    <row r="30" spans="2:14" ht="17.25" x14ac:dyDescent="0.4">
      <c r="B30" s="5"/>
      <c r="C30" s="18" t="s">
        <v>2</v>
      </c>
      <c r="D30" s="149" t="s">
        <v>4</v>
      </c>
      <c r="E30" s="154" t="s">
        <v>0</v>
      </c>
      <c r="F30" s="8"/>
      <c r="G30" s="8"/>
      <c r="H30" s="18"/>
    </row>
    <row r="31" spans="2:14" ht="17.25" x14ac:dyDescent="0.4">
      <c r="B31" s="5"/>
      <c r="C31" s="18" t="s">
        <v>57</v>
      </c>
      <c r="D31" s="149" t="s">
        <v>18</v>
      </c>
      <c r="E31" s="154" t="s">
        <v>18</v>
      </c>
      <c r="F31" s="8" t="s">
        <v>5</v>
      </c>
      <c r="G31" s="8" t="s">
        <v>19</v>
      </c>
      <c r="H31" s="18"/>
    </row>
    <row r="32" spans="2:14" x14ac:dyDescent="0.25">
      <c r="B32" s="5"/>
      <c r="C32" s="9">
        <v>0</v>
      </c>
      <c r="D32" s="150">
        <f>Rates!$D$19</f>
        <v>49.9</v>
      </c>
      <c r="E32" s="150">
        <f>Rates!$E$19</f>
        <v>61.7</v>
      </c>
      <c r="F32" s="28">
        <f>E32-D32</f>
        <v>11.800000000000004</v>
      </c>
      <c r="G32" s="36">
        <f>F32/D32</f>
        <v>0.23647294589178366</v>
      </c>
      <c r="H32" s="23"/>
    </row>
    <row r="33" spans="2:12" x14ac:dyDescent="0.25">
      <c r="B33" s="5"/>
      <c r="C33" s="3">
        <v>2000</v>
      </c>
      <c r="D33" s="150">
        <f>Rates!$D$19</f>
        <v>49.9</v>
      </c>
      <c r="E33" s="150">
        <f>Rates!$E$19</f>
        <v>61.7</v>
      </c>
      <c r="F33" s="9">
        <f t="shared" ref="F33:F47" si="4">E33-D33</f>
        <v>11.800000000000004</v>
      </c>
      <c r="G33" s="36">
        <f t="shared" ref="G33:G47" si="5">F33/D33</f>
        <v>0.23647294589178366</v>
      </c>
      <c r="H33" s="23"/>
    </row>
    <row r="34" spans="2:12" x14ac:dyDescent="0.25">
      <c r="B34" s="256"/>
      <c r="C34" s="51">
        <v>4000</v>
      </c>
      <c r="D34" s="152">
        <f>Rates!$D$19</f>
        <v>49.9</v>
      </c>
      <c r="E34" s="152">
        <f>Rates!$E$19</f>
        <v>61.7</v>
      </c>
      <c r="F34" s="106">
        <f t="shared" si="4"/>
        <v>11.800000000000004</v>
      </c>
      <c r="G34" s="257">
        <f t="shared" si="5"/>
        <v>0.23647294589178366</v>
      </c>
      <c r="H34" s="258"/>
    </row>
    <row r="35" spans="2:12" x14ac:dyDescent="0.25">
      <c r="B35" s="5"/>
      <c r="C35" s="3">
        <v>6000</v>
      </c>
      <c r="D35" s="152">
        <f>Rates!$D$19+((Bills!$C35-5000)*Rates!$D$20)</f>
        <v>58.56</v>
      </c>
      <c r="E35" s="152">
        <f>Rates!$E$19+((Bills!$C35-5000)*Rates!$E$20)</f>
        <v>72.41</v>
      </c>
      <c r="F35" s="106">
        <f t="shared" si="4"/>
        <v>13.849999999999994</v>
      </c>
      <c r="G35" s="36">
        <f t="shared" si="5"/>
        <v>0.23650956284152994</v>
      </c>
      <c r="H35" s="23"/>
    </row>
    <row r="36" spans="2:12" x14ac:dyDescent="0.25">
      <c r="B36" s="139"/>
      <c r="C36" s="24">
        <v>8190</v>
      </c>
      <c r="D36" s="151">
        <f>Rates!$D$19+((Bills!$C36-5000)*Rates!$D$20)</f>
        <v>77.525399999999991</v>
      </c>
      <c r="E36" s="151">
        <f>Rates!$E$19+((Bills!$C36-5000)*Rates!$E$20)</f>
        <v>95.864900000000006</v>
      </c>
      <c r="F36" s="25">
        <f t="shared" si="4"/>
        <v>18.339500000000015</v>
      </c>
      <c r="G36" s="37">
        <f t="shared" si="5"/>
        <v>0.23656117865886558</v>
      </c>
      <c r="H36" s="26"/>
    </row>
    <row r="37" spans="2:12" x14ac:dyDescent="0.25">
      <c r="B37" s="5"/>
      <c r="C37" s="3">
        <v>10000</v>
      </c>
      <c r="D37" s="152">
        <f>Rates!$D$19+((Bills!$C37-5000)*Rates!$D$20)</f>
        <v>93.199999999999989</v>
      </c>
      <c r="E37" s="152">
        <f>Rates!$E$19+(Bills!$C37-5000)*Rates!$E$20</f>
        <v>115.25</v>
      </c>
      <c r="F37" s="9">
        <f t="shared" si="4"/>
        <v>22.050000000000011</v>
      </c>
      <c r="G37" s="36">
        <f t="shared" si="5"/>
        <v>0.23658798283261817</v>
      </c>
      <c r="H37" s="23"/>
    </row>
    <row r="38" spans="2:12" x14ac:dyDescent="0.25">
      <c r="B38" s="5"/>
      <c r="C38" s="3">
        <v>15000</v>
      </c>
      <c r="D38" s="152">
        <f>Rates!$D$19+(5000*Rates!$D$20)+((Bills!$C38-10000)*Rates!$D$21)</f>
        <v>131.54999999999998</v>
      </c>
      <c r="E38" s="152">
        <f>Rates!$E$19+(5000*Rates!$E$20)+((Bills!$C38-10000)*Rates!$E$21)</f>
        <v>162.65</v>
      </c>
      <c r="F38" s="9">
        <f t="shared" si="4"/>
        <v>31.100000000000023</v>
      </c>
      <c r="G38" s="36">
        <f t="shared" si="5"/>
        <v>0.23641201064234152</v>
      </c>
      <c r="H38" s="23"/>
    </row>
    <row r="39" spans="2:12" x14ac:dyDescent="0.25">
      <c r="B39" s="5"/>
      <c r="C39" s="3">
        <v>20000</v>
      </c>
      <c r="D39" s="152">
        <f>Rates!$D$19+(5000*Rates!$D$20)+((Bills!$C39-10000)*Rates!$D$21)</f>
        <v>169.89999999999998</v>
      </c>
      <c r="E39" s="152">
        <f>Rates!$E$19+(5000*Rates!$E$20)+((Bills!$C39-10000)*Rates!$E$21)</f>
        <v>210.05</v>
      </c>
      <c r="F39" s="9">
        <f t="shared" si="4"/>
        <v>40.150000000000034</v>
      </c>
      <c r="G39" s="36">
        <f t="shared" si="5"/>
        <v>0.23631547969393785</v>
      </c>
      <c r="H39" s="23"/>
    </row>
    <row r="40" spans="2:12" x14ac:dyDescent="0.25">
      <c r="B40" s="5"/>
      <c r="C40" s="3">
        <v>25000</v>
      </c>
      <c r="D40" s="152">
        <f>Rates!$D$19+(5000*Rates!$D$20)+((Bills!$C40-10000)*Rates!$D$21)</f>
        <v>208.25</v>
      </c>
      <c r="E40" s="152">
        <f>Rates!$E$19+(5000*Rates!$E$20)+((Bills!$C40-10000)*Rates!$E$21)</f>
        <v>257.45000000000005</v>
      </c>
      <c r="F40" s="9">
        <f t="shared" si="4"/>
        <v>49.200000000000045</v>
      </c>
      <c r="G40" s="36">
        <f t="shared" si="5"/>
        <v>0.2362545018007205</v>
      </c>
      <c r="H40" s="23"/>
    </row>
    <row r="41" spans="2:12" x14ac:dyDescent="0.25">
      <c r="B41" s="5"/>
      <c r="C41" s="3">
        <v>30000</v>
      </c>
      <c r="D41" s="152">
        <f>Rates!$D$19+(5000*Rates!$D$20)+((Bills!$C41-10000)*Rates!$D$21)</f>
        <v>246.6</v>
      </c>
      <c r="E41" s="152">
        <f>Rates!$E$19+(5000*Rates!$E$20)+((Bills!$C41-10000)*Rates!$E$21)</f>
        <v>304.85000000000002</v>
      </c>
      <c r="F41" s="9">
        <f t="shared" si="4"/>
        <v>58.250000000000028</v>
      </c>
      <c r="G41" s="36">
        <f t="shared" si="5"/>
        <v>0.23621248986212501</v>
      </c>
      <c r="H41" s="23"/>
    </row>
    <row r="42" spans="2:12" x14ac:dyDescent="0.25">
      <c r="B42" s="5"/>
      <c r="C42" s="3">
        <v>40000</v>
      </c>
      <c r="D42" s="152">
        <f>Rates!$D$19+(5000*Rates!$D$20)+((Bills!$C42-10000)*Rates!$D$21)</f>
        <v>323.29999999999995</v>
      </c>
      <c r="E42" s="152">
        <f>Rates!$E$19+(5000*Rates!$E$20)+((Bills!$C42-10000)*Rates!$E$21)</f>
        <v>399.65000000000003</v>
      </c>
      <c r="F42" s="9">
        <f t="shared" si="4"/>
        <v>76.35000000000008</v>
      </c>
      <c r="G42" s="36">
        <f t="shared" si="5"/>
        <v>0.23615836684194275</v>
      </c>
      <c r="H42" s="23"/>
      <c r="L42" s="50"/>
    </row>
    <row r="43" spans="2:12" x14ac:dyDescent="0.25">
      <c r="B43" s="5"/>
      <c r="C43" s="3">
        <v>50000</v>
      </c>
      <c r="D43" s="152">
        <f>Rates!$D$19+(5000*Rates!$D$20)+((Bills!$C43-10000)*Rates!$D$21)</f>
        <v>400</v>
      </c>
      <c r="E43" s="152">
        <f>Rates!$E$19+(5000*Rates!$E$20)+((Bills!$C43-10000)*Rates!$E$21)</f>
        <v>494.45000000000005</v>
      </c>
      <c r="F43" s="9">
        <f t="shared" si="4"/>
        <v>94.450000000000045</v>
      </c>
      <c r="G43" s="36">
        <f t="shared" si="5"/>
        <v>0.23612500000000011</v>
      </c>
      <c r="H43" s="23"/>
    </row>
    <row r="44" spans="2:12" x14ac:dyDescent="0.25">
      <c r="B44" s="5"/>
      <c r="C44" s="3">
        <v>75000</v>
      </c>
      <c r="D44" s="152">
        <f>Rates!$D$19+(5000*Rates!$D$20)+((Bills!$C44-10000)*Rates!$D$21)</f>
        <v>591.75</v>
      </c>
      <c r="E44" s="152">
        <f>Rates!$E$19+(5000*Rates!$E$20)+((Bills!$C44-10000)*Rates!$E$21)</f>
        <v>731.45</v>
      </c>
      <c r="F44" s="9">
        <f t="shared" si="4"/>
        <v>139.70000000000005</v>
      </c>
      <c r="G44" s="36">
        <f t="shared" si="5"/>
        <v>0.23607942543303767</v>
      </c>
      <c r="H44" s="23"/>
    </row>
    <row r="45" spans="2:12" x14ac:dyDescent="0.25">
      <c r="B45" s="5"/>
      <c r="C45" s="3">
        <v>100000</v>
      </c>
      <c r="D45" s="152">
        <f>Rates!$D$19+(5000*Rates!$D$20)+((Bills!$C45-10000)*Rates!$D$21)</f>
        <v>783.5</v>
      </c>
      <c r="E45" s="152">
        <f>Rates!$E$19+(5000*Rates!$E$20)+((Bills!$C45-10000)*Rates!$E$21)</f>
        <v>968.45</v>
      </c>
      <c r="F45" s="9">
        <f t="shared" si="4"/>
        <v>184.95000000000005</v>
      </c>
      <c r="G45" s="36">
        <f t="shared" si="5"/>
        <v>0.23605615826419918</v>
      </c>
      <c r="H45" s="23"/>
    </row>
    <row r="46" spans="2:12" x14ac:dyDescent="0.25">
      <c r="B46" s="5"/>
      <c r="C46" s="3">
        <v>200000</v>
      </c>
      <c r="D46" s="152">
        <f>Rates!$D$19+(5000*Rates!$D$20)+(140000*Rates!$D$21)+((Bills!$C46-150000)/1000*Rates!$D$22)</f>
        <v>1167.3340000000001</v>
      </c>
      <c r="E46" s="152">
        <f>Rates!$E$19+(5000*Rates!$E$20)+(140000*Rates!$E$21)+((Bills!$C46-150000)/1000*Rates!$E$22)</f>
        <v>1442.8630000000001</v>
      </c>
      <c r="F46" s="9">
        <f t="shared" si="4"/>
        <v>275.529</v>
      </c>
      <c r="G46" s="36">
        <f t="shared" si="5"/>
        <v>0.23603270357926692</v>
      </c>
      <c r="H46" s="23"/>
    </row>
    <row r="47" spans="2:12" x14ac:dyDescent="0.25">
      <c r="B47" s="5"/>
      <c r="C47" s="3">
        <v>500000</v>
      </c>
      <c r="D47" s="152">
        <f>Rates!$D$19+(5000*Rates!$D$20)+(140000*Rates!$D$21)+((Bills!$C47-150000)/1000*Rates!$D$22)</f>
        <v>1169.338</v>
      </c>
      <c r="E47" s="152">
        <f>Rates!$E$19+(5000*Rates!$E$20)+(140000*Rates!$E$21)+((Bills!$C47-150000)/1000*Rates!$E$22)</f>
        <v>1445.3410000000001</v>
      </c>
      <c r="F47" s="9">
        <f t="shared" si="4"/>
        <v>276.00300000000016</v>
      </c>
      <c r="G47" s="36">
        <f t="shared" si="5"/>
        <v>0.23603355060726683</v>
      </c>
      <c r="H47" s="23"/>
    </row>
    <row r="48" spans="2:12" ht="6" customHeight="1" x14ac:dyDescent="0.25">
      <c r="B48" s="5"/>
      <c r="C48" s="102"/>
      <c r="D48" s="150"/>
      <c r="E48" s="28"/>
      <c r="F48" s="9"/>
      <c r="G48" s="3"/>
      <c r="H48" s="6"/>
    </row>
    <row r="49" spans="2:8" ht="14.65" customHeight="1" x14ac:dyDescent="0.25">
      <c r="B49" s="157"/>
      <c r="C49" s="158"/>
      <c r="D49" s="159"/>
      <c r="E49" s="159"/>
      <c r="F49" s="160"/>
      <c r="G49" s="157"/>
      <c r="H49" s="157"/>
    </row>
    <row r="50" spans="2:8" ht="15.75" x14ac:dyDescent="0.25">
      <c r="B50" s="402" t="str">
        <f>Rates!B25</f>
        <v>4" Meter Tap</v>
      </c>
      <c r="C50" s="403"/>
      <c r="D50" s="403"/>
      <c r="E50" s="403"/>
      <c r="F50" s="403"/>
      <c r="G50" s="403"/>
      <c r="H50" s="404"/>
    </row>
    <row r="51" spans="2:8" ht="6" customHeight="1" x14ac:dyDescent="0.25">
      <c r="B51" s="5"/>
      <c r="C51" s="6"/>
      <c r="D51" s="148"/>
      <c r="E51" s="147"/>
      <c r="F51" s="21"/>
      <c r="G51" s="21"/>
      <c r="H51" s="22"/>
    </row>
    <row r="52" spans="2:8" ht="17.25" x14ac:dyDescent="0.4">
      <c r="B52" s="5"/>
      <c r="C52" s="18" t="s">
        <v>2</v>
      </c>
      <c r="D52" s="149" t="s">
        <v>4</v>
      </c>
      <c r="E52" s="154" t="s">
        <v>0</v>
      </c>
      <c r="F52" s="8"/>
      <c r="G52" s="8"/>
      <c r="H52" s="18"/>
    </row>
    <row r="53" spans="2:8" ht="17.25" x14ac:dyDescent="0.4">
      <c r="B53" s="5"/>
      <c r="C53" s="18" t="s">
        <v>57</v>
      </c>
      <c r="D53" s="149" t="s">
        <v>18</v>
      </c>
      <c r="E53" s="154" t="s">
        <v>18</v>
      </c>
      <c r="F53" s="8" t="s">
        <v>5</v>
      </c>
      <c r="G53" s="8" t="s">
        <v>19</v>
      </c>
      <c r="H53" s="18"/>
    </row>
    <row r="54" spans="2:8" x14ac:dyDescent="0.25">
      <c r="B54" s="5"/>
      <c r="C54" s="9">
        <v>0</v>
      </c>
      <c r="D54" s="150">
        <f>Rates!$D$28</f>
        <v>400.01</v>
      </c>
      <c r="E54" s="150">
        <f>Rates!$E$28</f>
        <v>494.63</v>
      </c>
      <c r="F54" s="28">
        <f>E54-D54</f>
        <v>94.62</v>
      </c>
      <c r="G54" s="36">
        <f>F54/D54</f>
        <v>0.23654408639784008</v>
      </c>
      <c r="H54" s="23"/>
    </row>
    <row r="55" spans="2:8" x14ac:dyDescent="0.25">
      <c r="B55" s="5"/>
      <c r="C55" s="3">
        <v>2000</v>
      </c>
      <c r="D55" s="150">
        <f>Rates!$D$28</f>
        <v>400.01</v>
      </c>
      <c r="E55" s="150">
        <f>Rates!$E$28</f>
        <v>494.63</v>
      </c>
      <c r="F55" s="9">
        <f t="shared" ref="F55:F69" si="6">E55-D55</f>
        <v>94.62</v>
      </c>
      <c r="G55" s="36">
        <f t="shared" ref="G55:G69" si="7">F55/D55</f>
        <v>0.23654408639784008</v>
      </c>
      <c r="H55" s="23"/>
    </row>
    <row r="56" spans="2:8" x14ac:dyDescent="0.25">
      <c r="B56" s="256"/>
      <c r="C56" s="51">
        <v>4000</v>
      </c>
      <c r="D56" s="152">
        <f>Rates!$D$28</f>
        <v>400.01</v>
      </c>
      <c r="E56" s="152">
        <f>Rates!$E$28</f>
        <v>494.63</v>
      </c>
      <c r="F56" s="106">
        <f t="shared" si="6"/>
        <v>94.62</v>
      </c>
      <c r="G56" s="257">
        <f t="shared" si="7"/>
        <v>0.23654408639784008</v>
      </c>
      <c r="H56" s="258"/>
    </row>
    <row r="57" spans="2:8" x14ac:dyDescent="0.25">
      <c r="B57" s="5"/>
      <c r="C57" s="3">
        <v>6000</v>
      </c>
      <c r="D57" s="150">
        <f>Rates!$D$28</f>
        <v>400.01</v>
      </c>
      <c r="E57" s="150">
        <f>Rates!$E$28</f>
        <v>494.63</v>
      </c>
      <c r="F57" s="106">
        <f t="shared" si="6"/>
        <v>94.62</v>
      </c>
      <c r="G57" s="36">
        <f t="shared" si="7"/>
        <v>0.23654408639784008</v>
      </c>
      <c r="H57" s="23"/>
    </row>
    <row r="58" spans="2:8" x14ac:dyDescent="0.25">
      <c r="B58" s="5"/>
      <c r="C58" s="3">
        <v>8000</v>
      </c>
      <c r="D58" s="150">
        <f>Rates!$D$28</f>
        <v>400.01</v>
      </c>
      <c r="E58" s="150">
        <f>Rates!$E$28</f>
        <v>494.63</v>
      </c>
      <c r="F58" s="9">
        <f t="shared" si="6"/>
        <v>94.62</v>
      </c>
      <c r="G58" s="36">
        <f t="shared" si="7"/>
        <v>0.23654408639784008</v>
      </c>
      <c r="H58" s="23"/>
    </row>
    <row r="59" spans="2:8" x14ac:dyDescent="0.25">
      <c r="B59" s="5"/>
      <c r="C59" s="3">
        <v>10000</v>
      </c>
      <c r="D59" s="150">
        <f>Rates!$D$28</f>
        <v>400.01</v>
      </c>
      <c r="E59" s="150">
        <f>Rates!$E$28</f>
        <v>494.63</v>
      </c>
      <c r="F59" s="9">
        <f t="shared" si="6"/>
        <v>94.62</v>
      </c>
      <c r="G59" s="36">
        <f t="shared" si="7"/>
        <v>0.23654408639784008</v>
      </c>
      <c r="H59" s="23"/>
    </row>
    <row r="60" spans="2:8" x14ac:dyDescent="0.25">
      <c r="B60" s="5"/>
      <c r="C60" s="3">
        <v>15000</v>
      </c>
      <c r="D60" s="150">
        <f>Rates!$D$28</f>
        <v>400.01</v>
      </c>
      <c r="E60" s="150">
        <f>Rates!$E$28</f>
        <v>494.63</v>
      </c>
      <c r="F60" s="9">
        <f t="shared" si="6"/>
        <v>94.62</v>
      </c>
      <c r="G60" s="36">
        <f t="shared" si="7"/>
        <v>0.23654408639784008</v>
      </c>
      <c r="H60" s="23"/>
    </row>
    <row r="61" spans="2:8" x14ac:dyDescent="0.25">
      <c r="B61" s="5"/>
      <c r="C61" s="3">
        <v>20000</v>
      </c>
      <c r="D61" s="150">
        <f>Rates!$D$28</f>
        <v>400.01</v>
      </c>
      <c r="E61" s="150">
        <f>Rates!$E$28</f>
        <v>494.63</v>
      </c>
      <c r="F61" s="9">
        <f t="shared" si="6"/>
        <v>94.62</v>
      </c>
      <c r="G61" s="36">
        <f t="shared" si="7"/>
        <v>0.23654408639784008</v>
      </c>
      <c r="H61" s="23"/>
    </row>
    <row r="62" spans="2:8" x14ac:dyDescent="0.25">
      <c r="B62" s="5"/>
      <c r="C62" s="3">
        <v>25000</v>
      </c>
      <c r="D62" s="150">
        <f>Rates!$D$28</f>
        <v>400.01</v>
      </c>
      <c r="E62" s="150">
        <f>Rates!$E$28</f>
        <v>494.63</v>
      </c>
      <c r="F62" s="9">
        <f t="shared" si="6"/>
        <v>94.62</v>
      </c>
      <c r="G62" s="36">
        <f t="shared" si="7"/>
        <v>0.23654408639784008</v>
      </c>
      <c r="H62" s="23"/>
    </row>
    <row r="63" spans="2:8" x14ac:dyDescent="0.25">
      <c r="B63" s="5"/>
      <c r="C63" s="3">
        <v>30000</v>
      </c>
      <c r="D63" s="150">
        <f>Rates!$D$28</f>
        <v>400.01</v>
      </c>
      <c r="E63" s="150">
        <f>Rates!$E$28</f>
        <v>494.63</v>
      </c>
      <c r="F63" s="9">
        <f t="shared" si="6"/>
        <v>94.62</v>
      </c>
      <c r="G63" s="36">
        <f t="shared" si="7"/>
        <v>0.23654408639784008</v>
      </c>
      <c r="H63" s="23"/>
    </row>
    <row r="64" spans="2:8" x14ac:dyDescent="0.25">
      <c r="B64" s="5"/>
      <c r="C64" s="3">
        <v>40000</v>
      </c>
      <c r="D64" s="150">
        <f>Rates!$D$28</f>
        <v>400.01</v>
      </c>
      <c r="E64" s="150">
        <f>Rates!$E$28</f>
        <v>494.63</v>
      </c>
      <c r="F64" s="9">
        <f t="shared" si="6"/>
        <v>94.62</v>
      </c>
      <c r="G64" s="36">
        <f t="shared" si="7"/>
        <v>0.23654408639784008</v>
      </c>
      <c r="H64" s="23"/>
    </row>
    <row r="65" spans="2:8" x14ac:dyDescent="0.25">
      <c r="B65" s="5"/>
      <c r="C65" s="3">
        <v>50000</v>
      </c>
      <c r="D65" s="152">
        <f>Rates!$D$28+((Bills!$C65-50000)/1000*Rates!$D$29)</f>
        <v>400.01</v>
      </c>
      <c r="E65" s="150">
        <f>Rates!$E$28</f>
        <v>494.63</v>
      </c>
      <c r="F65" s="9">
        <f t="shared" si="6"/>
        <v>94.62</v>
      </c>
      <c r="G65" s="36">
        <f t="shared" si="7"/>
        <v>0.23654408639784008</v>
      </c>
      <c r="H65" s="23"/>
    </row>
    <row r="66" spans="2:8" x14ac:dyDescent="0.25">
      <c r="B66" s="5"/>
      <c r="C66" s="3">
        <v>75000</v>
      </c>
      <c r="D66" s="152">
        <f>Rates!$D$28+((Bills!$C66-50000)*Rates!$D$29)</f>
        <v>591.76</v>
      </c>
      <c r="E66" s="152">
        <f>Rates!$E$28+((Bills!$C66-50000)*Rates!$E$29)</f>
        <v>731.63</v>
      </c>
      <c r="F66" s="9">
        <f t="shared" si="6"/>
        <v>139.87</v>
      </c>
      <c r="G66" s="36">
        <f t="shared" si="7"/>
        <v>0.23636271461403272</v>
      </c>
      <c r="H66" s="23"/>
    </row>
    <row r="67" spans="2:8" x14ac:dyDescent="0.25">
      <c r="B67" s="5"/>
      <c r="C67" s="3">
        <v>100000</v>
      </c>
      <c r="D67" s="152">
        <f>Rates!$D$28+((Bills!$C67-50000)*Rates!$D$29)</f>
        <v>783.51</v>
      </c>
      <c r="E67" s="152">
        <f>Rates!$E$28+((Bills!$C67-50000)*Rates!$E$29)</f>
        <v>968.63000000000011</v>
      </c>
      <c r="F67" s="9">
        <f t="shared" si="6"/>
        <v>185.12000000000012</v>
      </c>
      <c r="G67" s="36">
        <f t="shared" si="7"/>
        <v>0.23627011780321899</v>
      </c>
      <c r="H67" s="23"/>
    </row>
    <row r="68" spans="2:8" x14ac:dyDescent="0.25">
      <c r="B68" s="139"/>
      <c r="C68" s="24">
        <v>363525</v>
      </c>
      <c r="D68" s="151">
        <f>Rates!$D$28+(Rates!D$29*100000)+(Bills!$C68-150000)*Rates!$D$30</f>
        <v>2593.357</v>
      </c>
      <c r="E68" s="151">
        <f>Rates!$E$28+(Rates!E$29*100000)+(Bills!$C68-150000)*Rates!$E$30</f>
        <v>3206.3465000000001</v>
      </c>
      <c r="F68" s="25">
        <f t="shared" si="6"/>
        <v>612.98950000000013</v>
      </c>
      <c r="G68" s="37">
        <f t="shared" si="7"/>
        <v>0.23636911539753305</v>
      </c>
      <c r="H68" s="26"/>
    </row>
    <row r="69" spans="2:8" x14ac:dyDescent="0.25">
      <c r="B69" s="5"/>
      <c r="C69" s="3">
        <v>500000</v>
      </c>
      <c r="D69" s="152">
        <f>Rates!$D$28+(Rates!D$29*100000)+(Bills!$C69-150000)*Rates!$D$30</f>
        <v>3505.01</v>
      </c>
      <c r="E69" s="152">
        <f>Rates!$E$28+(Rates!E$29*100000)+(Bills!$C69-150000)*Rates!$E$30</f>
        <v>4333.63</v>
      </c>
      <c r="F69" s="9">
        <f t="shared" si="6"/>
        <v>828.61999999999989</v>
      </c>
      <c r="G69" s="36">
        <f t="shared" si="7"/>
        <v>0.23641016716072133</v>
      </c>
      <c r="H69" s="23"/>
    </row>
    <row r="70" spans="2:8" ht="6" customHeight="1" x14ac:dyDescent="0.25">
      <c r="B70" s="211"/>
      <c r="C70" s="212"/>
      <c r="D70" s="213"/>
      <c r="E70" s="214"/>
      <c r="F70" s="215"/>
      <c r="G70" s="2"/>
      <c r="H70" s="216"/>
    </row>
  </sheetData>
  <mergeCells count="6">
    <mergeCell ref="B50:H50"/>
    <mergeCell ref="B28:H28"/>
    <mergeCell ref="B2:H2"/>
    <mergeCell ref="B3:H3"/>
    <mergeCell ref="B4:H4"/>
    <mergeCell ref="B6:H6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C148-24AA-4647-85EC-9B6F47B561B6}">
  <sheetPr>
    <pageSetUpPr fitToPage="1"/>
  </sheetPr>
  <dimension ref="B1:N70"/>
  <sheetViews>
    <sheetView showGridLines="0" topLeftCell="A56" zoomScale="99" zoomScaleNormal="99" workbookViewId="0">
      <selection activeCell="I71" sqref="A1:I71"/>
    </sheetView>
  </sheetViews>
  <sheetFormatPr defaultColWidth="8.77734375" defaultRowHeight="15" x14ac:dyDescent="0.25"/>
  <cols>
    <col min="1" max="1" width="3" style="4" customWidth="1"/>
    <col min="2" max="2" width="1.77734375" style="4" customWidth="1"/>
    <col min="3" max="3" width="9.77734375" style="4" customWidth="1"/>
    <col min="4" max="5" width="9.77734375" style="45" customWidth="1"/>
    <col min="6" max="7" width="9.77734375" style="4" customWidth="1"/>
    <col min="8" max="8" width="1.77734375" style="4" customWidth="1"/>
    <col min="9" max="9" width="2.77734375" style="4" customWidth="1"/>
    <col min="10" max="16384" width="8.77734375" style="4"/>
  </cols>
  <sheetData>
    <row r="1" spans="2:10" ht="20.100000000000001" customHeight="1" x14ac:dyDescent="0.25"/>
    <row r="2" spans="2:10" ht="20.100000000000001" customHeight="1" x14ac:dyDescent="0.3">
      <c r="B2" s="405" t="s">
        <v>166</v>
      </c>
      <c r="C2" s="406"/>
      <c r="D2" s="406"/>
      <c r="E2" s="406"/>
      <c r="F2" s="406"/>
      <c r="G2" s="406"/>
      <c r="H2" s="407"/>
    </row>
    <row r="3" spans="2:10" ht="18.75" x14ac:dyDescent="0.3">
      <c r="B3" s="408" t="s">
        <v>291</v>
      </c>
      <c r="C3" s="409"/>
      <c r="D3" s="409"/>
      <c r="E3" s="409"/>
      <c r="F3" s="409"/>
      <c r="G3" s="409"/>
      <c r="H3" s="410"/>
    </row>
    <row r="4" spans="2:10" ht="15.75" x14ac:dyDescent="0.25">
      <c r="B4" s="411" t="s">
        <v>80</v>
      </c>
      <c r="C4" s="412"/>
      <c r="D4" s="412"/>
      <c r="E4" s="412"/>
      <c r="F4" s="412"/>
      <c r="G4" s="412"/>
      <c r="H4" s="413"/>
    </row>
    <row r="5" spans="2:10" ht="6" customHeight="1" x14ac:dyDescent="0.25">
      <c r="B5" s="20"/>
      <c r="C5" s="21"/>
      <c r="D5" s="147"/>
      <c r="E5" s="147"/>
      <c r="F5" s="21"/>
      <c r="G5" s="21"/>
      <c r="H5" s="22"/>
    </row>
    <row r="6" spans="2:10" ht="15.75" x14ac:dyDescent="0.25">
      <c r="B6" s="414" t="str">
        <f>Rates!B7</f>
        <v>5/8" x 3/4" Meter Tap</v>
      </c>
      <c r="C6" s="415"/>
      <c r="D6" s="415"/>
      <c r="E6" s="415"/>
      <c r="F6" s="415"/>
      <c r="G6" s="415"/>
      <c r="H6" s="416"/>
      <c r="I6" s="5"/>
    </row>
    <row r="7" spans="2:10" ht="6" customHeight="1" x14ac:dyDescent="0.25">
      <c r="B7" s="5"/>
      <c r="C7" s="6"/>
      <c r="D7" s="148"/>
      <c r="E7" s="147"/>
      <c r="F7" s="21"/>
      <c r="G7" s="21"/>
      <c r="H7" s="22"/>
      <c r="I7" s="19"/>
      <c r="J7" s="19"/>
    </row>
    <row r="8" spans="2:10" ht="17.25" x14ac:dyDescent="0.4">
      <c r="B8" s="5"/>
      <c r="C8" s="18" t="s">
        <v>2</v>
      </c>
      <c r="D8" s="149" t="s">
        <v>4</v>
      </c>
      <c r="E8" s="154" t="s">
        <v>0</v>
      </c>
      <c r="F8" s="8"/>
      <c r="G8" s="8"/>
      <c r="H8" s="18"/>
    </row>
    <row r="9" spans="2:10" ht="17.25" x14ac:dyDescent="0.4">
      <c r="B9" s="5"/>
      <c r="C9" s="18" t="s">
        <v>57</v>
      </c>
      <c r="D9" s="149" t="s">
        <v>18</v>
      </c>
      <c r="E9" s="154" t="s">
        <v>18</v>
      </c>
      <c r="F9" s="8" t="s">
        <v>5</v>
      </c>
      <c r="G9" s="8" t="s">
        <v>19</v>
      </c>
      <c r="H9" s="18"/>
    </row>
    <row r="10" spans="2:10" x14ac:dyDescent="0.25">
      <c r="B10" s="5"/>
      <c r="C10" s="9">
        <v>0</v>
      </c>
      <c r="D10" s="150">
        <f>Rates!D10+Rates!$D$36</f>
        <v>23.93</v>
      </c>
      <c r="E10" s="150">
        <f>Rates!E10+Rates!$E$36</f>
        <v>32.32</v>
      </c>
      <c r="F10" s="28">
        <f>E10-D10</f>
        <v>8.39</v>
      </c>
      <c r="G10" s="36">
        <f>F10/D10</f>
        <v>0.35060593397409112</v>
      </c>
      <c r="H10" s="23"/>
    </row>
    <row r="11" spans="2:10" x14ac:dyDescent="0.25">
      <c r="B11" s="5"/>
      <c r="C11" s="3">
        <v>2000</v>
      </c>
      <c r="D11" s="150">
        <f>Rates!D10+Rates!$D$36</f>
        <v>23.93</v>
      </c>
      <c r="E11" s="150">
        <f>Rates!E10+Rates!$E$36</f>
        <v>32.32</v>
      </c>
      <c r="F11" s="9">
        <f t="shared" ref="F11:F25" si="0">E11-D11</f>
        <v>8.39</v>
      </c>
      <c r="G11" s="36">
        <f t="shared" ref="G11:G25" si="1">F11/D11</f>
        <v>0.35060593397409112</v>
      </c>
      <c r="H11" s="23"/>
    </row>
    <row r="12" spans="2:10" x14ac:dyDescent="0.25">
      <c r="B12" s="139"/>
      <c r="C12" s="24">
        <v>3751</v>
      </c>
      <c r="D12" s="151">
        <f>Rates!$D$10+(('Bills with Surcharge'!$C12-2000)*Rates!$D$11)+Rates!$D$36</f>
        <v>39.09366</v>
      </c>
      <c r="E12" s="151">
        <f>Rates!$E$10+(('Bills with Surcharge'!$C12-2000)*Rates!$E$11)+Rates!$E$36</f>
        <v>51.073209999999996</v>
      </c>
      <c r="F12" s="25">
        <f t="shared" si="0"/>
        <v>11.979549999999996</v>
      </c>
      <c r="G12" s="37">
        <f t="shared" si="1"/>
        <v>0.30643204038711125</v>
      </c>
      <c r="H12" s="26"/>
    </row>
    <row r="13" spans="2:10" x14ac:dyDescent="0.25">
      <c r="B13" s="5"/>
      <c r="C13" s="3">
        <v>6000</v>
      </c>
      <c r="D13" s="152">
        <f>Rates!$D$10+(3000*Rates!$D$11)+(('Bills with Surcharge'!C13-5000)*Rates!$D$12)+Rates!$D$36</f>
        <v>57.58</v>
      </c>
      <c r="E13" s="152">
        <f>Rates!$E$10+(3000*Rates!$E$11)+(('Bills with Surcharge'!C13-5000)*Rates!$E$12)+Rates!$E$36</f>
        <v>73.930000000000007</v>
      </c>
      <c r="F13" s="106">
        <f t="shared" si="0"/>
        <v>16.350000000000009</v>
      </c>
      <c r="G13" s="36">
        <f t="shared" si="1"/>
        <v>0.28395276137547776</v>
      </c>
      <c r="H13" s="23"/>
    </row>
    <row r="14" spans="2:10" x14ac:dyDescent="0.25">
      <c r="B14" s="5"/>
      <c r="C14" s="3">
        <v>8000</v>
      </c>
      <c r="D14" s="152">
        <f>Rates!$D$10+(3000*Rates!$D$11)+(('Bills with Surcharge'!C14-5000)*Rates!$D$12)+Rates!$D$36</f>
        <v>72.919999999999987</v>
      </c>
      <c r="E14" s="152">
        <f>Rates!$E$10+(3000*Rates!$E$11)+(('Bills with Surcharge'!C14-5000)*Rates!$E$12)+Rates!$E$36</f>
        <v>92.89</v>
      </c>
      <c r="F14" s="9">
        <f t="shared" si="0"/>
        <v>19.970000000000013</v>
      </c>
      <c r="G14" s="36">
        <f t="shared" si="1"/>
        <v>0.27386176631925419</v>
      </c>
      <c r="H14" s="23"/>
    </row>
    <row r="15" spans="2:10" x14ac:dyDescent="0.25">
      <c r="B15" s="5"/>
      <c r="C15" s="3">
        <v>10000</v>
      </c>
      <c r="D15" s="152">
        <f>Rates!$D$10+(3000*Rates!$D$11)+(('Bills with Surcharge'!C15-5000)*Rates!$D$12)+Rates!$D$36</f>
        <v>88.259999999999991</v>
      </c>
      <c r="E15" s="152">
        <f>Rates!$E$10+(3000*Rates!$E$11)+(('Bills with Surcharge'!C15-5000)*Rates!$E$12)+Rates!$E$36</f>
        <v>111.85000000000001</v>
      </c>
      <c r="F15" s="9">
        <f t="shared" si="0"/>
        <v>23.590000000000018</v>
      </c>
      <c r="G15" s="36">
        <f t="shared" si="1"/>
        <v>0.26727849535463427</v>
      </c>
      <c r="H15" s="23"/>
    </row>
    <row r="16" spans="2:10" x14ac:dyDescent="0.25">
      <c r="B16" s="5"/>
      <c r="C16" s="3">
        <v>15000</v>
      </c>
      <c r="D16" s="152">
        <f>Rates!$D$10+(3000*Rates!$D$11)+(5000*Rates!$D$12)+(('Bills with Surcharge'!C16-10000)*Rates!$D$13)+Rates!$D$36</f>
        <v>121.66</v>
      </c>
      <c r="E16" s="152">
        <f>Rates!$E$10+(3000*Rates!$E$11)+(5000*Rates!$E$12)+(('Bills with Surcharge'!C16-10000)*Rates!$E$13)+Rates!$E$36</f>
        <v>153.15</v>
      </c>
      <c r="F16" s="9">
        <f>E16-D16</f>
        <v>31.490000000000009</v>
      </c>
      <c r="G16" s="36">
        <f>F16/D16</f>
        <v>0.25883610060825257</v>
      </c>
      <c r="H16" s="23"/>
    </row>
    <row r="17" spans="2:14" x14ac:dyDescent="0.25">
      <c r="B17" s="5"/>
      <c r="C17" s="3">
        <v>20000</v>
      </c>
      <c r="D17" s="152">
        <f>Rates!$D$10+(3000*Rates!$D$11)+(5000*Rates!$D$12)+(('Bills with Surcharge'!C17-10000)*Rates!$D$13)+Rates!$D$36</f>
        <v>155.06</v>
      </c>
      <c r="E17" s="152">
        <f>Rates!$E$10+(3000*Rates!$E$11)+(5000*Rates!$E$12)+(('Bills with Surcharge'!C17-10000)*Rates!$E$13)+Rates!$E$36</f>
        <v>194.45</v>
      </c>
      <c r="F17" s="9">
        <f>E17-D17</f>
        <v>39.389999999999986</v>
      </c>
      <c r="G17" s="36">
        <f>F17/D17</f>
        <v>0.25403069779440207</v>
      </c>
      <c r="H17" s="23"/>
    </row>
    <row r="18" spans="2:14" x14ac:dyDescent="0.25">
      <c r="B18" s="5"/>
      <c r="C18" s="3">
        <v>25000</v>
      </c>
      <c r="D18" s="152">
        <f>Rates!$D$10+(3000*Rates!$D$11)+(5000*Rates!$D$12)+(('Bills with Surcharge'!C18-10000)*Rates!$D$13)+Rates!$D$36</f>
        <v>188.45999999999998</v>
      </c>
      <c r="E18" s="152">
        <f>Rates!$E$10+(3000*Rates!$E$11)+(5000*Rates!$E$12)+(('Bills with Surcharge'!C18-10000)*Rates!$E$13)+Rates!$E$36</f>
        <v>235.75</v>
      </c>
      <c r="F18" s="9">
        <f t="shared" si="0"/>
        <v>47.29000000000002</v>
      </c>
      <c r="G18" s="36">
        <f t="shared" si="1"/>
        <v>0.25092857900880838</v>
      </c>
      <c r="H18" s="23"/>
    </row>
    <row r="19" spans="2:14" x14ac:dyDescent="0.25">
      <c r="B19" s="5"/>
      <c r="C19" s="3">
        <v>30000</v>
      </c>
      <c r="D19" s="152">
        <f>Rates!$D$10+(3000*Rates!$D$11)+(5000*Rates!$D$12)+(('Bills with Surcharge'!C19-10000)*Rates!$D$13)+Rates!$D$36</f>
        <v>221.85999999999999</v>
      </c>
      <c r="E19" s="152">
        <f>Rates!$E$10+(3000*Rates!$E$11)+(5000*Rates!$E$12)+(('Bills with Surcharge'!C19-10000)*Rates!$E$13)+Rates!$E$36</f>
        <v>277.05</v>
      </c>
      <c r="F19" s="9">
        <f t="shared" si="0"/>
        <v>55.190000000000026</v>
      </c>
      <c r="G19" s="36">
        <f t="shared" si="1"/>
        <v>0.24876047958171835</v>
      </c>
      <c r="H19" s="23"/>
      <c r="N19" s="3"/>
    </row>
    <row r="20" spans="2:14" x14ac:dyDescent="0.25">
      <c r="B20" s="5"/>
      <c r="C20" s="3">
        <v>40000</v>
      </c>
      <c r="D20" s="152">
        <f>Rates!$D$10+(3000*Rates!$D$11)+(5000*Rates!$D$12)+(('Bills with Surcharge'!C20-10000)*Rates!$D$13)+Rates!$D$36</f>
        <v>288.65999999999997</v>
      </c>
      <c r="E20" s="152">
        <f>Rates!$E$10+(3000*Rates!$E$11)+(5000*Rates!$E$12)+(('Bills with Surcharge'!C20-10000)*Rates!$E$13)+Rates!$E$36</f>
        <v>359.65000000000003</v>
      </c>
      <c r="F20" s="9">
        <f t="shared" si="0"/>
        <v>70.990000000000066</v>
      </c>
      <c r="G20" s="36">
        <f t="shared" si="1"/>
        <v>0.24592946719323797</v>
      </c>
      <c r="H20" s="23"/>
    </row>
    <row r="21" spans="2:14" x14ac:dyDescent="0.25">
      <c r="B21" s="5"/>
      <c r="C21" s="3">
        <v>50000</v>
      </c>
      <c r="D21" s="152">
        <f>Rates!$D$10+(3000*Rates!$D$11)+(5000*Rates!$D$12)+(('Bills with Surcharge'!C21-10000)*Rates!$D$13)+Rates!$D$36</f>
        <v>355.46</v>
      </c>
      <c r="E21" s="152">
        <f>Rates!$E$10+(3000*Rates!$E$11)+(5000*Rates!$E$12)+(('Bills with Surcharge'!C21-10000)*Rates!$E$13)+Rates!$E$36</f>
        <v>442.25</v>
      </c>
      <c r="F21" s="9">
        <f t="shared" si="0"/>
        <v>86.79000000000002</v>
      </c>
      <c r="G21" s="36">
        <f t="shared" si="1"/>
        <v>0.24416249367017392</v>
      </c>
      <c r="H21" s="23"/>
    </row>
    <row r="22" spans="2:14" x14ac:dyDescent="0.25">
      <c r="B22" s="5"/>
      <c r="C22" s="3">
        <v>75000</v>
      </c>
      <c r="D22" s="152">
        <f>Rates!$D$10+(3000*Rates!$D$11)+(5000*Rates!$D$12)+(('Bills with Surcharge'!C22-10000)*Rates!$D$13)+Rates!$D$36</f>
        <v>522.46</v>
      </c>
      <c r="E22" s="152">
        <f>Rates!$E$10+(3000*Rates!$E$11)+(5000*Rates!$E$12)+(('Bills with Surcharge'!C22-10000)*Rates!$E$13)+Rates!$E$36</f>
        <v>648.75</v>
      </c>
      <c r="F22" s="9">
        <f t="shared" si="0"/>
        <v>126.28999999999996</v>
      </c>
      <c r="G22" s="36">
        <f t="shared" si="1"/>
        <v>0.24172185430463566</v>
      </c>
      <c r="H22" s="23"/>
    </row>
    <row r="23" spans="2:14" x14ac:dyDescent="0.25">
      <c r="B23" s="5"/>
      <c r="C23" s="3">
        <v>100000</v>
      </c>
      <c r="D23" s="152">
        <f>Rates!$D$10+(3000*Rates!$D$11)+(5000*Rates!$D$12)+(('Bills with Surcharge'!C23-10000)*Rates!$D$13)+Rates!$D$36</f>
        <v>689.46</v>
      </c>
      <c r="E23" s="152">
        <f>Rates!$E$10+(3000*Rates!$E$11)+(5000*Rates!$E$12)+(('Bills with Surcharge'!C23-10000)*Rates!$E$13)+Rates!$E$36</f>
        <v>855.25</v>
      </c>
      <c r="F23" s="9">
        <f t="shared" si="0"/>
        <v>165.78999999999996</v>
      </c>
      <c r="G23" s="36">
        <f t="shared" si="1"/>
        <v>0.24046355118498527</v>
      </c>
      <c r="H23" s="23"/>
    </row>
    <row r="24" spans="2:14" x14ac:dyDescent="0.25">
      <c r="B24" s="5"/>
      <c r="C24" s="3">
        <v>200000</v>
      </c>
      <c r="D24" s="152">
        <f>Rates!$D$10+(3000*Rates!$D$11)+(5000*Rates!$D$12)+(('Bills with Surcharge'!C24-10000)*Rates!$D$13)+Rates!$D$36</f>
        <v>1357.46</v>
      </c>
      <c r="E24" s="152">
        <f>Rates!$E$10+(3000*Rates!$E$11)+(5000*Rates!$E$12)+(('Bills with Surcharge'!C24-10000)*Rates!$E$13)+Rates!$E$36</f>
        <v>1681.25</v>
      </c>
      <c r="F24" s="9">
        <f t="shared" si="0"/>
        <v>323.78999999999996</v>
      </c>
      <c r="G24" s="36">
        <f t="shared" si="1"/>
        <v>0.23852636541776551</v>
      </c>
      <c r="H24" s="23"/>
    </row>
    <row r="25" spans="2:14" x14ac:dyDescent="0.25">
      <c r="B25" s="5"/>
      <c r="C25" s="3">
        <v>500000</v>
      </c>
      <c r="D25" s="152">
        <f>Rates!$D$10+(3000*Rates!$D$11)+(5000*Rates!$D$12)+(('Bills with Surcharge'!C25-10000)*Rates!$D$13)+Rates!$D$36</f>
        <v>3361.46</v>
      </c>
      <c r="E25" s="152">
        <f>Rates!$E$10+(3000*Rates!$E$11)+(5000*Rates!$E$12)+(('Bills with Surcharge'!C25-10000)*Rates!$E$13)+Rates!$E$36</f>
        <v>4159.25</v>
      </c>
      <c r="F25" s="9">
        <f t="shared" si="0"/>
        <v>797.79</v>
      </c>
      <c r="G25" s="36">
        <f t="shared" si="1"/>
        <v>0.2373343725643024</v>
      </c>
      <c r="H25" s="23"/>
    </row>
    <row r="26" spans="2:14" ht="6" customHeight="1" x14ac:dyDescent="0.25">
      <c r="B26" s="5"/>
      <c r="C26" s="102"/>
      <c r="D26" s="150"/>
      <c r="E26" s="28"/>
      <c r="F26" s="9"/>
      <c r="G26" s="3"/>
      <c r="H26" s="6"/>
    </row>
    <row r="27" spans="2:14" ht="16.5" customHeight="1" x14ac:dyDescent="0.25">
      <c r="B27" s="103"/>
      <c r="C27" s="104"/>
      <c r="D27" s="153"/>
      <c r="E27" s="153"/>
      <c r="F27" s="105"/>
      <c r="G27" s="103"/>
      <c r="H27" s="103"/>
    </row>
    <row r="28" spans="2:14" ht="15.75" x14ac:dyDescent="0.25">
      <c r="B28" s="402" t="str">
        <f>Rates!B16</f>
        <v>1" Meter Tap</v>
      </c>
      <c r="C28" s="403"/>
      <c r="D28" s="403"/>
      <c r="E28" s="403"/>
      <c r="F28" s="403"/>
      <c r="G28" s="403"/>
      <c r="H28" s="404"/>
    </row>
    <row r="29" spans="2:14" ht="6" customHeight="1" x14ac:dyDescent="0.25">
      <c r="B29" s="5"/>
      <c r="C29" s="6"/>
      <c r="D29" s="148"/>
      <c r="E29" s="147"/>
      <c r="F29" s="21"/>
      <c r="G29" s="21"/>
      <c r="H29" s="22"/>
    </row>
    <row r="30" spans="2:14" ht="17.25" x14ac:dyDescent="0.4">
      <c r="B30" s="5"/>
      <c r="C30" s="18" t="s">
        <v>2</v>
      </c>
      <c r="D30" s="149" t="s">
        <v>4</v>
      </c>
      <c r="E30" s="154" t="s">
        <v>0</v>
      </c>
      <c r="F30" s="8"/>
      <c r="G30" s="8"/>
      <c r="H30" s="18"/>
    </row>
    <row r="31" spans="2:14" ht="17.25" x14ac:dyDescent="0.4">
      <c r="B31" s="5"/>
      <c r="C31" s="18" t="s">
        <v>57</v>
      </c>
      <c r="D31" s="149" t="s">
        <v>18</v>
      </c>
      <c r="E31" s="154" t="s">
        <v>18</v>
      </c>
      <c r="F31" s="8" t="s">
        <v>5</v>
      </c>
      <c r="G31" s="8" t="s">
        <v>19</v>
      </c>
      <c r="H31" s="18"/>
    </row>
    <row r="32" spans="2:14" x14ac:dyDescent="0.25">
      <c r="B32" s="5"/>
      <c r="C32" s="9">
        <v>0</v>
      </c>
      <c r="D32" s="150">
        <f>Rates!$D$19+Rates!$D$36</f>
        <v>49.9</v>
      </c>
      <c r="E32" s="150">
        <f>Rates!$E$19+Rates!$E$36</f>
        <v>64.430000000000007</v>
      </c>
      <c r="F32" s="28">
        <f>E32-D32</f>
        <v>14.530000000000008</v>
      </c>
      <c r="G32" s="36">
        <f>F32/D32</f>
        <v>0.29118236472945908</v>
      </c>
      <c r="H32" s="23"/>
    </row>
    <row r="33" spans="2:12" x14ac:dyDescent="0.25">
      <c r="B33" s="5"/>
      <c r="C33" s="3">
        <v>2000</v>
      </c>
      <c r="D33" s="150">
        <f>Rates!$D$19+Rates!$D$36</f>
        <v>49.9</v>
      </c>
      <c r="E33" s="150">
        <f>Rates!$E$19+Rates!$E$36</f>
        <v>64.430000000000007</v>
      </c>
      <c r="F33" s="9">
        <f t="shared" ref="F33:F47" si="2">E33-D33</f>
        <v>14.530000000000008</v>
      </c>
      <c r="G33" s="36">
        <f t="shared" ref="G33:G47" si="3">F33/D33</f>
        <v>0.29118236472945908</v>
      </c>
      <c r="H33" s="23"/>
    </row>
    <row r="34" spans="2:12" x14ac:dyDescent="0.25">
      <c r="B34" s="256"/>
      <c r="C34" s="51">
        <v>4000</v>
      </c>
      <c r="D34" s="152">
        <f>Rates!$D$19+Rates!$D$36</f>
        <v>49.9</v>
      </c>
      <c r="E34" s="152">
        <f>Rates!$E$19+Rates!$E$36</f>
        <v>64.430000000000007</v>
      </c>
      <c r="F34" s="106">
        <f t="shared" si="2"/>
        <v>14.530000000000008</v>
      </c>
      <c r="G34" s="257">
        <f t="shared" si="3"/>
        <v>0.29118236472945908</v>
      </c>
      <c r="H34" s="258"/>
    </row>
    <row r="35" spans="2:12" x14ac:dyDescent="0.25">
      <c r="B35" s="5"/>
      <c r="C35" s="3">
        <v>6000</v>
      </c>
      <c r="D35" s="152">
        <f>Rates!$D$19+(('Bills with Surcharge'!$C35-5000)*Rates!$D$20)+Rates!$D$36</f>
        <v>58.56</v>
      </c>
      <c r="E35" s="152">
        <f>Rates!$E$19+(('Bills with Surcharge'!$C35-5000)*Rates!$E$20)+Rates!$E$36</f>
        <v>75.14</v>
      </c>
      <c r="F35" s="106">
        <f t="shared" si="2"/>
        <v>16.579999999999998</v>
      </c>
      <c r="G35" s="36">
        <f t="shared" si="3"/>
        <v>0.28312841530054639</v>
      </c>
      <c r="H35" s="23"/>
    </row>
    <row r="36" spans="2:12" x14ac:dyDescent="0.25">
      <c r="B36" s="139"/>
      <c r="C36" s="24">
        <v>8190</v>
      </c>
      <c r="D36" s="151">
        <f>Rates!$D$19+(('Bills with Surcharge'!$C36-5000)*Rates!$D$20)+Rates!$D$36</f>
        <v>77.525399999999991</v>
      </c>
      <c r="E36" s="151">
        <f>Rates!$E$19+(('Bills with Surcharge'!$C36-5000)*Rates!$E$20)+Rates!$E$36</f>
        <v>98.59490000000001</v>
      </c>
      <c r="F36" s="25">
        <f t="shared" si="2"/>
        <v>21.069500000000019</v>
      </c>
      <c r="G36" s="37">
        <f t="shared" si="3"/>
        <v>0.27177544391902553</v>
      </c>
      <c r="H36" s="26"/>
    </row>
    <row r="37" spans="2:12" x14ac:dyDescent="0.25">
      <c r="B37" s="5"/>
      <c r="C37" s="3">
        <v>10000</v>
      </c>
      <c r="D37" s="152">
        <f>Rates!$D$19+(('Bills with Surcharge'!$C37-5000)*Rates!$D$20)+Rates!$D$36</f>
        <v>93.199999999999989</v>
      </c>
      <c r="E37" s="152">
        <f>Rates!$E$19+('Bills with Surcharge'!$C37-5000)*Rates!$E$20+Rates!$E$36</f>
        <v>117.98</v>
      </c>
      <c r="F37" s="9">
        <f t="shared" si="2"/>
        <v>24.780000000000015</v>
      </c>
      <c r="G37" s="36">
        <f t="shared" si="3"/>
        <v>0.26587982832618046</v>
      </c>
      <c r="H37" s="23"/>
    </row>
    <row r="38" spans="2:12" x14ac:dyDescent="0.25">
      <c r="B38" s="5"/>
      <c r="C38" s="3">
        <v>15000</v>
      </c>
      <c r="D38" s="152">
        <f>Rates!$D$19+(5000*Rates!$D$20)+(('Bills with Surcharge'!$C38-10000)*Rates!$D$21)+Rates!$D$36</f>
        <v>131.54999999999998</v>
      </c>
      <c r="E38" s="152">
        <f>Rates!$E$19+(5000*Rates!$E$20)+(('Bills with Surcharge'!$C38-10000)*Rates!$E$21)+Rates!$E$36</f>
        <v>165.38</v>
      </c>
      <c r="F38" s="9">
        <f t="shared" si="2"/>
        <v>33.830000000000013</v>
      </c>
      <c r="G38" s="36">
        <f t="shared" si="3"/>
        <v>0.25716457620676564</v>
      </c>
      <c r="H38" s="23"/>
    </row>
    <row r="39" spans="2:12" x14ac:dyDescent="0.25">
      <c r="B39" s="5"/>
      <c r="C39" s="3">
        <v>20000</v>
      </c>
      <c r="D39" s="152">
        <f>Rates!$D$19+(5000*Rates!$D$20)+(('Bills with Surcharge'!$C39-10000)*Rates!$D$21)+Rates!$D$36</f>
        <v>169.89999999999998</v>
      </c>
      <c r="E39" s="152">
        <f>Rates!$E$19+(5000*Rates!$E$20)+(('Bills with Surcharge'!$C39-10000)*Rates!$E$21)+Rates!$E$36</f>
        <v>212.78</v>
      </c>
      <c r="F39" s="9">
        <f t="shared" si="2"/>
        <v>42.880000000000024</v>
      </c>
      <c r="G39" s="36">
        <f t="shared" si="3"/>
        <v>0.25238375515008848</v>
      </c>
      <c r="H39" s="23"/>
    </row>
    <row r="40" spans="2:12" x14ac:dyDescent="0.25">
      <c r="B40" s="5"/>
      <c r="C40" s="3">
        <v>25000</v>
      </c>
      <c r="D40" s="152">
        <f>Rates!$D$19+(5000*Rates!$D$20)+(('Bills with Surcharge'!$C40-10000)*Rates!$D$21)+Rates!$D$36</f>
        <v>208.25</v>
      </c>
      <c r="E40" s="152">
        <f>Rates!$E$19+(5000*Rates!$E$20)+(('Bills with Surcharge'!$C40-10000)*Rates!$E$21)+Rates!$E$36</f>
        <v>260.18000000000006</v>
      </c>
      <c r="F40" s="9">
        <f t="shared" si="2"/>
        <v>51.930000000000064</v>
      </c>
      <c r="G40" s="36">
        <f t="shared" si="3"/>
        <v>0.24936374549819959</v>
      </c>
      <c r="H40" s="23"/>
    </row>
    <row r="41" spans="2:12" x14ac:dyDescent="0.25">
      <c r="B41" s="5"/>
      <c r="C41" s="3">
        <v>30000</v>
      </c>
      <c r="D41" s="152">
        <f>Rates!$D$19+(5000*Rates!$D$20)+(('Bills with Surcharge'!$C41-10000)*Rates!$D$21)+Rates!$D$36</f>
        <v>246.6</v>
      </c>
      <c r="E41" s="152">
        <f>Rates!$E$19+(5000*Rates!$E$20)+(('Bills with Surcharge'!$C41-10000)*Rates!$E$21)+Rates!$E$36</f>
        <v>307.58000000000004</v>
      </c>
      <c r="F41" s="9">
        <f t="shared" si="2"/>
        <v>60.980000000000047</v>
      </c>
      <c r="G41" s="36">
        <f t="shared" si="3"/>
        <v>0.2472830494728307</v>
      </c>
      <c r="H41" s="23"/>
    </row>
    <row r="42" spans="2:12" x14ac:dyDescent="0.25">
      <c r="B42" s="5"/>
      <c r="C42" s="3">
        <v>40000</v>
      </c>
      <c r="D42" s="152">
        <f>Rates!$D$19+(5000*Rates!$D$20)+(('Bills with Surcharge'!$C42-10000)*Rates!$D$21)+Rates!$D$36</f>
        <v>323.29999999999995</v>
      </c>
      <c r="E42" s="152">
        <f>Rates!$E$19+(5000*Rates!$E$20)+(('Bills with Surcharge'!$C42-10000)*Rates!$E$21)+Rates!$E$36</f>
        <v>402.38000000000005</v>
      </c>
      <c r="F42" s="9">
        <f t="shared" si="2"/>
        <v>79.080000000000098</v>
      </c>
      <c r="G42" s="36">
        <f t="shared" si="3"/>
        <v>0.24460253634395332</v>
      </c>
      <c r="H42" s="23"/>
      <c r="L42" s="50"/>
    </row>
    <row r="43" spans="2:12" x14ac:dyDescent="0.25">
      <c r="B43" s="5"/>
      <c r="C43" s="3">
        <v>50000</v>
      </c>
      <c r="D43" s="152">
        <f>Rates!$D$19+(5000*Rates!$D$20)+(('Bills with Surcharge'!$C43-10000)*Rates!$D$21)+Rates!$D$36</f>
        <v>400</v>
      </c>
      <c r="E43" s="152">
        <f>Rates!$E$19+(5000*Rates!$E$20)+(('Bills with Surcharge'!$C43-10000)*Rates!$E$21)+Rates!$E$36</f>
        <v>497.18000000000006</v>
      </c>
      <c r="F43" s="9">
        <f t="shared" si="2"/>
        <v>97.180000000000064</v>
      </c>
      <c r="G43" s="36">
        <f t="shared" si="3"/>
        <v>0.24295000000000017</v>
      </c>
      <c r="H43" s="23"/>
    </row>
    <row r="44" spans="2:12" x14ac:dyDescent="0.25">
      <c r="B44" s="5"/>
      <c r="C44" s="3">
        <v>75000</v>
      </c>
      <c r="D44" s="152">
        <f>Rates!$D$19+(5000*Rates!$D$20)+(('Bills with Surcharge'!$C44-10000)*Rates!$D$21)+Rates!$D$36</f>
        <v>591.75</v>
      </c>
      <c r="E44" s="152">
        <f>Rates!$E$19+(5000*Rates!$E$20)+(('Bills with Surcharge'!$C44-10000)*Rates!$E$21)+Rates!$E$36</f>
        <v>734.18000000000006</v>
      </c>
      <c r="F44" s="9">
        <f t="shared" si="2"/>
        <v>142.43000000000006</v>
      </c>
      <c r="G44" s="36">
        <f t="shared" si="3"/>
        <v>0.24069286016054087</v>
      </c>
      <c r="H44" s="23"/>
    </row>
    <row r="45" spans="2:12" x14ac:dyDescent="0.25">
      <c r="B45" s="5"/>
      <c r="C45" s="3">
        <v>100000</v>
      </c>
      <c r="D45" s="152">
        <f>Rates!$D$19+(5000*Rates!$D$20)+(('Bills with Surcharge'!$C45-10000)*Rates!$D$21)+Rates!$D$36</f>
        <v>783.5</v>
      </c>
      <c r="E45" s="152">
        <f>Rates!$E$19+(5000*Rates!$E$20)+(('Bills with Surcharge'!$C45-10000)*Rates!$E$21)+Rates!$E$36</f>
        <v>971.18000000000006</v>
      </c>
      <c r="F45" s="9">
        <f t="shared" si="2"/>
        <v>187.68000000000006</v>
      </c>
      <c r="G45" s="36">
        <f t="shared" si="3"/>
        <v>0.23954052329291647</v>
      </c>
      <c r="H45" s="23"/>
    </row>
    <row r="46" spans="2:12" x14ac:dyDescent="0.25">
      <c r="B46" s="5"/>
      <c r="C46" s="3">
        <v>200000</v>
      </c>
      <c r="D46" s="152">
        <f>Rates!$D$19+(5000*Rates!$D$20)+(140000*Rates!$D$21)+(('Bills with Surcharge'!$C46-150000)/1000*Rates!$D$22)+Rates!$D$36</f>
        <v>1167.3340000000001</v>
      </c>
      <c r="E46" s="152">
        <f>Rates!$E$19+(5000*Rates!$E$20)+(140000*Rates!$E$21)+(('Bills with Surcharge'!$C46-150000)/1000*Rates!$E$22)+Rates!$E$36</f>
        <v>1445.5930000000001</v>
      </c>
      <c r="F46" s="9">
        <f t="shared" si="2"/>
        <v>278.25900000000001</v>
      </c>
      <c r="G46" s="36">
        <f t="shared" si="3"/>
        <v>0.23837136586443983</v>
      </c>
      <c r="H46" s="23"/>
    </row>
    <row r="47" spans="2:12" x14ac:dyDescent="0.25">
      <c r="B47" s="5"/>
      <c r="C47" s="3">
        <v>500000</v>
      </c>
      <c r="D47" s="152">
        <f>Rates!$D$19+(5000*Rates!$D$20)+(140000*Rates!$D$21)+(('Bills with Surcharge'!$C47-150000)/1000*Rates!$D$22)+Rates!$D$36</f>
        <v>1169.338</v>
      </c>
      <c r="E47" s="152">
        <f>Rates!$E$19+(5000*Rates!$E$20)+(140000*Rates!$E$21)+(('Bills with Surcharge'!$C47-150000)/1000*Rates!$E$22)+Rates!$E$36</f>
        <v>1448.0710000000001</v>
      </c>
      <c r="F47" s="9">
        <f t="shared" si="2"/>
        <v>278.73300000000017</v>
      </c>
      <c r="G47" s="36">
        <f t="shared" si="3"/>
        <v>0.23836820491594404</v>
      </c>
      <c r="H47" s="23"/>
    </row>
    <row r="48" spans="2:12" ht="6" customHeight="1" x14ac:dyDescent="0.25">
      <c r="B48" s="5"/>
      <c r="C48" s="102"/>
      <c r="D48" s="150"/>
      <c r="E48" s="28"/>
      <c r="F48" s="9"/>
      <c r="G48" s="3"/>
      <c r="H48" s="6"/>
    </row>
    <row r="49" spans="2:8" ht="14.65" customHeight="1" x14ac:dyDescent="0.25">
      <c r="B49" s="157"/>
      <c r="C49" s="158"/>
      <c r="D49" s="159"/>
      <c r="E49" s="159"/>
      <c r="F49" s="160"/>
      <c r="G49" s="157"/>
      <c r="H49" s="157"/>
    </row>
    <row r="50" spans="2:8" ht="15.75" x14ac:dyDescent="0.25">
      <c r="B50" s="402" t="str">
        <f>Rates!B25</f>
        <v>4" Meter Tap</v>
      </c>
      <c r="C50" s="403"/>
      <c r="D50" s="403"/>
      <c r="E50" s="403"/>
      <c r="F50" s="403"/>
      <c r="G50" s="403"/>
      <c r="H50" s="404"/>
    </row>
    <row r="51" spans="2:8" ht="6" customHeight="1" x14ac:dyDescent="0.25">
      <c r="B51" s="5"/>
      <c r="C51" s="6"/>
      <c r="D51" s="148"/>
      <c r="E51" s="147"/>
      <c r="F51" s="21"/>
      <c r="G51" s="21"/>
      <c r="H51" s="22"/>
    </row>
    <row r="52" spans="2:8" ht="17.25" x14ac:dyDescent="0.4">
      <c r="B52" s="5"/>
      <c r="C52" s="18" t="s">
        <v>2</v>
      </c>
      <c r="D52" s="149" t="s">
        <v>4</v>
      </c>
      <c r="E52" s="154" t="s">
        <v>0</v>
      </c>
      <c r="F52" s="8"/>
      <c r="G52" s="8"/>
      <c r="H52" s="18"/>
    </row>
    <row r="53" spans="2:8" ht="17.25" x14ac:dyDescent="0.4">
      <c r="B53" s="5"/>
      <c r="C53" s="18" t="s">
        <v>57</v>
      </c>
      <c r="D53" s="149" t="s">
        <v>18</v>
      </c>
      <c r="E53" s="154" t="s">
        <v>18</v>
      </c>
      <c r="F53" s="8" t="s">
        <v>5</v>
      </c>
      <c r="G53" s="8" t="s">
        <v>19</v>
      </c>
      <c r="H53" s="18"/>
    </row>
    <row r="54" spans="2:8" x14ac:dyDescent="0.25">
      <c r="B54" s="5"/>
      <c r="C54" s="9">
        <v>0</v>
      </c>
      <c r="D54" s="150">
        <f>Rates!$D$28+Rates!$D$36</f>
        <v>400.01</v>
      </c>
      <c r="E54" s="150">
        <f>Rates!$E$28+Rates!$E$36</f>
        <v>497.36</v>
      </c>
      <c r="F54" s="28">
        <f>E54-D54</f>
        <v>97.350000000000023</v>
      </c>
      <c r="G54" s="36">
        <f>F54/D54</f>
        <v>0.24336891577710562</v>
      </c>
      <c r="H54" s="23"/>
    </row>
    <row r="55" spans="2:8" x14ac:dyDescent="0.25">
      <c r="B55" s="5"/>
      <c r="C55" s="3">
        <v>2000</v>
      </c>
      <c r="D55" s="150">
        <f>Rates!$D$28+Rates!$D$36</f>
        <v>400.01</v>
      </c>
      <c r="E55" s="150">
        <f>Rates!$E$28+Rates!$E$36</f>
        <v>497.36</v>
      </c>
      <c r="F55" s="9">
        <f t="shared" ref="F55:F69" si="4">E55-D55</f>
        <v>97.350000000000023</v>
      </c>
      <c r="G55" s="36">
        <f t="shared" ref="G55:G69" si="5">F55/D55</f>
        <v>0.24336891577710562</v>
      </c>
      <c r="H55" s="23"/>
    </row>
    <row r="56" spans="2:8" x14ac:dyDescent="0.25">
      <c r="B56" s="256"/>
      <c r="C56" s="51">
        <v>4000</v>
      </c>
      <c r="D56" s="152">
        <f>Rates!$D$28+Rates!$D$36</f>
        <v>400.01</v>
      </c>
      <c r="E56" s="152">
        <f>Rates!$E$28+Rates!$E$36</f>
        <v>497.36</v>
      </c>
      <c r="F56" s="106">
        <f t="shared" si="4"/>
        <v>97.350000000000023</v>
      </c>
      <c r="G56" s="257">
        <f t="shared" si="5"/>
        <v>0.24336891577710562</v>
      </c>
      <c r="H56" s="258"/>
    </row>
    <row r="57" spans="2:8" x14ac:dyDescent="0.25">
      <c r="B57" s="5"/>
      <c r="C57" s="3">
        <v>6000</v>
      </c>
      <c r="D57" s="150">
        <f>Rates!$D$28+Rates!$D$36</f>
        <v>400.01</v>
      </c>
      <c r="E57" s="150">
        <f>Rates!$E$28</f>
        <v>494.63</v>
      </c>
      <c r="F57" s="106">
        <f t="shared" si="4"/>
        <v>94.62</v>
      </c>
      <c r="G57" s="36">
        <f t="shared" si="5"/>
        <v>0.23654408639784008</v>
      </c>
      <c r="H57" s="23"/>
    </row>
    <row r="58" spans="2:8" x14ac:dyDescent="0.25">
      <c r="B58" s="5"/>
      <c r="C58" s="3">
        <v>8000</v>
      </c>
      <c r="D58" s="150">
        <f>Rates!$D$28+Rates!$D$36</f>
        <v>400.01</v>
      </c>
      <c r="E58" s="150">
        <f>Rates!$E$28+Rates!$E$36</f>
        <v>497.36</v>
      </c>
      <c r="F58" s="9">
        <f t="shared" si="4"/>
        <v>97.350000000000023</v>
      </c>
      <c r="G58" s="36">
        <f t="shared" si="5"/>
        <v>0.24336891577710562</v>
      </c>
      <c r="H58" s="23"/>
    </row>
    <row r="59" spans="2:8" x14ac:dyDescent="0.25">
      <c r="B59" s="5"/>
      <c r="C59" s="3">
        <v>10000</v>
      </c>
      <c r="D59" s="150">
        <f>Rates!$D$28+Rates!$D$36</f>
        <v>400.01</v>
      </c>
      <c r="E59" s="150">
        <f>Rates!$E$28+Rates!$E$36</f>
        <v>497.36</v>
      </c>
      <c r="F59" s="9">
        <f t="shared" si="4"/>
        <v>97.350000000000023</v>
      </c>
      <c r="G59" s="36">
        <f t="shared" si="5"/>
        <v>0.24336891577710562</v>
      </c>
      <c r="H59" s="23"/>
    </row>
    <row r="60" spans="2:8" x14ac:dyDescent="0.25">
      <c r="B60" s="5"/>
      <c r="C60" s="3">
        <v>15000</v>
      </c>
      <c r="D60" s="150">
        <f>Rates!$D$28+Rates!$D$36</f>
        <v>400.01</v>
      </c>
      <c r="E60" s="150">
        <f>Rates!$E$28+Rates!$E$36</f>
        <v>497.36</v>
      </c>
      <c r="F60" s="9">
        <f t="shared" si="4"/>
        <v>97.350000000000023</v>
      </c>
      <c r="G60" s="36">
        <f t="shared" si="5"/>
        <v>0.24336891577710562</v>
      </c>
      <c r="H60" s="23"/>
    </row>
    <row r="61" spans="2:8" x14ac:dyDescent="0.25">
      <c r="B61" s="5"/>
      <c r="C61" s="3">
        <v>20000</v>
      </c>
      <c r="D61" s="150">
        <f>Rates!$D$28+Rates!$D$36</f>
        <v>400.01</v>
      </c>
      <c r="E61" s="150">
        <f>Rates!$E$28</f>
        <v>494.63</v>
      </c>
      <c r="F61" s="9">
        <f t="shared" si="4"/>
        <v>94.62</v>
      </c>
      <c r="G61" s="36">
        <f t="shared" si="5"/>
        <v>0.23654408639784008</v>
      </c>
      <c r="H61" s="23"/>
    </row>
    <row r="62" spans="2:8" x14ac:dyDescent="0.25">
      <c r="B62" s="5"/>
      <c r="C62" s="3">
        <v>25000</v>
      </c>
      <c r="D62" s="150">
        <f>Rates!$D$28+Rates!$D$36</f>
        <v>400.01</v>
      </c>
      <c r="E62" s="150">
        <f>Rates!$E$28+Rates!$E$36</f>
        <v>497.36</v>
      </c>
      <c r="F62" s="9">
        <f t="shared" si="4"/>
        <v>97.350000000000023</v>
      </c>
      <c r="G62" s="36">
        <f t="shared" si="5"/>
        <v>0.24336891577710562</v>
      </c>
      <c r="H62" s="23"/>
    </row>
    <row r="63" spans="2:8" x14ac:dyDescent="0.25">
      <c r="B63" s="5"/>
      <c r="C63" s="3">
        <v>30000</v>
      </c>
      <c r="D63" s="150">
        <f>Rates!$D$28+Rates!$D$36</f>
        <v>400.01</v>
      </c>
      <c r="E63" s="150">
        <f>Rates!$E$28</f>
        <v>494.63</v>
      </c>
      <c r="F63" s="9">
        <f t="shared" si="4"/>
        <v>94.62</v>
      </c>
      <c r="G63" s="36">
        <f t="shared" si="5"/>
        <v>0.23654408639784008</v>
      </c>
      <c r="H63" s="23"/>
    </row>
    <row r="64" spans="2:8" x14ac:dyDescent="0.25">
      <c r="B64" s="5"/>
      <c r="C64" s="3">
        <v>40000</v>
      </c>
      <c r="D64" s="150">
        <f>Rates!$D$28+Rates!$D$36</f>
        <v>400.01</v>
      </c>
      <c r="E64" s="150">
        <f>Rates!$E$28+Rates!$E$36</f>
        <v>497.36</v>
      </c>
      <c r="F64" s="9">
        <f t="shared" si="4"/>
        <v>97.350000000000023</v>
      </c>
      <c r="G64" s="36">
        <f t="shared" si="5"/>
        <v>0.24336891577710562</v>
      </c>
      <c r="H64" s="23"/>
    </row>
    <row r="65" spans="2:8" x14ac:dyDescent="0.25">
      <c r="B65" s="5"/>
      <c r="C65" s="3">
        <v>50000</v>
      </c>
      <c r="D65" s="150">
        <f>Rates!$D$28+Rates!$D$36</f>
        <v>400.01</v>
      </c>
      <c r="E65" s="150">
        <f>Rates!$E$28+Rates!$E$36</f>
        <v>497.36</v>
      </c>
      <c r="F65" s="9">
        <f t="shared" si="4"/>
        <v>97.350000000000023</v>
      </c>
      <c r="G65" s="36">
        <f t="shared" si="5"/>
        <v>0.24336891577710562</v>
      </c>
      <c r="H65" s="23"/>
    </row>
    <row r="66" spans="2:8" x14ac:dyDescent="0.25">
      <c r="B66" s="5"/>
      <c r="C66" s="3">
        <v>75000</v>
      </c>
      <c r="D66" s="152">
        <f>Rates!$D$28+(('Bills with Surcharge'!$C66-50000)*Rates!$D$29)+Rates!$D$36</f>
        <v>591.76</v>
      </c>
      <c r="E66" s="152">
        <f>Rates!$E$28+(('Bills with Surcharge'!$C66-50000)*Rates!$E$29)+Rates!$E$36</f>
        <v>734.36</v>
      </c>
      <c r="F66" s="9">
        <f t="shared" si="4"/>
        <v>142.60000000000002</v>
      </c>
      <c r="G66" s="36">
        <f t="shared" si="5"/>
        <v>0.24097607138028934</v>
      </c>
      <c r="H66" s="23"/>
    </row>
    <row r="67" spans="2:8" x14ac:dyDescent="0.25">
      <c r="B67" s="5"/>
      <c r="C67" s="3">
        <v>100000</v>
      </c>
      <c r="D67" s="152">
        <f>Rates!$D$28+(('Bills with Surcharge'!$C67-50000)*Rates!$D$29)+Rates!$D$36</f>
        <v>783.51</v>
      </c>
      <c r="E67" s="152">
        <f>Rates!$E$28+(('Bills with Surcharge'!$C67-50000)*Rates!$E$29)</f>
        <v>968.63000000000011</v>
      </c>
      <c r="F67" s="9">
        <f t="shared" si="4"/>
        <v>185.12000000000012</v>
      </c>
      <c r="G67" s="36">
        <f t="shared" si="5"/>
        <v>0.23627011780321899</v>
      </c>
      <c r="H67" s="23"/>
    </row>
    <row r="68" spans="2:8" x14ac:dyDescent="0.25">
      <c r="B68" s="139"/>
      <c r="C68" s="24">
        <v>363525</v>
      </c>
      <c r="D68" s="151">
        <f>Rates!$D$28+(Rates!D$29*100000)+('Bills with Surcharge'!$C68-150000)*Rates!$D$30+Rates!$D$36</f>
        <v>2593.357</v>
      </c>
      <c r="E68" s="151">
        <f>Rates!$E$28+(Rates!E$29*100000)+('Bills with Surcharge'!$C68-150000)*Rates!$E$30+Rates!$E$36</f>
        <v>3209.0765000000001</v>
      </c>
      <c r="F68" s="25">
        <f t="shared" si="4"/>
        <v>615.71950000000015</v>
      </c>
      <c r="G68" s="37">
        <f t="shared" si="5"/>
        <v>0.23742180501951723</v>
      </c>
      <c r="H68" s="26"/>
    </row>
    <row r="69" spans="2:8" x14ac:dyDescent="0.25">
      <c r="B69" s="5"/>
      <c r="C69" s="3">
        <v>500000</v>
      </c>
      <c r="D69" s="152">
        <f>Rates!$D$28+(Rates!D$29*100000)+('Bills with Surcharge'!$C69-150000)*Rates!$D$30+Rates!$D$36</f>
        <v>3505.01</v>
      </c>
      <c r="E69" s="152">
        <f>Rates!$E$28+(Rates!E$29*100000)+('Bills with Surcharge'!$C69-150000)*Rates!$E$30+Rates!$E$36</f>
        <v>4336.3599999999997</v>
      </c>
      <c r="F69" s="9">
        <f t="shared" si="4"/>
        <v>831.34999999999945</v>
      </c>
      <c r="G69" s="36">
        <f t="shared" si="5"/>
        <v>0.23718905224236148</v>
      </c>
      <c r="H69" s="23"/>
    </row>
    <row r="70" spans="2:8" ht="6" customHeight="1" x14ac:dyDescent="0.25">
      <c r="B70" s="211"/>
      <c r="C70" s="212"/>
      <c r="D70" s="213"/>
      <c r="E70" s="214"/>
      <c r="F70" s="215"/>
      <c r="G70" s="2"/>
      <c r="H70" s="216"/>
    </row>
  </sheetData>
  <mergeCells count="6">
    <mergeCell ref="B50:H50"/>
    <mergeCell ref="B2:H2"/>
    <mergeCell ref="B3:H3"/>
    <mergeCell ref="B4:H4"/>
    <mergeCell ref="B6:H6"/>
    <mergeCell ref="B28:H28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1BC1-F667-40CA-9958-AC20B397132F}">
  <sheetPr>
    <pageSetUpPr fitToPage="1"/>
  </sheetPr>
  <dimension ref="B1:O157"/>
  <sheetViews>
    <sheetView zoomScale="96" zoomScaleNormal="96" workbookViewId="0">
      <selection sqref="A1:M157"/>
    </sheetView>
  </sheetViews>
  <sheetFormatPr defaultColWidth="8.77734375" defaultRowHeight="15" x14ac:dyDescent="0.25"/>
  <cols>
    <col min="1" max="1" width="1.5546875" style="49" customWidth="1"/>
    <col min="2" max="2" width="5.88671875" style="123" customWidth="1"/>
    <col min="3" max="3" width="30.5546875" style="49" customWidth="1"/>
    <col min="4" max="4" width="12.5546875" style="49" customWidth="1"/>
    <col min="5" max="5" width="12.5546875" style="124" customWidth="1"/>
    <col min="6" max="6" width="12.5546875" style="99" customWidth="1"/>
    <col min="7" max="7" width="12.5546875" style="125" customWidth="1"/>
    <col min="8" max="8" width="12.5546875" style="49" customWidth="1"/>
    <col min="9" max="9" width="14.5546875" style="49" customWidth="1"/>
    <col min="10" max="10" width="10.5546875" style="49" bestFit="1" customWidth="1"/>
    <col min="11" max="11" width="10" style="49" bestFit="1" customWidth="1"/>
    <col min="12" max="12" width="1.44140625" style="49" customWidth="1"/>
    <col min="13" max="13" width="1.5546875" style="49" customWidth="1"/>
    <col min="14" max="16384" width="8.77734375" style="49"/>
  </cols>
  <sheetData>
    <row r="1" spans="2:14" ht="15.75" thickBot="1" x14ac:dyDescent="0.3"/>
    <row r="2" spans="2:14" x14ac:dyDescent="0.25">
      <c r="B2" s="197"/>
      <c r="C2" s="198"/>
      <c r="D2" s="198"/>
      <c r="E2" s="199"/>
      <c r="F2" s="200"/>
      <c r="G2" s="201"/>
      <c r="H2" s="198"/>
      <c r="I2" s="198"/>
      <c r="J2" s="198"/>
      <c r="K2" s="198"/>
      <c r="L2" s="202"/>
    </row>
    <row r="3" spans="2:14" ht="18" customHeight="1" x14ac:dyDescent="0.3">
      <c r="B3" s="419" t="s">
        <v>302</v>
      </c>
      <c r="C3" s="365"/>
      <c r="D3" s="365"/>
      <c r="E3" s="365"/>
      <c r="F3" s="365"/>
      <c r="G3" s="365"/>
      <c r="H3" s="365"/>
      <c r="I3" s="365"/>
      <c r="J3" s="365"/>
      <c r="K3" s="365"/>
      <c r="L3" s="366"/>
    </row>
    <row r="4" spans="2:14" ht="18" customHeight="1" x14ac:dyDescent="0.3">
      <c r="B4" s="420" t="s">
        <v>171</v>
      </c>
      <c r="C4" s="421"/>
      <c r="D4" s="421"/>
      <c r="E4" s="421"/>
      <c r="F4" s="421"/>
      <c r="G4" s="421"/>
      <c r="H4" s="421"/>
      <c r="I4" s="421"/>
      <c r="J4" s="421"/>
      <c r="K4" s="421"/>
      <c r="L4" s="422"/>
    </row>
    <row r="5" spans="2:14" ht="15.6" customHeight="1" x14ac:dyDescent="0.3">
      <c r="B5" s="419" t="s">
        <v>80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2:14" ht="14.85" customHeight="1" x14ac:dyDescent="0.25">
      <c r="B6" s="417"/>
      <c r="C6" s="418"/>
      <c r="D6" s="418"/>
      <c r="E6" s="418"/>
      <c r="F6" s="418"/>
      <c r="G6" s="418"/>
      <c r="H6" s="418"/>
      <c r="I6" s="418"/>
      <c r="J6" s="177"/>
      <c r="L6" s="203"/>
    </row>
    <row r="7" spans="2:14" x14ac:dyDescent="0.25">
      <c r="B7" s="204"/>
      <c r="D7" s="178" t="s">
        <v>61</v>
      </c>
      <c r="E7" s="100" t="s">
        <v>10</v>
      </c>
      <c r="F7" s="129" t="s">
        <v>62</v>
      </c>
      <c r="G7" s="179" t="s">
        <v>63</v>
      </c>
      <c r="H7" s="180"/>
      <c r="I7" s="180"/>
      <c r="L7" s="203"/>
    </row>
    <row r="8" spans="2:14" x14ac:dyDescent="0.25">
      <c r="B8" s="204"/>
      <c r="D8" s="178" t="s">
        <v>158</v>
      </c>
      <c r="E8" s="100">
        <f>E29+E45+E61+E77+E93+E109+E125+E140+E155</f>
        <v>33111</v>
      </c>
      <c r="F8" s="136">
        <f>F29+F45+F61+F77+F93+F109+F125+F140+F155</f>
        <v>150945700</v>
      </c>
      <c r="G8" s="155">
        <f>H29+H45+H61+H77+H93+H109+H125+H140+H155</f>
        <v>1541225.9239999999</v>
      </c>
      <c r="H8" s="180"/>
      <c r="I8" s="180"/>
      <c r="L8" s="203"/>
    </row>
    <row r="9" spans="2:14" x14ac:dyDescent="0.25">
      <c r="B9" s="204"/>
      <c r="D9" s="178" t="s">
        <v>157</v>
      </c>
      <c r="E9" s="100"/>
      <c r="F9" s="129"/>
      <c r="G9" s="146">
        <f>13947.25+1274.68</f>
        <v>15221.93</v>
      </c>
      <c r="H9" s="180"/>
      <c r="I9" s="180"/>
      <c r="L9" s="203"/>
    </row>
    <row r="10" spans="2:14" x14ac:dyDescent="0.25">
      <c r="B10" s="204"/>
      <c r="D10" s="178" t="s">
        <v>156</v>
      </c>
      <c r="E10" s="100"/>
      <c r="F10" s="129"/>
      <c r="G10" s="155">
        <f>G8-G9</f>
        <v>1526003.9939999999</v>
      </c>
      <c r="H10" s="180"/>
      <c r="I10" s="180"/>
      <c r="L10" s="203"/>
    </row>
    <row r="11" spans="2:14" x14ac:dyDescent="0.25">
      <c r="B11" s="204"/>
      <c r="D11" s="178" t="s">
        <v>154</v>
      </c>
      <c r="E11" s="100"/>
      <c r="F11" s="129"/>
      <c r="G11" s="145">
        <f>SAO!C7</f>
        <v>1441455</v>
      </c>
      <c r="H11" s="180"/>
      <c r="I11" s="180"/>
      <c r="L11" s="203"/>
    </row>
    <row r="12" spans="2:14" x14ac:dyDescent="0.25">
      <c r="B12" s="204"/>
      <c r="D12" s="178" t="s">
        <v>155</v>
      </c>
      <c r="E12" s="100"/>
      <c r="F12" s="129"/>
      <c r="G12" s="195">
        <f>G10-G11</f>
        <v>84548.993999999948</v>
      </c>
      <c r="H12" s="180" t="s">
        <v>64</v>
      </c>
      <c r="I12" s="180"/>
      <c r="L12" s="203"/>
      <c r="N12" s="49" t="s">
        <v>183</v>
      </c>
    </row>
    <row r="13" spans="2:14" x14ac:dyDescent="0.25">
      <c r="B13" s="204"/>
      <c r="C13" s="181"/>
      <c r="E13" s="100"/>
      <c r="F13" s="100"/>
      <c r="G13" s="196">
        <f>G12/G11</f>
        <v>5.8655312860963364E-2</v>
      </c>
      <c r="H13" s="182"/>
      <c r="I13" s="180"/>
      <c r="J13" s="180"/>
      <c r="L13" s="203"/>
    </row>
    <row r="14" spans="2:14" x14ac:dyDescent="0.25">
      <c r="B14" s="204"/>
      <c r="E14" s="100"/>
      <c r="F14" s="100"/>
      <c r="G14" s="129"/>
      <c r="H14" s="123"/>
      <c r="I14" s="180"/>
      <c r="J14" s="180"/>
      <c r="L14" s="203"/>
    </row>
    <row r="15" spans="2:14" x14ac:dyDescent="0.25">
      <c r="B15" s="204"/>
      <c r="E15" s="100"/>
      <c r="F15" s="100"/>
      <c r="G15" s="129"/>
      <c r="H15" s="123"/>
      <c r="I15" s="180"/>
      <c r="J15" s="180"/>
      <c r="L15" s="203"/>
    </row>
    <row r="16" spans="2:14" x14ac:dyDescent="0.25">
      <c r="B16" s="204"/>
      <c r="C16" s="140" t="s">
        <v>83</v>
      </c>
      <c r="E16" s="100"/>
      <c r="F16" s="100"/>
      <c r="G16" s="127" t="str">
        <f>C18</f>
        <v>First</v>
      </c>
      <c r="H16" s="127" t="str">
        <f>C19</f>
        <v>Next</v>
      </c>
      <c r="I16" s="127" t="str">
        <f>C20</f>
        <v>Next</v>
      </c>
      <c r="J16" s="127" t="str">
        <f>C21</f>
        <v>Over</v>
      </c>
      <c r="K16" s="137"/>
      <c r="L16" s="203"/>
    </row>
    <row r="17" spans="2:15" ht="15.75" thickBot="1" x14ac:dyDescent="0.3">
      <c r="B17" s="204"/>
      <c r="C17" s="123" t="s">
        <v>65</v>
      </c>
      <c r="D17" s="189" t="s">
        <v>68</v>
      </c>
      <c r="E17" s="186" t="s">
        <v>10</v>
      </c>
      <c r="F17" s="186" t="s">
        <v>62</v>
      </c>
      <c r="G17" s="190">
        <f>D18</f>
        <v>2000</v>
      </c>
      <c r="H17" s="190">
        <f>D19</f>
        <v>3000</v>
      </c>
      <c r="I17" s="190">
        <f>D20</f>
        <v>5000</v>
      </c>
      <c r="J17" s="190">
        <f>D21</f>
        <v>10000</v>
      </c>
      <c r="K17" s="191" t="s">
        <v>69</v>
      </c>
      <c r="L17" s="203"/>
    </row>
    <row r="18" spans="2:15" x14ac:dyDescent="0.25">
      <c r="B18" s="204"/>
      <c r="C18" s="183" t="s">
        <v>66</v>
      </c>
      <c r="D18" s="184">
        <v>2000</v>
      </c>
      <c r="E18" s="100">
        <v>9182</v>
      </c>
      <c r="F18" s="100">
        <v>11245400</v>
      </c>
      <c r="G18" s="100">
        <f>F18</f>
        <v>11245400</v>
      </c>
      <c r="H18" s="100">
        <v>0</v>
      </c>
      <c r="I18" s="100">
        <v>0</v>
      </c>
      <c r="J18" s="100">
        <v>0</v>
      </c>
      <c r="K18" s="138">
        <f>SUM(G18:J18)</f>
        <v>11245400</v>
      </c>
      <c r="L18" s="203"/>
    </row>
    <row r="19" spans="2:15" x14ac:dyDescent="0.25">
      <c r="B19" s="204"/>
      <c r="C19" s="183" t="s">
        <v>77</v>
      </c>
      <c r="D19" s="184">
        <v>3000</v>
      </c>
      <c r="E19" s="100">
        <v>15469</v>
      </c>
      <c r="F19" s="100">
        <v>50717500</v>
      </c>
      <c r="G19" s="100">
        <f>E19*D18</f>
        <v>30938000</v>
      </c>
      <c r="H19" s="100">
        <f>F19-G19</f>
        <v>19779500</v>
      </c>
      <c r="I19" s="100">
        <v>0</v>
      </c>
      <c r="J19" s="100">
        <v>0</v>
      </c>
      <c r="K19" s="138">
        <f>SUM(G19:J19)</f>
        <v>50717500</v>
      </c>
      <c r="L19" s="203"/>
    </row>
    <row r="20" spans="2:15" x14ac:dyDescent="0.25">
      <c r="B20" s="204"/>
      <c r="C20" s="183" t="s">
        <v>77</v>
      </c>
      <c r="D20" s="184">
        <v>5000</v>
      </c>
      <c r="E20" s="100">
        <v>4882</v>
      </c>
      <c r="F20" s="100">
        <v>32555400</v>
      </c>
      <c r="G20" s="100">
        <f>E20*D18</f>
        <v>9764000</v>
      </c>
      <c r="H20" s="100">
        <f>E20*D19</f>
        <v>14646000</v>
      </c>
      <c r="I20" s="100">
        <f>F20-G20-H20</f>
        <v>8145400</v>
      </c>
      <c r="J20" s="100">
        <v>0</v>
      </c>
      <c r="K20" s="138">
        <f>SUM(G20:J20)</f>
        <v>32555400</v>
      </c>
      <c r="L20" s="203"/>
    </row>
    <row r="21" spans="2:15" ht="15.75" thickBot="1" x14ac:dyDescent="0.3">
      <c r="B21" s="204"/>
      <c r="C21" s="183" t="s">
        <v>67</v>
      </c>
      <c r="D21" s="184">
        <v>10000</v>
      </c>
      <c r="E21" s="186">
        <v>1073</v>
      </c>
      <c r="F21" s="186">
        <v>20299300</v>
      </c>
      <c r="G21" s="186">
        <f>E21*D18</f>
        <v>2146000</v>
      </c>
      <c r="H21" s="186">
        <f>E21*D19</f>
        <v>3219000</v>
      </c>
      <c r="I21" s="186">
        <f>E21*D20</f>
        <v>5365000</v>
      </c>
      <c r="J21" s="186">
        <f>F21-G21-H21-I21</f>
        <v>9569300</v>
      </c>
      <c r="K21" s="187">
        <f>SUM(G21:J21)</f>
        <v>20299300</v>
      </c>
      <c r="L21" s="203"/>
    </row>
    <row r="22" spans="2:15" x14ac:dyDescent="0.25">
      <c r="B22" s="204"/>
      <c r="C22" s="181"/>
      <c r="E22" s="100">
        <f t="shared" ref="E22:K22" si="0">SUM(E18:E21)</f>
        <v>30606</v>
      </c>
      <c r="F22" s="100">
        <f t="shared" si="0"/>
        <v>114817600</v>
      </c>
      <c r="G22" s="100">
        <f t="shared" si="0"/>
        <v>54093400</v>
      </c>
      <c r="H22" s="100">
        <f t="shared" si="0"/>
        <v>37644500</v>
      </c>
      <c r="I22" s="100">
        <f t="shared" si="0"/>
        <v>13510400</v>
      </c>
      <c r="J22" s="100">
        <f t="shared" si="0"/>
        <v>9569300</v>
      </c>
      <c r="K22" s="100">
        <f t="shared" si="0"/>
        <v>114817600</v>
      </c>
      <c r="L22" s="203"/>
      <c r="N22" s="49" t="s">
        <v>193</v>
      </c>
      <c r="O22" s="249">
        <f>F22/E22</f>
        <v>3751.4735672743905</v>
      </c>
    </row>
    <row r="23" spans="2:15" x14ac:dyDescent="0.25">
      <c r="B23" s="204"/>
      <c r="E23" s="100"/>
      <c r="F23" s="100"/>
      <c r="G23" s="129"/>
      <c r="H23" s="129"/>
      <c r="I23" s="129"/>
      <c r="J23" s="129"/>
      <c r="K23" s="180"/>
      <c r="L23" s="203"/>
    </row>
    <row r="24" spans="2:15" ht="15.75" thickBot="1" x14ac:dyDescent="0.3">
      <c r="B24" s="204"/>
      <c r="C24" s="181" t="s">
        <v>70</v>
      </c>
      <c r="D24" s="189" t="s">
        <v>68</v>
      </c>
      <c r="E24" s="186" t="s">
        <v>10</v>
      </c>
      <c r="F24" s="186" t="s">
        <v>62</v>
      </c>
      <c r="G24" s="192" t="s">
        <v>11</v>
      </c>
      <c r="H24" s="189" t="s">
        <v>63</v>
      </c>
      <c r="I24" s="129"/>
      <c r="J24" s="129"/>
      <c r="K24" s="180"/>
      <c r="L24" s="203"/>
    </row>
    <row r="25" spans="2:15" x14ac:dyDescent="0.25">
      <c r="B25" s="204"/>
      <c r="C25" s="184" t="str">
        <f t="shared" ref="C25:D28" si="1">C18</f>
        <v>First</v>
      </c>
      <c r="D25" s="184">
        <f t="shared" si="1"/>
        <v>2000</v>
      </c>
      <c r="E25" s="100">
        <f>E22</f>
        <v>30606</v>
      </c>
      <c r="F25" s="100">
        <f>G22</f>
        <v>54093400</v>
      </c>
      <c r="G25" s="128">
        <f>Rates!D10</f>
        <v>23.93</v>
      </c>
      <c r="H25" s="155">
        <f>E25*G25</f>
        <v>732401.58</v>
      </c>
      <c r="I25" s="128"/>
      <c r="J25" s="128"/>
      <c r="K25" s="180"/>
      <c r="L25" s="203"/>
    </row>
    <row r="26" spans="2:15" x14ac:dyDescent="0.25">
      <c r="B26" s="204"/>
      <c r="C26" s="184" t="str">
        <f t="shared" si="1"/>
        <v>Next</v>
      </c>
      <c r="D26" s="184">
        <f t="shared" si="1"/>
        <v>3000</v>
      </c>
      <c r="E26" s="100"/>
      <c r="F26" s="100">
        <f>H22</f>
        <v>37644500</v>
      </c>
      <c r="G26" s="255">
        <f>Rates!D11</f>
        <v>8.6599999999999993E-3</v>
      </c>
      <c r="H26" s="155">
        <f>F26*G26</f>
        <v>326001.37</v>
      </c>
      <c r="I26" s="128"/>
      <c r="J26" s="128"/>
      <c r="K26" s="180"/>
      <c r="L26" s="203"/>
    </row>
    <row r="27" spans="2:15" x14ac:dyDescent="0.25">
      <c r="B27" s="204"/>
      <c r="C27" s="184" t="str">
        <f t="shared" si="1"/>
        <v>Next</v>
      </c>
      <c r="D27" s="184">
        <f t="shared" si="1"/>
        <v>5000</v>
      </c>
      <c r="E27" s="100"/>
      <c r="F27" s="100">
        <f>I22</f>
        <v>13510400</v>
      </c>
      <c r="G27" s="255">
        <f>Rates!D12</f>
        <v>7.6699999999999997E-3</v>
      </c>
      <c r="H27" s="155">
        <f>F27*G27</f>
        <v>103624.768</v>
      </c>
      <c r="I27" s="128"/>
      <c r="J27" s="128"/>
      <c r="K27" s="180"/>
      <c r="L27" s="203"/>
    </row>
    <row r="28" spans="2:15" ht="15.75" thickBot="1" x14ac:dyDescent="0.3">
      <c r="B28" s="204"/>
      <c r="C28" s="184" t="str">
        <f t="shared" si="1"/>
        <v>Over</v>
      </c>
      <c r="D28" s="184">
        <f t="shared" si="1"/>
        <v>10000</v>
      </c>
      <c r="E28" s="186"/>
      <c r="F28" s="186">
        <f>J22</f>
        <v>9569300</v>
      </c>
      <c r="G28" s="255">
        <f>Rates!D13</f>
        <v>6.6800000000000002E-3</v>
      </c>
      <c r="H28" s="188">
        <f>F28*G28</f>
        <v>63922.923999999999</v>
      </c>
      <c r="I28" s="128"/>
      <c r="J28" s="128"/>
      <c r="K28" s="180"/>
      <c r="L28" s="203"/>
    </row>
    <row r="29" spans="2:15" x14ac:dyDescent="0.25">
      <c r="B29" s="204"/>
      <c r="C29" s="181"/>
      <c r="E29" s="100">
        <f>SUM(E25:E28)</f>
        <v>30606</v>
      </c>
      <c r="F29" s="100">
        <f>SUM(F25:F28)</f>
        <v>114817600</v>
      </c>
      <c r="G29" s="129"/>
      <c r="H29" s="155">
        <f>SUM(H25:H28)</f>
        <v>1225950.642</v>
      </c>
      <c r="I29" s="129"/>
      <c r="J29" s="129"/>
      <c r="K29" s="130"/>
      <c r="L29" s="205"/>
    </row>
    <row r="30" spans="2:15" x14ac:dyDescent="0.25">
      <c r="B30" s="204"/>
      <c r="C30" s="181"/>
      <c r="E30" s="100"/>
      <c r="F30" s="100"/>
      <c r="G30" s="129"/>
      <c r="H30" s="155"/>
      <c r="I30" s="129"/>
      <c r="J30" s="129"/>
      <c r="K30" s="130"/>
      <c r="L30" s="205"/>
    </row>
    <row r="31" spans="2:15" x14ac:dyDescent="0.25">
      <c r="B31" s="204"/>
      <c r="C31" s="181"/>
      <c r="E31" s="100"/>
      <c r="F31" s="100"/>
      <c r="G31" s="129"/>
      <c r="H31" s="129"/>
      <c r="I31" s="129"/>
      <c r="J31" s="129"/>
      <c r="K31" s="180"/>
      <c r="L31" s="203"/>
    </row>
    <row r="32" spans="2:15" x14ac:dyDescent="0.25">
      <c r="B32" s="204"/>
      <c r="C32" s="140" t="s">
        <v>84</v>
      </c>
      <c r="E32" s="100"/>
      <c r="F32" s="100"/>
      <c r="G32" s="127" t="str">
        <f>C34</f>
        <v>First</v>
      </c>
      <c r="H32" s="127" t="str">
        <f>C35</f>
        <v>Next</v>
      </c>
      <c r="I32" s="127" t="str">
        <f>C36</f>
        <v>Next</v>
      </c>
      <c r="J32" s="127" t="str">
        <f>C37</f>
        <v>Over</v>
      </c>
      <c r="K32" s="137"/>
      <c r="L32" s="203"/>
    </row>
    <row r="33" spans="2:15" ht="15.75" thickBot="1" x14ac:dyDescent="0.3">
      <c r="B33" s="204"/>
      <c r="C33" s="123" t="s">
        <v>65</v>
      </c>
      <c r="D33" s="189" t="s">
        <v>68</v>
      </c>
      <c r="E33" s="186" t="s">
        <v>10</v>
      </c>
      <c r="F33" s="186" t="s">
        <v>62</v>
      </c>
      <c r="G33" s="190">
        <f>D34</f>
        <v>5000</v>
      </c>
      <c r="H33" s="190">
        <f>D35</f>
        <v>5000</v>
      </c>
      <c r="I33" s="190">
        <f>D36</f>
        <v>140000</v>
      </c>
      <c r="J33" s="190">
        <f>D37</f>
        <v>150000</v>
      </c>
      <c r="K33" s="191" t="s">
        <v>69</v>
      </c>
      <c r="L33" s="203"/>
    </row>
    <row r="34" spans="2:15" x14ac:dyDescent="0.25">
      <c r="B34" s="204"/>
      <c r="C34" s="183" t="s">
        <v>66</v>
      </c>
      <c r="D34" s="184">
        <v>5000</v>
      </c>
      <c r="E34" s="100">
        <v>319</v>
      </c>
      <c r="F34" s="100">
        <v>698900</v>
      </c>
      <c r="G34" s="100">
        <f>F34</f>
        <v>698900</v>
      </c>
      <c r="H34" s="100">
        <v>0</v>
      </c>
      <c r="I34" s="100">
        <v>0</v>
      </c>
      <c r="J34" s="100">
        <v>0</v>
      </c>
      <c r="K34" s="138">
        <f>SUM(G34:J34)</f>
        <v>698900</v>
      </c>
      <c r="L34" s="203"/>
    </row>
    <row r="35" spans="2:15" x14ac:dyDescent="0.25">
      <c r="B35" s="204"/>
      <c r="C35" s="183" t="s">
        <v>77</v>
      </c>
      <c r="D35" s="184">
        <v>5000</v>
      </c>
      <c r="E35" s="100">
        <v>153</v>
      </c>
      <c r="F35" s="100">
        <v>1070600</v>
      </c>
      <c r="G35" s="100">
        <f>E35*D34</f>
        <v>765000</v>
      </c>
      <c r="H35" s="100">
        <f>F35-G35</f>
        <v>305600</v>
      </c>
      <c r="I35" s="100">
        <v>0</v>
      </c>
      <c r="J35" s="100">
        <v>0</v>
      </c>
      <c r="K35" s="138">
        <f>SUM(G35:J35)</f>
        <v>1070600</v>
      </c>
      <c r="L35" s="203"/>
    </row>
    <row r="36" spans="2:15" x14ac:dyDescent="0.25">
      <c r="B36" s="204"/>
      <c r="C36" s="183" t="s">
        <v>77</v>
      </c>
      <c r="D36" s="184">
        <v>140000</v>
      </c>
      <c r="E36" s="100">
        <v>126</v>
      </c>
      <c r="F36" s="100">
        <v>3128500</v>
      </c>
      <c r="G36" s="100">
        <f>E36*D34</f>
        <v>630000</v>
      </c>
      <c r="H36" s="100">
        <f>E36*D35</f>
        <v>630000</v>
      </c>
      <c r="I36" s="100">
        <f>F36-G36-H36</f>
        <v>1868500</v>
      </c>
      <c r="J36" s="100">
        <v>0</v>
      </c>
      <c r="K36" s="138">
        <f>SUM(G36:J36)</f>
        <v>3128500</v>
      </c>
      <c r="L36" s="203"/>
    </row>
    <row r="37" spans="2:15" ht="15.75" thickBot="1" x14ac:dyDescent="0.3">
      <c r="B37" s="204"/>
      <c r="C37" s="183" t="s">
        <v>67</v>
      </c>
      <c r="D37" s="184">
        <v>150000</v>
      </c>
      <c r="E37" s="186">
        <v>0</v>
      </c>
      <c r="F37" s="186">
        <v>0</v>
      </c>
      <c r="G37" s="186">
        <f>E37*D34</f>
        <v>0</v>
      </c>
      <c r="H37" s="186">
        <f>E37*D35</f>
        <v>0</v>
      </c>
      <c r="I37" s="186">
        <f>E37*D36</f>
        <v>0</v>
      </c>
      <c r="J37" s="186">
        <f>F37-G37-H37-I37</f>
        <v>0</v>
      </c>
      <c r="K37" s="187">
        <f>SUM(G37:J37)</f>
        <v>0</v>
      </c>
      <c r="L37" s="203"/>
    </row>
    <row r="38" spans="2:15" x14ac:dyDescent="0.25">
      <c r="B38" s="204"/>
      <c r="C38" s="181"/>
      <c r="E38" s="100">
        <f t="shared" ref="E38:K38" si="2">SUM(E34:E37)</f>
        <v>598</v>
      </c>
      <c r="F38" s="100">
        <f t="shared" si="2"/>
        <v>4898000</v>
      </c>
      <c r="G38" s="100">
        <f t="shared" si="2"/>
        <v>2093900</v>
      </c>
      <c r="H38" s="100">
        <f t="shared" si="2"/>
        <v>935600</v>
      </c>
      <c r="I38" s="100">
        <f t="shared" si="2"/>
        <v>1868500</v>
      </c>
      <c r="J38" s="100">
        <f t="shared" si="2"/>
        <v>0</v>
      </c>
      <c r="K38" s="100">
        <f t="shared" si="2"/>
        <v>4898000</v>
      </c>
      <c r="L38" s="203"/>
      <c r="N38" s="49" t="s">
        <v>193</v>
      </c>
      <c r="O38" s="249">
        <f>F38/E38</f>
        <v>8190.635451505017</v>
      </c>
    </row>
    <row r="39" spans="2:15" x14ac:dyDescent="0.25">
      <c r="B39" s="204"/>
      <c r="E39" s="100"/>
      <c r="F39" s="100"/>
      <c r="G39" s="129"/>
      <c r="H39" s="129"/>
      <c r="I39" s="129"/>
      <c r="J39" s="129"/>
      <c r="K39" s="180"/>
      <c r="L39" s="203"/>
    </row>
    <row r="40" spans="2:15" ht="15.75" thickBot="1" x14ac:dyDescent="0.3">
      <c r="B40" s="204"/>
      <c r="C40" s="181" t="s">
        <v>70</v>
      </c>
      <c r="D40" s="189" t="s">
        <v>68</v>
      </c>
      <c r="E40" s="186" t="s">
        <v>10</v>
      </c>
      <c r="F40" s="186" t="s">
        <v>62</v>
      </c>
      <c r="G40" s="192" t="s">
        <v>11</v>
      </c>
      <c r="H40" s="189" t="s">
        <v>63</v>
      </c>
      <c r="I40" s="129"/>
      <c r="J40" s="129"/>
      <c r="K40" s="180"/>
      <c r="L40" s="203"/>
    </row>
    <row r="41" spans="2:15" x14ac:dyDescent="0.25">
      <c r="B41" s="204"/>
      <c r="C41" s="184" t="str">
        <f t="shared" ref="C41:D44" si="3">C34</f>
        <v>First</v>
      </c>
      <c r="D41" s="184">
        <f t="shared" si="3"/>
        <v>5000</v>
      </c>
      <c r="E41" s="100">
        <f>E38</f>
        <v>598</v>
      </c>
      <c r="F41" s="100">
        <f>G38</f>
        <v>2093900</v>
      </c>
      <c r="G41" s="128">
        <f>Rates!D19</f>
        <v>49.9</v>
      </c>
      <c r="H41" s="155">
        <f>E41*G41</f>
        <v>29840.2</v>
      </c>
      <c r="I41" s="128"/>
      <c r="J41" s="128"/>
      <c r="K41" s="180"/>
      <c r="L41" s="203"/>
      <c r="N41" s="57"/>
    </row>
    <row r="42" spans="2:15" x14ac:dyDescent="0.25">
      <c r="B42" s="204"/>
      <c r="C42" s="184" t="str">
        <f t="shared" si="3"/>
        <v>Next</v>
      </c>
      <c r="D42" s="184">
        <f t="shared" si="3"/>
        <v>5000</v>
      </c>
      <c r="E42" s="100"/>
      <c r="F42" s="100">
        <f>H38</f>
        <v>935600</v>
      </c>
      <c r="G42" s="255">
        <f>Rates!D20</f>
        <v>8.6599999999999993E-3</v>
      </c>
      <c r="H42" s="155">
        <f>F42*G42</f>
        <v>8102.2959999999994</v>
      </c>
      <c r="I42" s="128"/>
      <c r="J42" s="128"/>
      <c r="K42" s="180"/>
      <c r="L42" s="203"/>
      <c r="N42" s="57"/>
    </row>
    <row r="43" spans="2:15" x14ac:dyDescent="0.25">
      <c r="B43" s="204"/>
      <c r="C43" s="184" t="str">
        <f t="shared" si="3"/>
        <v>Next</v>
      </c>
      <c r="D43" s="184">
        <f t="shared" si="3"/>
        <v>140000</v>
      </c>
      <c r="E43" s="100"/>
      <c r="F43" s="100">
        <f>I38</f>
        <v>1868500</v>
      </c>
      <c r="G43" s="255">
        <f>Rates!D21</f>
        <v>7.6699999999999997E-3</v>
      </c>
      <c r="H43" s="155">
        <f>F43*G43</f>
        <v>14331.394999999999</v>
      </c>
      <c r="I43" s="128"/>
      <c r="J43" s="128"/>
      <c r="K43" s="180"/>
      <c r="L43" s="203"/>
      <c r="N43" s="57"/>
    </row>
    <row r="44" spans="2:15" ht="15.75" thickBot="1" x14ac:dyDescent="0.3">
      <c r="B44" s="204"/>
      <c r="C44" s="184" t="str">
        <f t="shared" si="3"/>
        <v>Over</v>
      </c>
      <c r="D44" s="184">
        <f t="shared" si="3"/>
        <v>150000</v>
      </c>
      <c r="E44" s="186"/>
      <c r="F44" s="186">
        <f>J38</f>
        <v>0</v>
      </c>
      <c r="G44" s="255">
        <f>Rates!D22</f>
        <v>6.6800000000000002E-3</v>
      </c>
      <c r="H44" s="188">
        <f>F44*G44</f>
        <v>0</v>
      </c>
      <c r="I44" s="128"/>
      <c r="J44" s="128"/>
      <c r="K44" s="180"/>
      <c r="L44" s="203"/>
      <c r="N44" s="57"/>
    </row>
    <row r="45" spans="2:15" x14ac:dyDescent="0.25">
      <c r="B45" s="204"/>
      <c r="C45" s="181"/>
      <c r="E45" s="100">
        <f>SUM(E41:E44)</f>
        <v>598</v>
      </c>
      <c r="F45" s="100">
        <f>SUM(F41:F44)</f>
        <v>4898000</v>
      </c>
      <c r="G45" s="129"/>
      <c r="H45" s="155">
        <f>SUM(H41:H44)</f>
        <v>52273.890999999996</v>
      </c>
      <c r="I45" s="129"/>
      <c r="J45" s="129"/>
      <c r="K45" s="130"/>
      <c r="L45" s="203"/>
    </row>
    <row r="46" spans="2:15" x14ac:dyDescent="0.25">
      <c r="B46" s="204"/>
      <c r="C46" s="181"/>
      <c r="E46" s="100"/>
      <c r="F46" s="100"/>
      <c r="G46" s="129"/>
      <c r="H46" s="129"/>
      <c r="I46" s="129"/>
      <c r="J46" s="129"/>
      <c r="K46" s="180"/>
      <c r="L46" s="203"/>
    </row>
    <row r="47" spans="2:15" x14ac:dyDescent="0.25">
      <c r="B47" s="204"/>
      <c r="C47" s="181"/>
      <c r="E47" s="127"/>
      <c r="F47" s="100"/>
      <c r="G47" s="129"/>
      <c r="I47" s="206"/>
      <c r="J47" s="206"/>
      <c r="L47" s="203"/>
    </row>
    <row r="48" spans="2:15" x14ac:dyDescent="0.25">
      <c r="B48" s="204"/>
      <c r="C48" s="140" t="s">
        <v>87</v>
      </c>
      <c r="E48" s="100"/>
      <c r="F48" s="100"/>
      <c r="G48" s="127" t="str">
        <f>C50</f>
        <v>First</v>
      </c>
      <c r="H48" s="127" t="str">
        <f>C51</f>
        <v>Next</v>
      </c>
      <c r="I48" s="127" t="str">
        <f>C52</f>
        <v>Next</v>
      </c>
      <c r="J48" s="127" t="str">
        <f>C53</f>
        <v>Over</v>
      </c>
      <c r="K48" s="179"/>
      <c r="L48" s="203"/>
    </row>
    <row r="49" spans="2:12" ht="15.75" thickBot="1" x14ac:dyDescent="0.3">
      <c r="B49" s="204"/>
      <c r="C49" s="123" t="s">
        <v>65</v>
      </c>
      <c r="D49" s="189" t="s">
        <v>68</v>
      </c>
      <c r="E49" s="186" t="s">
        <v>10</v>
      </c>
      <c r="F49" s="186" t="s">
        <v>62</v>
      </c>
      <c r="G49" s="190">
        <f>D50</f>
        <v>4000</v>
      </c>
      <c r="H49" s="190">
        <f>D51</f>
        <v>3000</v>
      </c>
      <c r="I49" s="190">
        <f>D52</f>
        <v>5000</v>
      </c>
      <c r="J49" s="190">
        <f>D53</f>
        <v>10000</v>
      </c>
      <c r="K49" s="185" t="s">
        <v>1</v>
      </c>
      <c r="L49" s="203"/>
    </row>
    <row r="50" spans="2:12" x14ac:dyDescent="0.25">
      <c r="B50" s="204"/>
      <c r="C50" s="183" t="s">
        <v>66</v>
      </c>
      <c r="D50" s="184">
        <v>4000</v>
      </c>
      <c r="E50" s="100">
        <v>6</v>
      </c>
      <c r="F50" s="100">
        <v>19200</v>
      </c>
      <c r="G50" s="100">
        <f>F50</f>
        <v>19200</v>
      </c>
      <c r="H50" s="100">
        <v>0</v>
      </c>
      <c r="I50" s="100">
        <v>0</v>
      </c>
      <c r="J50" s="100">
        <v>0</v>
      </c>
      <c r="K50" s="138">
        <f>SUM(G50:J50)</f>
        <v>19200</v>
      </c>
      <c r="L50" s="203"/>
    </row>
    <row r="51" spans="2:12" x14ac:dyDescent="0.25">
      <c r="B51" s="204"/>
      <c r="C51" s="183" t="s">
        <v>77</v>
      </c>
      <c r="D51" s="184">
        <v>3000</v>
      </c>
      <c r="E51" s="100">
        <v>22</v>
      </c>
      <c r="F51" s="100">
        <v>119200</v>
      </c>
      <c r="G51" s="100">
        <f>E51*D50</f>
        <v>88000</v>
      </c>
      <c r="H51" s="100">
        <f>F51-G51</f>
        <v>31200</v>
      </c>
      <c r="I51" s="100">
        <v>0</v>
      </c>
      <c r="J51" s="100">
        <v>0</v>
      </c>
      <c r="K51" s="138">
        <f>SUM(G51:J51)</f>
        <v>119200</v>
      </c>
      <c r="L51" s="203"/>
    </row>
    <row r="52" spans="2:12" x14ac:dyDescent="0.25">
      <c r="B52" s="204"/>
      <c r="C52" s="183" t="s">
        <v>77</v>
      </c>
      <c r="D52" s="184">
        <v>5000</v>
      </c>
      <c r="E52" s="100">
        <v>16</v>
      </c>
      <c r="F52" s="100">
        <v>134700</v>
      </c>
      <c r="G52" s="100">
        <f>E52*D50</f>
        <v>64000</v>
      </c>
      <c r="H52" s="100">
        <f>E52*D51</f>
        <v>48000</v>
      </c>
      <c r="I52" s="100">
        <f>F52-G52-H52</f>
        <v>22700</v>
      </c>
      <c r="J52" s="100">
        <v>0</v>
      </c>
      <c r="K52" s="138">
        <f>SUM(G52:J52)</f>
        <v>134700</v>
      </c>
      <c r="L52" s="203"/>
    </row>
    <row r="53" spans="2:12" ht="15.75" thickBot="1" x14ac:dyDescent="0.3">
      <c r="B53" s="204"/>
      <c r="C53" s="183" t="s">
        <v>67</v>
      </c>
      <c r="D53" s="184">
        <v>10000</v>
      </c>
      <c r="E53" s="186">
        <f>1+3</f>
        <v>4</v>
      </c>
      <c r="F53" s="186">
        <f>13700+102200</f>
        <v>115900</v>
      </c>
      <c r="G53" s="186">
        <f>E53*D50</f>
        <v>16000</v>
      </c>
      <c r="H53" s="186">
        <f>E53*D51</f>
        <v>12000</v>
      </c>
      <c r="I53" s="186">
        <f>E53*D52</f>
        <v>20000</v>
      </c>
      <c r="J53" s="186">
        <f>F53-G53-H53-I53</f>
        <v>67900</v>
      </c>
      <c r="K53" s="187">
        <f>SUM(G53:J53)</f>
        <v>115900</v>
      </c>
      <c r="L53" s="203"/>
    </row>
    <row r="54" spans="2:12" x14ac:dyDescent="0.25">
      <c r="B54" s="204"/>
      <c r="C54" s="181"/>
      <c r="E54" s="100">
        <f t="shared" ref="E54:K54" si="4">SUM(E50:E53)</f>
        <v>48</v>
      </c>
      <c r="F54" s="100">
        <f t="shared" si="4"/>
        <v>389000</v>
      </c>
      <c r="G54" s="100">
        <f t="shared" si="4"/>
        <v>187200</v>
      </c>
      <c r="H54" s="100">
        <f t="shared" si="4"/>
        <v>91200</v>
      </c>
      <c r="I54" s="100">
        <f t="shared" si="4"/>
        <v>42700</v>
      </c>
      <c r="J54" s="100">
        <f t="shared" si="4"/>
        <v>67900</v>
      </c>
      <c r="K54" s="207">
        <f t="shared" si="4"/>
        <v>389000</v>
      </c>
      <c r="L54" s="203"/>
    </row>
    <row r="55" spans="2:12" x14ac:dyDescent="0.25">
      <c r="B55" s="204"/>
      <c r="C55" s="181"/>
      <c r="E55" s="100"/>
      <c r="F55" s="100"/>
      <c r="G55" s="100"/>
      <c r="H55" s="100"/>
      <c r="I55" s="100"/>
      <c r="J55" s="100"/>
      <c r="K55" s="207"/>
      <c r="L55" s="203"/>
    </row>
    <row r="56" spans="2:12" ht="15.75" thickBot="1" x14ac:dyDescent="0.3">
      <c r="B56" s="204"/>
      <c r="C56" s="181" t="s">
        <v>70</v>
      </c>
      <c r="D56" s="189" t="s">
        <v>68</v>
      </c>
      <c r="E56" s="186" t="s">
        <v>10</v>
      </c>
      <c r="F56" s="186" t="s">
        <v>62</v>
      </c>
      <c r="G56" s="192" t="s">
        <v>11</v>
      </c>
      <c r="H56" s="189" t="s">
        <v>63</v>
      </c>
      <c r="L56" s="203"/>
    </row>
    <row r="57" spans="2:12" x14ac:dyDescent="0.25">
      <c r="B57" s="204"/>
      <c r="C57" s="183" t="str">
        <f t="shared" ref="C57:D59" si="5">C50</f>
        <v>First</v>
      </c>
      <c r="D57" s="184">
        <f t="shared" si="5"/>
        <v>4000</v>
      </c>
      <c r="E57" s="100">
        <f>E54</f>
        <v>48</v>
      </c>
      <c r="F57" s="100">
        <f>G54</f>
        <v>187200</v>
      </c>
      <c r="G57" s="128">
        <f>Rates!D10*2</f>
        <v>47.86</v>
      </c>
      <c r="H57" s="155">
        <f>E57*G57</f>
        <v>2297.2799999999997</v>
      </c>
      <c r="L57" s="203"/>
    </row>
    <row r="58" spans="2:12" x14ac:dyDescent="0.25">
      <c r="B58" s="204"/>
      <c r="C58" s="183" t="str">
        <f t="shared" si="5"/>
        <v>Next</v>
      </c>
      <c r="D58" s="184">
        <f t="shared" si="5"/>
        <v>3000</v>
      </c>
      <c r="E58" s="100"/>
      <c r="F58" s="100">
        <f>H54</f>
        <v>91200</v>
      </c>
      <c r="G58" s="255">
        <f>Rates!D11</f>
        <v>8.6599999999999993E-3</v>
      </c>
      <c r="H58" s="155">
        <f>F58*G58</f>
        <v>789.79199999999992</v>
      </c>
      <c r="L58" s="203"/>
    </row>
    <row r="59" spans="2:12" x14ac:dyDescent="0.25">
      <c r="B59" s="204"/>
      <c r="C59" s="183" t="str">
        <f t="shared" si="5"/>
        <v>Next</v>
      </c>
      <c r="D59" s="184">
        <f t="shared" si="5"/>
        <v>5000</v>
      </c>
      <c r="E59" s="100"/>
      <c r="F59" s="100">
        <f>I54</f>
        <v>42700</v>
      </c>
      <c r="G59" s="255">
        <f>Rates!D12</f>
        <v>7.6699999999999997E-3</v>
      </c>
      <c r="H59" s="155">
        <f>F59*G59</f>
        <v>327.50900000000001</v>
      </c>
      <c r="L59" s="203"/>
    </row>
    <row r="60" spans="2:12" ht="15.75" thickBot="1" x14ac:dyDescent="0.3">
      <c r="B60" s="204"/>
      <c r="C60" s="183" t="str">
        <f t="shared" ref="C60:D60" si="6">C53</f>
        <v>Over</v>
      </c>
      <c r="D60" s="184">
        <f t="shared" si="6"/>
        <v>10000</v>
      </c>
      <c r="E60" s="186"/>
      <c r="F60" s="186">
        <f>J54</f>
        <v>67900</v>
      </c>
      <c r="G60" s="255">
        <f>Rates!D13</f>
        <v>6.6800000000000002E-3</v>
      </c>
      <c r="H60" s="188">
        <f>F60*G60</f>
        <v>453.572</v>
      </c>
      <c r="L60" s="203"/>
    </row>
    <row r="61" spans="2:12" x14ac:dyDescent="0.25">
      <c r="B61" s="204"/>
      <c r="C61" s="181"/>
      <c r="E61" s="100">
        <f>SUM(E57:E60)</f>
        <v>48</v>
      </c>
      <c r="F61" s="100">
        <f>SUM(F57:F60)</f>
        <v>389000</v>
      </c>
      <c r="G61" s="129"/>
      <c r="H61" s="155">
        <f>SUM(H57:H60)</f>
        <v>3868.1529999999998</v>
      </c>
      <c r="L61" s="203"/>
    </row>
    <row r="62" spans="2:12" x14ac:dyDescent="0.25">
      <c r="B62" s="204"/>
      <c r="E62" s="127"/>
      <c r="F62" s="100"/>
      <c r="G62" s="129"/>
      <c r="L62" s="203"/>
    </row>
    <row r="63" spans="2:12" x14ac:dyDescent="0.25">
      <c r="B63" s="204"/>
      <c r="E63" s="127"/>
      <c r="F63" s="100"/>
      <c r="G63" s="129"/>
      <c r="L63" s="203"/>
    </row>
    <row r="64" spans="2:12" x14ac:dyDescent="0.25">
      <c r="B64" s="204"/>
      <c r="C64" s="208" t="s">
        <v>88</v>
      </c>
      <c r="E64" s="100"/>
      <c r="F64" s="100"/>
      <c r="G64" s="127" t="str">
        <f>C66</f>
        <v>First</v>
      </c>
      <c r="H64" s="127" t="str">
        <f>C67</f>
        <v>Next</v>
      </c>
      <c r="I64" s="127" t="str">
        <f>C68</f>
        <v>Next</v>
      </c>
      <c r="J64" s="127" t="str">
        <f>C69</f>
        <v>Over</v>
      </c>
      <c r="K64" s="179"/>
      <c r="L64" s="203"/>
    </row>
    <row r="65" spans="2:12" ht="15.75" thickBot="1" x14ac:dyDescent="0.3">
      <c r="B65" s="204"/>
      <c r="C65" s="123" t="s">
        <v>65</v>
      </c>
      <c r="D65" s="189" t="s">
        <v>68</v>
      </c>
      <c r="E65" s="186" t="s">
        <v>10</v>
      </c>
      <c r="F65" s="186" t="s">
        <v>62</v>
      </c>
      <c r="G65" s="190">
        <f>D66</f>
        <v>10000</v>
      </c>
      <c r="H65" s="190">
        <f>D67</f>
        <v>5000</v>
      </c>
      <c r="I65" s="190">
        <f>D68</f>
        <v>140000</v>
      </c>
      <c r="J65" s="190">
        <f>D69</f>
        <v>155000</v>
      </c>
      <c r="K65" s="185" t="s">
        <v>1</v>
      </c>
      <c r="L65" s="203"/>
    </row>
    <row r="66" spans="2:12" x14ac:dyDescent="0.25">
      <c r="B66" s="204"/>
      <c r="C66" s="183" t="s">
        <v>66</v>
      </c>
      <c r="D66" s="184">
        <v>10000</v>
      </c>
      <c r="E66" s="100">
        <v>1</v>
      </c>
      <c r="F66" s="100">
        <v>4400</v>
      </c>
      <c r="G66" s="100">
        <f>F66</f>
        <v>4400</v>
      </c>
      <c r="H66" s="100">
        <v>0</v>
      </c>
      <c r="I66" s="100">
        <v>0</v>
      </c>
      <c r="J66" s="100">
        <v>0</v>
      </c>
      <c r="K66" s="138">
        <f>SUM(G66:J66)</f>
        <v>4400</v>
      </c>
      <c r="L66" s="203"/>
    </row>
    <row r="67" spans="2:12" x14ac:dyDescent="0.25">
      <c r="B67" s="204"/>
      <c r="C67" s="183" t="s">
        <v>77</v>
      </c>
      <c r="D67" s="184">
        <v>5000</v>
      </c>
      <c r="E67" s="100">
        <v>0</v>
      </c>
      <c r="F67" s="100">
        <v>0</v>
      </c>
      <c r="G67" s="100">
        <f>E67*D66</f>
        <v>0</v>
      </c>
      <c r="H67" s="100">
        <f>F67-G67</f>
        <v>0</v>
      </c>
      <c r="I67" s="100">
        <v>0</v>
      </c>
      <c r="J67" s="100">
        <v>0</v>
      </c>
      <c r="K67" s="138">
        <f>SUM(G67:J67)</f>
        <v>0</v>
      </c>
      <c r="L67" s="203"/>
    </row>
    <row r="68" spans="2:12" x14ac:dyDescent="0.25">
      <c r="B68" s="204"/>
      <c r="C68" s="183" t="s">
        <v>77</v>
      </c>
      <c r="D68" s="184">
        <v>140000</v>
      </c>
      <c r="E68" s="100">
        <v>1</v>
      </c>
      <c r="F68" s="100">
        <v>16400</v>
      </c>
      <c r="G68" s="100">
        <f>E68*D66</f>
        <v>10000</v>
      </c>
      <c r="H68" s="100">
        <f>E68*D67</f>
        <v>5000</v>
      </c>
      <c r="I68" s="100">
        <f>F68-G68-H68</f>
        <v>1400</v>
      </c>
      <c r="J68" s="100">
        <v>0</v>
      </c>
      <c r="K68" s="138">
        <f>SUM(G68:J68)</f>
        <v>16400</v>
      </c>
      <c r="L68" s="203"/>
    </row>
    <row r="69" spans="2:12" ht="15.75" thickBot="1" x14ac:dyDescent="0.3">
      <c r="B69" s="204"/>
      <c r="C69" s="183" t="s">
        <v>67</v>
      </c>
      <c r="D69" s="184">
        <v>155000</v>
      </c>
      <c r="E69" s="186">
        <v>0</v>
      </c>
      <c r="F69" s="186">
        <v>0</v>
      </c>
      <c r="G69" s="186">
        <f>E69*D66</f>
        <v>0</v>
      </c>
      <c r="H69" s="186">
        <f>E69*D67</f>
        <v>0</v>
      </c>
      <c r="I69" s="186">
        <f>E69*D68</f>
        <v>0</v>
      </c>
      <c r="J69" s="186">
        <f>F69-G69-H69-I69</f>
        <v>0</v>
      </c>
      <c r="K69" s="187">
        <f>SUM(G69:J69)</f>
        <v>0</v>
      </c>
      <c r="L69" s="203"/>
    </row>
    <row r="70" spans="2:12" x14ac:dyDescent="0.25">
      <c r="B70" s="204"/>
      <c r="C70" s="181"/>
      <c r="E70" s="100">
        <f t="shared" ref="E70:K70" si="7">SUM(E66:E69)</f>
        <v>2</v>
      </c>
      <c r="F70" s="100">
        <f t="shared" si="7"/>
        <v>20800</v>
      </c>
      <c r="G70" s="100">
        <f t="shared" si="7"/>
        <v>14400</v>
      </c>
      <c r="H70" s="100">
        <f t="shared" si="7"/>
        <v>5000</v>
      </c>
      <c r="I70" s="100">
        <f t="shared" si="7"/>
        <v>1400</v>
      </c>
      <c r="J70" s="100">
        <f t="shared" si="7"/>
        <v>0</v>
      </c>
      <c r="K70" s="207">
        <f t="shared" si="7"/>
        <v>20800</v>
      </c>
      <c r="L70" s="203"/>
    </row>
    <row r="71" spans="2:12" x14ac:dyDescent="0.25">
      <c r="B71" s="204"/>
      <c r="E71" s="100"/>
      <c r="F71" s="100"/>
      <c r="G71" s="129"/>
      <c r="H71" s="129"/>
      <c r="I71" s="129"/>
      <c r="J71" s="129"/>
      <c r="L71" s="203"/>
    </row>
    <row r="72" spans="2:12" ht="15.75" thickBot="1" x14ac:dyDescent="0.3">
      <c r="B72" s="204"/>
      <c r="C72" s="181" t="s">
        <v>70</v>
      </c>
      <c r="D72" s="189" t="s">
        <v>68</v>
      </c>
      <c r="E72" s="186" t="s">
        <v>10</v>
      </c>
      <c r="F72" s="186" t="s">
        <v>62</v>
      </c>
      <c r="G72" s="192" t="s">
        <v>11</v>
      </c>
      <c r="H72" s="189" t="s">
        <v>63</v>
      </c>
      <c r="I72" s="129"/>
      <c r="J72" s="129"/>
      <c r="L72" s="203"/>
    </row>
    <row r="73" spans="2:12" x14ac:dyDescent="0.25">
      <c r="B73" s="204"/>
      <c r="C73" s="183" t="str">
        <f>C66</f>
        <v>First</v>
      </c>
      <c r="D73" s="184">
        <f>D66</f>
        <v>10000</v>
      </c>
      <c r="E73" s="100">
        <f>E70</f>
        <v>2</v>
      </c>
      <c r="F73" s="100">
        <f>G70</f>
        <v>14400</v>
      </c>
      <c r="G73" s="128">
        <f>Rates!D19*2</f>
        <v>99.8</v>
      </c>
      <c r="H73" s="155">
        <f>E73*G73</f>
        <v>199.6</v>
      </c>
      <c r="I73" s="128"/>
      <c r="J73" s="128"/>
      <c r="L73" s="203"/>
    </row>
    <row r="74" spans="2:12" x14ac:dyDescent="0.25">
      <c r="B74" s="204"/>
      <c r="C74" s="183" t="str">
        <f t="shared" ref="C74:D74" si="8">C67</f>
        <v>Next</v>
      </c>
      <c r="D74" s="184">
        <f t="shared" si="8"/>
        <v>5000</v>
      </c>
      <c r="E74" s="100"/>
      <c r="F74" s="100">
        <f>H70</f>
        <v>5000</v>
      </c>
      <c r="G74" s="255">
        <f>Rates!D20</f>
        <v>8.6599999999999993E-3</v>
      </c>
      <c r="H74" s="155">
        <f>F74*G74</f>
        <v>43.3</v>
      </c>
      <c r="I74" s="128"/>
      <c r="J74" s="128"/>
      <c r="L74" s="203"/>
    </row>
    <row r="75" spans="2:12" x14ac:dyDescent="0.25">
      <c r="B75" s="204"/>
      <c r="C75" s="183" t="str">
        <f t="shared" ref="C75:D75" si="9">C68</f>
        <v>Next</v>
      </c>
      <c r="D75" s="184">
        <f t="shared" si="9"/>
        <v>140000</v>
      </c>
      <c r="E75" s="100"/>
      <c r="F75" s="100">
        <f>I70</f>
        <v>1400</v>
      </c>
      <c r="G75" s="255">
        <f>Rates!D21</f>
        <v>7.6699999999999997E-3</v>
      </c>
      <c r="H75" s="155">
        <f>F75*G75</f>
        <v>10.738</v>
      </c>
      <c r="I75" s="128"/>
      <c r="J75" s="128"/>
      <c r="L75" s="203"/>
    </row>
    <row r="76" spans="2:12" ht="15.75" thickBot="1" x14ac:dyDescent="0.3">
      <c r="B76" s="204"/>
      <c r="C76" s="183" t="str">
        <f t="shared" ref="C76:D76" si="10">C69</f>
        <v>Over</v>
      </c>
      <c r="D76" s="184">
        <f t="shared" si="10"/>
        <v>155000</v>
      </c>
      <c r="E76" s="186"/>
      <c r="F76" s="186">
        <f>J70</f>
        <v>0</v>
      </c>
      <c r="G76" s="255">
        <f>Rates!D22</f>
        <v>6.6800000000000002E-3</v>
      </c>
      <c r="H76" s="188">
        <f>F76*G76</f>
        <v>0</v>
      </c>
      <c r="I76" s="128"/>
      <c r="J76" s="128"/>
      <c r="L76" s="203"/>
    </row>
    <row r="77" spans="2:12" x14ac:dyDescent="0.25">
      <c r="B77" s="204"/>
      <c r="C77" s="181"/>
      <c r="E77" s="100">
        <f>SUM(E73:E76)</f>
        <v>2</v>
      </c>
      <c r="F77" s="100">
        <f>SUM(F73:F76)</f>
        <v>20800</v>
      </c>
      <c r="G77" s="129"/>
      <c r="H77" s="155">
        <f>SUM(H73:H76)</f>
        <v>253.63799999999998</v>
      </c>
      <c r="I77" s="129"/>
      <c r="J77" s="129"/>
      <c r="L77" s="203"/>
    </row>
    <row r="78" spans="2:12" x14ac:dyDescent="0.25">
      <c r="B78" s="204"/>
      <c r="C78" s="181"/>
      <c r="E78" s="127"/>
      <c r="F78" s="100"/>
      <c r="G78" s="129"/>
      <c r="L78" s="203"/>
    </row>
    <row r="79" spans="2:12" x14ac:dyDescent="0.25">
      <c r="B79" s="204"/>
      <c r="E79" s="127"/>
      <c r="F79" s="100"/>
      <c r="G79" s="129"/>
      <c r="L79" s="203"/>
    </row>
    <row r="80" spans="2:12" x14ac:dyDescent="0.25">
      <c r="B80" s="204"/>
      <c r="C80" s="208" t="s">
        <v>89</v>
      </c>
      <c r="E80" s="100"/>
      <c r="F80" s="100"/>
      <c r="G80" s="127" t="str">
        <f>C82</f>
        <v>First</v>
      </c>
      <c r="H80" s="127" t="str">
        <f>C83</f>
        <v>Next</v>
      </c>
      <c r="I80" s="127" t="str">
        <f>C84</f>
        <v>Next</v>
      </c>
      <c r="J80" s="127" t="str">
        <f>C85</f>
        <v>Over</v>
      </c>
      <c r="K80" s="179"/>
      <c r="L80" s="203"/>
    </row>
    <row r="81" spans="2:12" ht="15.75" thickBot="1" x14ac:dyDescent="0.3">
      <c r="B81" s="204"/>
      <c r="C81" s="123" t="s">
        <v>65</v>
      </c>
      <c r="D81" s="189" t="s">
        <v>68</v>
      </c>
      <c r="E81" s="186" t="s">
        <v>10</v>
      </c>
      <c r="F81" s="186" t="s">
        <v>62</v>
      </c>
      <c r="G81" s="190">
        <f>D82</f>
        <v>6000</v>
      </c>
      <c r="H81" s="190">
        <f>D83</f>
        <v>3000</v>
      </c>
      <c r="I81" s="190">
        <f>D84</f>
        <v>5000</v>
      </c>
      <c r="J81" s="190">
        <f>D85</f>
        <v>10000</v>
      </c>
      <c r="K81" s="185" t="s">
        <v>1</v>
      </c>
      <c r="L81" s="203"/>
    </row>
    <row r="82" spans="2:12" x14ac:dyDescent="0.25">
      <c r="B82" s="204"/>
      <c r="C82" s="183" t="s">
        <v>66</v>
      </c>
      <c r="D82" s="184">
        <v>6000</v>
      </c>
      <c r="E82" s="100">
        <v>12</v>
      </c>
      <c r="F82" s="100">
        <v>31200</v>
      </c>
      <c r="G82" s="100">
        <f>F82</f>
        <v>31200</v>
      </c>
      <c r="H82" s="100">
        <v>0</v>
      </c>
      <c r="I82" s="100">
        <v>0</v>
      </c>
      <c r="J82" s="100">
        <v>0</v>
      </c>
      <c r="K82" s="138">
        <f>SUM(G82:J82)</f>
        <v>31200</v>
      </c>
      <c r="L82" s="203"/>
    </row>
    <row r="83" spans="2:12" x14ac:dyDescent="0.25">
      <c r="B83" s="204"/>
      <c r="C83" s="183" t="s">
        <v>77</v>
      </c>
      <c r="D83" s="184">
        <v>3000</v>
      </c>
      <c r="E83" s="100">
        <v>0</v>
      </c>
      <c r="F83" s="100">
        <v>0</v>
      </c>
      <c r="G83" s="100">
        <f>E83*D82</f>
        <v>0</v>
      </c>
      <c r="H83" s="100">
        <f>F83-G83</f>
        <v>0</v>
      </c>
      <c r="I83" s="100">
        <v>0</v>
      </c>
      <c r="J83" s="100">
        <v>0</v>
      </c>
      <c r="K83" s="138">
        <f>SUM(G83:J83)</f>
        <v>0</v>
      </c>
      <c r="L83" s="203"/>
    </row>
    <row r="84" spans="2:12" x14ac:dyDescent="0.25">
      <c r="B84" s="204"/>
      <c r="C84" s="183" t="s">
        <v>77</v>
      </c>
      <c r="D84" s="184">
        <v>5000</v>
      </c>
      <c r="E84" s="100">
        <v>11</v>
      </c>
      <c r="F84" s="100">
        <v>123700</v>
      </c>
      <c r="G84" s="100">
        <f>E84*D82</f>
        <v>66000</v>
      </c>
      <c r="H84" s="100">
        <f>E84*D83</f>
        <v>33000</v>
      </c>
      <c r="I84" s="100">
        <f>F84-G84-H84</f>
        <v>24700</v>
      </c>
      <c r="J84" s="100">
        <v>0</v>
      </c>
      <c r="K84" s="138">
        <f>SUM(G84:J84)</f>
        <v>123700</v>
      </c>
      <c r="L84" s="203"/>
    </row>
    <row r="85" spans="2:12" ht="15.75" thickBot="1" x14ac:dyDescent="0.3">
      <c r="B85" s="204"/>
      <c r="C85" s="183" t="s">
        <v>67</v>
      </c>
      <c r="D85" s="184">
        <v>10000</v>
      </c>
      <c r="E85" s="186">
        <f>1+0</f>
        <v>1</v>
      </c>
      <c r="F85" s="186">
        <f>17400+0</f>
        <v>17400</v>
      </c>
      <c r="G85" s="186">
        <f>E85*D82</f>
        <v>6000</v>
      </c>
      <c r="H85" s="186">
        <f>E85*D83</f>
        <v>3000</v>
      </c>
      <c r="I85" s="186">
        <f>E85*D84</f>
        <v>5000</v>
      </c>
      <c r="J85" s="186">
        <f>F85-G85-H85-I85</f>
        <v>3400</v>
      </c>
      <c r="K85" s="187">
        <f>SUM(G85:J85)</f>
        <v>17400</v>
      </c>
      <c r="L85" s="203"/>
    </row>
    <row r="86" spans="2:12" x14ac:dyDescent="0.25">
      <c r="B86" s="204"/>
      <c r="C86" s="181"/>
      <c r="E86" s="100">
        <f t="shared" ref="E86:K86" si="11">SUM(E82:E85)</f>
        <v>24</v>
      </c>
      <c r="F86" s="100">
        <f t="shared" si="11"/>
        <v>172300</v>
      </c>
      <c r="G86" s="100">
        <f t="shared" si="11"/>
        <v>103200</v>
      </c>
      <c r="H86" s="100">
        <f t="shared" si="11"/>
        <v>36000</v>
      </c>
      <c r="I86" s="100">
        <f t="shared" si="11"/>
        <v>29700</v>
      </c>
      <c r="J86" s="100">
        <f t="shared" si="11"/>
        <v>3400</v>
      </c>
      <c r="K86" s="207">
        <f t="shared" si="11"/>
        <v>172300</v>
      </c>
      <c r="L86" s="203"/>
    </row>
    <row r="87" spans="2:12" x14ac:dyDescent="0.25">
      <c r="B87" s="204"/>
      <c r="E87" s="100"/>
      <c r="F87" s="100"/>
      <c r="G87" s="129"/>
      <c r="H87" s="129"/>
      <c r="I87" s="129"/>
      <c r="J87" s="129"/>
      <c r="L87" s="203"/>
    </row>
    <row r="88" spans="2:12" ht="15.75" thickBot="1" x14ac:dyDescent="0.3">
      <c r="B88" s="204"/>
      <c r="C88" s="181" t="s">
        <v>70</v>
      </c>
      <c r="D88" s="189" t="s">
        <v>68</v>
      </c>
      <c r="E88" s="186" t="s">
        <v>10</v>
      </c>
      <c r="F88" s="186" t="s">
        <v>62</v>
      </c>
      <c r="G88" s="192" t="s">
        <v>11</v>
      </c>
      <c r="H88" s="189" t="s">
        <v>63</v>
      </c>
      <c r="I88" s="129"/>
      <c r="J88" s="129"/>
      <c r="L88" s="203"/>
    </row>
    <row r="89" spans="2:12" x14ac:dyDescent="0.25">
      <c r="B89" s="204"/>
      <c r="C89" s="183" t="str">
        <f>C82</f>
        <v>First</v>
      </c>
      <c r="D89" s="184">
        <f>D82</f>
        <v>6000</v>
      </c>
      <c r="E89" s="100">
        <f>E86</f>
        <v>24</v>
      </c>
      <c r="F89" s="100">
        <f>G86</f>
        <v>103200</v>
      </c>
      <c r="G89" s="128">
        <f>Rates!D10*3</f>
        <v>71.789999999999992</v>
      </c>
      <c r="H89" s="195">
        <f>E89*G89</f>
        <v>1722.9599999999998</v>
      </c>
      <c r="I89" s="128"/>
      <c r="J89" s="128"/>
      <c r="L89" s="203"/>
    </row>
    <row r="90" spans="2:12" x14ac:dyDescent="0.25">
      <c r="B90" s="204"/>
      <c r="C90" s="183" t="str">
        <f t="shared" ref="C90:D90" si="12">C83</f>
        <v>Next</v>
      </c>
      <c r="D90" s="184">
        <f t="shared" si="12"/>
        <v>3000</v>
      </c>
      <c r="E90" s="100"/>
      <c r="F90" s="100">
        <f>H86</f>
        <v>36000</v>
      </c>
      <c r="G90" s="255">
        <f>Rates!D11</f>
        <v>8.6599999999999993E-3</v>
      </c>
      <c r="H90" s="155">
        <f>F90*G90</f>
        <v>311.76</v>
      </c>
      <c r="I90" s="128"/>
      <c r="J90" s="128"/>
      <c r="L90" s="203"/>
    </row>
    <row r="91" spans="2:12" x14ac:dyDescent="0.25">
      <c r="B91" s="204"/>
      <c r="C91" s="183" t="str">
        <f t="shared" ref="C91:D91" si="13">C84</f>
        <v>Next</v>
      </c>
      <c r="D91" s="184">
        <f t="shared" si="13"/>
        <v>5000</v>
      </c>
      <c r="E91" s="100"/>
      <c r="F91" s="100">
        <f>I86</f>
        <v>29700</v>
      </c>
      <c r="G91" s="255">
        <f>Rates!D12</f>
        <v>7.6699999999999997E-3</v>
      </c>
      <c r="H91" s="155">
        <f>F91*G91</f>
        <v>227.79899999999998</v>
      </c>
      <c r="I91" s="128"/>
      <c r="J91" s="128"/>
      <c r="L91" s="203"/>
    </row>
    <row r="92" spans="2:12" ht="15.75" thickBot="1" x14ac:dyDescent="0.3">
      <c r="B92" s="204"/>
      <c r="C92" s="183" t="str">
        <f t="shared" ref="C92:D92" si="14">C85</f>
        <v>Over</v>
      </c>
      <c r="D92" s="184">
        <f t="shared" si="14"/>
        <v>10000</v>
      </c>
      <c r="E92" s="186"/>
      <c r="F92" s="186">
        <f>J86</f>
        <v>3400</v>
      </c>
      <c r="G92" s="255">
        <f>Rates!D13</f>
        <v>6.6800000000000002E-3</v>
      </c>
      <c r="H92" s="188">
        <f>F92*G92</f>
        <v>22.712</v>
      </c>
      <c r="I92" s="128"/>
      <c r="J92" s="128"/>
      <c r="L92" s="203"/>
    </row>
    <row r="93" spans="2:12" x14ac:dyDescent="0.25">
      <c r="B93" s="204"/>
      <c r="C93" s="181"/>
      <c r="E93" s="100">
        <f>SUM(E89:E92)</f>
        <v>24</v>
      </c>
      <c r="F93" s="100">
        <f>SUM(F89:F92)</f>
        <v>172300</v>
      </c>
      <c r="G93" s="129"/>
      <c r="H93" s="155">
        <f>SUM(H89:H92)</f>
        <v>2285.2309999999998</v>
      </c>
      <c r="I93" s="129"/>
      <c r="J93" s="129"/>
      <c r="L93" s="203"/>
    </row>
    <row r="94" spans="2:12" x14ac:dyDescent="0.25">
      <c r="B94" s="204"/>
      <c r="C94" s="181"/>
      <c r="E94" s="100"/>
      <c r="F94" s="100"/>
      <c r="G94" s="129"/>
      <c r="H94" s="155"/>
      <c r="I94" s="129"/>
      <c r="J94" s="129"/>
      <c r="L94" s="203"/>
    </row>
    <row r="95" spans="2:12" x14ac:dyDescent="0.25">
      <c r="B95" s="204"/>
      <c r="C95" s="181"/>
      <c r="E95" s="100"/>
      <c r="F95" s="100"/>
      <c r="G95" s="129"/>
      <c r="H95" s="155"/>
      <c r="I95" s="129"/>
      <c r="J95" s="129"/>
      <c r="L95" s="203"/>
    </row>
    <row r="96" spans="2:12" x14ac:dyDescent="0.25">
      <c r="B96" s="204"/>
      <c r="C96" s="208" t="s">
        <v>90</v>
      </c>
      <c r="E96" s="100"/>
      <c r="F96" s="100"/>
      <c r="G96" s="127" t="str">
        <f>C98</f>
        <v>First</v>
      </c>
      <c r="H96" s="127" t="str">
        <f>C99</f>
        <v>Next</v>
      </c>
      <c r="I96" s="127" t="str">
        <f>C100</f>
        <v>Next</v>
      </c>
      <c r="J96" s="127" t="str">
        <f>C101</f>
        <v>Over</v>
      </c>
      <c r="K96" s="179"/>
      <c r="L96" s="203"/>
    </row>
    <row r="97" spans="2:12" ht="15.75" thickBot="1" x14ac:dyDescent="0.3">
      <c r="B97" s="204"/>
      <c r="C97" s="123" t="s">
        <v>65</v>
      </c>
      <c r="D97" s="189" t="s">
        <v>68</v>
      </c>
      <c r="E97" s="186" t="s">
        <v>10</v>
      </c>
      <c r="F97" s="186" t="s">
        <v>62</v>
      </c>
      <c r="G97" s="190">
        <f>D98</f>
        <v>2000</v>
      </c>
      <c r="H97" s="190">
        <f>D99</f>
        <v>3000</v>
      </c>
      <c r="I97" s="190">
        <f>D100</f>
        <v>5000</v>
      </c>
      <c r="J97" s="190">
        <f>D101</f>
        <v>10000</v>
      </c>
      <c r="K97" s="185" t="s">
        <v>1</v>
      </c>
      <c r="L97" s="203"/>
    </row>
    <row r="98" spans="2:12" x14ac:dyDescent="0.25">
      <c r="B98" s="204"/>
      <c r="C98" s="183" t="s">
        <v>66</v>
      </c>
      <c r="D98" s="184">
        <v>2000</v>
      </c>
      <c r="E98" s="100">
        <v>1036</v>
      </c>
      <c r="F98" s="100">
        <v>599600</v>
      </c>
      <c r="G98" s="100">
        <f>F98</f>
        <v>599600</v>
      </c>
      <c r="H98" s="100">
        <v>0</v>
      </c>
      <c r="I98" s="100">
        <v>0</v>
      </c>
      <c r="J98" s="100">
        <v>0</v>
      </c>
      <c r="K98" s="138">
        <f>SUM(G98:J98)</f>
        <v>599600</v>
      </c>
      <c r="L98" s="203"/>
    </row>
    <row r="99" spans="2:12" x14ac:dyDescent="0.25">
      <c r="B99" s="204"/>
      <c r="C99" s="183" t="s">
        <v>77</v>
      </c>
      <c r="D99" s="184">
        <v>3000</v>
      </c>
      <c r="E99" s="100">
        <v>308</v>
      </c>
      <c r="F99" s="100">
        <v>981900</v>
      </c>
      <c r="G99" s="100">
        <f>E99*D98</f>
        <v>616000</v>
      </c>
      <c r="H99" s="100">
        <f>F99-G99</f>
        <v>365900</v>
      </c>
      <c r="I99" s="100">
        <v>0</v>
      </c>
      <c r="J99" s="100">
        <v>0</v>
      </c>
      <c r="K99" s="138">
        <f>SUM(G99:J99)</f>
        <v>981900</v>
      </c>
      <c r="L99" s="203"/>
    </row>
    <row r="100" spans="2:12" x14ac:dyDescent="0.25">
      <c r="B100" s="204"/>
      <c r="C100" s="183" t="s">
        <v>77</v>
      </c>
      <c r="D100" s="184">
        <v>5000</v>
      </c>
      <c r="E100" s="100">
        <v>92</v>
      </c>
      <c r="F100" s="100">
        <v>644800</v>
      </c>
      <c r="G100" s="100">
        <f>E100*D98</f>
        <v>184000</v>
      </c>
      <c r="H100" s="100">
        <f>E100*D99</f>
        <v>276000</v>
      </c>
      <c r="I100" s="100">
        <f>F100-G100-H100</f>
        <v>184800</v>
      </c>
      <c r="J100" s="100">
        <v>0</v>
      </c>
      <c r="K100" s="138">
        <f>SUM(G100:J100)</f>
        <v>644800</v>
      </c>
      <c r="L100" s="203"/>
    </row>
    <row r="101" spans="2:12" ht="15.75" thickBot="1" x14ac:dyDescent="0.3">
      <c r="B101" s="204"/>
      <c r="C101" s="183" t="s">
        <v>67</v>
      </c>
      <c r="D101" s="184">
        <v>10000</v>
      </c>
      <c r="E101" s="186">
        <v>98</v>
      </c>
      <c r="F101" s="186">
        <v>2600200</v>
      </c>
      <c r="G101" s="186">
        <f>E101*D98</f>
        <v>196000</v>
      </c>
      <c r="H101" s="186">
        <f>E101*D99</f>
        <v>294000</v>
      </c>
      <c r="I101" s="186">
        <f>E101*D100</f>
        <v>490000</v>
      </c>
      <c r="J101" s="186">
        <f>F101-G101-H101-I101</f>
        <v>1620200</v>
      </c>
      <c r="K101" s="187">
        <f>SUM(G101:J101)</f>
        <v>2600200</v>
      </c>
      <c r="L101" s="203"/>
    </row>
    <row r="102" spans="2:12" x14ac:dyDescent="0.25">
      <c r="B102" s="204"/>
      <c r="C102" s="181"/>
      <c r="E102" s="100">
        <f t="shared" ref="E102:K102" si="15">SUM(E98:E101)</f>
        <v>1534</v>
      </c>
      <c r="F102" s="100">
        <f t="shared" si="15"/>
        <v>4826500</v>
      </c>
      <c r="G102" s="100">
        <f t="shared" si="15"/>
        <v>1595600</v>
      </c>
      <c r="H102" s="100">
        <f t="shared" si="15"/>
        <v>935900</v>
      </c>
      <c r="I102" s="100">
        <f t="shared" si="15"/>
        <v>674800</v>
      </c>
      <c r="J102" s="100">
        <f t="shared" si="15"/>
        <v>1620200</v>
      </c>
      <c r="K102" s="100">
        <f t="shared" si="15"/>
        <v>4826500</v>
      </c>
      <c r="L102" s="203"/>
    </row>
    <row r="103" spans="2:12" x14ac:dyDescent="0.25">
      <c r="B103" s="204"/>
      <c r="E103" s="100"/>
      <c r="F103" s="100"/>
      <c r="G103" s="129"/>
      <c r="H103" s="129"/>
      <c r="I103" s="129"/>
      <c r="J103" s="129"/>
      <c r="K103" s="180"/>
      <c r="L103" s="203"/>
    </row>
    <row r="104" spans="2:12" ht="15.75" thickBot="1" x14ac:dyDescent="0.3">
      <c r="B104" s="204"/>
      <c r="C104" s="181" t="s">
        <v>70</v>
      </c>
      <c r="D104" s="189" t="s">
        <v>68</v>
      </c>
      <c r="E104" s="186" t="s">
        <v>10</v>
      </c>
      <c r="F104" s="186" t="s">
        <v>62</v>
      </c>
      <c r="G104" s="192" t="s">
        <v>11</v>
      </c>
      <c r="H104" s="189" t="s">
        <v>63</v>
      </c>
      <c r="I104" s="129"/>
      <c r="J104" s="129"/>
      <c r="K104" s="180"/>
      <c r="L104" s="203"/>
    </row>
    <row r="105" spans="2:12" x14ac:dyDescent="0.25">
      <c r="B105" s="204"/>
      <c r="C105" s="183" t="str">
        <f>C98</f>
        <v>First</v>
      </c>
      <c r="D105" s="184">
        <f>D98</f>
        <v>2000</v>
      </c>
      <c r="E105" s="100">
        <f>E102</f>
        <v>1534</v>
      </c>
      <c r="F105" s="100">
        <f>G102</f>
        <v>1595600</v>
      </c>
      <c r="G105" s="128">
        <f>Rates!D10</f>
        <v>23.93</v>
      </c>
      <c r="H105" s="155">
        <f>E105*G105</f>
        <v>36708.620000000003</v>
      </c>
      <c r="I105" s="128"/>
      <c r="J105" s="128"/>
      <c r="K105" s="180"/>
      <c r="L105" s="203"/>
    </row>
    <row r="106" spans="2:12" x14ac:dyDescent="0.25">
      <c r="B106" s="204"/>
      <c r="C106" s="183" t="str">
        <f t="shared" ref="C106:D106" si="16">C99</f>
        <v>Next</v>
      </c>
      <c r="D106" s="184">
        <f t="shared" si="16"/>
        <v>3000</v>
      </c>
      <c r="E106" s="100"/>
      <c r="F106" s="100">
        <f>H102</f>
        <v>935900</v>
      </c>
      <c r="G106" s="255">
        <f>Rates!D11</f>
        <v>8.6599999999999993E-3</v>
      </c>
      <c r="H106" s="155">
        <f>F106*G106</f>
        <v>8104.8939999999993</v>
      </c>
      <c r="I106" s="128"/>
      <c r="J106" s="128"/>
      <c r="K106" s="180"/>
      <c r="L106" s="203"/>
    </row>
    <row r="107" spans="2:12" x14ac:dyDescent="0.25">
      <c r="B107" s="204"/>
      <c r="C107" s="183" t="str">
        <f t="shared" ref="C107:D107" si="17">C100</f>
        <v>Next</v>
      </c>
      <c r="D107" s="184">
        <f t="shared" si="17"/>
        <v>5000</v>
      </c>
      <c r="E107" s="100"/>
      <c r="F107" s="100">
        <f>I102</f>
        <v>674800</v>
      </c>
      <c r="G107" s="255">
        <f>Rates!D12</f>
        <v>7.6699999999999997E-3</v>
      </c>
      <c r="H107" s="155">
        <f>F107*G107</f>
        <v>5175.7159999999994</v>
      </c>
      <c r="I107" s="128"/>
      <c r="J107" s="128"/>
      <c r="K107" s="180"/>
      <c r="L107" s="203"/>
    </row>
    <row r="108" spans="2:12" ht="15.75" thickBot="1" x14ac:dyDescent="0.3">
      <c r="B108" s="204"/>
      <c r="C108" s="183" t="str">
        <f t="shared" ref="C108:D108" si="18">C101</f>
        <v>Over</v>
      </c>
      <c r="D108" s="184">
        <f t="shared" si="18"/>
        <v>10000</v>
      </c>
      <c r="E108" s="186"/>
      <c r="F108" s="186">
        <f>J102</f>
        <v>1620200</v>
      </c>
      <c r="G108" s="255">
        <f>Rates!D13</f>
        <v>6.6800000000000002E-3</v>
      </c>
      <c r="H108" s="188">
        <f>F108*G108</f>
        <v>10822.936</v>
      </c>
      <c r="I108" s="128"/>
      <c r="J108" s="128"/>
      <c r="K108" s="180"/>
      <c r="L108" s="203"/>
    </row>
    <row r="109" spans="2:12" x14ac:dyDescent="0.25">
      <c r="B109" s="204"/>
      <c r="C109" s="181"/>
      <c r="E109" s="100">
        <f>SUM(E105:E108)</f>
        <v>1534</v>
      </c>
      <c r="F109" s="100">
        <f>SUM(F105:F108)</f>
        <v>4826500</v>
      </c>
      <c r="G109" s="129"/>
      <c r="H109" s="155">
        <f>SUM(H105:H108)</f>
        <v>60812.166000000005</v>
      </c>
      <c r="I109" s="129"/>
      <c r="J109" s="129"/>
      <c r="K109" s="130"/>
      <c r="L109" s="203"/>
    </row>
    <row r="110" spans="2:12" x14ac:dyDescent="0.25">
      <c r="B110" s="204"/>
      <c r="C110" s="181"/>
      <c r="E110" s="100"/>
      <c r="F110" s="100"/>
      <c r="G110" s="129"/>
      <c r="H110" s="155"/>
      <c r="I110" s="129"/>
      <c r="J110" s="129"/>
      <c r="K110" s="130"/>
      <c r="L110" s="203"/>
    </row>
    <row r="111" spans="2:12" x14ac:dyDescent="0.25">
      <c r="B111" s="204"/>
      <c r="E111" s="127"/>
      <c r="F111" s="100"/>
      <c r="G111" s="129"/>
      <c r="L111" s="203"/>
    </row>
    <row r="112" spans="2:12" x14ac:dyDescent="0.25">
      <c r="B112" s="204"/>
      <c r="C112" s="208" t="s">
        <v>91</v>
      </c>
      <c r="E112" s="100"/>
      <c r="F112" s="100"/>
      <c r="G112" s="127" t="str">
        <f>C114</f>
        <v>First</v>
      </c>
      <c r="H112" s="127" t="str">
        <f>C115</f>
        <v>Next</v>
      </c>
      <c r="I112" s="127" t="str">
        <f>C116</f>
        <v>Next</v>
      </c>
      <c r="J112" s="127" t="str">
        <f>C117</f>
        <v>Over</v>
      </c>
      <c r="K112" s="179"/>
      <c r="L112" s="203"/>
    </row>
    <row r="113" spans="2:12" ht="15.75" thickBot="1" x14ac:dyDescent="0.3">
      <c r="B113" s="204"/>
      <c r="C113" s="123" t="s">
        <v>65</v>
      </c>
      <c r="D113" s="189" t="s">
        <v>68</v>
      </c>
      <c r="E113" s="186" t="s">
        <v>10</v>
      </c>
      <c r="F113" s="186" t="s">
        <v>62</v>
      </c>
      <c r="G113" s="190">
        <f>D114</f>
        <v>5000</v>
      </c>
      <c r="H113" s="190">
        <f>D115</f>
        <v>5000</v>
      </c>
      <c r="I113" s="190">
        <f>D116</f>
        <v>140000</v>
      </c>
      <c r="J113" s="190">
        <f>D117</f>
        <v>150000</v>
      </c>
      <c r="K113" s="185" t="s">
        <v>1</v>
      </c>
      <c r="L113" s="203"/>
    </row>
    <row r="114" spans="2:12" x14ac:dyDescent="0.25">
      <c r="B114" s="204"/>
      <c r="C114" s="183" t="s">
        <v>66</v>
      </c>
      <c r="D114" s="184">
        <v>5000</v>
      </c>
      <c r="E114" s="100">
        <v>90</v>
      </c>
      <c r="F114" s="100">
        <v>161900</v>
      </c>
      <c r="G114" s="100">
        <f>F114</f>
        <v>161900</v>
      </c>
      <c r="H114" s="100">
        <v>0</v>
      </c>
      <c r="I114" s="100">
        <v>0</v>
      </c>
      <c r="J114" s="100">
        <v>0</v>
      </c>
      <c r="K114" s="138">
        <f>SUM(G114:J114)</f>
        <v>161900</v>
      </c>
      <c r="L114" s="203"/>
    </row>
    <row r="115" spans="2:12" x14ac:dyDescent="0.25">
      <c r="B115" s="204"/>
      <c r="C115" s="183" t="s">
        <v>77</v>
      </c>
      <c r="D115" s="184">
        <v>5000</v>
      </c>
      <c r="E115" s="100">
        <v>45</v>
      </c>
      <c r="F115" s="100">
        <v>330000</v>
      </c>
      <c r="G115" s="100">
        <f>E115*D114</f>
        <v>225000</v>
      </c>
      <c r="H115" s="100">
        <f>F115-G115</f>
        <v>105000</v>
      </c>
      <c r="I115" s="100">
        <v>0</v>
      </c>
      <c r="J115" s="100">
        <v>0</v>
      </c>
      <c r="K115" s="138">
        <f>SUM(G115:J115)</f>
        <v>330000</v>
      </c>
      <c r="L115" s="203"/>
    </row>
    <row r="116" spans="2:12" x14ac:dyDescent="0.25">
      <c r="B116" s="204"/>
      <c r="C116" s="183" t="s">
        <v>77</v>
      </c>
      <c r="D116" s="184">
        <v>140000</v>
      </c>
      <c r="E116" s="100">
        <v>89</v>
      </c>
      <c r="F116" s="100">
        <v>3783700</v>
      </c>
      <c r="G116" s="100">
        <f>E116*D114</f>
        <v>445000</v>
      </c>
      <c r="H116" s="100">
        <f>E116*D115</f>
        <v>445000</v>
      </c>
      <c r="I116" s="100">
        <f>F116-G116-H116</f>
        <v>2893700</v>
      </c>
      <c r="J116" s="100">
        <v>0</v>
      </c>
      <c r="K116" s="138">
        <f>SUM(G116:J116)</f>
        <v>3783700</v>
      </c>
      <c r="L116" s="203"/>
    </row>
    <row r="117" spans="2:12" ht="15.75" thickBot="1" x14ac:dyDescent="0.3">
      <c r="B117" s="204"/>
      <c r="C117" s="183" t="s">
        <v>67</v>
      </c>
      <c r="D117" s="184">
        <v>150000</v>
      </c>
      <c r="E117" s="186">
        <v>15</v>
      </c>
      <c r="F117" s="186">
        <v>4014900</v>
      </c>
      <c r="G117" s="186">
        <f>E117*D114</f>
        <v>75000</v>
      </c>
      <c r="H117" s="186">
        <f>E117*D115</f>
        <v>75000</v>
      </c>
      <c r="I117" s="186">
        <f>E117*D116</f>
        <v>2100000</v>
      </c>
      <c r="J117" s="186">
        <f>F117-G117-H117-I117</f>
        <v>1764900</v>
      </c>
      <c r="K117" s="187">
        <f>SUM(G117:J117)</f>
        <v>4014900</v>
      </c>
      <c r="L117" s="203"/>
    </row>
    <row r="118" spans="2:12" x14ac:dyDescent="0.25">
      <c r="B118" s="204"/>
      <c r="C118" s="181"/>
      <c r="E118" s="100">
        <f t="shared" ref="E118:K118" si="19">SUM(E114:E117)</f>
        <v>239</v>
      </c>
      <c r="F118" s="100">
        <f t="shared" si="19"/>
        <v>8290500</v>
      </c>
      <c r="G118" s="100">
        <f t="shared" si="19"/>
        <v>906900</v>
      </c>
      <c r="H118" s="100">
        <f t="shared" si="19"/>
        <v>625000</v>
      </c>
      <c r="I118" s="100">
        <f t="shared" si="19"/>
        <v>4993700</v>
      </c>
      <c r="J118" s="100">
        <f t="shared" si="19"/>
        <v>1764900</v>
      </c>
      <c r="K118" s="100">
        <f t="shared" si="19"/>
        <v>8290500</v>
      </c>
      <c r="L118" s="203"/>
    </row>
    <row r="119" spans="2:12" x14ac:dyDescent="0.25">
      <c r="B119" s="204"/>
      <c r="E119" s="100"/>
      <c r="F119" s="100"/>
      <c r="G119" s="129"/>
      <c r="H119" s="129"/>
      <c r="I119" s="129"/>
      <c r="J119" s="129"/>
      <c r="K119" s="180"/>
      <c r="L119" s="203"/>
    </row>
    <row r="120" spans="2:12" x14ac:dyDescent="0.25">
      <c r="B120" s="204"/>
      <c r="C120" s="181" t="s">
        <v>70</v>
      </c>
      <c r="D120" s="179" t="s">
        <v>68</v>
      </c>
      <c r="E120" s="100" t="s">
        <v>10</v>
      </c>
      <c r="F120" s="100" t="s">
        <v>62</v>
      </c>
      <c r="G120" s="129" t="s">
        <v>11</v>
      </c>
      <c r="H120" s="179" t="s">
        <v>63</v>
      </c>
      <c r="I120" s="129"/>
      <c r="J120" s="129"/>
      <c r="K120" s="180"/>
      <c r="L120" s="203"/>
    </row>
    <row r="121" spans="2:12" x14ac:dyDescent="0.25">
      <c r="B121" s="204"/>
      <c r="C121" s="183" t="str">
        <f>C114</f>
        <v>First</v>
      </c>
      <c r="D121" s="184">
        <f>D114</f>
        <v>5000</v>
      </c>
      <c r="E121" s="100">
        <f>E118</f>
        <v>239</v>
      </c>
      <c r="F121" s="100">
        <f>G118</f>
        <v>906900</v>
      </c>
      <c r="G121" s="128">
        <f>Rates!D19</f>
        <v>49.9</v>
      </c>
      <c r="H121" s="155">
        <f>E121*G121</f>
        <v>11926.1</v>
      </c>
      <c r="I121" s="128"/>
      <c r="J121" s="128"/>
      <c r="K121" s="180"/>
      <c r="L121" s="203"/>
    </row>
    <row r="122" spans="2:12" x14ac:dyDescent="0.25">
      <c r="B122" s="204"/>
      <c r="C122" s="183" t="str">
        <f t="shared" ref="C122:D122" si="20">C115</f>
        <v>Next</v>
      </c>
      <c r="D122" s="184">
        <f t="shared" si="20"/>
        <v>5000</v>
      </c>
      <c r="E122" s="100"/>
      <c r="F122" s="100">
        <f>H118</f>
        <v>625000</v>
      </c>
      <c r="G122" s="255">
        <f>Rates!D20</f>
        <v>8.6599999999999993E-3</v>
      </c>
      <c r="H122" s="155">
        <f>F122*G122</f>
        <v>5412.5</v>
      </c>
      <c r="I122" s="128"/>
      <c r="J122" s="128"/>
      <c r="K122" s="180"/>
      <c r="L122" s="203"/>
    </row>
    <row r="123" spans="2:12" x14ac:dyDescent="0.25">
      <c r="B123" s="204"/>
      <c r="C123" s="183" t="str">
        <f t="shared" ref="C123:D123" si="21">C116</f>
        <v>Next</v>
      </c>
      <c r="D123" s="184">
        <f t="shared" si="21"/>
        <v>140000</v>
      </c>
      <c r="E123" s="100"/>
      <c r="F123" s="100">
        <f>I118</f>
        <v>4993700</v>
      </c>
      <c r="G123" s="255">
        <f>Rates!D21</f>
        <v>7.6699999999999997E-3</v>
      </c>
      <c r="H123" s="155">
        <f>F123*G123</f>
        <v>38301.678999999996</v>
      </c>
      <c r="I123" s="128"/>
      <c r="J123" s="128"/>
      <c r="K123" s="180"/>
      <c r="L123" s="203"/>
    </row>
    <row r="124" spans="2:12" ht="15.75" thickBot="1" x14ac:dyDescent="0.3">
      <c r="B124" s="204"/>
      <c r="C124" s="183" t="str">
        <f t="shared" ref="C124:D124" si="22">C117</f>
        <v>Over</v>
      </c>
      <c r="D124" s="184">
        <f t="shared" si="22"/>
        <v>150000</v>
      </c>
      <c r="E124" s="186"/>
      <c r="F124" s="186">
        <f>J118</f>
        <v>1764900</v>
      </c>
      <c r="G124" s="255">
        <f>Rates!D22</f>
        <v>6.6800000000000002E-3</v>
      </c>
      <c r="H124" s="188">
        <f>F124*G124</f>
        <v>11789.532000000001</v>
      </c>
      <c r="I124" s="128"/>
      <c r="J124" s="128"/>
      <c r="K124" s="180"/>
      <c r="L124" s="203"/>
    </row>
    <row r="125" spans="2:12" x14ac:dyDescent="0.25">
      <c r="B125" s="204"/>
      <c r="C125" s="181"/>
      <c r="E125" s="100">
        <f>SUM(E121:E124)</f>
        <v>239</v>
      </c>
      <c r="F125" s="100">
        <f>SUM(F121:F124)</f>
        <v>8290500</v>
      </c>
      <c r="G125" s="129"/>
      <c r="H125" s="155">
        <f>SUM(H121:H124)</f>
        <v>67429.811000000002</v>
      </c>
      <c r="I125" s="129"/>
      <c r="J125" s="129"/>
      <c r="K125" s="130"/>
      <c r="L125" s="203"/>
    </row>
    <row r="126" spans="2:12" x14ac:dyDescent="0.25">
      <c r="B126" s="204"/>
      <c r="E126" s="127"/>
      <c r="F126" s="100"/>
      <c r="G126" s="129"/>
      <c r="L126" s="203"/>
    </row>
    <row r="127" spans="2:12" x14ac:dyDescent="0.25">
      <c r="B127" s="204"/>
      <c r="C127" s="208" t="s">
        <v>92</v>
      </c>
      <c r="E127" s="100"/>
      <c r="F127" s="100"/>
      <c r="G127" s="127" t="str">
        <f>C129</f>
        <v>First</v>
      </c>
      <c r="H127" s="127" t="str">
        <f>C130</f>
        <v>Next</v>
      </c>
      <c r="I127" s="127" t="str">
        <f>C131</f>
        <v>Next</v>
      </c>
      <c r="J127" s="127" t="str">
        <f>C132</f>
        <v>Over</v>
      </c>
      <c r="K127" s="179"/>
      <c r="L127" s="203"/>
    </row>
    <row r="128" spans="2:12" ht="15.75" thickBot="1" x14ac:dyDescent="0.3">
      <c r="B128" s="204"/>
      <c r="C128" s="123" t="s">
        <v>65</v>
      </c>
      <c r="D128" s="189" t="s">
        <v>68</v>
      </c>
      <c r="E128" s="186" t="s">
        <v>10</v>
      </c>
      <c r="F128" s="186" t="s">
        <v>62</v>
      </c>
      <c r="G128" s="190">
        <f>D129</f>
        <v>50000</v>
      </c>
      <c r="H128" s="190">
        <f>D130</f>
        <v>100000</v>
      </c>
      <c r="I128" s="190">
        <f>D131</f>
        <v>150000</v>
      </c>
      <c r="J128" s="190">
        <f>D132</f>
        <v>300000</v>
      </c>
      <c r="K128" s="185" t="s">
        <v>1</v>
      </c>
      <c r="L128" s="203"/>
    </row>
    <row r="129" spans="2:15" x14ac:dyDescent="0.25">
      <c r="B129" s="204"/>
      <c r="C129" s="183" t="s">
        <v>66</v>
      </c>
      <c r="D129" s="184">
        <v>50000</v>
      </c>
      <c r="E129" s="100">
        <v>25</v>
      </c>
      <c r="F129" s="100">
        <v>348200</v>
      </c>
      <c r="G129" s="100">
        <f>F129</f>
        <v>348200</v>
      </c>
      <c r="H129" s="100">
        <v>0</v>
      </c>
      <c r="I129" s="100">
        <v>0</v>
      </c>
      <c r="J129" s="100">
        <v>0</v>
      </c>
      <c r="K129" s="138">
        <f>SUM(G129:J129)</f>
        <v>348200</v>
      </c>
      <c r="L129" s="203"/>
    </row>
    <row r="130" spans="2:15" x14ac:dyDescent="0.25">
      <c r="B130" s="204"/>
      <c r="C130" s="183" t="s">
        <v>77</v>
      </c>
      <c r="D130" s="184">
        <v>100000</v>
      </c>
      <c r="E130" s="100">
        <v>11</v>
      </c>
      <c r="F130" s="100">
        <v>796000</v>
      </c>
      <c r="G130" s="100">
        <f>E130*D129</f>
        <v>550000</v>
      </c>
      <c r="H130" s="100">
        <f>F130-G130</f>
        <v>246000</v>
      </c>
      <c r="I130" s="100">
        <v>0</v>
      </c>
      <c r="J130" s="100">
        <v>0</v>
      </c>
      <c r="K130" s="138">
        <f>SUM(G130:J130)</f>
        <v>796000</v>
      </c>
      <c r="L130" s="203"/>
    </row>
    <row r="131" spans="2:15" x14ac:dyDescent="0.25">
      <c r="B131" s="204"/>
      <c r="C131" s="183" t="s">
        <v>77</v>
      </c>
      <c r="D131" s="184">
        <v>150000</v>
      </c>
      <c r="E131" s="100">
        <v>0</v>
      </c>
      <c r="F131" s="100">
        <v>0</v>
      </c>
      <c r="G131" s="100">
        <f>E131*D129</f>
        <v>0</v>
      </c>
      <c r="H131" s="100">
        <f>E131*D130</f>
        <v>0</v>
      </c>
      <c r="I131" s="100">
        <f>F131-G131-H131</f>
        <v>0</v>
      </c>
      <c r="J131" s="100">
        <v>0</v>
      </c>
      <c r="K131" s="138">
        <f>SUM(G131:J131)</f>
        <v>0</v>
      </c>
      <c r="L131" s="203"/>
    </row>
    <row r="132" spans="2:15" ht="15.75" thickBot="1" x14ac:dyDescent="0.3">
      <c r="B132" s="204"/>
      <c r="C132" s="183" t="s">
        <v>67</v>
      </c>
      <c r="D132" s="184">
        <v>300000</v>
      </c>
      <c r="E132" s="186">
        <v>12</v>
      </c>
      <c r="F132" s="186">
        <v>16305000</v>
      </c>
      <c r="G132" s="186">
        <f>E132*D129</f>
        <v>600000</v>
      </c>
      <c r="H132" s="186">
        <f>E132*D130</f>
        <v>1200000</v>
      </c>
      <c r="I132" s="186">
        <f>E132*D131</f>
        <v>1800000</v>
      </c>
      <c r="J132" s="186">
        <f>F132-G132-H132-I132</f>
        <v>12705000</v>
      </c>
      <c r="K132" s="187">
        <f>SUM(G132:J132)</f>
        <v>16305000</v>
      </c>
      <c r="L132" s="203"/>
    </row>
    <row r="133" spans="2:15" x14ac:dyDescent="0.25">
      <c r="B133" s="204"/>
      <c r="C133" s="181"/>
      <c r="E133" s="100">
        <f t="shared" ref="E133:K133" si="23">SUM(E129:E132)</f>
        <v>48</v>
      </c>
      <c r="F133" s="100">
        <f t="shared" si="23"/>
        <v>17449200</v>
      </c>
      <c r="G133" s="100">
        <f t="shared" si="23"/>
        <v>1498200</v>
      </c>
      <c r="H133" s="100">
        <f t="shared" si="23"/>
        <v>1446000</v>
      </c>
      <c r="I133" s="100">
        <f t="shared" si="23"/>
        <v>1800000</v>
      </c>
      <c r="J133" s="100">
        <f t="shared" si="23"/>
        <v>12705000</v>
      </c>
      <c r="K133" s="100">
        <f t="shared" si="23"/>
        <v>17449200</v>
      </c>
      <c r="L133" s="203"/>
      <c r="N133" s="49" t="s">
        <v>193</v>
      </c>
      <c r="O133" s="249">
        <f>F133/E133</f>
        <v>363525</v>
      </c>
    </row>
    <row r="134" spans="2:15" x14ac:dyDescent="0.25">
      <c r="B134" s="204"/>
      <c r="E134" s="100"/>
      <c r="F134" s="100"/>
      <c r="G134" s="129"/>
      <c r="H134" s="129"/>
      <c r="I134" s="129"/>
      <c r="J134" s="129"/>
      <c r="K134" s="180"/>
      <c r="L134" s="203"/>
    </row>
    <row r="135" spans="2:15" ht="15.75" thickBot="1" x14ac:dyDescent="0.3">
      <c r="B135" s="204"/>
      <c r="C135" s="181" t="s">
        <v>70</v>
      </c>
      <c r="D135" s="189" t="s">
        <v>68</v>
      </c>
      <c r="E135" s="186" t="s">
        <v>10</v>
      </c>
      <c r="F135" s="186" t="s">
        <v>62</v>
      </c>
      <c r="G135" s="192" t="s">
        <v>11</v>
      </c>
      <c r="H135" s="189" t="s">
        <v>63</v>
      </c>
      <c r="I135" s="129"/>
      <c r="J135" s="129"/>
      <c r="K135" s="180"/>
      <c r="L135" s="203"/>
    </row>
    <row r="136" spans="2:15" x14ac:dyDescent="0.25">
      <c r="B136" s="204"/>
      <c r="C136" s="183" t="s">
        <v>66</v>
      </c>
      <c r="D136" s="184">
        <f>D129</f>
        <v>50000</v>
      </c>
      <c r="E136" s="100">
        <f>E133</f>
        <v>48</v>
      </c>
      <c r="F136" s="100">
        <f>G133</f>
        <v>1498200</v>
      </c>
      <c r="G136" s="128">
        <f>Rates!D28</f>
        <v>400.01</v>
      </c>
      <c r="H136" s="155">
        <f>E136*G136</f>
        <v>19200.48</v>
      </c>
      <c r="I136" s="128"/>
      <c r="J136" s="128"/>
      <c r="K136" s="180"/>
      <c r="L136" s="203"/>
    </row>
    <row r="137" spans="2:15" x14ac:dyDescent="0.25">
      <c r="B137" s="204"/>
      <c r="C137" s="183" t="s">
        <v>77</v>
      </c>
      <c r="D137" s="184">
        <f t="shared" ref="D137" si="24">D130</f>
        <v>100000</v>
      </c>
      <c r="E137" s="100"/>
      <c r="F137" s="100">
        <f>H133</f>
        <v>1446000</v>
      </c>
      <c r="G137" s="255">
        <f>Rates!D29</f>
        <v>7.6699999999999997E-3</v>
      </c>
      <c r="H137" s="155">
        <f>F137*G137</f>
        <v>11090.82</v>
      </c>
      <c r="I137" s="128"/>
      <c r="J137" s="128"/>
      <c r="K137" s="180"/>
      <c r="L137" s="203"/>
    </row>
    <row r="138" spans="2:15" x14ac:dyDescent="0.25">
      <c r="B138" s="204"/>
      <c r="C138" s="183" t="s">
        <v>77</v>
      </c>
      <c r="D138" s="184">
        <f t="shared" ref="D138" si="25">D131</f>
        <v>150000</v>
      </c>
      <c r="E138" s="100"/>
      <c r="F138" s="100">
        <f>I133</f>
        <v>1800000</v>
      </c>
      <c r="G138" s="255">
        <f>Rates!D30</f>
        <v>6.6800000000000002E-3</v>
      </c>
      <c r="H138" s="155">
        <f>F138*G138</f>
        <v>12024</v>
      </c>
      <c r="I138" s="128"/>
      <c r="J138" s="128"/>
      <c r="K138" s="180"/>
      <c r="L138" s="203"/>
    </row>
    <row r="139" spans="2:15" ht="15.75" thickBot="1" x14ac:dyDescent="0.3">
      <c r="B139" s="204"/>
      <c r="C139" s="183" t="s">
        <v>77</v>
      </c>
      <c r="D139" s="184">
        <f t="shared" ref="D139" si="26">D132</f>
        <v>300000</v>
      </c>
      <c r="E139" s="186"/>
      <c r="F139" s="186">
        <f>J133</f>
        <v>12705000</v>
      </c>
      <c r="G139" s="255">
        <f>Rates!D30</f>
        <v>6.6800000000000002E-3</v>
      </c>
      <c r="H139" s="188">
        <f>F139*G139</f>
        <v>84869.400000000009</v>
      </c>
      <c r="I139" s="128"/>
      <c r="J139" s="128"/>
      <c r="K139" s="180"/>
      <c r="L139" s="203"/>
    </row>
    <row r="140" spans="2:15" x14ac:dyDescent="0.25">
      <c r="B140" s="204"/>
      <c r="C140" s="181"/>
      <c r="E140" s="100">
        <f>SUM(E136:E139)</f>
        <v>48</v>
      </c>
      <c r="F140" s="100">
        <f>SUM(F136:F139)</f>
        <v>17449200</v>
      </c>
      <c r="G140" s="129"/>
      <c r="H140" s="195">
        <f>SUM(H136:H139)</f>
        <v>127184.70000000001</v>
      </c>
      <c r="I140" s="129"/>
      <c r="J140" s="129"/>
      <c r="K140" s="130"/>
      <c r="L140" s="203"/>
    </row>
    <row r="141" spans="2:15" x14ac:dyDescent="0.25">
      <c r="B141" s="204"/>
      <c r="E141" s="127"/>
      <c r="F141" s="100"/>
      <c r="G141" s="129"/>
      <c r="L141" s="203"/>
    </row>
    <row r="142" spans="2:15" x14ac:dyDescent="0.25">
      <c r="B142" s="204"/>
      <c r="C142" s="208" t="s">
        <v>93</v>
      </c>
      <c r="E142" s="100"/>
      <c r="F142" s="100"/>
      <c r="G142" s="127" t="str">
        <f>C144</f>
        <v>First</v>
      </c>
      <c r="H142" s="127" t="str">
        <f>C145</f>
        <v>Next</v>
      </c>
      <c r="I142" s="127" t="str">
        <f>C146</f>
        <v>Next</v>
      </c>
      <c r="J142" s="127" t="str">
        <f>C147</f>
        <v>Over</v>
      </c>
      <c r="K142" s="179"/>
      <c r="L142" s="203"/>
    </row>
    <row r="143" spans="2:15" ht="15.75" thickBot="1" x14ac:dyDescent="0.3">
      <c r="B143" s="204"/>
      <c r="C143" s="123" t="s">
        <v>65</v>
      </c>
      <c r="D143" s="189" t="s">
        <v>68</v>
      </c>
      <c r="E143" s="186" t="s">
        <v>10</v>
      </c>
      <c r="F143" s="186" t="s">
        <v>62</v>
      </c>
      <c r="G143" s="190">
        <f>D144</f>
        <v>8000</v>
      </c>
      <c r="H143" s="190">
        <f>D145</f>
        <v>3000</v>
      </c>
      <c r="I143" s="190">
        <f>D146</f>
        <v>5000</v>
      </c>
      <c r="J143" s="190">
        <f>D147</f>
        <v>10000</v>
      </c>
      <c r="K143" s="185" t="s">
        <v>1</v>
      </c>
      <c r="L143" s="203"/>
    </row>
    <row r="144" spans="2:15" x14ac:dyDescent="0.25">
      <c r="B144" s="204"/>
      <c r="C144" s="183" t="s">
        <v>66</v>
      </c>
      <c r="D144" s="184">
        <v>8000</v>
      </c>
      <c r="E144" s="100">
        <v>8</v>
      </c>
      <c r="F144" s="100">
        <v>47600</v>
      </c>
      <c r="G144" s="100">
        <f>F144</f>
        <v>47600</v>
      </c>
      <c r="H144" s="100">
        <v>0</v>
      </c>
      <c r="I144" s="100">
        <v>0</v>
      </c>
      <c r="J144" s="100">
        <v>0</v>
      </c>
      <c r="K144" s="138">
        <f>SUM(G144:J144)</f>
        <v>47600</v>
      </c>
      <c r="L144" s="203"/>
    </row>
    <row r="145" spans="2:12" x14ac:dyDescent="0.25">
      <c r="B145" s="204"/>
      <c r="C145" s="183" t="s">
        <v>77</v>
      </c>
      <c r="D145" s="184">
        <v>3000</v>
      </c>
      <c r="E145" s="100">
        <v>4</v>
      </c>
      <c r="F145" s="100">
        <v>34200</v>
      </c>
      <c r="G145" s="100">
        <f>E145*D144</f>
        <v>32000</v>
      </c>
      <c r="H145" s="100">
        <f>F145-G145</f>
        <v>2200</v>
      </c>
      <c r="I145" s="100">
        <v>0</v>
      </c>
      <c r="J145" s="100">
        <v>0</v>
      </c>
      <c r="K145" s="138">
        <f>SUM(G145:J145)</f>
        <v>34200</v>
      </c>
      <c r="L145" s="203"/>
    </row>
    <row r="146" spans="2:12" x14ac:dyDescent="0.25">
      <c r="B146" s="204"/>
      <c r="C146" s="183" t="s">
        <v>77</v>
      </c>
      <c r="D146" s="184">
        <v>5000</v>
      </c>
      <c r="E146" s="100">
        <v>0</v>
      </c>
      <c r="F146" s="100">
        <v>0</v>
      </c>
      <c r="G146" s="100">
        <f>E146*D144</f>
        <v>0</v>
      </c>
      <c r="H146" s="100">
        <f>E146*D145</f>
        <v>0</v>
      </c>
      <c r="I146" s="100">
        <f>F146-G146-H146</f>
        <v>0</v>
      </c>
      <c r="J146" s="100">
        <v>0</v>
      </c>
      <c r="K146" s="138">
        <f>SUM(G146:J146)</f>
        <v>0</v>
      </c>
      <c r="L146" s="203"/>
    </row>
    <row r="147" spans="2:12" ht="15.75" thickBot="1" x14ac:dyDescent="0.3">
      <c r="B147" s="204"/>
      <c r="C147" s="183" t="s">
        <v>67</v>
      </c>
      <c r="D147" s="185">
        <v>10000</v>
      </c>
      <c r="E147" s="186">
        <v>0</v>
      </c>
      <c r="F147" s="186">
        <v>0</v>
      </c>
      <c r="G147" s="186">
        <f>E147*D144</f>
        <v>0</v>
      </c>
      <c r="H147" s="186">
        <f>E147*D145</f>
        <v>0</v>
      </c>
      <c r="I147" s="186">
        <f>E147*D146</f>
        <v>0</v>
      </c>
      <c r="J147" s="186">
        <f>F147-G147-H147-I147</f>
        <v>0</v>
      </c>
      <c r="K147" s="187">
        <f>SUM(G147:J147)</f>
        <v>0</v>
      </c>
      <c r="L147" s="203"/>
    </row>
    <row r="148" spans="2:12" x14ac:dyDescent="0.25">
      <c r="B148" s="204"/>
      <c r="C148" s="181"/>
      <c r="E148" s="100">
        <f t="shared" ref="E148:K148" si="27">SUM(E144:E147)</f>
        <v>12</v>
      </c>
      <c r="F148" s="100">
        <f t="shared" si="27"/>
        <v>81800</v>
      </c>
      <c r="G148" s="100">
        <f t="shared" si="27"/>
        <v>79600</v>
      </c>
      <c r="H148" s="100">
        <f t="shared" si="27"/>
        <v>2200</v>
      </c>
      <c r="I148" s="100">
        <f t="shared" si="27"/>
        <v>0</v>
      </c>
      <c r="J148" s="100">
        <f t="shared" si="27"/>
        <v>0</v>
      </c>
      <c r="K148" s="100">
        <f t="shared" si="27"/>
        <v>81800</v>
      </c>
      <c r="L148" s="203"/>
    </row>
    <row r="149" spans="2:12" x14ac:dyDescent="0.25">
      <c r="B149" s="204"/>
      <c r="C149" s="181"/>
      <c r="E149" s="100"/>
      <c r="F149" s="100"/>
      <c r="G149" s="100"/>
      <c r="H149" s="100"/>
      <c r="I149" s="100"/>
      <c r="J149" s="100"/>
      <c r="K149" s="100"/>
      <c r="L149" s="203"/>
    </row>
    <row r="150" spans="2:12" ht="15.75" thickBot="1" x14ac:dyDescent="0.3">
      <c r="B150" s="204"/>
      <c r="C150" s="181" t="s">
        <v>70</v>
      </c>
      <c r="D150" s="189" t="s">
        <v>68</v>
      </c>
      <c r="E150" s="186" t="s">
        <v>10</v>
      </c>
      <c r="F150" s="186" t="s">
        <v>62</v>
      </c>
      <c r="G150" s="192" t="s">
        <v>11</v>
      </c>
      <c r="H150" s="189" t="s">
        <v>63</v>
      </c>
      <c r="I150" s="129"/>
      <c r="J150" s="129"/>
      <c r="K150" s="180"/>
      <c r="L150" s="203"/>
    </row>
    <row r="151" spans="2:12" x14ac:dyDescent="0.25">
      <c r="B151" s="204"/>
      <c r="C151" s="183" t="s">
        <v>66</v>
      </c>
      <c r="D151" s="184">
        <f>D144</f>
        <v>8000</v>
      </c>
      <c r="E151" s="100">
        <f>E148</f>
        <v>12</v>
      </c>
      <c r="F151" s="100">
        <f>G148</f>
        <v>79600</v>
      </c>
      <c r="G151" s="128">
        <f>Rates!D10*4</f>
        <v>95.72</v>
      </c>
      <c r="H151" s="155">
        <f>E151*G151</f>
        <v>1148.6399999999999</v>
      </c>
      <c r="I151" s="129"/>
      <c r="J151" s="129"/>
      <c r="K151" s="180"/>
      <c r="L151" s="203"/>
    </row>
    <row r="152" spans="2:12" x14ac:dyDescent="0.25">
      <c r="B152" s="204"/>
      <c r="C152" s="183" t="s">
        <v>77</v>
      </c>
      <c r="D152" s="184">
        <v>3000</v>
      </c>
      <c r="E152" s="100"/>
      <c r="F152" s="100">
        <f>H148</f>
        <v>2200</v>
      </c>
      <c r="G152" s="255">
        <f>Rates!D11</f>
        <v>8.6599999999999993E-3</v>
      </c>
      <c r="H152" s="155">
        <f>F152*G152</f>
        <v>19.052</v>
      </c>
      <c r="I152" s="128"/>
      <c r="J152" s="128"/>
      <c r="K152" s="180"/>
      <c r="L152" s="203"/>
    </row>
    <row r="153" spans="2:12" x14ac:dyDescent="0.25">
      <c r="B153" s="204"/>
      <c r="C153" s="183" t="s">
        <v>77</v>
      </c>
      <c r="D153" s="184">
        <f t="shared" ref="D153:D154" si="28">D146</f>
        <v>5000</v>
      </c>
      <c r="E153" s="100"/>
      <c r="F153" s="100">
        <f>I148</f>
        <v>0</v>
      </c>
      <c r="G153" s="255">
        <f>Rates!D12</f>
        <v>7.6699999999999997E-3</v>
      </c>
      <c r="H153" s="155">
        <f>F153*G153</f>
        <v>0</v>
      </c>
      <c r="I153" s="128"/>
      <c r="J153" s="128"/>
      <c r="K153" s="180"/>
      <c r="L153" s="203"/>
    </row>
    <row r="154" spans="2:12" ht="15.75" thickBot="1" x14ac:dyDescent="0.3">
      <c r="B154" s="204"/>
      <c r="C154" s="183" t="s">
        <v>77</v>
      </c>
      <c r="D154" s="184">
        <f t="shared" si="28"/>
        <v>10000</v>
      </c>
      <c r="E154" s="186"/>
      <c r="F154" s="186">
        <f>J148</f>
        <v>0</v>
      </c>
      <c r="G154" s="255">
        <f>Rates!D13</f>
        <v>6.6800000000000002E-3</v>
      </c>
      <c r="H154" s="188">
        <f>F154*G154</f>
        <v>0</v>
      </c>
      <c r="I154" s="128"/>
      <c r="J154" s="128"/>
      <c r="K154" s="180"/>
      <c r="L154" s="203"/>
    </row>
    <row r="155" spans="2:12" x14ac:dyDescent="0.25">
      <c r="B155" s="204"/>
      <c r="C155" s="181"/>
      <c r="E155" s="100">
        <f>SUM(E151:E154)</f>
        <v>12</v>
      </c>
      <c r="F155" s="100">
        <f>SUM(F151:F154)</f>
        <v>81800</v>
      </c>
      <c r="G155" s="129"/>
      <c r="H155" s="195">
        <f>SUM(H151:H154)</f>
        <v>1167.6919999999998</v>
      </c>
      <c r="I155" s="129"/>
      <c r="J155" s="129"/>
      <c r="K155" s="130"/>
      <c r="L155" s="203"/>
    </row>
    <row r="156" spans="2:12" ht="15.75" thickBot="1" x14ac:dyDescent="0.3">
      <c r="B156" s="209"/>
      <c r="C156" s="194"/>
      <c r="D156" s="194"/>
      <c r="E156" s="193"/>
      <c r="F156" s="186"/>
      <c r="G156" s="192"/>
      <c r="H156" s="194"/>
      <c r="I156" s="194"/>
      <c r="J156" s="194"/>
      <c r="K156" s="194"/>
      <c r="L156" s="210"/>
    </row>
    <row r="157" spans="2:12" x14ac:dyDescent="0.25">
      <c r="C157" s="123"/>
      <c r="E157" s="100"/>
      <c r="F157" s="100"/>
      <c r="G157" s="129"/>
      <c r="H157" s="129"/>
      <c r="I157" s="129"/>
      <c r="J157" s="129"/>
      <c r="K157" s="137"/>
    </row>
  </sheetData>
  <sortState xmlns:xlrd2="http://schemas.microsoft.com/office/spreadsheetml/2017/richdata2" ref="B7:H46">
    <sortCondition ref="H7:H46"/>
    <sortCondition ref="B7:B46"/>
    <sortCondition ref="C7:C46"/>
  </sortState>
  <mergeCells count="4">
    <mergeCell ref="B6:I6"/>
    <mergeCell ref="B3:L3"/>
    <mergeCell ref="B4:L4"/>
    <mergeCell ref="B5:L5"/>
  </mergeCells>
  <pageMargins left="0.25" right="0.25" top="0.5" bottom="0.5" header="0" footer="0"/>
  <pageSetup scale="80" fitToHeight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426C-EDCF-4F75-A235-26D224CEBEBE}">
  <sheetPr>
    <pageSetUpPr fitToPage="1"/>
  </sheetPr>
  <dimension ref="B1:N157"/>
  <sheetViews>
    <sheetView workbookViewId="0">
      <selection sqref="A1:M157"/>
    </sheetView>
  </sheetViews>
  <sheetFormatPr defaultColWidth="8.77734375" defaultRowHeight="15" x14ac:dyDescent="0.25"/>
  <cols>
    <col min="1" max="1" width="1.5546875" style="49" customWidth="1"/>
    <col min="2" max="2" width="5.88671875" style="123" customWidth="1"/>
    <col min="3" max="3" width="30.5546875" style="49" customWidth="1"/>
    <col min="4" max="4" width="12.5546875" style="49" customWidth="1"/>
    <col min="5" max="5" width="12.5546875" style="124" customWidth="1"/>
    <col min="6" max="6" width="12.5546875" style="99" customWidth="1"/>
    <col min="7" max="7" width="12.5546875" style="125" customWidth="1"/>
    <col min="8" max="8" width="12.5546875" style="49" customWidth="1"/>
    <col min="9" max="9" width="14.5546875" style="49" customWidth="1"/>
    <col min="10" max="10" width="10.5546875" style="49" bestFit="1" customWidth="1"/>
    <col min="11" max="11" width="10" style="49" bestFit="1" customWidth="1"/>
    <col min="12" max="12" width="1.44140625" style="49" customWidth="1"/>
    <col min="13" max="13" width="1.5546875" style="49" customWidth="1"/>
    <col min="14" max="16384" width="8.77734375" style="49"/>
  </cols>
  <sheetData>
    <row r="1" spans="2:12" ht="15.75" thickBot="1" x14ac:dyDescent="0.3"/>
    <row r="2" spans="2:12" x14ac:dyDescent="0.25">
      <c r="B2" s="197"/>
      <c r="C2" s="198"/>
      <c r="D2" s="198"/>
      <c r="E2" s="199"/>
      <c r="F2" s="200"/>
      <c r="G2" s="201"/>
      <c r="H2" s="198"/>
      <c r="I2" s="198"/>
      <c r="J2" s="198"/>
      <c r="K2" s="198"/>
      <c r="L2" s="202"/>
    </row>
    <row r="3" spans="2:12" ht="18" customHeight="1" x14ac:dyDescent="0.3">
      <c r="B3" s="419" t="s">
        <v>167</v>
      </c>
      <c r="C3" s="365"/>
      <c r="D3" s="365"/>
      <c r="E3" s="365"/>
      <c r="F3" s="365"/>
      <c r="G3" s="365"/>
      <c r="H3" s="365"/>
      <c r="I3" s="365"/>
      <c r="J3" s="365"/>
      <c r="K3" s="365"/>
      <c r="L3" s="366"/>
    </row>
    <row r="4" spans="2:12" ht="18" customHeight="1" x14ac:dyDescent="0.3">
      <c r="B4" s="420" t="s">
        <v>172</v>
      </c>
      <c r="C4" s="421"/>
      <c r="D4" s="421"/>
      <c r="E4" s="421"/>
      <c r="F4" s="421"/>
      <c r="G4" s="421"/>
      <c r="H4" s="421"/>
      <c r="I4" s="421"/>
      <c r="J4" s="421"/>
      <c r="K4" s="421"/>
      <c r="L4" s="422"/>
    </row>
    <row r="5" spans="2:12" ht="15.6" customHeight="1" x14ac:dyDescent="0.3">
      <c r="B5" s="419" t="s">
        <v>80</v>
      </c>
      <c r="C5" s="365"/>
      <c r="D5" s="365"/>
      <c r="E5" s="365"/>
      <c r="F5" s="365"/>
      <c r="G5" s="365"/>
      <c r="H5" s="365"/>
      <c r="I5" s="365"/>
      <c r="J5" s="365"/>
      <c r="K5" s="365"/>
      <c r="L5" s="366"/>
    </row>
    <row r="6" spans="2:12" ht="14.85" customHeight="1" x14ac:dyDescent="0.25">
      <c r="B6" s="417"/>
      <c r="C6" s="418"/>
      <c r="D6" s="418"/>
      <c r="E6" s="418"/>
      <c r="F6" s="418"/>
      <c r="G6" s="418"/>
      <c r="H6" s="418"/>
      <c r="I6" s="418"/>
      <c r="J6" s="177"/>
      <c r="L6" s="203"/>
    </row>
    <row r="7" spans="2:12" x14ac:dyDescent="0.25">
      <c r="B7" s="204"/>
      <c r="D7" s="178" t="s">
        <v>61</v>
      </c>
      <c r="E7" s="100" t="s">
        <v>10</v>
      </c>
      <c r="F7" s="129" t="s">
        <v>62</v>
      </c>
      <c r="G7" s="179" t="s">
        <v>63</v>
      </c>
      <c r="H7" s="180"/>
      <c r="I7" s="180"/>
      <c r="L7" s="203"/>
    </row>
    <row r="8" spans="2:12" x14ac:dyDescent="0.25">
      <c r="B8" s="204"/>
      <c r="D8" s="178" t="s">
        <v>158</v>
      </c>
      <c r="E8" s="100">
        <f>E29+E45+E61+E77+E93+E109+E125+E140+E155</f>
        <v>33111</v>
      </c>
      <c r="F8" s="136">
        <f>F29+F45+F61+F77+F93+F109+F125+F140+F155</f>
        <v>150945700</v>
      </c>
      <c r="G8" s="155">
        <f>H29+H45+H61+H77+H93+H109+H125+H140+H155</f>
        <v>1902099.3919999998</v>
      </c>
      <c r="H8" s="180"/>
      <c r="I8" s="180"/>
      <c r="L8" s="203"/>
    </row>
    <row r="9" spans="2:12" x14ac:dyDescent="0.25">
      <c r="B9" s="204"/>
      <c r="D9" s="178" t="s">
        <v>157</v>
      </c>
      <c r="E9" s="100"/>
      <c r="F9" s="129"/>
      <c r="G9" s="146">
        <f>'Existing Billing Analysis'!G9</f>
        <v>15221.93</v>
      </c>
      <c r="H9" s="180"/>
      <c r="I9" s="180"/>
      <c r="L9" s="203"/>
    </row>
    <row r="10" spans="2:12" x14ac:dyDescent="0.25">
      <c r="B10" s="204"/>
      <c r="D10" s="178" t="s">
        <v>156</v>
      </c>
      <c r="E10" s="100"/>
      <c r="F10" s="129"/>
      <c r="G10" s="155">
        <f>G8-G9</f>
        <v>1886877.4619999998</v>
      </c>
      <c r="H10" s="180"/>
      <c r="I10" s="180"/>
      <c r="L10" s="203"/>
    </row>
    <row r="11" spans="2:12" x14ac:dyDescent="0.25">
      <c r="B11" s="204"/>
      <c r="D11" s="178" t="s">
        <v>159</v>
      </c>
      <c r="E11" s="100"/>
      <c r="F11" s="129"/>
      <c r="G11" s="145">
        <f>'Revenue Requirement'!F18</f>
        <v>1886957.9982742118</v>
      </c>
      <c r="H11" s="180"/>
      <c r="I11" s="180"/>
      <c r="L11" s="203"/>
    </row>
    <row r="12" spans="2:12" x14ac:dyDescent="0.25">
      <c r="B12" s="204"/>
      <c r="D12" s="178" t="s">
        <v>155</v>
      </c>
      <c r="E12" s="100"/>
      <c r="F12" s="129"/>
      <c r="G12" s="195">
        <f>G10-G11</f>
        <v>-80.536274211946875</v>
      </c>
      <c r="H12" s="180"/>
      <c r="I12" s="180"/>
      <c r="L12" s="203"/>
    </row>
    <row r="13" spans="2:12" x14ac:dyDescent="0.25">
      <c r="B13" s="204"/>
      <c r="C13" s="181"/>
      <c r="E13" s="100"/>
      <c r="F13" s="100"/>
      <c r="G13" s="196">
        <f>G12/G11</f>
        <v>-4.2680480586003689E-5</v>
      </c>
      <c r="H13" s="182"/>
      <c r="I13" s="180"/>
      <c r="J13" s="180"/>
      <c r="L13" s="203"/>
    </row>
    <row r="14" spans="2:12" x14ac:dyDescent="0.25">
      <c r="B14" s="204"/>
      <c r="E14" s="100"/>
      <c r="F14" s="100"/>
      <c r="G14" s="129"/>
      <c r="H14" s="123"/>
      <c r="I14" s="180"/>
      <c r="J14" s="180"/>
      <c r="L14" s="203"/>
    </row>
    <row r="15" spans="2:12" x14ac:dyDescent="0.25">
      <c r="B15" s="204"/>
      <c r="E15" s="100"/>
      <c r="F15" s="100"/>
      <c r="G15" s="129"/>
      <c r="H15" s="123"/>
      <c r="I15" s="180"/>
      <c r="J15" s="180"/>
      <c r="L15" s="203"/>
    </row>
    <row r="16" spans="2:12" x14ac:dyDescent="0.25">
      <c r="B16" s="204"/>
      <c r="C16" s="140" t="s">
        <v>83</v>
      </c>
      <c r="E16" s="100"/>
      <c r="F16" s="100"/>
      <c r="G16" s="127" t="str">
        <f>C18</f>
        <v>First</v>
      </c>
      <c r="H16" s="127" t="str">
        <f>C19</f>
        <v>Next</v>
      </c>
      <c r="I16" s="127" t="str">
        <f>C20</f>
        <v>Next</v>
      </c>
      <c r="J16" s="127" t="str">
        <f>C21</f>
        <v>Over</v>
      </c>
      <c r="K16" s="137"/>
      <c r="L16" s="203"/>
    </row>
    <row r="17" spans="2:12" ht="15.75" thickBot="1" x14ac:dyDescent="0.3">
      <c r="B17" s="204"/>
      <c r="C17" s="123" t="s">
        <v>65</v>
      </c>
      <c r="D17" s="189" t="s">
        <v>68</v>
      </c>
      <c r="E17" s="186" t="s">
        <v>10</v>
      </c>
      <c r="F17" s="186" t="s">
        <v>62</v>
      </c>
      <c r="G17" s="190">
        <f>D18</f>
        <v>2000</v>
      </c>
      <c r="H17" s="190">
        <f>D19</f>
        <v>3000</v>
      </c>
      <c r="I17" s="190">
        <f>D20</f>
        <v>5000</v>
      </c>
      <c r="J17" s="190">
        <f>D21</f>
        <v>10000</v>
      </c>
      <c r="K17" s="191" t="s">
        <v>69</v>
      </c>
      <c r="L17" s="203"/>
    </row>
    <row r="18" spans="2:12" x14ac:dyDescent="0.25">
      <c r="B18" s="204"/>
      <c r="C18" s="183" t="s">
        <v>66</v>
      </c>
      <c r="D18" s="184">
        <f>'Existing Billing Analysis'!D18</f>
        <v>2000</v>
      </c>
      <c r="E18" s="184">
        <f>'Existing Billing Analysis'!E18</f>
        <v>9182</v>
      </c>
      <c r="F18" s="184">
        <f>'Existing Billing Analysis'!F18</f>
        <v>11245400</v>
      </c>
      <c r="G18" s="100">
        <f>F18</f>
        <v>11245400</v>
      </c>
      <c r="H18" s="100">
        <v>0</v>
      </c>
      <c r="I18" s="100">
        <v>0</v>
      </c>
      <c r="J18" s="100">
        <v>0</v>
      </c>
      <c r="K18" s="138">
        <f>SUM(G18:J18)</f>
        <v>11245400</v>
      </c>
      <c r="L18" s="203"/>
    </row>
    <row r="19" spans="2:12" x14ac:dyDescent="0.25">
      <c r="B19" s="204"/>
      <c r="C19" s="183" t="s">
        <v>77</v>
      </c>
      <c r="D19" s="184">
        <f>'Existing Billing Analysis'!D19</f>
        <v>3000</v>
      </c>
      <c r="E19" s="184">
        <f>'Existing Billing Analysis'!E19</f>
        <v>15469</v>
      </c>
      <c r="F19" s="184">
        <f>'Existing Billing Analysis'!F19</f>
        <v>50717500</v>
      </c>
      <c r="G19" s="100">
        <f>E19*D18</f>
        <v>30938000</v>
      </c>
      <c r="H19" s="100">
        <f>F19-G19</f>
        <v>19779500</v>
      </c>
      <c r="I19" s="100">
        <v>0</v>
      </c>
      <c r="J19" s="100">
        <v>0</v>
      </c>
      <c r="K19" s="138">
        <f>SUM(G19:J19)</f>
        <v>50717500</v>
      </c>
      <c r="L19" s="203"/>
    </row>
    <row r="20" spans="2:12" x14ac:dyDescent="0.25">
      <c r="B20" s="204"/>
      <c r="C20" s="183" t="s">
        <v>77</v>
      </c>
      <c r="D20" s="184">
        <f>'Existing Billing Analysis'!D20</f>
        <v>5000</v>
      </c>
      <c r="E20" s="184">
        <f>'Existing Billing Analysis'!E20</f>
        <v>4882</v>
      </c>
      <c r="F20" s="184">
        <f>'Existing Billing Analysis'!F20</f>
        <v>32555400</v>
      </c>
      <c r="G20" s="100">
        <f>E20*D18</f>
        <v>9764000</v>
      </c>
      <c r="H20" s="100">
        <f>E20*D19</f>
        <v>14646000</v>
      </c>
      <c r="I20" s="100">
        <f>F20-G20-H20</f>
        <v>8145400</v>
      </c>
      <c r="J20" s="100">
        <v>0</v>
      </c>
      <c r="K20" s="138">
        <f>SUM(G20:J20)</f>
        <v>32555400</v>
      </c>
      <c r="L20" s="203"/>
    </row>
    <row r="21" spans="2:12" ht="15.75" thickBot="1" x14ac:dyDescent="0.3">
      <c r="B21" s="204"/>
      <c r="C21" s="183" t="s">
        <v>67</v>
      </c>
      <c r="D21" s="184">
        <f>'Existing Billing Analysis'!D21</f>
        <v>10000</v>
      </c>
      <c r="E21" s="358">
        <f>'Existing Billing Analysis'!E21</f>
        <v>1073</v>
      </c>
      <c r="F21" s="358">
        <f>'Existing Billing Analysis'!F21</f>
        <v>20299300</v>
      </c>
      <c r="G21" s="186">
        <f>E21*D18</f>
        <v>2146000</v>
      </c>
      <c r="H21" s="186">
        <f>E21*D19</f>
        <v>3219000</v>
      </c>
      <c r="I21" s="186">
        <f>E21*D20</f>
        <v>5365000</v>
      </c>
      <c r="J21" s="186">
        <f>F21-G21-H21-I21</f>
        <v>9569300</v>
      </c>
      <c r="K21" s="187">
        <f>SUM(G21:J21)</f>
        <v>20299300</v>
      </c>
      <c r="L21" s="203"/>
    </row>
    <row r="22" spans="2:12" x14ac:dyDescent="0.25">
      <c r="B22" s="204"/>
      <c r="C22" s="181"/>
      <c r="E22" s="136">
        <f t="shared" ref="E22:K22" si="0">SUM(E18:E21)</f>
        <v>30606</v>
      </c>
      <c r="F22" s="136">
        <f t="shared" si="0"/>
        <v>114817600</v>
      </c>
      <c r="G22" s="100">
        <f t="shared" si="0"/>
        <v>54093400</v>
      </c>
      <c r="H22" s="100">
        <f t="shared" si="0"/>
        <v>37644500</v>
      </c>
      <c r="I22" s="100">
        <f t="shared" si="0"/>
        <v>13510400</v>
      </c>
      <c r="J22" s="100">
        <f t="shared" si="0"/>
        <v>9569300</v>
      </c>
      <c r="K22" s="100">
        <f t="shared" si="0"/>
        <v>114817600</v>
      </c>
      <c r="L22" s="203"/>
    </row>
    <row r="23" spans="2:12" x14ac:dyDescent="0.25">
      <c r="B23" s="204"/>
      <c r="E23" s="100"/>
      <c r="F23" s="100"/>
      <c r="G23" s="129"/>
      <c r="H23" s="129"/>
      <c r="I23" s="129"/>
      <c r="J23" s="129"/>
      <c r="K23" s="180"/>
      <c r="L23" s="203"/>
    </row>
    <row r="24" spans="2:12" ht="15.75" thickBot="1" x14ac:dyDescent="0.3">
      <c r="B24" s="204"/>
      <c r="C24" s="181" t="s">
        <v>70</v>
      </c>
      <c r="D24" s="189" t="s">
        <v>68</v>
      </c>
      <c r="E24" s="186" t="s">
        <v>10</v>
      </c>
      <c r="F24" s="186" t="s">
        <v>62</v>
      </c>
      <c r="G24" s="192" t="s">
        <v>11</v>
      </c>
      <c r="H24" s="189" t="s">
        <v>63</v>
      </c>
      <c r="I24" s="129"/>
      <c r="J24" s="129"/>
      <c r="K24" s="180"/>
      <c r="L24" s="203"/>
    </row>
    <row r="25" spans="2:12" x14ac:dyDescent="0.25">
      <c r="B25" s="204"/>
      <c r="C25" s="184" t="str">
        <f t="shared" ref="C25:D28" si="1">C18</f>
        <v>First</v>
      </c>
      <c r="D25" s="184">
        <f t="shared" si="1"/>
        <v>2000</v>
      </c>
      <c r="E25" s="100">
        <f>E22</f>
        <v>30606</v>
      </c>
      <c r="F25" s="100">
        <f>G22</f>
        <v>54093400</v>
      </c>
      <c r="G25" s="128">
        <f>Rates!E10</f>
        <v>29.59</v>
      </c>
      <c r="H25" s="155">
        <f>E25*G25</f>
        <v>905631.54</v>
      </c>
      <c r="I25" s="128"/>
      <c r="J25" s="128"/>
      <c r="K25" s="180"/>
      <c r="L25" s="203"/>
    </row>
    <row r="26" spans="2:12" x14ac:dyDescent="0.25">
      <c r="B26" s="204"/>
      <c r="C26" s="184" t="str">
        <f t="shared" si="1"/>
        <v>Next</v>
      </c>
      <c r="D26" s="184">
        <f t="shared" si="1"/>
        <v>3000</v>
      </c>
      <c r="E26" s="100"/>
      <c r="F26" s="100">
        <f>H22</f>
        <v>37644500</v>
      </c>
      <c r="G26" s="255">
        <f>Rates!E11</f>
        <v>1.0710000000000001E-2</v>
      </c>
      <c r="H26" s="155">
        <f>F26*G26</f>
        <v>403172.59500000003</v>
      </c>
      <c r="I26" s="128"/>
      <c r="J26" s="128"/>
      <c r="K26" s="180"/>
      <c r="L26" s="203"/>
    </row>
    <row r="27" spans="2:12" x14ac:dyDescent="0.25">
      <c r="B27" s="204"/>
      <c r="C27" s="184" t="str">
        <f t="shared" si="1"/>
        <v>Next</v>
      </c>
      <c r="D27" s="184">
        <f t="shared" si="1"/>
        <v>5000</v>
      </c>
      <c r="E27" s="100"/>
      <c r="F27" s="100">
        <f>I22</f>
        <v>13510400</v>
      </c>
      <c r="G27" s="255">
        <f>Rates!E12</f>
        <v>9.4800000000000006E-3</v>
      </c>
      <c r="H27" s="155">
        <f>F27*G27</f>
        <v>128078.592</v>
      </c>
      <c r="I27" s="128"/>
      <c r="J27" s="128"/>
      <c r="K27" s="180"/>
      <c r="L27" s="203"/>
    </row>
    <row r="28" spans="2:12" ht="15.75" thickBot="1" x14ac:dyDescent="0.3">
      <c r="B28" s="204"/>
      <c r="C28" s="184" t="str">
        <f t="shared" si="1"/>
        <v>Over</v>
      </c>
      <c r="D28" s="184">
        <f t="shared" si="1"/>
        <v>10000</v>
      </c>
      <c r="E28" s="186"/>
      <c r="F28" s="186">
        <f>J22</f>
        <v>9569300</v>
      </c>
      <c r="G28" s="255">
        <f>Rates!E13</f>
        <v>8.26E-3</v>
      </c>
      <c r="H28" s="188">
        <f>F28*G28</f>
        <v>79042.418000000005</v>
      </c>
      <c r="I28" s="128"/>
      <c r="J28" s="128"/>
      <c r="K28" s="180"/>
      <c r="L28" s="203"/>
    </row>
    <row r="29" spans="2:12" x14ac:dyDescent="0.25">
      <c r="B29" s="204"/>
      <c r="C29" s="181"/>
      <c r="E29" s="100">
        <f>SUM(E25:E28)</f>
        <v>30606</v>
      </c>
      <c r="F29" s="100">
        <f>SUM(F25:F28)</f>
        <v>114817600</v>
      </c>
      <c r="G29" s="129"/>
      <c r="H29" s="155">
        <f>SUM(H25:H28)</f>
        <v>1515925.145</v>
      </c>
      <c r="I29" s="129"/>
      <c r="J29" s="129"/>
      <c r="K29" s="130"/>
      <c r="L29" s="205"/>
    </row>
    <row r="30" spans="2:12" x14ac:dyDescent="0.25">
      <c r="B30" s="204"/>
      <c r="C30" s="181"/>
      <c r="E30" s="100"/>
      <c r="F30" s="100"/>
      <c r="G30" s="129"/>
      <c r="H30" s="155"/>
      <c r="I30" s="129"/>
      <c r="J30" s="129"/>
      <c r="K30" s="130"/>
      <c r="L30" s="205"/>
    </row>
    <row r="31" spans="2:12" x14ac:dyDescent="0.25">
      <c r="B31" s="204"/>
      <c r="C31" s="181"/>
      <c r="E31" s="100"/>
      <c r="F31" s="100"/>
      <c r="G31" s="129"/>
      <c r="H31" s="129"/>
      <c r="I31" s="129"/>
      <c r="J31" s="129"/>
      <c r="K31" s="180"/>
      <c r="L31" s="203"/>
    </row>
    <row r="32" spans="2:12" x14ac:dyDescent="0.25">
      <c r="B32" s="204"/>
      <c r="C32" s="140" t="s">
        <v>84</v>
      </c>
      <c r="E32" s="100"/>
      <c r="F32" s="100"/>
      <c r="G32" s="127" t="str">
        <f>C34</f>
        <v>First</v>
      </c>
      <c r="H32" s="127" t="str">
        <f>C35</f>
        <v>Next</v>
      </c>
      <c r="I32" s="127" t="str">
        <f>C36</f>
        <v>Next</v>
      </c>
      <c r="J32" s="127" t="str">
        <f>C37</f>
        <v>Over</v>
      </c>
      <c r="K32" s="137"/>
      <c r="L32" s="203"/>
    </row>
    <row r="33" spans="2:14" ht="15.75" thickBot="1" x14ac:dyDescent="0.3">
      <c r="B33" s="204"/>
      <c r="C33" s="123" t="s">
        <v>65</v>
      </c>
      <c r="D33" s="189" t="s">
        <v>68</v>
      </c>
      <c r="E33" s="186" t="s">
        <v>10</v>
      </c>
      <c r="F33" s="186" t="s">
        <v>62</v>
      </c>
      <c r="G33" s="190">
        <f>D34</f>
        <v>5000</v>
      </c>
      <c r="H33" s="190">
        <f>D35</f>
        <v>5000</v>
      </c>
      <c r="I33" s="190">
        <f>D36</f>
        <v>140000</v>
      </c>
      <c r="J33" s="190">
        <f>D37</f>
        <v>150000</v>
      </c>
      <c r="K33" s="191" t="s">
        <v>69</v>
      </c>
      <c r="L33" s="203"/>
    </row>
    <row r="34" spans="2:14" x14ac:dyDescent="0.25">
      <c r="B34" s="204"/>
      <c r="C34" s="183" t="s">
        <v>66</v>
      </c>
      <c r="D34" s="184">
        <f>'Existing Billing Analysis'!D34</f>
        <v>5000</v>
      </c>
      <c r="E34" s="184">
        <f>'Existing Billing Analysis'!E34</f>
        <v>319</v>
      </c>
      <c r="F34" s="184">
        <f>'Existing Billing Analysis'!F34</f>
        <v>698900</v>
      </c>
      <c r="G34" s="100">
        <f>F34</f>
        <v>698900</v>
      </c>
      <c r="H34" s="100">
        <v>0</v>
      </c>
      <c r="I34" s="100">
        <v>0</v>
      </c>
      <c r="J34" s="100">
        <v>0</v>
      </c>
      <c r="K34" s="138">
        <f>SUM(G34:J34)</f>
        <v>698900</v>
      </c>
      <c r="L34" s="203"/>
    </row>
    <row r="35" spans="2:14" x14ac:dyDescent="0.25">
      <c r="B35" s="204"/>
      <c r="C35" s="183" t="s">
        <v>77</v>
      </c>
      <c r="D35" s="184">
        <f>'Existing Billing Analysis'!D35</f>
        <v>5000</v>
      </c>
      <c r="E35" s="184">
        <f>'Existing Billing Analysis'!E35</f>
        <v>153</v>
      </c>
      <c r="F35" s="184">
        <f>'Existing Billing Analysis'!F35</f>
        <v>1070600</v>
      </c>
      <c r="G35" s="100">
        <f>E35*D34</f>
        <v>765000</v>
      </c>
      <c r="H35" s="100">
        <f>F35-G35</f>
        <v>305600</v>
      </c>
      <c r="I35" s="100">
        <v>0</v>
      </c>
      <c r="J35" s="100">
        <v>0</v>
      </c>
      <c r="K35" s="138">
        <f>SUM(G35:J35)</f>
        <v>1070600</v>
      </c>
      <c r="L35" s="203"/>
    </row>
    <row r="36" spans="2:14" x14ac:dyDescent="0.25">
      <c r="B36" s="204"/>
      <c r="C36" s="183" t="s">
        <v>77</v>
      </c>
      <c r="D36" s="184">
        <f>'Existing Billing Analysis'!D36</f>
        <v>140000</v>
      </c>
      <c r="E36" s="184">
        <f>'Existing Billing Analysis'!E36</f>
        <v>126</v>
      </c>
      <c r="F36" s="184">
        <f>'Existing Billing Analysis'!F36</f>
        <v>3128500</v>
      </c>
      <c r="G36" s="100">
        <f>E36*D34</f>
        <v>630000</v>
      </c>
      <c r="H36" s="100">
        <f>E36*D35</f>
        <v>630000</v>
      </c>
      <c r="I36" s="100">
        <f>F36-G36-H36</f>
        <v>1868500</v>
      </c>
      <c r="J36" s="100">
        <v>0</v>
      </c>
      <c r="K36" s="138">
        <f>SUM(G36:J36)</f>
        <v>3128500</v>
      </c>
      <c r="L36" s="203"/>
    </row>
    <row r="37" spans="2:14" ht="15.75" thickBot="1" x14ac:dyDescent="0.3">
      <c r="B37" s="204"/>
      <c r="C37" s="183" t="s">
        <v>67</v>
      </c>
      <c r="D37" s="184">
        <f>'Existing Billing Analysis'!D37</f>
        <v>150000</v>
      </c>
      <c r="E37" s="358">
        <f>'Existing Billing Analysis'!E37</f>
        <v>0</v>
      </c>
      <c r="F37" s="358">
        <f>'Existing Billing Analysis'!F37</f>
        <v>0</v>
      </c>
      <c r="G37" s="186">
        <f>E37*D34</f>
        <v>0</v>
      </c>
      <c r="H37" s="186">
        <f>E37*D35</f>
        <v>0</v>
      </c>
      <c r="I37" s="186">
        <f>E37*D36</f>
        <v>0</v>
      </c>
      <c r="J37" s="186">
        <f>F37-G37-H37-I37</f>
        <v>0</v>
      </c>
      <c r="K37" s="187">
        <f>SUM(G37:J37)</f>
        <v>0</v>
      </c>
      <c r="L37" s="203"/>
    </row>
    <row r="38" spans="2:14" x14ac:dyDescent="0.25">
      <c r="B38" s="204"/>
      <c r="C38" s="181"/>
      <c r="E38" s="359">
        <f t="shared" ref="E38:K38" si="2">SUM(E34:E37)</f>
        <v>598</v>
      </c>
      <c r="F38" s="359">
        <f t="shared" si="2"/>
        <v>4898000</v>
      </c>
      <c r="G38" s="100">
        <f t="shared" si="2"/>
        <v>2093900</v>
      </c>
      <c r="H38" s="100">
        <f t="shared" si="2"/>
        <v>935600</v>
      </c>
      <c r="I38" s="100">
        <f t="shared" si="2"/>
        <v>1868500</v>
      </c>
      <c r="J38" s="100">
        <f t="shared" si="2"/>
        <v>0</v>
      </c>
      <c r="K38" s="100">
        <f t="shared" si="2"/>
        <v>4898000</v>
      </c>
      <c r="L38" s="203"/>
    </row>
    <row r="39" spans="2:14" x14ac:dyDescent="0.25">
      <c r="B39" s="204"/>
      <c r="E39" s="100"/>
      <c r="F39" s="100"/>
      <c r="G39" s="129"/>
      <c r="H39" s="129"/>
      <c r="I39" s="129"/>
      <c r="J39" s="129"/>
      <c r="K39" s="180"/>
      <c r="L39" s="203"/>
    </row>
    <row r="40" spans="2:14" ht="15.75" thickBot="1" x14ac:dyDescent="0.3">
      <c r="B40" s="204"/>
      <c r="C40" s="181" t="s">
        <v>70</v>
      </c>
      <c r="D40" s="189" t="s">
        <v>68</v>
      </c>
      <c r="E40" s="186" t="s">
        <v>10</v>
      </c>
      <c r="F40" s="186" t="s">
        <v>62</v>
      </c>
      <c r="G40" s="192" t="s">
        <v>11</v>
      </c>
      <c r="H40" s="189" t="s">
        <v>63</v>
      </c>
      <c r="I40" s="129"/>
      <c r="J40" s="129"/>
      <c r="K40" s="180"/>
      <c r="L40" s="203"/>
    </row>
    <row r="41" spans="2:14" x14ac:dyDescent="0.25">
      <c r="B41" s="204"/>
      <c r="C41" s="184" t="str">
        <f t="shared" ref="C41:D44" si="3">C34</f>
        <v>First</v>
      </c>
      <c r="D41" s="184">
        <f t="shared" si="3"/>
        <v>5000</v>
      </c>
      <c r="E41" s="100">
        <f>E38</f>
        <v>598</v>
      </c>
      <c r="F41" s="100">
        <f>G38</f>
        <v>2093900</v>
      </c>
      <c r="G41" s="128">
        <f>Rates!E19</f>
        <v>61.7</v>
      </c>
      <c r="H41" s="155">
        <f>E41*G41</f>
        <v>36896.6</v>
      </c>
      <c r="I41" s="128"/>
      <c r="J41" s="128"/>
      <c r="K41" s="180"/>
      <c r="L41" s="203"/>
      <c r="N41" s="57"/>
    </row>
    <row r="42" spans="2:14" x14ac:dyDescent="0.25">
      <c r="B42" s="204"/>
      <c r="C42" s="184" t="str">
        <f t="shared" si="3"/>
        <v>Next</v>
      </c>
      <c r="D42" s="184">
        <f t="shared" si="3"/>
        <v>5000</v>
      </c>
      <c r="E42" s="100"/>
      <c r="F42" s="100">
        <f>H38</f>
        <v>935600</v>
      </c>
      <c r="G42" s="255">
        <f>Rates!E20</f>
        <v>1.0710000000000001E-2</v>
      </c>
      <c r="H42" s="155">
        <f>F42*G42</f>
        <v>10020.276</v>
      </c>
      <c r="I42" s="128"/>
      <c r="J42" s="128"/>
      <c r="K42" s="180"/>
      <c r="L42" s="203"/>
      <c r="N42" s="57"/>
    </row>
    <row r="43" spans="2:14" x14ac:dyDescent="0.25">
      <c r="B43" s="204"/>
      <c r="C43" s="184" t="str">
        <f t="shared" si="3"/>
        <v>Next</v>
      </c>
      <c r="D43" s="184">
        <f t="shared" si="3"/>
        <v>140000</v>
      </c>
      <c r="E43" s="100"/>
      <c r="F43" s="100">
        <f>I38</f>
        <v>1868500</v>
      </c>
      <c r="G43" s="255">
        <f>Rates!E21</f>
        <v>9.4800000000000006E-3</v>
      </c>
      <c r="H43" s="155">
        <f>F43*G43</f>
        <v>17713.38</v>
      </c>
      <c r="I43" s="128"/>
      <c r="J43" s="128"/>
      <c r="K43" s="180"/>
      <c r="L43" s="203"/>
      <c r="N43" s="57"/>
    </row>
    <row r="44" spans="2:14" ht="15.75" thickBot="1" x14ac:dyDescent="0.3">
      <c r="B44" s="204"/>
      <c r="C44" s="184" t="str">
        <f t="shared" si="3"/>
        <v>Over</v>
      </c>
      <c r="D44" s="184">
        <f t="shared" si="3"/>
        <v>150000</v>
      </c>
      <c r="E44" s="186"/>
      <c r="F44" s="186">
        <f>J38</f>
        <v>0</v>
      </c>
      <c r="G44" s="255">
        <f>Rates!E22</f>
        <v>8.26E-3</v>
      </c>
      <c r="H44" s="188">
        <f>F44*G44</f>
        <v>0</v>
      </c>
      <c r="I44" s="128"/>
      <c r="J44" s="128"/>
      <c r="K44" s="180"/>
      <c r="L44" s="203"/>
      <c r="N44" s="57"/>
    </row>
    <row r="45" spans="2:14" x14ac:dyDescent="0.25">
      <c r="B45" s="204"/>
      <c r="C45" s="181"/>
      <c r="E45" s="100">
        <f>SUM(E41:E44)</f>
        <v>598</v>
      </c>
      <c r="F45" s="100">
        <f>SUM(F41:F44)</f>
        <v>4898000</v>
      </c>
      <c r="G45" s="129"/>
      <c r="H45" s="155">
        <f>SUM(H41:H44)</f>
        <v>64630.255999999994</v>
      </c>
      <c r="I45" s="129"/>
      <c r="J45" s="129"/>
      <c r="K45" s="130"/>
      <c r="L45" s="203"/>
    </row>
    <row r="46" spans="2:14" x14ac:dyDescent="0.25">
      <c r="B46" s="204"/>
      <c r="C46" s="181"/>
      <c r="E46" s="100"/>
      <c r="F46" s="100"/>
      <c r="G46" s="129"/>
      <c r="H46" s="129"/>
      <c r="I46" s="129"/>
      <c r="J46" s="129"/>
      <c r="K46" s="180"/>
      <c r="L46" s="203"/>
    </row>
    <row r="47" spans="2:14" x14ac:dyDescent="0.25">
      <c r="B47" s="204"/>
      <c r="C47" s="181"/>
      <c r="E47" s="127"/>
      <c r="F47" s="100"/>
      <c r="G47" s="129"/>
      <c r="I47" s="206"/>
      <c r="J47" s="206"/>
      <c r="L47" s="203"/>
    </row>
    <row r="48" spans="2:14" x14ac:dyDescent="0.25">
      <c r="B48" s="204"/>
      <c r="C48" s="140" t="s">
        <v>87</v>
      </c>
      <c r="E48" s="100"/>
      <c r="F48" s="100"/>
      <c r="G48" s="127" t="str">
        <f>C50</f>
        <v>First</v>
      </c>
      <c r="H48" s="127" t="str">
        <f>C51</f>
        <v>Next</v>
      </c>
      <c r="I48" s="127" t="str">
        <f>C52</f>
        <v>Next</v>
      </c>
      <c r="J48" s="127" t="str">
        <f>C53</f>
        <v>Over</v>
      </c>
      <c r="K48" s="179"/>
      <c r="L48" s="203"/>
    </row>
    <row r="49" spans="2:12" ht="15.75" thickBot="1" x14ac:dyDescent="0.3">
      <c r="B49" s="204"/>
      <c r="C49" s="123" t="s">
        <v>65</v>
      </c>
      <c r="D49" s="189" t="s">
        <v>68</v>
      </c>
      <c r="E49" s="186" t="s">
        <v>10</v>
      </c>
      <c r="F49" s="186" t="s">
        <v>62</v>
      </c>
      <c r="G49" s="190">
        <f>D50</f>
        <v>4000</v>
      </c>
      <c r="H49" s="190">
        <f>D51</f>
        <v>3000</v>
      </c>
      <c r="I49" s="190">
        <f>D52</f>
        <v>5000</v>
      </c>
      <c r="J49" s="190">
        <f>D53</f>
        <v>10000</v>
      </c>
      <c r="K49" s="185" t="s">
        <v>1</v>
      </c>
      <c r="L49" s="203"/>
    </row>
    <row r="50" spans="2:12" x14ac:dyDescent="0.25">
      <c r="B50" s="204"/>
      <c r="C50" s="183" t="s">
        <v>66</v>
      </c>
      <c r="D50" s="184">
        <f>'Existing Billing Analysis'!D50</f>
        <v>4000</v>
      </c>
      <c r="E50" s="184">
        <f>'Existing Billing Analysis'!E50</f>
        <v>6</v>
      </c>
      <c r="F50" s="184">
        <f>'Existing Billing Analysis'!F50</f>
        <v>19200</v>
      </c>
      <c r="G50" s="100">
        <f>F50</f>
        <v>19200</v>
      </c>
      <c r="H50" s="100">
        <v>0</v>
      </c>
      <c r="I50" s="100">
        <v>0</v>
      </c>
      <c r="J50" s="100">
        <v>0</v>
      </c>
      <c r="K50" s="138">
        <f>SUM(G50:J50)</f>
        <v>19200</v>
      </c>
      <c r="L50" s="203"/>
    </row>
    <row r="51" spans="2:12" x14ac:dyDescent="0.25">
      <c r="B51" s="204"/>
      <c r="C51" s="183" t="s">
        <v>77</v>
      </c>
      <c r="D51" s="184">
        <f>'Existing Billing Analysis'!D51</f>
        <v>3000</v>
      </c>
      <c r="E51" s="184">
        <f>'Existing Billing Analysis'!E51</f>
        <v>22</v>
      </c>
      <c r="F51" s="184">
        <f>'Existing Billing Analysis'!F51</f>
        <v>119200</v>
      </c>
      <c r="G51" s="100">
        <f>E51*D50</f>
        <v>88000</v>
      </c>
      <c r="H51" s="100">
        <f>F51-G51</f>
        <v>31200</v>
      </c>
      <c r="I51" s="100">
        <v>0</v>
      </c>
      <c r="J51" s="100">
        <v>0</v>
      </c>
      <c r="K51" s="138">
        <f>SUM(G51:J51)</f>
        <v>119200</v>
      </c>
      <c r="L51" s="203"/>
    </row>
    <row r="52" spans="2:12" x14ac:dyDescent="0.25">
      <c r="B52" s="204"/>
      <c r="C52" s="183" t="s">
        <v>77</v>
      </c>
      <c r="D52" s="184">
        <f>'Existing Billing Analysis'!D52</f>
        <v>5000</v>
      </c>
      <c r="E52" s="184">
        <f>'Existing Billing Analysis'!E52</f>
        <v>16</v>
      </c>
      <c r="F52" s="184">
        <f>'Existing Billing Analysis'!F52</f>
        <v>134700</v>
      </c>
      <c r="G52" s="100">
        <f>E52*D50</f>
        <v>64000</v>
      </c>
      <c r="H52" s="100">
        <f>E52*D51</f>
        <v>48000</v>
      </c>
      <c r="I52" s="100">
        <f>F52-G52-H52</f>
        <v>22700</v>
      </c>
      <c r="J52" s="100">
        <v>0</v>
      </c>
      <c r="K52" s="138">
        <f>SUM(G52:J52)</f>
        <v>134700</v>
      </c>
      <c r="L52" s="203"/>
    </row>
    <row r="53" spans="2:12" ht="15.75" thickBot="1" x14ac:dyDescent="0.3">
      <c r="B53" s="204"/>
      <c r="C53" s="183" t="s">
        <v>67</v>
      </c>
      <c r="D53" s="184">
        <f>'Existing Billing Analysis'!D53</f>
        <v>10000</v>
      </c>
      <c r="E53" s="358">
        <f>'Existing Billing Analysis'!E53</f>
        <v>4</v>
      </c>
      <c r="F53" s="358">
        <f>'Existing Billing Analysis'!F53</f>
        <v>115900</v>
      </c>
      <c r="G53" s="186">
        <f>E53*D50</f>
        <v>16000</v>
      </c>
      <c r="H53" s="186">
        <f>E53*D51</f>
        <v>12000</v>
      </c>
      <c r="I53" s="186">
        <f>E53*D52</f>
        <v>20000</v>
      </c>
      <c r="J53" s="186">
        <f>F53-G53-H53-I53</f>
        <v>67900</v>
      </c>
      <c r="K53" s="187">
        <f>SUM(G53:J53)</f>
        <v>115900</v>
      </c>
      <c r="L53" s="203"/>
    </row>
    <row r="54" spans="2:12" x14ac:dyDescent="0.25">
      <c r="B54" s="204"/>
      <c r="C54" s="181"/>
      <c r="E54" s="359">
        <f t="shared" ref="E54:K54" si="4">SUM(E50:E53)</f>
        <v>48</v>
      </c>
      <c r="F54" s="136">
        <f t="shared" si="4"/>
        <v>389000</v>
      </c>
      <c r="G54" s="100">
        <f t="shared" si="4"/>
        <v>187200</v>
      </c>
      <c r="H54" s="100">
        <f t="shared" si="4"/>
        <v>91200</v>
      </c>
      <c r="I54" s="100">
        <f t="shared" si="4"/>
        <v>42700</v>
      </c>
      <c r="J54" s="100">
        <f t="shared" si="4"/>
        <v>67900</v>
      </c>
      <c r="K54" s="207">
        <f t="shared" si="4"/>
        <v>389000</v>
      </c>
      <c r="L54" s="203"/>
    </row>
    <row r="55" spans="2:12" x14ac:dyDescent="0.25">
      <c r="B55" s="204"/>
      <c r="C55" s="181"/>
      <c r="E55" s="100"/>
      <c r="F55" s="100"/>
      <c r="G55" s="100"/>
      <c r="H55" s="100"/>
      <c r="I55" s="100"/>
      <c r="J55" s="100"/>
      <c r="K55" s="207"/>
      <c r="L55" s="203"/>
    </row>
    <row r="56" spans="2:12" ht="15.75" thickBot="1" x14ac:dyDescent="0.3">
      <c r="B56" s="204"/>
      <c r="C56" s="181" t="s">
        <v>70</v>
      </c>
      <c r="D56" s="189" t="s">
        <v>68</v>
      </c>
      <c r="E56" s="186" t="s">
        <v>10</v>
      </c>
      <c r="F56" s="186" t="s">
        <v>62</v>
      </c>
      <c r="G56" s="192" t="s">
        <v>11</v>
      </c>
      <c r="H56" s="189" t="s">
        <v>63</v>
      </c>
      <c r="L56" s="203"/>
    </row>
    <row r="57" spans="2:12" x14ac:dyDescent="0.25">
      <c r="B57" s="204"/>
      <c r="C57" s="183" t="str">
        <f>C50</f>
        <v>First</v>
      </c>
      <c r="D57" s="184">
        <f>D50</f>
        <v>4000</v>
      </c>
      <c r="E57" s="100">
        <f>E54</f>
        <v>48</v>
      </c>
      <c r="F57" s="100">
        <f>G54</f>
        <v>187200</v>
      </c>
      <c r="G57" s="128">
        <f>Rates!E10*2</f>
        <v>59.18</v>
      </c>
      <c r="H57" s="155">
        <f>E57*G57</f>
        <v>2840.64</v>
      </c>
      <c r="L57" s="203"/>
    </row>
    <row r="58" spans="2:12" x14ac:dyDescent="0.25">
      <c r="B58" s="204"/>
      <c r="C58" s="183" t="str">
        <f t="shared" ref="C58:D60" si="5">C51</f>
        <v>Next</v>
      </c>
      <c r="D58" s="184">
        <f t="shared" si="5"/>
        <v>3000</v>
      </c>
      <c r="E58" s="100"/>
      <c r="F58" s="100">
        <f>H54</f>
        <v>91200</v>
      </c>
      <c r="G58" s="255">
        <f>Rates!E11</f>
        <v>1.0710000000000001E-2</v>
      </c>
      <c r="H58" s="155">
        <f>F58*G58</f>
        <v>976.75200000000007</v>
      </c>
      <c r="L58" s="203"/>
    </row>
    <row r="59" spans="2:12" x14ac:dyDescent="0.25">
      <c r="B59" s="204"/>
      <c r="C59" s="183" t="str">
        <f t="shared" si="5"/>
        <v>Next</v>
      </c>
      <c r="D59" s="184">
        <f t="shared" si="5"/>
        <v>5000</v>
      </c>
      <c r="E59" s="100"/>
      <c r="F59" s="100">
        <f>I54</f>
        <v>42700</v>
      </c>
      <c r="G59" s="255">
        <f>Rates!E12</f>
        <v>9.4800000000000006E-3</v>
      </c>
      <c r="H59" s="155">
        <f>F59*G59</f>
        <v>404.79600000000005</v>
      </c>
      <c r="L59" s="203"/>
    </row>
    <row r="60" spans="2:12" ht="15.75" thickBot="1" x14ac:dyDescent="0.3">
      <c r="B60" s="204"/>
      <c r="C60" s="183" t="str">
        <f t="shared" si="5"/>
        <v>Over</v>
      </c>
      <c r="D60" s="184">
        <f t="shared" si="5"/>
        <v>10000</v>
      </c>
      <c r="E60" s="186"/>
      <c r="F60" s="186">
        <f>J54</f>
        <v>67900</v>
      </c>
      <c r="G60" s="255">
        <f>Rates!E13</f>
        <v>8.26E-3</v>
      </c>
      <c r="H60" s="188">
        <f>F60*G60</f>
        <v>560.85400000000004</v>
      </c>
      <c r="L60" s="203"/>
    </row>
    <row r="61" spans="2:12" x14ac:dyDescent="0.25">
      <c r="B61" s="204"/>
      <c r="C61" s="181"/>
      <c r="E61" s="100">
        <f>SUM(E57:E60)</f>
        <v>48</v>
      </c>
      <c r="F61" s="100">
        <f>SUM(F57:F60)</f>
        <v>389000</v>
      </c>
      <c r="G61" s="129"/>
      <c r="H61" s="155">
        <f>SUM(H57:H60)</f>
        <v>4783.0420000000004</v>
      </c>
      <c r="L61" s="203"/>
    </row>
    <row r="62" spans="2:12" x14ac:dyDescent="0.25">
      <c r="B62" s="204"/>
      <c r="E62" s="127"/>
      <c r="F62" s="100"/>
      <c r="G62" s="129"/>
      <c r="L62" s="203"/>
    </row>
    <row r="63" spans="2:12" x14ac:dyDescent="0.25">
      <c r="B63" s="204"/>
      <c r="E63" s="127"/>
      <c r="F63" s="100"/>
      <c r="G63" s="129"/>
      <c r="L63" s="203"/>
    </row>
    <row r="64" spans="2:12" x14ac:dyDescent="0.25">
      <c r="B64" s="204"/>
      <c r="C64" s="208" t="s">
        <v>88</v>
      </c>
      <c r="E64" s="100"/>
      <c r="F64" s="100"/>
      <c r="G64" s="127" t="str">
        <f>C66</f>
        <v>First</v>
      </c>
      <c r="H64" s="127" t="str">
        <f>C67</f>
        <v>Next</v>
      </c>
      <c r="I64" s="127" t="str">
        <f>C68</f>
        <v>Next</v>
      </c>
      <c r="J64" s="127" t="str">
        <f>C69</f>
        <v>Over</v>
      </c>
      <c r="K64" s="179"/>
      <c r="L64" s="203"/>
    </row>
    <row r="65" spans="2:12" ht="15.75" thickBot="1" x14ac:dyDescent="0.3">
      <c r="B65" s="204"/>
      <c r="C65" s="123" t="s">
        <v>65</v>
      </c>
      <c r="D65" s="189" t="s">
        <v>68</v>
      </c>
      <c r="E65" s="186" t="s">
        <v>10</v>
      </c>
      <c r="F65" s="186" t="s">
        <v>62</v>
      </c>
      <c r="G65" s="190">
        <f>D66</f>
        <v>10000</v>
      </c>
      <c r="H65" s="190">
        <f>D67</f>
        <v>5000</v>
      </c>
      <c r="I65" s="190">
        <f>D68</f>
        <v>140000</v>
      </c>
      <c r="J65" s="190">
        <f>D69</f>
        <v>155000</v>
      </c>
      <c r="K65" s="185" t="s">
        <v>1</v>
      </c>
      <c r="L65" s="203"/>
    </row>
    <row r="66" spans="2:12" x14ac:dyDescent="0.25">
      <c r="B66" s="204"/>
      <c r="C66" s="183" t="s">
        <v>66</v>
      </c>
      <c r="D66" s="184">
        <f>'Existing Billing Analysis'!D66</f>
        <v>10000</v>
      </c>
      <c r="E66" s="184">
        <f>'Existing Billing Analysis'!E66</f>
        <v>1</v>
      </c>
      <c r="F66" s="184">
        <f>'Existing Billing Analysis'!F66</f>
        <v>4400</v>
      </c>
      <c r="G66" s="100">
        <f>F66</f>
        <v>4400</v>
      </c>
      <c r="H66" s="100">
        <v>0</v>
      </c>
      <c r="I66" s="100">
        <v>0</v>
      </c>
      <c r="J66" s="100">
        <v>0</v>
      </c>
      <c r="K66" s="138">
        <f>SUM(G66:J66)</f>
        <v>4400</v>
      </c>
      <c r="L66" s="203"/>
    </row>
    <row r="67" spans="2:12" x14ac:dyDescent="0.25">
      <c r="B67" s="204"/>
      <c r="C67" s="183" t="s">
        <v>77</v>
      </c>
      <c r="D67" s="184">
        <f>'Existing Billing Analysis'!D67</f>
        <v>5000</v>
      </c>
      <c r="E67" s="184">
        <f>'Existing Billing Analysis'!E67</f>
        <v>0</v>
      </c>
      <c r="F67" s="184">
        <f>'Existing Billing Analysis'!F67</f>
        <v>0</v>
      </c>
      <c r="G67" s="100">
        <f>E67*D66</f>
        <v>0</v>
      </c>
      <c r="H67" s="100">
        <f>F67-G67</f>
        <v>0</v>
      </c>
      <c r="I67" s="100">
        <v>0</v>
      </c>
      <c r="J67" s="100">
        <v>0</v>
      </c>
      <c r="K67" s="138">
        <f>SUM(G67:J67)</f>
        <v>0</v>
      </c>
      <c r="L67" s="203"/>
    </row>
    <row r="68" spans="2:12" x14ac:dyDescent="0.25">
      <c r="B68" s="204"/>
      <c r="C68" s="183" t="s">
        <v>77</v>
      </c>
      <c r="D68" s="184">
        <f>'Existing Billing Analysis'!D68</f>
        <v>140000</v>
      </c>
      <c r="E68" s="184">
        <f>'Existing Billing Analysis'!E68</f>
        <v>1</v>
      </c>
      <c r="F68" s="184">
        <f>'Existing Billing Analysis'!F68</f>
        <v>16400</v>
      </c>
      <c r="G68" s="100">
        <f>E68*D66</f>
        <v>10000</v>
      </c>
      <c r="H68" s="100">
        <f>E68*D67</f>
        <v>5000</v>
      </c>
      <c r="I68" s="100">
        <f>F68-G68-H68</f>
        <v>1400</v>
      </c>
      <c r="J68" s="100">
        <v>0</v>
      </c>
      <c r="K68" s="138">
        <f>SUM(G68:J68)</f>
        <v>16400</v>
      </c>
      <c r="L68" s="203"/>
    </row>
    <row r="69" spans="2:12" ht="15.75" thickBot="1" x14ac:dyDescent="0.3">
      <c r="B69" s="204"/>
      <c r="C69" s="183" t="s">
        <v>67</v>
      </c>
      <c r="D69" s="184">
        <f>'Existing Billing Analysis'!D69</f>
        <v>155000</v>
      </c>
      <c r="E69" s="358">
        <f>'Existing Billing Analysis'!E69</f>
        <v>0</v>
      </c>
      <c r="F69" s="358">
        <f>'Existing Billing Analysis'!F69</f>
        <v>0</v>
      </c>
      <c r="G69" s="186">
        <f>E69*D66</f>
        <v>0</v>
      </c>
      <c r="H69" s="186">
        <f>E69*D67</f>
        <v>0</v>
      </c>
      <c r="I69" s="186">
        <f>E69*D68</f>
        <v>0</v>
      </c>
      <c r="J69" s="186">
        <f>F69-G69-H69-I69</f>
        <v>0</v>
      </c>
      <c r="K69" s="187">
        <f>SUM(G69:J69)</f>
        <v>0</v>
      </c>
      <c r="L69" s="203"/>
    </row>
    <row r="70" spans="2:12" x14ac:dyDescent="0.25">
      <c r="B70" s="204"/>
      <c r="C70" s="181"/>
      <c r="E70" s="136">
        <f t="shared" ref="E70:K70" si="6">SUM(E66:E69)</f>
        <v>2</v>
      </c>
      <c r="F70" s="136">
        <f t="shared" si="6"/>
        <v>20800</v>
      </c>
      <c r="G70" s="100">
        <f t="shared" si="6"/>
        <v>14400</v>
      </c>
      <c r="H70" s="100">
        <f t="shared" si="6"/>
        <v>5000</v>
      </c>
      <c r="I70" s="100">
        <f t="shared" si="6"/>
        <v>1400</v>
      </c>
      <c r="J70" s="100">
        <f t="shared" si="6"/>
        <v>0</v>
      </c>
      <c r="K70" s="207">
        <f t="shared" si="6"/>
        <v>20800</v>
      </c>
      <c r="L70" s="203"/>
    </row>
    <row r="71" spans="2:12" x14ac:dyDescent="0.25">
      <c r="B71" s="204"/>
      <c r="E71" s="100"/>
      <c r="F71" s="100"/>
      <c r="G71" s="129"/>
      <c r="H71" s="129"/>
      <c r="I71" s="129"/>
      <c r="J71" s="129"/>
      <c r="L71" s="203"/>
    </row>
    <row r="72" spans="2:12" ht="15.75" thickBot="1" x14ac:dyDescent="0.3">
      <c r="B72" s="204"/>
      <c r="C72" s="181" t="s">
        <v>70</v>
      </c>
      <c r="D72" s="189" t="s">
        <v>68</v>
      </c>
      <c r="E72" s="186" t="s">
        <v>10</v>
      </c>
      <c r="F72" s="186" t="s">
        <v>62</v>
      </c>
      <c r="G72" s="192" t="s">
        <v>11</v>
      </c>
      <c r="H72" s="189" t="s">
        <v>63</v>
      </c>
      <c r="I72" s="129"/>
      <c r="J72" s="129"/>
      <c r="L72" s="203"/>
    </row>
    <row r="73" spans="2:12" x14ac:dyDescent="0.25">
      <c r="B73" s="204"/>
      <c r="C73" s="183" t="str">
        <f>C66</f>
        <v>First</v>
      </c>
      <c r="D73" s="184">
        <f>D66</f>
        <v>10000</v>
      </c>
      <c r="E73" s="100">
        <f>E70</f>
        <v>2</v>
      </c>
      <c r="F73" s="100">
        <f>G70</f>
        <v>14400</v>
      </c>
      <c r="G73" s="128">
        <f>Rates!E19*2</f>
        <v>123.4</v>
      </c>
      <c r="H73" s="195">
        <f>E73*83.42</f>
        <v>166.84</v>
      </c>
      <c r="I73" s="128"/>
      <c r="J73" s="128"/>
      <c r="L73" s="203"/>
    </row>
    <row r="74" spans="2:12" x14ac:dyDescent="0.25">
      <c r="B74" s="204"/>
      <c r="C74" s="183" t="str">
        <f t="shared" ref="C74:D76" si="7">C67</f>
        <v>Next</v>
      </c>
      <c r="D74" s="184">
        <f t="shared" si="7"/>
        <v>5000</v>
      </c>
      <c r="E74" s="100"/>
      <c r="F74" s="100">
        <f>H70</f>
        <v>5000</v>
      </c>
      <c r="G74" s="255">
        <f>Rates!E20</f>
        <v>1.0710000000000001E-2</v>
      </c>
      <c r="H74" s="155">
        <f>F74*G74</f>
        <v>53.550000000000004</v>
      </c>
      <c r="I74" s="128"/>
      <c r="J74" s="128"/>
      <c r="L74" s="203"/>
    </row>
    <row r="75" spans="2:12" x14ac:dyDescent="0.25">
      <c r="B75" s="204"/>
      <c r="C75" s="183" t="str">
        <f t="shared" si="7"/>
        <v>Next</v>
      </c>
      <c r="D75" s="184">
        <f t="shared" si="7"/>
        <v>140000</v>
      </c>
      <c r="E75" s="100"/>
      <c r="F75" s="100">
        <f>I70</f>
        <v>1400</v>
      </c>
      <c r="G75" s="255">
        <f>Rates!E21</f>
        <v>9.4800000000000006E-3</v>
      </c>
      <c r="H75" s="155">
        <f>F75*G75</f>
        <v>13.272</v>
      </c>
      <c r="I75" s="128"/>
      <c r="J75" s="128"/>
      <c r="L75" s="203"/>
    </row>
    <row r="76" spans="2:12" ht="15.75" thickBot="1" x14ac:dyDescent="0.3">
      <c r="B76" s="204"/>
      <c r="C76" s="183" t="str">
        <f t="shared" si="7"/>
        <v>Over</v>
      </c>
      <c r="D76" s="184">
        <f t="shared" si="7"/>
        <v>155000</v>
      </c>
      <c r="E76" s="186"/>
      <c r="F76" s="186">
        <f>J70</f>
        <v>0</v>
      </c>
      <c r="G76" s="255">
        <f>Rates!E22</f>
        <v>8.26E-3</v>
      </c>
      <c r="H76" s="188">
        <f>F76*G76</f>
        <v>0</v>
      </c>
      <c r="I76" s="128"/>
      <c r="J76" s="128"/>
      <c r="L76" s="203"/>
    </row>
    <row r="77" spans="2:12" x14ac:dyDescent="0.25">
      <c r="B77" s="204"/>
      <c r="C77" s="181"/>
      <c r="E77" s="100">
        <f>SUM(E73:E76)</f>
        <v>2</v>
      </c>
      <c r="F77" s="100">
        <f>SUM(F73:F76)</f>
        <v>20800</v>
      </c>
      <c r="G77" s="129"/>
      <c r="H77" s="155">
        <f>SUM(H73:H76)</f>
        <v>233.66200000000001</v>
      </c>
      <c r="I77" s="129"/>
      <c r="J77" s="129"/>
      <c r="L77" s="203"/>
    </row>
    <row r="78" spans="2:12" x14ac:dyDescent="0.25">
      <c r="B78" s="204"/>
      <c r="C78" s="181"/>
      <c r="E78" s="127"/>
      <c r="F78" s="100"/>
      <c r="G78" s="129"/>
      <c r="L78" s="203"/>
    </row>
    <row r="79" spans="2:12" x14ac:dyDescent="0.25">
      <c r="B79" s="204"/>
      <c r="E79" s="127"/>
      <c r="F79" s="100"/>
      <c r="G79" s="129"/>
      <c r="L79" s="203"/>
    </row>
    <row r="80" spans="2:12" x14ac:dyDescent="0.25">
      <c r="B80" s="204"/>
      <c r="C80" s="208" t="s">
        <v>89</v>
      </c>
      <c r="E80" s="100"/>
      <c r="F80" s="100"/>
      <c r="G80" s="127" t="str">
        <f>C82</f>
        <v>First</v>
      </c>
      <c r="H80" s="127" t="str">
        <f>C83</f>
        <v>Next</v>
      </c>
      <c r="I80" s="127" t="str">
        <f>C84</f>
        <v>Next</v>
      </c>
      <c r="J80" s="127" t="str">
        <f>C85</f>
        <v>Over</v>
      </c>
      <c r="K80" s="179"/>
      <c r="L80" s="203"/>
    </row>
    <row r="81" spans="2:12" ht="15.75" thickBot="1" x14ac:dyDescent="0.3">
      <c r="B81" s="204"/>
      <c r="C81" s="123" t="s">
        <v>65</v>
      </c>
      <c r="D81" s="189" t="s">
        <v>68</v>
      </c>
      <c r="E81" s="186" t="s">
        <v>10</v>
      </c>
      <c r="F81" s="186" t="s">
        <v>62</v>
      </c>
      <c r="G81" s="190">
        <f>D82</f>
        <v>6000</v>
      </c>
      <c r="H81" s="190">
        <f>D83</f>
        <v>3000</v>
      </c>
      <c r="I81" s="190">
        <f>D84</f>
        <v>5000</v>
      </c>
      <c r="J81" s="190">
        <f>D85</f>
        <v>10000</v>
      </c>
      <c r="K81" s="185" t="s">
        <v>1</v>
      </c>
      <c r="L81" s="203"/>
    </row>
    <row r="82" spans="2:12" x14ac:dyDescent="0.25">
      <c r="B82" s="204"/>
      <c r="C82" s="183" t="s">
        <v>66</v>
      </c>
      <c r="D82" s="184">
        <f>'Existing Billing Analysis'!D82</f>
        <v>6000</v>
      </c>
      <c r="E82" s="184">
        <f>'Existing Billing Analysis'!E82</f>
        <v>12</v>
      </c>
      <c r="F82" s="184">
        <f>'Existing Billing Analysis'!F82</f>
        <v>31200</v>
      </c>
      <c r="G82" s="100">
        <f>F82</f>
        <v>31200</v>
      </c>
      <c r="H82" s="100">
        <v>0</v>
      </c>
      <c r="I82" s="100">
        <v>0</v>
      </c>
      <c r="J82" s="100">
        <v>0</v>
      </c>
      <c r="K82" s="138">
        <f>SUM(G82:J82)</f>
        <v>31200</v>
      </c>
      <c r="L82" s="203"/>
    </row>
    <row r="83" spans="2:12" x14ac:dyDescent="0.25">
      <c r="B83" s="204"/>
      <c r="C83" s="183" t="s">
        <v>77</v>
      </c>
      <c r="D83" s="184">
        <f>'Existing Billing Analysis'!D83</f>
        <v>3000</v>
      </c>
      <c r="E83" s="184">
        <f>'Existing Billing Analysis'!E83</f>
        <v>0</v>
      </c>
      <c r="F83" s="184">
        <f>'Existing Billing Analysis'!F83</f>
        <v>0</v>
      </c>
      <c r="G83" s="100">
        <f>E83*D82</f>
        <v>0</v>
      </c>
      <c r="H83" s="100">
        <f>F83-G83</f>
        <v>0</v>
      </c>
      <c r="I83" s="100">
        <v>0</v>
      </c>
      <c r="J83" s="100">
        <v>0</v>
      </c>
      <c r="K83" s="138">
        <f>SUM(G83:J83)</f>
        <v>0</v>
      </c>
      <c r="L83" s="203"/>
    </row>
    <row r="84" spans="2:12" x14ac:dyDescent="0.25">
      <c r="B84" s="204"/>
      <c r="C84" s="183" t="s">
        <v>77</v>
      </c>
      <c r="D84" s="184">
        <f>'Existing Billing Analysis'!D84</f>
        <v>5000</v>
      </c>
      <c r="E84" s="184">
        <f>'Existing Billing Analysis'!E84</f>
        <v>11</v>
      </c>
      <c r="F84" s="184">
        <f>'Existing Billing Analysis'!F84</f>
        <v>123700</v>
      </c>
      <c r="G84" s="100">
        <f>E84*D82</f>
        <v>66000</v>
      </c>
      <c r="H84" s="100">
        <f>E84*D83</f>
        <v>33000</v>
      </c>
      <c r="I84" s="100">
        <f>F84-G84-H84</f>
        <v>24700</v>
      </c>
      <c r="J84" s="100">
        <v>0</v>
      </c>
      <c r="K84" s="138">
        <f>SUM(G84:J84)</f>
        <v>123700</v>
      </c>
      <c r="L84" s="203"/>
    </row>
    <row r="85" spans="2:12" ht="15.75" thickBot="1" x14ac:dyDescent="0.3">
      <c r="B85" s="204"/>
      <c r="C85" s="183" t="s">
        <v>67</v>
      </c>
      <c r="D85" s="184">
        <f>'Existing Billing Analysis'!D85</f>
        <v>10000</v>
      </c>
      <c r="E85" s="358">
        <f>'Existing Billing Analysis'!E85</f>
        <v>1</v>
      </c>
      <c r="F85" s="358">
        <f>'Existing Billing Analysis'!F85</f>
        <v>17400</v>
      </c>
      <c r="G85" s="186">
        <f>E85*D82</f>
        <v>6000</v>
      </c>
      <c r="H85" s="186">
        <f>E85*D83</f>
        <v>3000</v>
      </c>
      <c r="I85" s="186">
        <f>E85*D84</f>
        <v>5000</v>
      </c>
      <c r="J85" s="186">
        <f>F85-G85-H85-I85</f>
        <v>3400</v>
      </c>
      <c r="K85" s="187">
        <f>SUM(G85:J85)</f>
        <v>17400</v>
      </c>
      <c r="L85" s="203"/>
    </row>
    <row r="86" spans="2:12" x14ac:dyDescent="0.25">
      <c r="B86" s="204"/>
      <c r="C86" s="181"/>
      <c r="E86" s="100">
        <f t="shared" ref="E86:K86" si="8">SUM(E82:E85)</f>
        <v>24</v>
      </c>
      <c r="F86" s="100">
        <f t="shared" si="8"/>
        <v>172300</v>
      </c>
      <c r="G86" s="100">
        <f t="shared" si="8"/>
        <v>103200</v>
      </c>
      <c r="H86" s="100">
        <f t="shared" si="8"/>
        <v>36000</v>
      </c>
      <c r="I86" s="100">
        <f t="shared" si="8"/>
        <v>29700</v>
      </c>
      <c r="J86" s="100">
        <f t="shared" si="8"/>
        <v>3400</v>
      </c>
      <c r="K86" s="207">
        <f t="shared" si="8"/>
        <v>172300</v>
      </c>
      <c r="L86" s="203"/>
    </row>
    <row r="87" spans="2:12" x14ac:dyDescent="0.25">
      <c r="B87" s="204"/>
      <c r="E87" s="100"/>
      <c r="F87" s="100"/>
      <c r="G87" s="129"/>
      <c r="H87" s="129"/>
      <c r="I87" s="129"/>
      <c r="J87" s="129"/>
      <c r="L87" s="203"/>
    </row>
    <row r="88" spans="2:12" ht="15.75" thickBot="1" x14ac:dyDescent="0.3">
      <c r="B88" s="204"/>
      <c r="C88" s="181" t="s">
        <v>70</v>
      </c>
      <c r="D88" s="189" t="s">
        <v>68</v>
      </c>
      <c r="E88" s="186" t="s">
        <v>10</v>
      </c>
      <c r="F88" s="186" t="s">
        <v>62</v>
      </c>
      <c r="G88" s="192" t="s">
        <v>11</v>
      </c>
      <c r="H88" s="189" t="s">
        <v>63</v>
      </c>
      <c r="I88" s="129"/>
      <c r="J88" s="129"/>
      <c r="L88" s="203"/>
    </row>
    <row r="89" spans="2:12" x14ac:dyDescent="0.25">
      <c r="B89" s="204"/>
      <c r="C89" s="183" t="str">
        <f>C82</f>
        <v>First</v>
      </c>
      <c r="D89" s="184">
        <f>D82</f>
        <v>6000</v>
      </c>
      <c r="E89" s="100">
        <f>E86</f>
        <v>24</v>
      </c>
      <c r="F89" s="100">
        <f>G86</f>
        <v>103200</v>
      </c>
      <c r="G89" s="128">
        <f>Rates!E10*3</f>
        <v>88.77</v>
      </c>
      <c r="H89" s="195">
        <f>E89*59.07</f>
        <v>1417.68</v>
      </c>
      <c r="I89" s="128"/>
      <c r="J89" s="128"/>
      <c r="L89" s="203"/>
    </row>
    <row r="90" spans="2:12" x14ac:dyDescent="0.25">
      <c r="B90" s="204"/>
      <c r="C90" s="183" t="str">
        <f t="shared" ref="C90:D92" si="9">C83</f>
        <v>Next</v>
      </c>
      <c r="D90" s="184">
        <f t="shared" si="9"/>
        <v>3000</v>
      </c>
      <c r="E90" s="100"/>
      <c r="F90" s="100">
        <f>H86</f>
        <v>36000</v>
      </c>
      <c r="G90" s="255">
        <f>Rates!E11</f>
        <v>1.0710000000000001E-2</v>
      </c>
      <c r="H90" s="155">
        <f>F90*G90</f>
        <v>385.56</v>
      </c>
      <c r="I90" s="128"/>
      <c r="J90" s="128"/>
      <c r="L90" s="203"/>
    </row>
    <row r="91" spans="2:12" x14ac:dyDescent="0.25">
      <c r="B91" s="204"/>
      <c r="C91" s="183" t="str">
        <f t="shared" si="9"/>
        <v>Next</v>
      </c>
      <c r="D91" s="184">
        <f t="shared" si="9"/>
        <v>5000</v>
      </c>
      <c r="E91" s="100"/>
      <c r="F91" s="100">
        <f>I86</f>
        <v>29700</v>
      </c>
      <c r="G91" s="255">
        <f>Rates!E12</f>
        <v>9.4800000000000006E-3</v>
      </c>
      <c r="H91" s="155">
        <f>F91*G91</f>
        <v>281.55600000000004</v>
      </c>
      <c r="I91" s="128"/>
      <c r="J91" s="128"/>
      <c r="L91" s="203"/>
    </row>
    <row r="92" spans="2:12" ht="15.75" thickBot="1" x14ac:dyDescent="0.3">
      <c r="B92" s="204"/>
      <c r="C92" s="183" t="str">
        <f t="shared" si="9"/>
        <v>Over</v>
      </c>
      <c r="D92" s="184">
        <f t="shared" si="9"/>
        <v>10000</v>
      </c>
      <c r="E92" s="186"/>
      <c r="F92" s="186">
        <f>J86</f>
        <v>3400</v>
      </c>
      <c r="G92" s="255">
        <f>Rates!E13</f>
        <v>8.26E-3</v>
      </c>
      <c r="H92" s="188">
        <f>F92*G92</f>
        <v>28.084</v>
      </c>
      <c r="I92" s="128"/>
      <c r="J92" s="128"/>
      <c r="L92" s="203"/>
    </row>
    <row r="93" spans="2:12" x14ac:dyDescent="0.25">
      <c r="B93" s="204"/>
      <c r="C93" s="181"/>
      <c r="E93" s="100">
        <f>SUM(E89:E92)</f>
        <v>24</v>
      </c>
      <c r="F93" s="100">
        <f>SUM(F89:F92)</f>
        <v>172300</v>
      </c>
      <c r="G93" s="129"/>
      <c r="H93" s="155">
        <f>SUM(H89:H92)</f>
        <v>2112.88</v>
      </c>
      <c r="I93" s="129"/>
      <c r="J93" s="129"/>
      <c r="L93" s="203"/>
    </row>
    <row r="94" spans="2:12" x14ac:dyDescent="0.25">
      <c r="B94" s="204"/>
      <c r="C94" s="181"/>
      <c r="E94" s="100"/>
      <c r="F94" s="100"/>
      <c r="G94" s="129"/>
      <c r="H94" s="155"/>
      <c r="I94" s="129"/>
      <c r="J94" s="129"/>
      <c r="L94" s="203"/>
    </row>
    <row r="95" spans="2:12" x14ac:dyDescent="0.25">
      <c r="B95" s="204"/>
      <c r="C95" s="181"/>
      <c r="E95" s="100"/>
      <c r="F95" s="100"/>
      <c r="G95" s="129"/>
      <c r="H95" s="155"/>
      <c r="I95" s="129"/>
      <c r="J95" s="129"/>
      <c r="L95" s="203"/>
    </row>
    <row r="96" spans="2:12" x14ac:dyDescent="0.25">
      <c r="B96" s="204"/>
      <c r="C96" s="208" t="s">
        <v>90</v>
      </c>
      <c r="E96" s="100"/>
      <c r="F96" s="100"/>
      <c r="G96" s="127" t="str">
        <f>C98</f>
        <v>First</v>
      </c>
      <c r="H96" s="127" t="str">
        <f>C99</f>
        <v>Next</v>
      </c>
      <c r="I96" s="127" t="str">
        <f>C100</f>
        <v>Next</v>
      </c>
      <c r="J96" s="127" t="str">
        <f>C101</f>
        <v>Over</v>
      </c>
      <c r="K96" s="179"/>
      <c r="L96" s="203"/>
    </row>
    <row r="97" spans="2:12" ht="15.75" thickBot="1" x14ac:dyDescent="0.3">
      <c r="B97" s="204"/>
      <c r="C97" s="123" t="s">
        <v>65</v>
      </c>
      <c r="D97" s="189" t="s">
        <v>68</v>
      </c>
      <c r="E97" s="186" t="s">
        <v>10</v>
      </c>
      <c r="F97" s="186" t="s">
        <v>62</v>
      </c>
      <c r="G97" s="190">
        <f>D98</f>
        <v>2000</v>
      </c>
      <c r="H97" s="190">
        <f>D99</f>
        <v>3000</v>
      </c>
      <c r="I97" s="190">
        <f>D100</f>
        <v>5000</v>
      </c>
      <c r="J97" s="190">
        <f>D101</f>
        <v>10000</v>
      </c>
      <c r="K97" s="185" t="s">
        <v>1</v>
      </c>
      <c r="L97" s="203"/>
    </row>
    <row r="98" spans="2:12" x14ac:dyDescent="0.25">
      <c r="B98" s="204"/>
      <c r="C98" s="183" t="s">
        <v>66</v>
      </c>
      <c r="D98" s="184">
        <f>'Existing Billing Analysis'!D98</f>
        <v>2000</v>
      </c>
      <c r="E98" s="184">
        <f>'Existing Billing Analysis'!E98</f>
        <v>1036</v>
      </c>
      <c r="F98" s="184">
        <f>'Existing Billing Analysis'!F98</f>
        <v>599600</v>
      </c>
      <c r="G98" s="100">
        <f>F98</f>
        <v>599600</v>
      </c>
      <c r="H98" s="100">
        <v>0</v>
      </c>
      <c r="I98" s="100">
        <v>0</v>
      </c>
      <c r="J98" s="100">
        <v>0</v>
      </c>
      <c r="K98" s="138">
        <f>SUM(G98:J98)</f>
        <v>599600</v>
      </c>
      <c r="L98" s="203"/>
    </row>
    <row r="99" spans="2:12" x14ac:dyDescent="0.25">
      <c r="B99" s="204"/>
      <c r="C99" s="183" t="s">
        <v>77</v>
      </c>
      <c r="D99" s="184">
        <f>'Existing Billing Analysis'!D99</f>
        <v>3000</v>
      </c>
      <c r="E99" s="184">
        <f>'Existing Billing Analysis'!E99</f>
        <v>308</v>
      </c>
      <c r="F99" s="184">
        <f>'Existing Billing Analysis'!F99</f>
        <v>981900</v>
      </c>
      <c r="G99" s="100">
        <f>E99*D98</f>
        <v>616000</v>
      </c>
      <c r="H99" s="100">
        <f>F99-G99</f>
        <v>365900</v>
      </c>
      <c r="I99" s="100">
        <v>0</v>
      </c>
      <c r="J99" s="100">
        <v>0</v>
      </c>
      <c r="K99" s="138">
        <f>SUM(G99:J99)</f>
        <v>981900</v>
      </c>
      <c r="L99" s="203"/>
    </row>
    <row r="100" spans="2:12" x14ac:dyDescent="0.25">
      <c r="B100" s="204"/>
      <c r="C100" s="183" t="s">
        <v>77</v>
      </c>
      <c r="D100" s="184">
        <f>'Existing Billing Analysis'!D100</f>
        <v>5000</v>
      </c>
      <c r="E100" s="184">
        <f>'Existing Billing Analysis'!E100</f>
        <v>92</v>
      </c>
      <c r="F100" s="184">
        <f>'Existing Billing Analysis'!F100</f>
        <v>644800</v>
      </c>
      <c r="G100" s="100">
        <f>E100*D98</f>
        <v>184000</v>
      </c>
      <c r="H100" s="100">
        <f>E100*D99</f>
        <v>276000</v>
      </c>
      <c r="I100" s="100">
        <f>F100-G100-H100</f>
        <v>184800</v>
      </c>
      <c r="J100" s="100">
        <v>0</v>
      </c>
      <c r="K100" s="138">
        <f>SUM(G100:J100)</f>
        <v>644800</v>
      </c>
      <c r="L100" s="203"/>
    </row>
    <row r="101" spans="2:12" ht="15.75" thickBot="1" x14ac:dyDescent="0.3">
      <c r="B101" s="204"/>
      <c r="C101" s="183" t="s">
        <v>67</v>
      </c>
      <c r="D101" s="184">
        <f>'Existing Billing Analysis'!D101</f>
        <v>10000</v>
      </c>
      <c r="E101" s="358">
        <f>'Existing Billing Analysis'!E101</f>
        <v>98</v>
      </c>
      <c r="F101" s="358">
        <f>'Existing Billing Analysis'!F101</f>
        <v>2600200</v>
      </c>
      <c r="G101" s="186">
        <f>E101*D98</f>
        <v>196000</v>
      </c>
      <c r="H101" s="186">
        <f>E101*D99</f>
        <v>294000</v>
      </c>
      <c r="I101" s="186">
        <f>E101*D100</f>
        <v>490000</v>
      </c>
      <c r="J101" s="186">
        <f>F101-G101-H101-I101</f>
        <v>1620200</v>
      </c>
      <c r="K101" s="187">
        <f>SUM(G101:J101)</f>
        <v>2600200</v>
      </c>
      <c r="L101" s="203"/>
    </row>
    <row r="102" spans="2:12" x14ac:dyDescent="0.25">
      <c r="B102" s="204"/>
      <c r="C102" s="181"/>
      <c r="E102" s="136">
        <f t="shared" ref="E102:K102" si="10">SUM(E98:E101)</f>
        <v>1534</v>
      </c>
      <c r="F102" s="136">
        <f t="shared" si="10"/>
        <v>4826500</v>
      </c>
      <c r="G102" s="100">
        <f t="shared" si="10"/>
        <v>1595600</v>
      </c>
      <c r="H102" s="100">
        <f t="shared" si="10"/>
        <v>935900</v>
      </c>
      <c r="I102" s="100">
        <f t="shared" si="10"/>
        <v>674800</v>
      </c>
      <c r="J102" s="100">
        <f t="shared" si="10"/>
        <v>1620200</v>
      </c>
      <c r="K102" s="100">
        <f t="shared" si="10"/>
        <v>4826500</v>
      </c>
      <c r="L102" s="203"/>
    </row>
    <row r="103" spans="2:12" x14ac:dyDescent="0.25">
      <c r="B103" s="204"/>
      <c r="E103" s="100"/>
      <c r="F103" s="100"/>
      <c r="G103" s="129"/>
      <c r="H103" s="129"/>
      <c r="I103" s="129"/>
      <c r="J103" s="129"/>
      <c r="K103" s="180"/>
      <c r="L103" s="203"/>
    </row>
    <row r="104" spans="2:12" ht="15.75" thickBot="1" x14ac:dyDescent="0.3">
      <c r="B104" s="204"/>
      <c r="C104" s="181" t="s">
        <v>70</v>
      </c>
      <c r="D104" s="189" t="s">
        <v>68</v>
      </c>
      <c r="E104" s="186" t="s">
        <v>10</v>
      </c>
      <c r="F104" s="186" t="s">
        <v>62</v>
      </c>
      <c r="G104" s="192" t="s">
        <v>11</v>
      </c>
      <c r="H104" s="189" t="s">
        <v>63</v>
      </c>
      <c r="I104" s="129"/>
      <c r="J104" s="129"/>
      <c r="K104" s="180"/>
      <c r="L104" s="203"/>
    </row>
    <row r="105" spans="2:12" x14ac:dyDescent="0.25">
      <c r="B105" s="204"/>
      <c r="C105" s="183" t="str">
        <f>C98</f>
        <v>First</v>
      </c>
      <c r="D105" s="184">
        <f>D98</f>
        <v>2000</v>
      </c>
      <c r="E105" s="100">
        <f>E102</f>
        <v>1534</v>
      </c>
      <c r="F105" s="100">
        <f>G102</f>
        <v>1595600</v>
      </c>
      <c r="G105" s="128">
        <f>Rates!E10</f>
        <v>29.59</v>
      </c>
      <c r="H105" s="155">
        <f>E105*G105</f>
        <v>45391.06</v>
      </c>
      <c r="I105" s="128"/>
      <c r="J105" s="128"/>
      <c r="K105" s="180"/>
      <c r="L105" s="203"/>
    </row>
    <row r="106" spans="2:12" x14ac:dyDescent="0.25">
      <c r="B106" s="204"/>
      <c r="C106" s="183" t="str">
        <f t="shared" ref="C106:D108" si="11">C99</f>
        <v>Next</v>
      </c>
      <c r="D106" s="184">
        <f t="shared" si="11"/>
        <v>3000</v>
      </c>
      <c r="E106" s="100"/>
      <c r="F106" s="100">
        <f>H102</f>
        <v>935900</v>
      </c>
      <c r="G106" s="255">
        <f>Rates!E11</f>
        <v>1.0710000000000001E-2</v>
      </c>
      <c r="H106" s="155">
        <f>F106*G106</f>
        <v>10023.489000000001</v>
      </c>
      <c r="I106" s="128"/>
      <c r="J106" s="128"/>
      <c r="K106" s="180"/>
      <c r="L106" s="203"/>
    </row>
    <row r="107" spans="2:12" x14ac:dyDescent="0.25">
      <c r="B107" s="204"/>
      <c r="C107" s="183" t="str">
        <f t="shared" si="11"/>
        <v>Next</v>
      </c>
      <c r="D107" s="184">
        <f t="shared" si="11"/>
        <v>5000</v>
      </c>
      <c r="E107" s="100"/>
      <c r="F107" s="100">
        <f>I102</f>
        <v>674800</v>
      </c>
      <c r="G107" s="255">
        <f>Rates!E12</f>
        <v>9.4800000000000006E-3</v>
      </c>
      <c r="H107" s="155">
        <f>F107*G107</f>
        <v>6397.1040000000003</v>
      </c>
      <c r="I107" s="128"/>
      <c r="J107" s="128"/>
      <c r="K107" s="180"/>
      <c r="L107" s="203"/>
    </row>
    <row r="108" spans="2:12" ht="15.75" thickBot="1" x14ac:dyDescent="0.3">
      <c r="B108" s="204"/>
      <c r="C108" s="183" t="str">
        <f t="shared" si="11"/>
        <v>Over</v>
      </c>
      <c r="D108" s="184">
        <f t="shared" si="11"/>
        <v>10000</v>
      </c>
      <c r="E108" s="186"/>
      <c r="F108" s="186">
        <f>J102</f>
        <v>1620200</v>
      </c>
      <c r="G108" s="255">
        <f>Rates!E13</f>
        <v>8.26E-3</v>
      </c>
      <c r="H108" s="188">
        <f>F108*G108</f>
        <v>13382.852000000001</v>
      </c>
      <c r="I108" s="128"/>
      <c r="J108" s="128"/>
      <c r="K108" s="180"/>
      <c r="L108" s="203"/>
    </row>
    <row r="109" spans="2:12" x14ac:dyDescent="0.25">
      <c r="B109" s="204"/>
      <c r="C109" s="181"/>
      <c r="E109" s="100">
        <f>SUM(E105:E108)</f>
        <v>1534</v>
      </c>
      <c r="F109" s="100">
        <f>SUM(F105:F108)</f>
        <v>4826500</v>
      </c>
      <c r="G109" s="129"/>
      <c r="H109" s="155">
        <f>SUM(H105:H108)</f>
        <v>75194.505000000005</v>
      </c>
      <c r="I109" s="129"/>
      <c r="J109" s="129"/>
      <c r="K109" s="130"/>
      <c r="L109" s="203"/>
    </row>
    <row r="110" spans="2:12" x14ac:dyDescent="0.25">
      <c r="B110" s="204"/>
      <c r="C110" s="181"/>
      <c r="E110" s="100"/>
      <c r="F110" s="100"/>
      <c r="G110" s="129"/>
      <c r="H110" s="155"/>
      <c r="I110" s="129"/>
      <c r="J110" s="129"/>
      <c r="K110" s="130"/>
      <c r="L110" s="203"/>
    </row>
    <row r="111" spans="2:12" x14ac:dyDescent="0.25">
      <c r="B111" s="204"/>
      <c r="E111" s="127"/>
      <c r="F111" s="100"/>
      <c r="G111" s="129"/>
      <c r="L111" s="203"/>
    </row>
    <row r="112" spans="2:12" x14ac:dyDescent="0.25">
      <c r="B112" s="204"/>
      <c r="C112" s="208" t="s">
        <v>91</v>
      </c>
      <c r="E112" s="100"/>
      <c r="F112" s="100"/>
      <c r="G112" s="127" t="str">
        <f>C114</f>
        <v>First</v>
      </c>
      <c r="H112" s="127" t="str">
        <f>C115</f>
        <v>Next</v>
      </c>
      <c r="I112" s="127" t="str">
        <f>C116</f>
        <v>Next</v>
      </c>
      <c r="J112" s="127" t="str">
        <f>C117</f>
        <v>Over</v>
      </c>
      <c r="K112" s="179"/>
      <c r="L112" s="203"/>
    </row>
    <row r="113" spans="2:12" ht="15.75" thickBot="1" x14ac:dyDescent="0.3">
      <c r="B113" s="204"/>
      <c r="C113" s="123" t="s">
        <v>65</v>
      </c>
      <c r="D113" s="189" t="s">
        <v>68</v>
      </c>
      <c r="E113" s="186" t="s">
        <v>10</v>
      </c>
      <c r="F113" s="186" t="s">
        <v>62</v>
      </c>
      <c r="G113" s="190">
        <f>D114</f>
        <v>5000</v>
      </c>
      <c r="H113" s="190">
        <f>D115</f>
        <v>5000</v>
      </c>
      <c r="I113" s="190">
        <f>D116</f>
        <v>140000</v>
      </c>
      <c r="J113" s="190">
        <f>D117</f>
        <v>150000</v>
      </c>
      <c r="K113" s="185" t="s">
        <v>1</v>
      </c>
      <c r="L113" s="203"/>
    </row>
    <row r="114" spans="2:12" x14ac:dyDescent="0.25">
      <c r="B114" s="204"/>
      <c r="C114" s="183" t="s">
        <v>66</v>
      </c>
      <c r="D114" s="184">
        <f>'Existing Billing Analysis'!D114</f>
        <v>5000</v>
      </c>
      <c r="E114" s="184">
        <f>'Existing Billing Analysis'!E114</f>
        <v>90</v>
      </c>
      <c r="F114" s="184">
        <f>'Existing Billing Analysis'!F114</f>
        <v>161900</v>
      </c>
      <c r="G114" s="100">
        <f>F114</f>
        <v>161900</v>
      </c>
      <c r="H114" s="100">
        <v>0</v>
      </c>
      <c r="I114" s="100">
        <v>0</v>
      </c>
      <c r="J114" s="100">
        <v>0</v>
      </c>
      <c r="K114" s="138">
        <f>SUM(G114:J114)</f>
        <v>161900</v>
      </c>
      <c r="L114" s="203"/>
    </row>
    <row r="115" spans="2:12" x14ac:dyDescent="0.25">
      <c r="B115" s="204"/>
      <c r="C115" s="183" t="s">
        <v>77</v>
      </c>
      <c r="D115" s="184">
        <f>'Existing Billing Analysis'!D115</f>
        <v>5000</v>
      </c>
      <c r="E115" s="184">
        <f>'Existing Billing Analysis'!E115</f>
        <v>45</v>
      </c>
      <c r="F115" s="184">
        <f>'Existing Billing Analysis'!F115</f>
        <v>330000</v>
      </c>
      <c r="G115" s="100">
        <f>E115*D114</f>
        <v>225000</v>
      </c>
      <c r="H115" s="100">
        <f>F115-G115</f>
        <v>105000</v>
      </c>
      <c r="I115" s="100">
        <v>0</v>
      </c>
      <c r="J115" s="100">
        <v>0</v>
      </c>
      <c r="K115" s="138">
        <f>SUM(G115:J115)</f>
        <v>330000</v>
      </c>
      <c r="L115" s="203"/>
    </row>
    <row r="116" spans="2:12" x14ac:dyDescent="0.25">
      <c r="B116" s="204"/>
      <c r="C116" s="183" t="s">
        <v>77</v>
      </c>
      <c r="D116" s="184">
        <f>'Existing Billing Analysis'!D116</f>
        <v>140000</v>
      </c>
      <c r="E116" s="184">
        <f>'Existing Billing Analysis'!E116</f>
        <v>89</v>
      </c>
      <c r="F116" s="184">
        <f>'Existing Billing Analysis'!F116</f>
        <v>3783700</v>
      </c>
      <c r="G116" s="100">
        <f>E116*D114</f>
        <v>445000</v>
      </c>
      <c r="H116" s="100">
        <f>E116*D115</f>
        <v>445000</v>
      </c>
      <c r="I116" s="100">
        <f>F116-G116-H116</f>
        <v>2893700</v>
      </c>
      <c r="J116" s="100">
        <v>0</v>
      </c>
      <c r="K116" s="138">
        <f>SUM(G116:J116)</f>
        <v>3783700</v>
      </c>
      <c r="L116" s="203"/>
    </row>
    <row r="117" spans="2:12" ht="15.75" thickBot="1" x14ac:dyDescent="0.3">
      <c r="B117" s="204"/>
      <c r="C117" s="183" t="s">
        <v>67</v>
      </c>
      <c r="D117" s="184">
        <f>'Existing Billing Analysis'!D117</f>
        <v>150000</v>
      </c>
      <c r="E117" s="358">
        <f>'Existing Billing Analysis'!E117</f>
        <v>15</v>
      </c>
      <c r="F117" s="358">
        <f>'Existing Billing Analysis'!F117</f>
        <v>4014900</v>
      </c>
      <c r="G117" s="186">
        <f>E117*D114</f>
        <v>75000</v>
      </c>
      <c r="H117" s="186">
        <f>E117*D115</f>
        <v>75000</v>
      </c>
      <c r="I117" s="186">
        <f>E117*D116</f>
        <v>2100000</v>
      </c>
      <c r="J117" s="186">
        <f>F117-G117-H117-I117</f>
        <v>1764900</v>
      </c>
      <c r="K117" s="187">
        <f>SUM(G117:J117)</f>
        <v>4014900</v>
      </c>
      <c r="L117" s="203"/>
    </row>
    <row r="118" spans="2:12" x14ac:dyDescent="0.25">
      <c r="B118" s="204"/>
      <c r="C118" s="181"/>
      <c r="E118" s="136">
        <f t="shared" ref="E118:K118" si="12">SUM(E114:E117)</f>
        <v>239</v>
      </c>
      <c r="F118" s="136">
        <f t="shared" si="12"/>
        <v>8290500</v>
      </c>
      <c r="G118" s="100">
        <f t="shared" si="12"/>
        <v>906900</v>
      </c>
      <c r="H118" s="100">
        <f t="shared" si="12"/>
        <v>625000</v>
      </c>
      <c r="I118" s="100">
        <f t="shared" si="12"/>
        <v>4993700</v>
      </c>
      <c r="J118" s="100">
        <f t="shared" si="12"/>
        <v>1764900</v>
      </c>
      <c r="K118" s="100">
        <f t="shared" si="12"/>
        <v>8290500</v>
      </c>
      <c r="L118" s="203"/>
    </row>
    <row r="119" spans="2:12" x14ac:dyDescent="0.25">
      <c r="B119" s="204"/>
      <c r="E119" s="100"/>
      <c r="F119" s="100"/>
      <c r="G119" s="129"/>
      <c r="H119" s="129"/>
      <c r="I119" s="129"/>
      <c r="J119" s="129"/>
      <c r="K119" s="180"/>
      <c r="L119" s="203"/>
    </row>
    <row r="120" spans="2:12" x14ac:dyDescent="0.25">
      <c r="B120" s="204"/>
      <c r="C120" s="181" t="s">
        <v>70</v>
      </c>
      <c r="D120" s="179" t="s">
        <v>68</v>
      </c>
      <c r="E120" s="100" t="s">
        <v>10</v>
      </c>
      <c r="F120" s="100" t="s">
        <v>62</v>
      </c>
      <c r="G120" s="129" t="s">
        <v>11</v>
      </c>
      <c r="H120" s="179" t="s">
        <v>63</v>
      </c>
      <c r="I120" s="129"/>
      <c r="J120" s="129"/>
      <c r="K120" s="180"/>
      <c r="L120" s="203"/>
    </row>
    <row r="121" spans="2:12" x14ac:dyDescent="0.25">
      <c r="B121" s="204"/>
      <c r="C121" s="183" t="str">
        <f>C114</f>
        <v>First</v>
      </c>
      <c r="D121" s="184">
        <f>D114</f>
        <v>5000</v>
      </c>
      <c r="E121" s="100">
        <f>E118</f>
        <v>239</v>
      </c>
      <c r="F121" s="100">
        <f>G118</f>
        <v>906900</v>
      </c>
      <c r="G121" s="128">
        <f>Rates!E19</f>
        <v>61.7</v>
      </c>
      <c r="H121" s="155">
        <f>E121*G121</f>
        <v>14746.300000000001</v>
      </c>
      <c r="I121" s="128"/>
      <c r="J121" s="128"/>
      <c r="K121" s="180"/>
      <c r="L121" s="203"/>
    </row>
    <row r="122" spans="2:12" x14ac:dyDescent="0.25">
      <c r="B122" s="204"/>
      <c r="C122" s="183" t="str">
        <f t="shared" ref="C122:D124" si="13">C115</f>
        <v>Next</v>
      </c>
      <c r="D122" s="184">
        <f t="shared" si="13"/>
        <v>5000</v>
      </c>
      <c r="E122" s="100"/>
      <c r="F122" s="100">
        <f>H118</f>
        <v>625000</v>
      </c>
      <c r="G122" s="255">
        <f>Rates!E20</f>
        <v>1.0710000000000001E-2</v>
      </c>
      <c r="H122" s="155">
        <f>F122*G122</f>
        <v>6693.7500000000009</v>
      </c>
      <c r="I122" s="128"/>
      <c r="J122" s="128"/>
      <c r="K122" s="180"/>
      <c r="L122" s="203"/>
    </row>
    <row r="123" spans="2:12" x14ac:dyDescent="0.25">
      <c r="B123" s="204"/>
      <c r="C123" s="183" t="str">
        <f t="shared" si="13"/>
        <v>Next</v>
      </c>
      <c r="D123" s="184">
        <f t="shared" si="13"/>
        <v>140000</v>
      </c>
      <c r="E123" s="100"/>
      <c r="F123" s="100">
        <f>I118</f>
        <v>4993700</v>
      </c>
      <c r="G123" s="255">
        <f>Rates!E21</f>
        <v>9.4800000000000006E-3</v>
      </c>
      <c r="H123" s="155">
        <f>F123*G123</f>
        <v>47340.276000000005</v>
      </c>
      <c r="I123" s="128"/>
      <c r="J123" s="128"/>
      <c r="K123" s="180"/>
      <c r="L123" s="203"/>
    </row>
    <row r="124" spans="2:12" ht="15.75" thickBot="1" x14ac:dyDescent="0.3">
      <c r="B124" s="204"/>
      <c r="C124" s="183" t="str">
        <f t="shared" si="13"/>
        <v>Over</v>
      </c>
      <c r="D124" s="184">
        <f t="shared" si="13"/>
        <v>150000</v>
      </c>
      <c r="E124" s="186"/>
      <c r="F124" s="186">
        <f>J118</f>
        <v>1764900</v>
      </c>
      <c r="G124" s="255">
        <f>Rates!E22</f>
        <v>8.26E-3</v>
      </c>
      <c r="H124" s="188">
        <f>F124*G124</f>
        <v>14578.074000000001</v>
      </c>
      <c r="I124" s="128"/>
      <c r="J124" s="128"/>
      <c r="K124" s="180"/>
      <c r="L124" s="203"/>
    </row>
    <row r="125" spans="2:12" x14ac:dyDescent="0.25">
      <c r="B125" s="204"/>
      <c r="C125" s="181"/>
      <c r="E125" s="100">
        <f>SUM(E121:E124)</f>
        <v>239</v>
      </c>
      <c r="F125" s="100">
        <f>SUM(F121:F124)</f>
        <v>8290500</v>
      </c>
      <c r="G125" s="129"/>
      <c r="H125" s="155">
        <f>SUM(H121:H124)</f>
        <v>83358.399999999994</v>
      </c>
      <c r="I125" s="129"/>
      <c r="J125" s="129"/>
      <c r="K125" s="130"/>
      <c r="L125" s="203"/>
    </row>
    <row r="126" spans="2:12" x14ac:dyDescent="0.25">
      <c r="B126" s="204"/>
      <c r="E126" s="127"/>
      <c r="F126" s="100"/>
      <c r="G126" s="129"/>
      <c r="L126" s="203"/>
    </row>
    <row r="127" spans="2:12" x14ac:dyDescent="0.25">
      <c r="B127" s="204"/>
      <c r="C127" s="208" t="s">
        <v>92</v>
      </c>
      <c r="E127" s="100"/>
      <c r="F127" s="100"/>
      <c r="G127" s="127" t="str">
        <f>C129</f>
        <v>First</v>
      </c>
      <c r="H127" s="127" t="str">
        <f>C130</f>
        <v>Next</v>
      </c>
      <c r="I127" s="127" t="str">
        <f>C131</f>
        <v>Next</v>
      </c>
      <c r="J127" s="127" t="str">
        <f>C132</f>
        <v>Over</v>
      </c>
      <c r="K127" s="179"/>
      <c r="L127" s="203"/>
    </row>
    <row r="128" spans="2:12" ht="15.75" thickBot="1" x14ac:dyDescent="0.3">
      <c r="B128" s="204"/>
      <c r="C128" s="123" t="s">
        <v>65</v>
      </c>
      <c r="D128" s="189" t="s">
        <v>68</v>
      </c>
      <c r="E128" s="186" t="s">
        <v>10</v>
      </c>
      <c r="F128" s="186" t="s">
        <v>62</v>
      </c>
      <c r="G128" s="190">
        <f>D129</f>
        <v>50000</v>
      </c>
      <c r="H128" s="190">
        <f>D130</f>
        <v>100000</v>
      </c>
      <c r="I128" s="190">
        <f>D131</f>
        <v>150000</v>
      </c>
      <c r="J128" s="190">
        <f>D132</f>
        <v>300000</v>
      </c>
      <c r="K128" s="185" t="s">
        <v>1</v>
      </c>
      <c r="L128" s="203"/>
    </row>
    <row r="129" spans="2:12" x14ac:dyDescent="0.25">
      <c r="B129" s="204"/>
      <c r="C129" s="183" t="s">
        <v>66</v>
      </c>
      <c r="D129" s="184">
        <f>'Existing Billing Analysis'!D129</f>
        <v>50000</v>
      </c>
      <c r="E129" s="184">
        <f>'Existing Billing Analysis'!E129</f>
        <v>25</v>
      </c>
      <c r="F129" s="184">
        <f>'Existing Billing Analysis'!F129</f>
        <v>348200</v>
      </c>
      <c r="G129" s="100">
        <f>F129</f>
        <v>348200</v>
      </c>
      <c r="H129" s="100">
        <v>0</v>
      </c>
      <c r="I129" s="100">
        <v>0</v>
      </c>
      <c r="J129" s="100">
        <v>0</v>
      </c>
      <c r="K129" s="138">
        <f>SUM(G129:J129)</f>
        <v>348200</v>
      </c>
      <c r="L129" s="203"/>
    </row>
    <row r="130" spans="2:12" x14ac:dyDescent="0.25">
      <c r="B130" s="204"/>
      <c r="C130" s="183" t="s">
        <v>77</v>
      </c>
      <c r="D130" s="184">
        <f>'Existing Billing Analysis'!D130</f>
        <v>100000</v>
      </c>
      <c r="E130" s="184">
        <f>'Existing Billing Analysis'!E130</f>
        <v>11</v>
      </c>
      <c r="F130" s="184">
        <f>'Existing Billing Analysis'!F130</f>
        <v>796000</v>
      </c>
      <c r="G130" s="100">
        <f>E130*D129</f>
        <v>550000</v>
      </c>
      <c r="H130" s="100">
        <f>F130-G130</f>
        <v>246000</v>
      </c>
      <c r="I130" s="100">
        <v>0</v>
      </c>
      <c r="J130" s="100">
        <v>0</v>
      </c>
      <c r="K130" s="138">
        <f>SUM(G130:J130)</f>
        <v>796000</v>
      </c>
      <c r="L130" s="203"/>
    </row>
    <row r="131" spans="2:12" x14ac:dyDescent="0.25">
      <c r="B131" s="204"/>
      <c r="C131" s="183" t="s">
        <v>77</v>
      </c>
      <c r="D131" s="184">
        <f>'Existing Billing Analysis'!D131</f>
        <v>150000</v>
      </c>
      <c r="E131" s="184">
        <f>'Existing Billing Analysis'!E131</f>
        <v>0</v>
      </c>
      <c r="F131" s="184">
        <f>'Existing Billing Analysis'!F131</f>
        <v>0</v>
      </c>
      <c r="G131" s="100">
        <f>E131*D129</f>
        <v>0</v>
      </c>
      <c r="H131" s="100">
        <f>E131*D130</f>
        <v>0</v>
      </c>
      <c r="I131" s="100">
        <f>F131-G131-H131</f>
        <v>0</v>
      </c>
      <c r="J131" s="100">
        <v>0</v>
      </c>
      <c r="K131" s="138">
        <f>SUM(G131:J131)</f>
        <v>0</v>
      </c>
      <c r="L131" s="203"/>
    </row>
    <row r="132" spans="2:12" ht="15.75" thickBot="1" x14ac:dyDescent="0.3">
      <c r="B132" s="204"/>
      <c r="C132" s="183" t="s">
        <v>67</v>
      </c>
      <c r="D132" s="184">
        <f>'Existing Billing Analysis'!D132</f>
        <v>300000</v>
      </c>
      <c r="E132" s="358">
        <f>'Existing Billing Analysis'!E132</f>
        <v>12</v>
      </c>
      <c r="F132" s="358">
        <f>'Existing Billing Analysis'!F132</f>
        <v>16305000</v>
      </c>
      <c r="G132" s="186">
        <f>E132*D129</f>
        <v>600000</v>
      </c>
      <c r="H132" s="186">
        <f>E132*D130</f>
        <v>1200000</v>
      </c>
      <c r="I132" s="186">
        <f>E132*D131</f>
        <v>1800000</v>
      </c>
      <c r="J132" s="186">
        <f>F132-G132-H132-I132</f>
        <v>12705000</v>
      </c>
      <c r="K132" s="187">
        <f>SUM(G132:J132)</f>
        <v>16305000</v>
      </c>
      <c r="L132" s="203"/>
    </row>
    <row r="133" spans="2:12" x14ac:dyDescent="0.25">
      <c r="B133" s="204"/>
      <c r="C133" s="181"/>
      <c r="E133" s="136">
        <f t="shared" ref="E133:K133" si="14">SUM(E129:E132)</f>
        <v>48</v>
      </c>
      <c r="F133" s="136">
        <f t="shared" si="14"/>
        <v>17449200</v>
      </c>
      <c r="G133" s="100">
        <f t="shared" si="14"/>
        <v>1498200</v>
      </c>
      <c r="H133" s="100">
        <f t="shared" si="14"/>
        <v>1446000</v>
      </c>
      <c r="I133" s="100">
        <f t="shared" si="14"/>
        <v>1800000</v>
      </c>
      <c r="J133" s="100">
        <f t="shared" si="14"/>
        <v>12705000</v>
      </c>
      <c r="K133" s="100">
        <f t="shared" si="14"/>
        <v>17449200</v>
      </c>
      <c r="L133" s="203"/>
    </row>
    <row r="134" spans="2:12" x14ac:dyDescent="0.25">
      <c r="B134" s="204"/>
      <c r="E134" s="100"/>
      <c r="F134" s="100"/>
      <c r="G134" s="129"/>
      <c r="H134" s="129"/>
      <c r="I134" s="129"/>
      <c r="J134" s="129"/>
      <c r="K134" s="180"/>
      <c r="L134" s="203"/>
    </row>
    <row r="135" spans="2:12" ht="15.75" thickBot="1" x14ac:dyDescent="0.3">
      <c r="B135" s="204"/>
      <c r="C135" s="181" t="s">
        <v>70</v>
      </c>
      <c r="D135" s="189" t="s">
        <v>68</v>
      </c>
      <c r="E135" s="186" t="s">
        <v>10</v>
      </c>
      <c r="F135" s="186" t="s">
        <v>62</v>
      </c>
      <c r="G135" s="192" t="s">
        <v>11</v>
      </c>
      <c r="H135" s="189" t="s">
        <v>63</v>
      </c>
      <c r="I135" s="129"/>
      <c r="J135" s="129"/>
      <c r="K135" s="180"/>
      <c r="L135" s="203"/>
    </row>
    <row r="136" spans="2:12" x14ac:dyDescent="0.25">
      <c r="B136" s="204"/>
      <c r="C136" s="183" t="s">
        <v>66</v>
      </c>
      <c r="D136" s="184">
        <f>D129</f>
        <v>50000</v>
      </c>
      <c r="E136" s="100">
        <f>E133</f>
        <v>48</v>
      </c>
      <c r="F136" s="100">
        <f>G133</f>
        <v>1498200</v>
      </c>
      <c r="G136" s="128">
        <f>Rates!E28</f>
        <v>494.63</v>
      </c>
      <c r="H136" s="155">
        <f>E136*G136</f>
        <v>23742.239999999998</v>
      </c>
      <c r="I136" s="128"/>
      <c r="J136" s="128"/>
      <c r="K136" s="180"/>
      <c r="L136" s="203"/>
    </row>
    <row r="137" spans="2:12" x14ac:dyDescent="0.25">
      <c r="B137" s="204"/>
      <c r="C137" s="183" t="s">
        <v>77</v>
      </c>
      <c r="D137" s="184">
        <f t="shared" ref="D137:D139" si="15">D130</f>
        <v>100000</v>
      </c>
      <c r="E137" s="100"/>
      <c r="F137" s="100">
        <f>H133</f>
        <v>1446000</v>
      </c>
      <c r="G137" s="255">
        <f>Rates!E29</f>
        <v>9.4800000000000006E-3</v>
      </c>
      <c r="H137" s="155">
        <f>F137*G137</f>
        <v>13708.080000000002</v>
      </c>
      <c r="I137" s="128"/>
      <c r="J137" s="128"/>
      <c r="K137" s="180"/>
      <c r="L137" s="203"/>
    </row>
    <row r="138" spans="2:12" x14ac:dyDescent="0.25">
      <c r="B138" s="204"/>
      <c r="C138" s="183" t="s">
        <v>77</v>
      </c>
      <c r="D138" s="184">
        <f t="shared" si="15"/>
        <v>150000</v>
      </c>
      <c r="E138" s="100"/>
      <c r="F138" s="100">
        <f>I133</f>
        <v>1800000</v>
      </c>
      <c r="G138" s="360">
        <f>'Existing Billing Analysis'!G138</f>
        <v>6.6800000000000002E-3</v>
      </c>
      <c r="H138" s="155">
        <f>F138*G138</f>
        <v>12024</v>
      </c>
      <c r="I138" s="128"/>
      <c r="J138" s="128"/>
      <c r="K138" s="180"/>
      <c r="L138" s="203"/>
    </row>
    <row r="139" spans="2:12" ht="15.75" thickBot="1" x14ac:dyDescent="0.3">
      <c r="B139" s="204"/>
      <c r="C139" s="183" t="s">
        <v>77</v>
      </c>
      <c r="D139" s="184">
        <f t="shared" si="15"/>
        <v>300000</v>
      </c>
      <c r="E139" s="186"/>
      <c r="F139" s="186">
        <f>J133</f>
        <v>12705000</v>
      </c>
      <c r="G139" s="255">
        <f>Rates!E30</f>
        <v>8.26E-3</v>
      </c>
      <c r="H139" s="188">
        <f>F139*G139</f>
        <v>104943.3</v>
      </c>
      <c r="I139" s="128"/>
      <c r="J139" s="128"/>
      <c r="K139" s="180"/>
      <c r="L139" s="203"/>
    </row>
    <row r="140" spans="2:12" x14ac:dyDescent="0.25">
      <c r="B140" s="204"/>
      <c r="C140" s="181"/>
      <c r="E140" s="100">
        <f>SUM(E136:E139)</f>
        <v>48</v>
      </c>
      <c r="F140" s="100">
        <f>SUM(F136:F139)</f>
        <v>17449200</v>
      </c>
      <c r="G140" s="129"/>
      <c r="H140" s="195">
        <f>SUM(H136:H139)</f>
        <v>154417.62</v>
      </c>
      <c r="I140" s="129"/>
      <c r="J140" s="129"/>
      <c r="K140" s="130"/>
      <c r="L140" s="203"/>
    </row>
    <row r="141" spans="2:12" x14ac:dyDescent="0.25">
      <c r="B141" s="204"/>
      <c r="E141" s="127"/>
      <c r="F141" s="100"/>
      <c r="G141" s="129"/>
      <c r="L141" s="203"/>
    </row>
    <row r="142" spans="2:12" x14ac:dyDescent="0.25">
      <c r="B142" s="204"/>
      <c r="C142" s="208" t="s">
        <v>93</v>
      </c>
      <c r="E142" s="100"/>
      <c r="F142" s="100"/>
      <c r="G142" s="127" t="str">
        <f>C144</f>
        <v>First</v>
      </c>
      <c r="H142" s="127" t="str">
        <f>C145</f>
        <v>Next</v>
      </c>
      <c r="I142" s="127" t="str">
        <f>C146</f>
        <v>Next</v>
      </c>
      <c r="J142" s="127" t="str">
        <f>C147</f>
        <v>Over</v>
      </c>
      <c r="K142" s="179"/>
      <c r="L142" s="203"/>
    </row>
    <row r="143" spans="2:12" ht="15.75" thickBot="1" x14ac:dyDescent="0.3">
      <c r="B143" s="204"/>
      <c r="C143" s="123" t="s">
        <v>65</v>
      </c>
      <c r="D143" s="189" t="s">
        <v>68</v>
      </c>
      <c r="E143" s="186" t="s">
        <v>10</v>
      </c>
      <c r="F143" s="186" t="s">
        <v>62</v>
      </c>
      <c r="G143" s="190">
        <f>D144</f>
        <v>8000</v>
      </c>
      <c r="H143" s="190">
        <f>D145</f>
        <v>3000</v>
      </c>
      <c r="I143" s="190">
        <f>D146</f>
        <v>5000</v>
      </c>
      <c r="J143" s="190">
        <f>D147</f>
        <v>10000</v>
      </c>
      <c r="K143" s="185" t="s">
        <v>1</v>
      </c>
      <c r="L143" s="203"/>
    </row>
    <row r="144" spans="2:12" x14ac:dyDescent="0.25">
      <c r="B144" s="204"/>
      <c r="C144" s="183" t="s">
        <v>66</v>
      </c>
      <c r="D144" s="184">
        <f>'Existing Billing Analysis'!D144</f>
        <v>8000</v>
      </c>
      <c r="E144" s="184">
        <f>'Existing Billing Analysis'!E144</f>
        <v>8</v>
      </c>
      <c r="F144" s="184">
        <f>'Existing Billing Analysis'!F144</f>
        <v>47600</v>
      </c>
      <c r="G144" s="100">
        <f>F144</f>
        <v>47600</v>
      </c>
      <c r="H144" s="100">
        <v>0</v>
      </c>
      <c r="I144" s="100">
        <v>0</v>
      </c>
      <c r="J144" s="100">
        <v>0</v>
      </c>
      <c r="K144" s="138">
        <f>SUM(G144:J144)</f>
        <v>47600</v>
      </c>
      <c r="L144" s="203"/>
    </row>
    <row r="145" spans="2:12" x14ac:dyDescent="0.25">
      <c r="B145" s="204"/>
      <c r="C145" s="183" t="s">
        <v>77</v>
      </c>
      <c r="D145" s="184">
        <f>'Existing Billing Analysis'!D145</f>
        <v>3000</v>
      </c>
      <c r="E145" s="184">
        <f>'Existing Billing Analysis'!E145</f>
        <v>4</v>
      </c>
      <c r="F145" s="184">
        <f>'Existing Billing Analysis'!F145</f>
        <v>34200</v>
      </c>
      <c r="G145" s="100">
        <f>E145*D144</f>
        <v>32000</v>
      </c>
      <c r="H145" s="100">
        <f>F145-G145</f>
        <v>2200</v>
      </c>
      <c r="I145" s="100">
        <v>0</v>
      </c>
      <c r="J145" s="100">
        <v>0</v>
      </c>
      <c r="K145" s="138">
        <f>SUM(G145:J145)</f>
        <v>34200</v>
      </c>
      <c r="L145" s="203"/>
    </row>
    <row r="146" spans="2:12" x14ac:dyDescent="0.25">
      <c r="B146" s="204"/>
      <c r="C146" s="183" t="s">
        <v>77</v>
      </c>
      <c r="D146" s="184">
        <f>'Existing Billing Analysis'!D146</f>
        <v>5000</v>
      </c>
      <c r="E146" s="184">
        <f>'Existing Billing Analysis'!E146</f>
        <v>0</v>
      </c>
      <c r="F146" s="184">
        <f>'Existing Billing Analysis'!F146</f>
        <v>0</v>
      </c>
      <c r="G146" s="100">
        <f>E146*D144</f>
        <v>0</v>
      </c>
      <c r="H146" s="100">
        <f>E146*D145</f>
        <v>0</v>
      </c>
      <c r="I146" s="100">
        <f>F146-G146-H146</f>
        <v>0</v>
      </c>
      <c r="J146" s="100">
        <v>0</v>
      </c>
      <c r="K146" s="138">
        <f>SUM(G146:J146)</f>
        <v>0</v>
      </c>
      <c r="L146" s="203"/>
    </row>
    <row r="147" spans="2:12" ht="15.75" thickBot="1" x14ac:dyDescent="0.3">
      <c r="B147" s="204"/>
      <c r="C147" s="183" t="s">
        <v>67</v>
      </c>
      <c r="D147" s="184">
        <f>'Existing Billing Analysis'!D147</f>
        <v>10000</v>
      </c>
      <c r="E147" s="358">
        <f>'Existing Billing Analysis'!E147</f>
        <v>0</v>
      </c>
      <c r="F147" s="358">
        <f>'Existing Billing Analysis'!F147</f>
        <v>0</v>
      </c>
      <c r="G147" s="186">
        <f>E147*D144</f>
        <v>0</v>
      </c>
      <c r="H147" s="186">
        <f>E147*D145</f>
        <v>0</v>
      </c>
      <c r="I147" s="186">
        <f>E147*D146</f>
        <v>0</v>
      </c>
      <c r="J147" s="186">
        <f>F147-G147-H147-I147</f>
        <v>0</v>
      </c>
      <c r="K147" s="187">
        <f>SUM(G147:J147)</f>
        <v>0</v>
      </c>
      <c r="L147" s="203"/>
    </row>
    <row r="148" spans="2:12" x14ac:dyDescent="0.25">
      <c r="B148" s="204"/>
      <c r="C148" s="181"/>
      <c r="E148" s="136">
        <f t="shared" ref="E148:K148" si="16">SUM(E144:E147)</f>
        <v>12</v>
      </c>
      <c r="F148" s="136">
        <f t="shared" si="16"/>
        <v>81800</v>
      </c>
      <c r="G148" s="100">
        <f t="shared" si="16"/>
        <v>79600</v>
      </c>
      <c r="H148" s="100">
        <f t="shared" si="16"/>
        <v>2200</v>
      </c>
      <c r="I148" s="100">
        <f t="shared" si="16"/>
        <v>0</v>
      </c>
      <c r="J148" s="100">
        <f t="shared" si="16"/>
        <v>0</v>
      </c>
      <c r="K148" s="100">
        <f t="shared" si="16"/>
        <v>81800</v>
      </c>
      <c r="L148" s="203"/>
    </row>
    <row r="149" spans="2:12" x14ac:dyDescent="0.25">
      <c r="B149" s="204"/>
      <c r="C149" s="181"/>
      <c r="E149" s="100"/>
      <c r="F149" s="100"/>
      <c r="G149" s="100"/>
      <c r="H149" s="100"/>
      <c r="I149" s="100"/>
      <c r="J149" s="100"/>
      <c r="K149" s="100"/>
      <c r="L149" s="203"/>
    </row>
    <row r="150" spans="2:12" ht="15.75" thickBot="1" x14ac:dyDescent="0.3">
      <c r="B150" s="204"/>
      <c r="C150" s="181" t="s">
        <v>70</v>
      </c>
      <c r="D150" s="189" t="s">
        <v>68</v>
      </c>
      <c r="E150" s="186" t="s">
        <v>10</v>
      </c>
      <c r="F150" s="186" t="s">
        <v>62</v>
      </c>
      <c r="G150" s="192" t="s">
        <v>11</v>
      </c>
      <c r="H150" s="189" t="s">
        <v>63</v>
      </c>
      <c r="I150" s="129"/>
      <c r="J150" s="129"/>
      <c r="K150" s="180"/>
      <c r="L150" s="203"/>
    </row>
    <row r="151" spans="2:12" x14ac:dyDescent="0.25">
      <c r="B151" s="204"/>
      <c r="C151" s="183" t="s">
        <v>66</v>
      </c>
      <c r="D151" s="184">
        <f>D144</f>
        <v>8000</v>
      </c>
      <c r="E151" s="100">
        <f>E148</f>
        <v>12</v>
      </c>
      <c r="F151" s="100">
        <f>G148</f>
        <v>79600</v>
      </c>
      <c r="G151" s="128">
        <f>Rates!E10*4</f>
        <v>118.36</v>
      </c>
      <c r="H151" s="155">
        <f>E151*G151</f>
        <v>1420.32</v>
      </c>
      <c r="I151" s="129"/>
      <c r="J151" s="129"/>
      <c r="K151" s="180"/>
      <c r="L151" s="203"/>
    </row>
    <row r="152" spans="2:12" x14ac:dyDescent="0.25">
      <c r="B152" s="204"/>
      <c r="C152" s="183" t="s">
        <v>77</v>
      </c>
      <c r="D152" s="184">
        <f t="shared" ref="D152:D154" si="17">D145</f>
        <v>3000</v>
      </c>
      <c r="E152" s="100"/>
      <c r="F152" s="100">
        <f>H148</f>
        <v>2200</v>
      </c>
      <c r="G152" s="255">
        <f>Rates!E11</f>
        <v>1.0710000000000001E-2</v>
      </c>
      <c r="H152" s="155">
        <f>F152*G152</f>
        <v>23.562000000000001</v>
      </c>
      <c r="I152" s="128"/>
      <c r="J152" s="128"/>
      <c r="K152" s="180"/>
      <c r="L152" s="203"/>
    </row>
    <row r="153" spans="2:12" x14ac:dyDescent="0.25">
      <c r="B153" s="204"/>
      <c r="C153" s="183" t="s">
        <v>77</v>
      </c>
      <c r="D153" s="184">
        <f t="shared" si="17"/>
        <v>5000</v>
      </c>
      <c r="E153" s="100"/>
      <c r="F153" s="100">
        <f>I148</f>
        <v>0</v>
      </c>
      <c r="G153" s="255">
        <f>Rates!E12</f>
        <v>9.4800000000000006E-3</v>
      </c>
      <c r="H153" s="155">
        <f>F153*G153</f>
        <v>0</v>
      </c>
      <c r="I153" s="128"/>
      <c r="J153" s="128"/>
      <c r="K153" s="180"/>
      <c r="L153" s="203"/>
    </row>
    <row r="154" spans="2:12" ht="15.75" thickBot="1" x14ac:dyDescent="0.3">
      <c r="B154" s="204"/>
      <c r="C154" s="183" t="s">
        <v>77</v>
      </c>
      <c r="D154" s="184">
        <f t="shared" si="17"/>
        <v>10000</v>
      </c>
      <c r="E154" s="186"/>
      <c r="F154" s="186">
        <f>J148</f>
        <v>0</v>
      </c>
      <c r="G154" s="255">
        <f>Rates!E13</f>
        <v>8.26E-3</v>
      </c>
      <c r="H154" s="188">
        <f>F154*G154</f>
        <v>0</v>
      </c>
      <c r="I154" s="128"/>
      <c r="J154" s="128"/>
      <c r="K154" s="180"/>
      <c r="L154" s="203"/>
    </row>
    <row r="155" spans="2:12" x14ac:dyDescent="0.25">
      <c r="B155" s="204"/>
      <c r="C155" s="181"/>
      <c r="E155" s="100">
        <f>SUM(E151:E154)</f>
        <v>12</v>
      </c>
      <c r="F155" s="100">
        <f>SUM(F151:F154)</f>
        <v>81800</v>
      </c>
      <c r="G155" s="129"/>
      <c r="H155" s="195">
        <f>SUM(H151:H154)</f>
        <v>1443.8819999999998</v>
      </c>
      <c r="I155" s="129"/>
      <c r="J155" s="129"/>
      <c r="K155" s="130"/>
      <c r="L155" s="203"/>
    </row>
    <row r="156" spans="2:12" ht="15.75" thickBot="1" x14ac:dyDescent="0.3">
      <c r="B156" s="209"/>
      <c r="C156" s="194"/>
      <c r="D156" s="194"/>
      <c r="E156" s="193"/>
      <c r="F156" s="186"/>
      <c r="G156" s="192"/>
      <c r="H156" s="194"/>
      <c r="I156" s="194"/>
      <c r="J156" s="194"/>
      <c r="K156" s="194"/>
      <c r="L156" s="210"/>
    </row>
    <row r="157" spans="2:12" x14ac:dyDescent="0.25">
      <c r="C157" s="123"/>
      <c r="E157" s="100"/>
      <c r="F157" s="100"/>
      <c r="G157" s="129"/>
      <c r="H157" s="129"/>
      <c r="I157" s="129"/>
      <c r="J157" s="129"/>
      <c r="K157" s="137"/>
    </row>
  </sheetData>
  <mergeCells count="4">
    <mergeCell ref="B6:I6"/>
    <mergeCell ref="B3:L3"/>
    <mergeCell ref="B4:L4"/>
    <mergeCell ref="B5:L5"/>
  </mergeCells>
  <printOptions horizontalCentered="1"/>
  <pageMargins left="0.25" right="0.25" top="0.5" bottom="0.5" header="0" footer="0"/>
  <pageSetup scale="8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0109-31C4-4640-AD9A-7CC81A59588E}">
  <dimension ref="A1:K24"/>
  <sheetViews>
    <sheetView workbookViewId="0">
      <selection sqref="A1:F21"/>
    </sheetView>
  </sheetViews>
  <sheetFormatPr defaultColWidth="8.77734375" defaultRowHeight="15" x14ac:dyDescent="0.25"/>
  <cols>
    <col min="1" max="1" width="4.5546875" style="4" customWidth="1"/>
    <col min="2" max="2" width="29.44140625" style="4" customWidth="1"/>
    <col min="3" max="3" width="14.88671875" style="4" customWidth="1"/>
    <col min="4" max="4" width="11.5546875" style="4" customWidth="1"/>
    <col min="5" max="5" width="3.5546875" style="346" customWidth="1"/>
    <col min="6" max="6" width="11.5546875" style="133" customWidth="1"/>
    <col min="7" max="7" width="3.5546875" style="4" customWidth="1"/>
    <col min="8" max="8" width="30.77734375" style="4" customWidth="1"/>
    <col min="9" max="10" width="11.33203125" style="4" customWidth="1"/>
    <col min="11" max="11" width="10.77734375" style="4" customWidth="1"/>
    <col min="12" max="16384" width="8.77734375" style="4"/>
  </cols>
  <sheetData>
    <row r="1" spans="1:11" ht="18.75" x14ac:dyDescent="0.25">
      <c r="A1" s="362" t="s">
        <v>163</v>
      </c>
      <c r="B1" s="362"/>
      <c r="C1" s="362"/>
      <c r="D1" s="362"/>
      <c r="E1" s="362"/>
      <c r="F1" s="362"/>
      <c r="G1" s="31"/>
      <c r="H1" s="31"/>
      <c r="I1" s="31"/>
      <c r="J1" s="31"/>
    </row>
    <row r="2" spans="1:11" ht="18.75" x14ac:dyDescent="0.25">
      <c r="A2" s="362" t="s">
        <v>80</v>
      </c>
      <c r="B2" s="362"/>
      <c r="C2" s="362"/>
      <c r="D2" s="362"/>
      <c r="E2" s="362"/>
      <c r="F2" s="362"/>
      <c r="G2" s="31"/>
      <c r="H2" s="31"/>
      <c r="I2" s="31"/>
      <c r="J2" s="31"/>
      <c r="K2" s="31"/>
    </row>
    <row r="3" spans="1:11" ht="15.75" x14ac:dyDescent="0.25">
      <c r="A3" s="96"/>
      <c r="B3" s="96"/>
      <c r="C3" s="96"/>
      <c r="D3" s="96"/>
      <c r="E3" s="96"/>
      <c r="F3" s="96"/>
      <c r="G3" s="31"/>
      <c r="H3" s="31"/>
      <c r="I3" s="31"/>
      <c r="J3" s="31"/>
      <c r="K3" s="31"/>
    </row>
    <row r="4" spans="1:11" x14ac:dyDescent="0.25">
      <c r="A4" s="34" t="s">
        <v>60</v>
      </c>
      <c r="B4" s="31"/>
      <c r="C4" s="35"/>
      <c r="D4" s="31"/>
      <c r="E4" s="33"/>
      <c r="G4" s="31"/>
      <c r="I4" s="31"/>
      <c r="J4" s="31"/>
    </row>
    <row r="5" spans="1:11" x14ac:dyDescent="0.25">
      <c r="A5" s="34"/>
      <c r="B5" s="31" t="str">
        <f>SAO!A34</f>
        <v>Total Operating Expenses</v>
      </c>
      <c r="C5" s="35"/>
      <c r="D5" s="31"/>
      <c r="E5" s="33"/>
      <c r="F5" s="133">
        <f>SAO!F34</f>
        <v>1462678.7012533387</v>
      </c>
      <c r="G5" s="31"/>
      <c r="I5" s="31"/>
      <c r="J5" s="31"/>
    </row>
    <row r="6" spans="1:11" x14ac:dyDescent="0.25">
      <c r="A6" s="34"/>
      <c r="B6" s="31" t="str">
        <f>SAO!A39</f>
        <v>Total Other Expenses</v>
      </c>
      <c r="C6" s="35"/>
      <c r="D6" s="31"/>
      <c r="E6" s="33"/>
      <c r="F6" s="133">
        <f>SAO!F39</f>
        <v>284323.15462087304</v>
      </c>
      <c r="G6" s="31"/>
      <c r="I6" s="31"/>
      <c r="J6" s="31"/>
    </row>
    <row r="7" spans="1:11" x14ac:dyDescent="0.25">
      <c r="A7" s="31"/>
      <c r="B7" s="31" t="s">
        <v>43</v>
      </c>
      <c r="C7" s="35"/>
      <c r="D7" s="31"/>
      <c r="E7" s="33" t="s">
        <v>297</v>
      </c>
      <c r="F7" s="133">
        <f>'Debt Service'!M16</f>
        <v>177090.95199999999</v>
      </c>
      <c r="G7" s="31"/>
      <c r="I7" s="31"/>
      <c r="J7" s="31"/>
    </row>
    <row r="8" spans="1:11" s="50" customFormat="1" x14ac:dyDescent="0.25">
      <c r="A8" s="101"/>
      <c r="B8" s="101" t="s">
        <v>73</v>
      </c>
      <c r="C8" s="144"/>
      <c r="D8" s="101"/>
      <c r="E8" s="352" t="s">
        <v>295</v>
      </c>
      <c r="F8" s="135">
        <f>'Debt Service'!M18</f>
        <v>35418.190399999999</v>
      </c>
      <c r="G8" s="101"/>
      <c r="I8" s="101"/>
      <c r="J8" s="101"/>
    </row>
    <row r="9" spans="1:11" x14ac:dyDescent="0.25">
      <c r="A9" s="34" t="s">
        <v>15</v>
      </c>
      <c r="B9" s="31"/>
      <c r="C9" s="35"/>
      <c r="D9" s="31"/>
      <c r="E9" s="33"/>
      <c r="F9" s="156">
        <f>SUM(F5:F8)</f>
        <v>1959510.9982742118</v>
      </c>
      <c r="G9" s="31"/>
      <c r="I9" s="31"/>
      <c r="J9" s="31"/>
    </row>
    <row r="10" spans="1:11" x14ac:dyDescent="0.25">
      <c r="A10" s="34"/>
      <c r="B10" s="31"/>
      <c r="C10" s="35"/>
      <c r="D10" s="31"/>
      <c r="E10" s="33"/>
      <c r="F10" s="156"/>
      <c r="G10" s="31"/>
      <c r="I10" s="31"/>
      <c r="J10" s="31"/>
    </row>
    <row r="11" spans="1:11" x14ac:dyDescent="0.25">
      <c r="A11" s="34" t="s">
        <v>122</v>
      </c>
      <c r="B11" s="31"/>
      <c r="C11" s="35"/>
      <c r="D11" s="31"/>
      <c r="E11" s="33"/>
      <c r="F11" s="156"/>
      <c r="G11" s="31"/>
      <c r="I11" s="31"/>
      <c r="J11" s="31"/>
    </row>
    <row r="12" spans="1:11" x14ac:dyDescent="0.25">
      <c r="A12" s="34"/>
      <c r="B12" s="31" t="str">
        <f>SAO!B8</f>
        <v>Forfeited Discounts</v>
      </c>
      <c r="C12" s="35"/>
      <c r="D12" s="31"/>
      <c r="E12" s="33"/>
      <c r="F12" s="156">
        <f>SAO!F8</f>
        <v>46220</v>
      </c>
      <c r="G12" s="31"/>
      <c r="I12" s="31"/>
      <c r="J12" s="31"/>
    </row>
    <row r="13" spans="1:11" x14ac:dyDescent="0.25">
      <c r="A13" s="34"/>
      <c r="B13" s="31" t="str">
        <f>SAO!B9</f>
        <v>Miscellaneous</v>
      </c>
      <c r="C13" s="35"/>
      <c r="D13" s="31"/>
      <c r="E13" s="33"/>
      <c r="F13" s="156">
        <f>SAO!F9</f>
        <v>0</v>
      </c>
      <c r="G13" s="31"/>
      <c r="I13" s="31"/>
      <c r="J13" s="31"/>
    </row>
    <row r="14" spans="1:11" x14ac:dyDescent="0.25">
      <c r="A14" s="34"/>
      <c r="B14" s="31" t="str">
        <f>SAO!B12</f>
        <v xml:space="preserve">Rents from water property </v>
      </c>
      <c r="C14" s="35"/>
      <c r="D14" s="31"/>
      <c r="E14" s="33"/>
      <c r="F14" s="156">
        <f>SAO!F12</f>
        <v>1200</v>
      </c>
      <c r="G14" s="31"/>
      <c r="I14" s="31"/>
      <c r="J14" s="31"/>
    </row>
    <row r="15" spans="1:11" x14ac:dyDescent="0.25">
      <c r="A15" s="34"/>
      <c r="B15" s="31" t="str">
        <f>SAO!A44</f>
        <v>Total Other Income</v>
      </c>
      <c r="C15" s="35"/>
      <c r="D15" s="31"/>
      <c r="E15" s="33"/>
      <c r="F15" s="134">
        <f>SAO!F44</f>
        <v>25133</v>
      </c>
      <c r="G15" s="31"/>
      <c r="I15" s="31"/>
      <c r="J15" s="31"/>
    </row>
    <row r="16" spans="1:11" x14ac:dyDescent="0.25">
      <c r="A16" s="34" t="s">
        <v>123</v>
      </c>
      <c r="B16" s="31"/>
      <c r="C16" s="35"/>
      <c r="D16" s="31"/>
      <c r="E16" s="33"/>
      <c r="F16" s="156">
        <f>SUM(F12:F15)</f>
        <v>72553</v>
      </c>
      <c r="G16" s="31"/>
      <c r="I16" s="31"/>
      <c r="J16" s="31"/>
    </row>
    <row r="17" spans="1:10" x14ac:dyDescent="0.25">
      <c r="A17" s="34"/>
      <c r="B17" s="31"/>
      <c r="C17" s="35"/>
      <c r="D17" s="31"/>
      <c r="E17" s="33"/>
      <c r="F17" s="156"/>
      <c r="G17" s="31"/>
      <c r="I17" s="31"/>
      <c r="J17" s="31"/>
    </row>
    <row r="18" spans="1:10" x14ac:dyDescent="0.25">
      <c r="A18" s="34" t="s">
        <v>72</v>
      </c>
      <c r="B18" s="31"/>
      <c r="C18" s="35"/>
      <c r="D18" s="31"/>
      <c r="E18" s="33"/>
      <c r="F18" s="156">
        <f>F9-F16</f>
        <v>1886957.9982742118</v>
      </c>
      <c r="G18" s="31"/>
      <c r="I18" s="31"/>
      <c r="J18" s="31"/>
    </row>
    <row r="19" spans="1:10" x14ac:dyDescent="0.25">
      <c r="A19" s="31" t="s">
        <v>3</v>
      </c>
      <c r="B19" s="31" t="s">
        <v>14</v>
      </c>
      <c r="C19" s="35"/>
      <c r="D19" s="31"/>
      <c r="E19" s="33"/>
      <c r="F19" s="134">
        <f>SAO!F7</f>
        <v>1526003.9939999999</v>
      </c>
      <c r="G19" s="31"/>
      <c r="H19" s="17"/>
      <c r="I19" s="31"/>
      <c r="J19" s="31"/>
    </row>
    <row r="20" spans="1:10" x14ac:dyDescent="0.25">
      <c r="A20" s="34" t="s">
        <v>16</v>
      </c>
      <c r="B20" s="31"/>
      <c r="C20" s="35"/>
      <c r="D20" s="31"/>
      <c r="E20" s="33"/>
      <c r="F20" s="131">
        <f>F18-F19</f>
        <v>360954.00427421182</v>
      </c>
      <c r="G20" s="31"/>
      <c r="H20" s="31"/>
      <c r="I20" s="31"/>
      <c r="J20" s="31"/>
    </row>
    <row r="21" spans="1:10" ht="14.65" customHeight="1" x14ac:dyDescent="0.25">
      <c r="A21" s="34" t="s">
        <v>59</v>
      </c>
      <c r="B21" s="31"/>
      <c r="C21" s="35"/>
      <c r="D21" s="31"/>
      <c r="E21" s="33"/>
      <c r="F21" s="169">
        <f>IF(F20&lt;0,0,F20/F19)</f>
        <v>0.23653542565643629</v>
      </c>
      <c r="G21" s="31"/>
      <c r="H21" s="31"/>
      <c r="I21" s="31"/>
      <c r="J21" s="31"/>
    </row>
    <row r="22" spans="1:10" x14ac:dyDescent="0.25">
      <c r="A22" s="34"/>
      <c r="B22" s="31"/>
      <c r="C22" s="35"/>
      <c r="D22" s="31"/>
      <c r="E22" s="33"/>
      <c r="F22" s="131"/>
    </row>
    <row r="23" spans="1:10" x14ac:dyDescent="0.25">
      <c r="A23" s="31"/>
      <c r="B23" s="31"/>
      <c r="C23" s="35"/>
      <c r="D23" s="31"/>
      <c r="E23" s="33"/>
      <c r="F23" s="131"/>
    </row>
    <row r="24" spans="1:10" x14ac:dyDescent="0.25">
      <c r="A24" s="34"/>
      <c r="B24" s="31"/>
      <c r="C24" s="35"/>
      <c r="D24" s="31"/>
      <c r="E24" s="33"/>
      <c r="F24" s="131"/>
    </row>
  </sheetData>
  <mergeCells count="2">
    <mergeCell ref="A1:F1"/>
    <mergeCell ref="A2:F2"/>
  </mergeCells>
  <printOptions horizontalCentered="1" verticalCentered="1"/>
  <pageMargins left="0.7" right="0.7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L33"/>
  <sheetViews>
    <sheetView tabSelected="1" workbookViewId="0">
      <selection activeCell="C13" sqref="C13"/>
    </sheetView>
  </sheetViews>
  <sheetFormatPr defaultColWidth="8.77734375" defaultRowHeight="15" x14ac:dyDescent="0.25"/>
  <cols>
    <col min="1" max="1" width="8.77734375" style="1"/>
    <col min="2" max="3" width="20.5546875" style="1" customWidth="1"/>
    <col min="4" max="4" width="12.5546875" style="307" customWidth="1"/>
    <col min="5" max="6" width="12.5546875" style="353" customWidth="1"/>
    <col min="7" max="9" width="12.5546875" style="7" customWidth="1"/>
    <col min="10" max="10" width="9.5546875" style="11" customWidth="1"/>
    <col min="11" max="16384" width="8.77734375" style="1"/>
  </cols>
  <sheetData>
    <row r="1" spans="1:12" ht="15.4" customHeight="1" x14ac:dyDescent="0.25">
      <c r="A1" s="363" t="s">
        <v>21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x14ac:dyDescent="0.25">
      <c r="D2" s="354"/>
      <c r="E2" s="355"/>
      <c r="F2" s="355"/>
      <c r="G2" s="38"/>
      <c r="H2" s="38"/>
      <c r="I2" s="38" t="s">
        <v>1</v>
      </c>
      <c r="J2" s="11" t="s">
        <v>55</v>
      </c>
    </row>
    <row r="3" spans="1:12" x14ac:dyDescent="0.25">
      <c r="D3" s="354" t="s">
        <v>22</v>
      </c>
      <c r="E3" s="355" t="s">
        <v>22</v>
      </c>
      <c r="F3" s="355" t="s">
        <v>23</v>
      </c>
      <c r="G3" s="38" t="s">
        <v>22</v>
      </c>
      <c r="H3" s="38" t="s">
        <v>22</v>
      </c>
      <c r="I3" s="38" t="s">
        <v>22</v>
      </c>
      <c r="J3" s="11" t="s">
        <v>51</v>
      </c>
    </row>
    <row r="4" spans="1:12" x14ac:dyDescent="0.25">
      <c r="A4" s="304" t="s">
        <v>233</v>
      </c>
      <c r="B4" s="304" t="s">
        <v>234</v>
      </c>
      <c r="C4" s="304" t="s">
        <v>235</v>
      </c>
      <c r="D4" s="356" t="s">
        <v>25</v>
      </c>
      <c r="E4" s="357" t="s">
        <v>26</v>
      </c>
      <c r="F4" s="357" t="s">
        <v>27</v>
      </c>
      <c r="G4" s="305" t="s">
        <v>28</v>
      </c>
      <c r="H4" s="305" t="s">
        <v>29</v>
      </c>
      <c r="I4" s="305" t="s">
        <v>30</v>
      </c>
      <c r="J4" s="306" t="s">
        <v>52</v>
      </c>
    </row>
    <row r="5" spans="1:12" x14ac:dyDescent="0.25">
      <c r="A5" s="10">
        <v>1</v>
      </c>
      <c r="B5" s="423" t="s">
        <v>236</v>
      </c>
      <c r="C5" s="423" t="s">
        <v>236</v>
      </c>
      <c r="D5" s="307">
        <v>2098.5</v>
      </c>
      <c r="E5" s="307">
        <v>75</v>
      </c>
      <c r="F5" s="52">
        <v>24.5</v>
      </c>
      <c r="G5" s="7">
        <f>D5*F5</f>
        <v>51413.25</v>
      </c>
      <c r="H5" s="7">
        <f>E5*F5*1.5</f>
        <v>2756.25</v>
      </c>
      <c r="I5" s="7">
        <f>G5+H5</f>
        <v>54169.5</v>
      </c>
      <c r="J5" s="313">
        <f>I5</f>
        <v>54169.5</v>
      </c>
    </row>
    <row r="6" spans="1:12" x14ac:dyDescent="0.25">
      <c r="A6" s="10">
        <f>A5+1</f>
        <v>2</v>
      </c>
      <c r="B6" s="423" t="s">
        <v>237</v>
      </c>
      <c r="C6" s="423" t="s">
        <v>237</v>
      </c>
      <c r="D6" s="307">
        <v>2161.5</v>
      </c>
      <c r="E6" s="307">
        <v>303.5</v>
      </c>
      <c r="F6" s="52">
        <v>21</v>
      </c>
      <c r="G6" s="7">
        <f t="shared" ref="G6:G14" si="0">D6*F6</f>
        <v>45391.5</v>
      </c>
      <c r="H6" s="7">
        <f t="shared" ref="H6:H14" si="1">E6*F6*1.5</f>
        <v>9560.25</v>
      </c>
      <c r="I6" s="7">
        <f t="shared" ref="I6:I14" si="2">G6+H6</f>
        <v>54951.75</v>
      </c>
      <c r="J6" s="313">
        <f>I6</f>
        <v>54951.75</v>
      </c>
    </row>
    <row r="7" spans="1:12" x14ac:dyDescent="0.25">
      <c r="A7" s="10">
        <f t="shared" ref="A7:A14" si="3">A6+1</f>
        <v>3</v>
      </c>
      <c r="B7" s="423" t="s">
        <v>238</v>
      </c>
      <c r="C7" s="423" t="s">
        <v>238</v>
      </c>
      <c r="D7" s="307">
        <v>2080</v>
      </c>
      <c r="E7" s="307">
        <v>0</v>
      </c>
      <c r="F7" s="52">
        <v>20</v>
      </c>
      <c r="G7" s="7">
        <f t="shared" si="0"/>
        <v>41600</v>
      </c>
      <c r="H7" s="7">
        <f t="shared" si="1"/>
        <v>0</v>
      </c>
      <c r="I7" s="7">
        <f t="shared" si="2"/>
        <v>41600</v>
      </c>
      <c r="J7" s="313">
        <f t="shared" ref="J7:J14" si="4">I7</f>
        <v>41600</v>
      </c>
    </row>
    <row r="8" spans="1:12" x14ac:dyDescent="0.25">
      <c r="A8" s="10">
        <f t="shared" si="3"/>
        <v>4</v>
      </c>
      <c r="B8" s="423" t="s">
        <v>239</v>
      </c>
      <c r="C8" s="1" t="s">
        <v>262</v>
      </c>
      <c r="D8" s="307">
        <v>2080</v>
      </c>
      <c r="E8" s="307">
        <v>0</v>
      </c>
      <c r="F8" s="52">
        <v>17</v>
      </c>
      <c r="G8" s="7">
        <f t="shared" si="0"/>
        <v>35360</v>
      </c>
      <c r="H8" s="7">
        <f t="shared" si="1"/>
        <v>0</v>
      </c>
      <c r="I8" s="7">
        <f t="shared" si="2"/>
        <v>35360</v>
      </c>
      <c r="J8" s="313">
        <f t="shared" si="4"/>
        <v>35360</v>
      </c>
      <c r="L8" s="40"/>
    </row>
    <row r="9" spans="1:12" x14ac:dyDescent="0.25">
      <c r="A9" s="10">
        <f t="shared" si="3"/>
        <v>5</v>
      </c>
      <c r="B9" s="423" t="s">
        <v>240</v>
      </c>
      <c r="C9" s="423" t="s">
        <v>265</v>
      </c>
      <c r="D9" s="307">
        <v>2080</v>
      </c>
      <c r="E9" s="307">
        <v>0</v>
      </c>
      <c r="F9" s="52">
        <v>17</v>
      </c>
      <c r="G9" s="7">
        <f t="shared" si="0"/>
        <v>35360</v>
      </c>
      <c r="H9" s="7">
        <f t="shared" si="1"/>
        <v>0</v>
      </c>
      <c r="I9" s="7">
        <f t="shared" si="2"/>
        <v>35360</v>
      </c>
      <c r="J9" s="313">
        <f t="shared" si="4"/>
        <v>35360</v>
      </c>
    </row>
    <row r="10" spans="1:12" x14ac:dyDescent="0.25">
      <c r="A10" s="10">
        <f t="shared" si="3"/>
        <v>6</v>
      </c>
      <c r="B10" s="423" t="s">
        <v>241</v>
      </c>
      <c r="C10" s="423" t="s">
        <v>266</v>
      </c>
      <c r="D10" s="307">
        <v>2080</v>
      </c>
      <c r="E10" s="307">
        <v>0</v>
      </c>
      <c r="F10" s="52">
        <v>17</v>
      </c>
      <c r="G10" s="7">
        <f t="shared" si="0"/>
        <v>35360</v>
      </c>
      <c r="H10" s="7">
        <f t="shared" si="1"/>
        <v>0</v>
      </c>
      <c r="I10" s="7">
        <f t="shared" si="2"/>
        <v>35360</v>
      </c>
      <c r="J10" s="313">
        <f t="shared" si="4"/>
        <v>35360</v>
      </c>
    </row>
    <row r="11" spans="1:12" x14ac:dyDescent="0.25">
      <c r="A11" s="10">
        <f t="shared" si="3"/>
        <v>7</v>
      </c>
      <c r="B11" s="423" t="s">
        <v>242</v>
      </c>
      <c r="C11" s="423" t="s">
        <v>242</v>
      </c>
      <c r="D11" s="307">
        <v>2080</v>
      </c>
      <c r="E11" s="307">
        <v>0</v>
      </c>
      <c r="F11" s="52">
        <v>27.97</v>
      </c>
      <c r="G11" s="7">
        <f t="shared" si="0"/>
        <v>58177.599999999999</v>
      </c>
      <c r="H11" s="7">
        <f t="shared" si="1"/>
        <v>0</v>
      </c>
      <c r="I11" s="7">
        <f t="shared" si="2"/>
        <v>58177.599999999999</v>
      </c>
      <c r="J11" s="313">
        <f t="shared" si="4"/>
        <v>58177.599999999999</v>
      </c>
    </row>
    <row r="12" spans="1:12" x14ac:dyDescent="0.25">
      <c r="A12" s="10">
        <f t="shared" si="3"/>
        <v>8</v>
      </c>
      <c r="B12" s="423" t="s">
        <v>243</v>
      </c>
      <c r="C12" s="1" t="s">
        <v>262</v>
      </c>
      <c r="D12" s="307">
        <v>2080</v>
      </c>
      <c r="E12" s="307">
        <v>0</v>
      </c>
      <c r="F12" s="52">
        <v>16</v>
      </c>
      <c r="G12" s="7">
        <f t="shared" si="0"/>
        <v>33280</v>
      </c>
      <c r="H12" s="7">
        <f t="shared" si="1"/>
        <v>0</v>
      </c>
      <c r="I12" s="7">
        <f t="shared" si="2"/>
        <v>33280</v>
      </c>
      <c r="J12" s="313">
        <f t="shared" si="4"/>
        <v>33280</v>
      </c>
    </row>
    <row r="13" spans="1:12" x14ac:dyDescent="0.25">
      <c r="A13" s="10">
        <f t="shared" si="3"/>
        <v>9</v>
      </c>
      <c r="B13" s="423" t="s">
        <v>263</v>
      </c>
      <c r="C13" s="423" t="s">
        <v>263</v>
      </c>
      <c r="D13" s="307">
        <v>2080</v>
      </c>
      <c r="E13" s="307">
        <v>0</v>
      </c>
      <c r="F13" s="52">
        <v>22.84</v>
      </c>
      <c r="G13" s="7">
        <f t="shared" si="0"/>
        <v>47507.199999999997</v>
      </c>
      <c r="H13" s="7">
        <f t="shared" si="1"/>
        <v>0</v>
      </c>
      <c r="I13" s="7">
        <f t="shared" si="2"/>
        <v>47507.199999999997</v>
      </c>
      <c r="J13" s="313">
        <f t="shared" si="4"/>
        <v>47507.199999999997</v>
      </c>
    </row>
    <row r="14" spans="1:12" x14ac:dyDescent="0.25">
      <c r="A14" s="10">
        <f t="shared" si="3"/>
        <v>10</v>
      </c>
      <c r="B14" s="423" t="s">
        <v>244</v>
      </c>
      <c r="C14" s="1" t="s">
        <v>264</v>
      </c>
      <c r="D14" s="307">
        <v>0</v>
      </c>
      <c r="E14" s="316">
        <v>0</v>
      </c>
      <c r="F14" s="52">
        <v>0</v>
      </c>
      <c r="G14" s="9">
        <f t="shared" si="0"/>
        <v>0</v>
      </c>
      <c r="H14" s="9">
        <f t="shared" si="1"/>
        <v>0</v>
      </c>
      <c r="I14" s="9">
        <f t="shared" si="2"/>
        <v>0</v>
      </c>
      <c r="J14" s="313">
        <f t="shared" si="4"/>
        <v>0</v>
      </c>
    </row>
    <row r="15" spans="1:12" x14ac:dyDescent="0.25">
      <c r="E15" s="307"/>
      <c r="F15" s="52"/>
    </row>
    <row r="16" spans="1:12" x14ac:dyDescent="0.25">
      <c r="B16" s="1" t="s">
        <v>50</v>
      </c>
      <c r="D16" s="307">
        <f>SUM(D5:D14)</f>
        <v>18820</v>
      </c>
      <c r="E16" s="307">
        <f>SUM(E5:E14)</f>
        <v>378.5</v>
      </c>
      <c r="F16" s="52"/>
      <c r="G16" s="7">
        <f>SUM(G5:G14)</f>
        <v>383449.55</v>
      </c>
      <c r="H16" s="7">
        <f>SUM(H5:H14)</f>
        <v>12316.5</v>
      </c>
      <c r="I16" s="7">
        <f>SUM(I5:I14)</f>
        <v>395766.05</v>
      </c>
      <c r="J16" s="7">
        <f>SUM(J5:J14)</f>
        <v>395766.05</v>
      </c>
    </row>
    <row r="18" spans="2:10" x14ac:dyDescent="0.25">
      <c r="B18" s="1" t="s">
        <v>270</v>
      </c>
      <c r="I18" s="38" t="s">
        <v>8</v>
      </c>
    </row>
    <row r="19" spans="2:10" x14ac:dyDescent="0.25">
      <c r="B19" s="1" t="s">
        <v>271</v>
      </c>
      <c r="F19" s="353" t="s">
        <v>31</v>
      </c>
      <c r="I19" s="7">
        <f>I16</f>
        <v>395766.05</v>
      </c>
    </row>
    <row r="20" spans="2:10" x14ac:dyDescent="0.25">
      <c r="F20" s="353" t="s">
        <v>32</v>
      </c>
      <c r="I20" s="58">
        <f>-SAO!C16</f>
        <v>-243031</v>
      </c>
    </row>
    <row r="21" spans="2:10" x14ac:dyDescent="0.25">
      <c r="F21" s="353" t="s">
        <v>33</v>
      </c>
      <c r="I21" s="7">
        <f>I19+I20</f>
        <v>152735.04999999999</v>
      </c>
      <c r="J21" s="10"/>
    </row>
    <row r="22" spans="2:10" x14ac:dyDescent="0.25">
      <c r="I22" s="7" t="s">
        <v>34</v>
      </c>
      <c r="J22" s="10"/>
    </row>
    <row r="23" spans="2:10" x14ac:dyDescent="0.25">
      <c r="F23" s="353" t="s">
        <v>35</v>
      </c>
      <c r="I23" s="7">
        <f>I16</f>
        <v>395766.05</v>
      </c>
      <c r="J23" s="10"/>
    </row>
    <row r="24" spans="2:10" x14ac:dyDescent="0.25">
      <c r="F24" s="353" t="s">
        <v>36</v>
      </c>
      <c r="I24" s="39">
        <v>7.6499999999999999E-2</v>
      </c>
      <c r="J24" s="10"/>
    </row>
    <row r="25" spans="2:10" x14ac:dyDescent="0.25">
      <c r="F25" s="353" t="s">
        <v>37</v>
      </c>
      <c r="I25" s="7">
        <f>I23*I24</f>
        <v>30276.102824999998</v>
      </c>
      <c r="J25" s="10"/>
    </row>
    <row r="26" spans="2:10" x14ac:dyDescent="0.25">
      <c r="F26" s="353" t="s">
        <v>38</v>
      </c>
      <c r="I26" s="317">
        <f>-[1]Summary!$E$14</f>
        <v>-21572.835160000002</v>
      </c>
      <c r="J26" s="315" t="s">
        <v>260</v>
      </c>
    </row>
    <row r="27" spans="2:10" x14ac:dyDescent="0.25">
      <c r="F27" s="353" t="s">
        <v>39</v>
      </c>
      <c r="I27" s="7">
        <f>I25+I26</f>
        <v>8703.2676649999958</v>
      </c>
      <c r="J27" s="10"/>
    </row>
    <row r="28" spans="2:10" x14ac:dyDescent="0.25">
      <c r="J28" s="10"/>
    </row>
    <row r="29" spans="2:10" x14ac:dyDescent="0.25">
      <c r="F29" s="353" t="s">
        <v>258</v>
      </c>
      <c r="I29" s="7">
        <f>J16</f>
        <v>395766.05</v>
      </c>
      <c r="J29" s="10"/>
    </row>
    <row r="30" spans="2:10" x14ac:dyDescent="0.25">
      <c r="F30" s="353" t="s">
        <v>257</v>
      </c>
      <c r="I30" s="39">
        <v>0.1862</v>
      </c>
      <c r="J30" s="315" t="s">
        <v>261</v>
      </c>
    </row>
    <row r="31" spans="2:10" x14ac:dyDescent="0.25">
      <c r="F31" s="353" t="s">
        <v>40</v>
      </c>
      <c r="I31" s="7">
        <f>I29*I30</f>
        <v>73691.638510000004</v>
      </c>
      <c r="J31" s="10"/>
    </row>
    <row r="32" spans="2:10" x14ac:dyDescent="0.25">
      <c r="F32" s="353" t="s">
        <v>41</v>
      </c>
      <c r="I32" s="58">
        <f>-[1]Retirement!$I$19</f>
        <v>-27957.451719568497</v>
      </c>
      <c r="J32" s="10"/>
    </row>
    <row r="33" spans="6:10" x14ac:dyDescent="0.25">
      <c r="F33" s="353" t="s">
        <v>42</v>
      </c>
      <c r="I33" s="7">
        <f>I31+I32</f>
        <v>45734.186790431508</v>
      </c>
      <c r="J33" s="10"/>
    </row>
  </sheetData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02C5-2CD7-493D-BF25-B1BF26C1D76D}">
  <dimension ref="A1:J20"/>
  <sheetViews>
    <sheetView workbookViewId="0">
      <selection activeCell="C21" sqref="C21"/>
    </sheetView>
  </sheetViews>
  <sheetFormatPr defaultRowHeight="15" x14ac:dyDescent="0.25"/>
  <cols>
    <col min="1" max="1" width="28" style="49" bestFit="1" customWidth="1"/>
    <col min="2" max="2" width="6.5546875" style="49" bestFit="1" customWidth="1"/>
    <col min="3" max="3" width="9.6640625" style="49" bestFit="1" customWidth="1"/>
    <col min="4" max="5" width="14.77734375" style="49" customWidth="1"/>
    <col min="6" max="6" width="1.77734375" style="49" customWidth="1"/>
    <col min="7" max="9" width="14.77734375" style="318" customWidth="1"/>
    <col min="10" max="10" width="14.6640625" style="49" customWidth="1"/>
    <col min="11" max="16384" width="8.88671875" style="49"/>
  </cols>
  <sheetData>
    <row r="1" spans="1:10" x14ac:dyDescent="0.25">
      <c r="A1" s="49" t="s">
        <v>80</v>
      </c>
    </row>
    <row r="2" spans="1:10" x14ac:dyDescent="0.25">
      <c r="A2" s="49" t="s">
        <v>272</v>
      </c>
    </row>
    <row r="4" spans="1:10" x14ac:dyDescent="0.25">
      <c r="A4" s="319" t="s">
        <v>273</v>
      </c>
      <c r="B4" s="319" t="s">
        <v>245</v>
      </c>
      <c r="C4" s="319" t="s">
        <v>13</v>
      </c>
      <c r="D4" s="308" t="s">
        <v>254</v>
      </c>
      <c r="E4" s="320" t="s">
        <v>24</v>
      </c>
      <c r="G4" s="364" t="s">
        <v>246</v>
      </c>
      <c r="H4" s="364"/>
      <c r="I4" s="337" t="s">
        <v>274</v>
      </c>
      <c r="J4" s="340" t="s">
        <v>274</v>
      </c>
    </row>
    <row r="5" spans="1:10" x14ac:dyDescent="0.25">
      <c r="A5" s="321" t="s">
        <v>247</v>
      </c>
      <c r="B5" s="321" t="s">
        <v>248</v>
      </c>
      <c r="C5" s="321" t="s">
        <v>249</v>
      </c>
      <c r="D5" s="322">
        <v>1</v>
      </c>
      <c r="E5" s="322">
        <v>0</v>
      </c>
      <c r="G5" s="336" t="s">
        <v>254</v>
      </c>
      <c r="H5" s="336" t="s">
        <v>24</v>
      </c>
      <c r="I5" s="338" t="s">
        <v>275</v>
      </c>
      <c r="J5" s="341" t="s">
        <v>276</v>
      </c>
    </row>
    <row r="6" spans="1:10" x14ac:dyDescent="0.25">
      <c r="A6" s="323" t="s">
        <v>250</v>
      </c>
      <c r="B6" s="324">
        <v>0</v>
      </c>
      <c r="C6" s="325"/>
      <c r="D6" s="335">
        <f t="shared" ref="D6:D8" si="0">ROUND($C6*$D$5,2)</f>
        <v>0</v>
      </c>
      <c r="E6" s="318">
        <f t="shared" ref="E6:E8" si="1">ROUND($C6*$E$59,2)</f>
        <v>0</v>
      </c>
      <c r="G6" s="318">
        <f>$B6*D6*12</f>
        <v>0</v>
      </c>
      <c r="H6" s="318">
        <f>$B6*E6*12</f>
        <v>0</v>
      </c>
      <c r="I6" s="339">
        <v>0.67</v>
      </c>
      <c r="J6" s="332">
        <f>G6*I6</f>
        <v>0</v>
      </c>
    </row>
    <row r="7" spans="1:10" x14ac:dyDescent="0.25">
      <c r="A7" s="326" t="s">
        <v>251</v>
      </c>
      <c r="B7" s="324">
        <v>0</v>
      </c>
      <c r="C7" s="327"/>
      <c r="D7" s="318">
        <f t="shared" si="0"/>
        <v>0</v>
      </c>
      <c r="E7" s="318">
        <f t="shared" si="1"/>
        <v>0</v>
      </c>
      <c r="G7" s="318">
        <f t="shared" ref="G7:H9" si="2">$B7*D7*12</f>
        <v>0</v>
      </c>
      <c r="H7" s="318">
        <f t="shared" si="2"/>
        <v>0</v>
      </c>
      <c r="I7" s="339">
        <v>0.67</v>
      </c>
      <c r="J7" s="332">
        <f t="shared" ref="J7:J9" si="3">G7*I7</f>
        <v>0</v>
      </c>
    </row>
    <row r="8" spans="1:10" x14ac:dyDescent="0.25">
      <c r="A8" s="326" t="s">
        <v>252</v>
      </c>
      <c r="B8" s="324">
        <v>0</v>
      </c>
      <c r="C8" s="327"/>
      <c r="D8" s="318">
        <f t="shared" si="0"/>
        <v>0</v>
      </c>
      <c r="E8" s="318">
        <f t="shared" si="1"/>
        <v>0</v>
      </c>
      <c r="G8" s="318">
        <f t="shared" si="2"/>
        <v>0</v>
      </c>
      <c r="H8" s="318">
        <f t="shared" si="2"/>
        <v>0</v>
      </c>
      <c r="I8" s="339">
        <v>0.67</v>
      </c>
      <c r="J8" s="332">
        <f t="shared" si="3"/>
        <v>0</v>
      </c>
    </row>
    <row r="9" spans="1:10" x14ac:dyDescent="0.25">
      <c r="A9" s="328" t="s">
        <v>253</v>
      </c>
      <c r="B9" s="329">
        <v>7</v>
      </c>
      <c r="C9" s="330">
        <v>636.77</v>
      </c>
      <c r="D9" s="334">
        <f>ROUND($C9*$D$5,2)</f>
        <v>636.77</v>
      </c>
      <c r="E9" s="331">
        <f>ROUND($C9*$E$59,2)</f>
        <v>0</v>
      </c>
      <c r="G9" s="331">
        <f t="shared" si="2"/>
        <v>53488.679999999993</v>
      </c>
      <c r="H9" s="331">
        <f t="shared" si="2"/>
        <v>0</v>
      </c>
      <c r="I9" s="339">
        <v>0.78</v>
      </c>
      <c r="J9" s="342">
        <f t="shared" si="3"/>
        <v>41721.170399999995</v>
      </c>
    </row>
    <row r="10" spans="1:10" x14ac:dyDescent="0.25">
      <c r="B10" s="207">
        <f>SUM(B6:B9)</f>
        <v>7</v>
      </c>
      <c r="C10" s="332">
        <f>SUM(C6:C9)</f>
        <v>636.77</v>
      </c>
      <c r="D10" s="332">
        <f>SUM(D6:D9)</f>
        <v>636.77</v>
      </c>
      <c r="E10" s="332">
        <f>SUM(E6:E9)</f>
        <v>0</v>
      </c>
      <c r="F10" s="332"/>
      <c r="G10" s="318">
        <f>SUM(G6:G9)</f>
        <v>53488.679999999993</v>
      </c>
      <c r="H10" s="318">
        <f>SUM(H6:H9)</f>
        <v>0</v>
      </c>
      <c r="J10" s="318">
        <f>SUM(J6:J9)</f>
        <v>41721.170399999995</v>
      </c>
    </row>
    <row r="11" spans="1:10" x14ac:dyDescent="0.25">
      <c r="B11" s="333"/>
      <c r="E11" s="332"/>
      <c r="H11" s="332"/>
    </row>
    <row r="14" spans="1:10" x14ac:dyDescent="0.25">
      <c r="A14" s="49" t="s">
        <v>277</v>
      </c>
      <c r="C14" s="332">
        <f>J10</f>
        <v>41721.170399999995</v>
      </c>
    </row>
    <row r="15" spans="1:10" x14ac:dyDescent="0.25">
      <c r="A15" s="49" t="s">
        <v>278</v>
      </c>
      <c r="C15" s="342">
        <v>33172.769999999997</v>
      </c>
      <c r="D15" s="49" t="s">
        <v>280</v>
      </c>
    </row>
    <row r="16" spans="1:10" x14ac:dyDescent="0.25">
      <c r="A16" s="49" t="s">
        <v>149</v>
      </c>
      <c r="C16" s="332">
        <f>C14-C15</f>
        <v>8548.4003999999986</v>
      </c>
    </row>
    <row r="18" spans="1:4" x14ac:dyDescent="0.25">
      <c r="A18" s="49" t="s">
        <v>303</v>
      </c>
      <c r="C18" s="332">
        <f>G10</f>
        <v>53488.679999999993</v>
      </c>
    </row>
    <row r="19" spans="1:4" x14ac:dyDescent="0.25">
      <c r="A19" s="49" t="s">
        <v>278</v>
      </c>
      <c r="C19" s="342">
        <f>C15</f>
        <v>33172.769999999997</v>
      </c>
      <c r="D19" s="49" t="str">
        <f>D15</f>
        <v>Account 503 Group Hospitalization</v>
      </c>
    </row>
    <row r="20" spans="1:4" x14ac:dyDescent="0.25">
      <c r="A20" s="49" t="s">
        <v>149</v>
      </c>
      <c r="C20" s="332">
        <f>C18-C19</f>
        <v>20315.909999999996</v>
      </c>
    </row>
  </sheetData>
  <mergeCells count="1"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2E2D-32DB-42DA-8EA9-BE7E6793BDAF}">
  <dimension ref="B1:I44"/>
  <sheetViews>
    <sheetView topLeftCell="A22" workbookViewId="0">
      <selection activeCell="F41" sqref="F41"/>
    </sheetView>
  </sheetViews>
  <sheetFormatPr defaultRowHeight="14.25" x14ac:dyDescent="0.2"/>
  <cols>
    <col min="1" max="1" width="2.5546875" style="171" customWidth="1"/>
    <col min="2" max="2" width="1.5546875" style="171" customWidth="1"/>
    <col min="3" max="3" width="22" style="171" customWidth="1"/>
    <col min="4" max="4" width="9.88671875" style="170" bestFit="1" customWidth="1"/>
    <col min="5" max="5" width="9.6640625" style="170" bestFit="1" customWidth="1"/>
    <col min="6" max="6" width="10.33203125" style="171" bestFit="1" customWidth="1"/>
    <col min="7" max="8" width="8.88671875" style="171"/>
    <col min="9" max="9" width="1.5546875" style="171" customWidth="1"/>
    <col min="10" max="16384" width="8.88671875" style="171"/>
  </cols>
  <sheetData>
    <row r="1" spans="2:9" ht="15" thickBot="1" x14ac:dyDescent="0.25"/>
    <row r="2" spans="2:9" x14ac:dyDescent="0.2">
      <c r="B2" s="220"/>
      <c r="C2" s="221"/>
      <c r="D2" s="222"/>
      <c r="E2" s="222"/>
      <c r="F2" s="221"/>
      <c r="G2" s="221"/>
      <c r="H2" s="223"/>
    </row>
    <row r="3" spans="2:9" ht="18" x14ac:dyDescent="0.25">
      <c r="B3" s="224"/>
      <c r="C3" s="369" t="s">
        <v>6</v>
      </c>
      <c r="D3" s="369"/>
      <c r="E3" s="369"/>
      <c r="F3" s="369"/>
      <c r="G3" s="369"/>
      <c r="H3" s="370"/>
    </row>
    <row r="4" spans="2:9" x14ac:dyDescent="0.2">
      <c r="B4" s="224"/>
      <c r="C4" s="217" t="s">
        <v>153</v>
      </c>
      <c r="D4" s="174"/>
      <c r="E4" s="174"/>
      <c r="H4" s="225"/>
    </row>
    <row r="5" spans="2:9" ht="18.75" x14ac:dyDescent="0.3">
      <c r="B5" s="224"/>
      <c r="C5" s="365" t="s">
        <v>80</v>
      </c>
      <c r="D5" s="365"/>
      <c r="E5" s="365"/>
      <c r="F5" s="365"/>
      <c r="G5" s="365"/>
      <c r="H5" s="366"/>
    </row>
    <row r="6" spans="2:9" ht="16.5" customHeight="1" x14ac:dyDescent="0.3">
      <c r="B6" s="224"/>
      <c r="C6" s="367" t="s">
        <v>127</v>
      </c>
      <c r="D6" s="367"/>
      <c r="E6" s="367"/>
      <c r="F6" s="367"/>
      <c r="G6" s="367"/>
      <c r="H6" s="368"/>
      <c r="I6" s="1"/>
    </row>
    <row r="7" spans="2:9" ht="15" x14ac:dyDescent="0.25">
      <c r="B7" s="224"/>
      <c r="C7" s="218"/>
      <c r="D7" s="12"/>
      <c r="E7" s="12"/>
      <c r="F7" s="1"/>
      <c r="G7" s="1"/>
      <c r="H7" s="226"/>
      <c r="I7" s="1"/>
    </row>
    <row r="8" spans="2:9" ht="15" x14ac:dyDescent="0.25">
      <c r="B8" s="224"/>
      <c r="C8" s="1" t="s">
        <v>128</v>
      </c>
      <c r="D8" s="12"/>
      <c r="E8" s="12"/>
      <c r="F8" s="1"/>
      <c r="G8" s="1"/>
      <c r="H8" s="226"/>
      <c r="I8" s="1"/>
    </row>
    <row r="9" spans="2:9" ht="15" x14ac:dyDescent="0.25">
      <c r="B9" s="224"/>
      <c r="C9" s="1" t="s">
        <v>129</v>
      </c>
      <c r="D9" s="12"/>
      <c r="E9" s="56">
        <v>223453</v>
      </c>
      <c r="F9" s="1"/>
      <c r="G9" s="1"/>
      <c r="H9" s="226"/>
      <c r="I9" s="1"/>
    </row>
    <row r="10" spans="2:9" ht="15" x14ac:dyDescent="0.25">
      <c r="B10" s="224"/>
      <c r="C10" s="1" t="s">
        <v>130</v>
      </c>
      <c r="D10" s="12"/>
      <c r="E10" s="12">
        <f>E8+E9</f>
        <v>223453</v>
      </c>
      <c r="F10" s="1"/>
      <c r="G10" s="1"/>
      <c r="H10" s="226"/>
      <c r="I10" s="1"/>
    </row>
    <row r="11" spans="2:9" ht="15" x14ac:dyDescent="0.25">
      <c r="B11" s="224"/>
      <c r="C11" s="1"/>
      <c r="D11" s="12"/>
      <c r="E11" s="12"/>
      <c r="F11" s="1"/>
      <c r="G11" s="1"/>
      <c r="H11" s="226"/>
      <c r="I11" s="1"/>
    </row>
    <row r="12" spans="2:9" ht="15" x14ac:dyDescent="0.25">
      <c r="B12" s="224"/>
      <c r="C12" s="1" t="s">
        <v>131</v>
      </c>
      <c r="D12" s="12"/>
      <c r="E12" s="12">
        <v>150659</v>
      </c>
      <c r="F12" s="1"/>
      <c r="G12" s="1"/>
      <c r="H12" s="226"/>
      <c r="I12" s="1"/>
    </row>
    <row r="13" spans="2:9" ht="15" x14ac:dyDescent="0.25">
      <c r="B13" s="224"/>
      <c r="C13" s="1"/>
      <c r="D13" s="12"/>
      <c r="E13" s="12"/>
      <c r="F13" s="1"/>
      <c r="G13" s="1"/>
      <c r="H13" s="226"/>
      <c r="I13" s="1"/>
    </row>
    <row r="14" spans="2:9" ht="15" x14ac:dyDescent="0.25">
      <c r="B14" s="224"/>
      <c r="C14" s="1" t="s">
        <v>132</v>
      </c>
      <c r="D14" s="12"/>
      <c r="E14" s="12"/>
      <c r="F14" s="1"/>
      <c r="G14" s="1"/>
      <c r="H14" s="226"/>
      <c r="I14" s="1"/>
    </row>
    <row r="15" spans="2:9" ht="15" x14ac:dyDescent="0.25">
      <c r="B15" s="224"/>
      <c r="C15" s="1" t="s">
        <v>133</v>
      </c>
      <c r="D15" s="12">
        <v>0</v>
      </c>
      <c r="E15" s="12"/>
      <c r="F15" s="1"/>
      <c r="G15" s="1"/>
      <c r="H15" s="226"/>
      <c r="I15" s="1"/>
    </row>
    <row r="16" spans="2:9" ht="15" x14ac:dyDescent="0.25">
      <c r="B16" s="224"/>
      <c r="C16" s="1" t="s">
        <v>134</v>
      </c>
      <c r="D16" s="12">
        <v>5908</v>
      </c>
      <c r="E16" s="12"/>
      <c r="F16" s="1"/>
      <c r="G16" s="1"/>
      <c r="H16" s="226"/>
      <c r="I16" s="1"/>
    </row>
    <row r="17" spans="2:9" ht="15" x14ac:dyDescent="0.25">
      <c r="B17" s="224"/>
      <c r="C17" s="1" t="s">
        <v>135</v>
      </c>
      <c r="D17" s="12">
        <v>63</v>
      </c>
      <c r="E17" s="12"/>
      <c r="F17" s="1"/>
      <c r="G17" s="1"/>
      <c r="H17" s="226"/>
      <c r="I17" s="1"/>
    </row>
    <row r="18" spans="2:9" ht="15" x14ac:dyDescent="0.25">
      <c r="B18" s="224"/>
      <c r="C18" s="1" t="s">
        <v>136</v>
      </c>
      <c r="D18" s="56">
        <v>2785</v>
      </c>
      <c r="E18" s="12"/>
      <c r="F18" s="1"/>
      <c r="G18" s="1"/>
      <c r="H18" s="226"/>
      <c r="I18" s="1"/>
    </row>
    <row r="19" spans="2:9" ht="15" x14ac:dyDescent="0.25">
      <c r="B19" s="224"/>
      <c r="C19" s="1" t="s">
        <v>137</v>
      </c>
      <c r="D19" s="12"/>
      <c r="E19" s="12">
        <f>SUM(D15:D18)</f>
        <v>8756</v>
      </c>
      <c r="F19" s="1"/>
      <c r="G19" s="1"/>
      <c r="H19" s="226"/>
      <c r="I19" s="1"/>
    </row>
    <row r="20" spans="2:9" ht="15" x14ac:dyDescent="0.25">
      <c r="B20" s="224"/>
      <c r="C20" s="1"/>
      <c r="D20" s="12"/>
      <c r="E20" s="12"/>
      <c r="F20" s="1"/>
      <c r="G20" s="1"/>
      <c r="H20" s="226"/>
      <c r="I20" s="1"/>
    </row>
    <row r="21" spans="2:9" ht="15" x14ac:dyDescent="0.25">
      <c r="B21" s="224"/>
      <c r="C21" s="1" t="s">
        <v>138</v>
      </c>
      <c r="D21" s="12"/>
      <c r="E21" s="12"/>
      <c r="F21" s="1"/>
      <c r="G21" s="1"/>
      <c r="H21" s="226"/>
      <c r="I21" s="1"/>
    </row>
    <row r="22" spans="2:9" ht="15" x14ac:dyDescent="0.25">
      <c r="B22" s="224"/>
      <c r="C22" s="1" t="s">
        <v>139</v>
      </c>
      <c r="D22" s="12">
        <v>0</v>
      </c>
      <c r="E22" s="12"/>
      <c r="F22" s="1"/>
      <c r="G22" s="1"/>
      <c r="H22" s="226"/>
      <c r="I22" s="1"/>
    </row>
    <row r="23" spans="2:9" ht="15" x14ac:dyDescent="0.25">
      <c r="B23" s="224"/>
      <c r="C23" s="1" t="s">
        <v>140</v>
      </c>
      <c r="D23" s="12">
        <v>10629</v>
      </c>
      <c r="E23" s="12"/>
      <c r="F23" s="1"/>
      <c r="G23" s="1"/>
      <c r="H23" s="226"/>
      <c r="I23" s="1"/>
    </row>
    <row r="24" spans="2:9" ht="15" x14ac:dyDescent="0.25">
      <c r="B24" s="224"/>
      <c r="C24" s="1" t="s">
        <v>141</v>
      </c>
      <c r="D24" s="12">
        <v>2556</v>
      </c>
      <c r="E24" s="12"/>
      <c r="F24" s="1"/>
      <c r="G24" s="1"/>
      <c r="H24" s="226"/>
      <c r="I24" s="1"/>
    </row>
    <row r="25" spans="2:9" ht="15" x14ac:dyDescent="0.25">
      <c r="B25" s="224"/>
      <c r="C25" s="1" t="s">
        <v>142</v>
      </c>
      <c r="D25" s="12">
        <f>350+50503</f>
        <v>50853</v>
      </c>
      <c r="E25" s="12"/>
      <c r="H25" s="225"/>
    </row>
    <row r="26" spans="2:9" ht="15" x14ac:dyDescent="0.25">
      <c r="B26" s="224"/>
      <c r="C26" s="1" t="s">
        <v>143</v>
      </c>
      <c r="D26" s="12"/>
      <c r="E26" s="56">
        <f>SUM(D22:D25)</f>
        <v>64038</v>
      </c>
      <c r="H26" s="225"/>
    </row>
    <row r="27" spans="2:9" ht="14.65" customHeight="1" x14ac:dyDescent="0.25">
      <c r="B27" s="224"/>
      <c r="C27" s="1" t="s">
        <v>144</v>
      </c>
      <c r="D27" s="12"/>
      <c r="E27" s="12">
        <f>E12+E19+E26</f>
        <v>223453</v>
      </c>
      <c r="H27" s="225"/>
    </row>
    <row r="28" spans="2:9" ht="15" x14ac:dyDescent="0.25">
      <c r="B28" s="224"/>
      <c r="C28" s="1"/>
      <c r="D28" s="174"/>
      <c r="E28" s="174"/>
      <c r="H28" s="225"/>
    </row>
    <row r="29" spans="2:9" x14ac:dyDescent="0.2">
      <c r="B29" s="224"/>
      <c r="D29" s="174"/>
      <c r="E29" s="174"/>
      <c r="H29" s="225"/>
    </row>
    <row r="30" spans="2:9" ht="15" x14ac:dyDescent="0.25">
      <c r="B30" s="224"/>
      <c r="D30" s="174"/>
      <c r="E30" s="174"/>
      <c r="F30" s="227">
        <f>E26/E10</f>
        <v>0.2865837558681244</v>
      </c>
      <c r="G30" s="1" t="s">
        <v>145</v>
      </c>
      <c r="H30" s="226"/>
      <c r="I30" s="1"/>
    </row>
    <row r="31" spans="2:9" ht="15" x14ac:dyDescent="0.25">
      <c r="B31" s="224"/>
      <c r="D31" s="174"/>
      <c r="E31" s="174"/>
      <c r="F31" s="175">
        <v>0.15</v>
      </c>
      <c r="G31" s="1" t="s">
        <v>146</v>
      </c>
      <c r="H31" s="226"/>
      <c r="I31" s="1"/>
    </row>
    <row r="32" spans="2:9" ht="15" x14ac:dyDescent="0.25">
      <c r="B32" s="224"/>
      <c r="D32" s="174"/>
      <c r="E32" s="174"/>
      <c r="F32" s="227">
        <f>IF(F30&gt;F31,F30-F31,0)</f>
        <v>0.13658375586812441</v>
      </c>
      <c r="G32" s="1" t="s">
        <v>147</v>
      </c>
      <c r="H32" s="226"/>
      <c r="I32" s="10"/>
    </row>
    <row r="33" spans="2:8" x14ac:dyDescent="0.2">
      <c r="B33" s="224"/>
      <c r="D33" s="174"/>
      <c r="E33" s="174"/>
      <c r="H33" s="225"/>
    </row>
    <row r="34" spans="2:8" ht="15" x14ac:dyDescent="0.25">
      <c r="B34" s="224"/>
      <c r="C34" s="1" t="s">
        <v>148</v>
      </c>
      <c r="D34" s="12"/>
      <c r="E34" s="12"/>
      <c r="F34" s="11" t="s">
        <v>149</v>
      </c>
      <c r="H34" s="225"/>
    </row>
    <row r="35" spans="2:8" ht="15" x14ac:dyDescent="0.25">
      <c r="B35" s="224"/>
      <c r="C35" s="219" t="str">
        <f>SAO!B22</f>
        <v>Purchased Water</v>
      </c>
      <c r="D35" s="55">
        <f>SAO!C22</f>
        <v>639708</v>
      </c>
      <c r="E35" s="41"/>
      <c r="F35" s="228">
        <f>-D35*F32</f>
        <v>-87373.721298886128</v>
      </c>
      <c r="H35" s="229"/>
    </row>
    <row r="36" spans="2:8" ht="15" x14ac:dyDescent="0.25">
      <c r="B36" s="224"/>
      <c r="C36" s="219" t="str">
        <f>SAO!B23</f>
        <v>Purchased Power</v>
      </c>
      <c r="D36" s="55">
        <f>SAO!C23</f>
        <v>22061</v>
      </c>
      <c r="E36" s="41"/>
      <c r="F36" s="228">
        <f>-D36*F32</f>
        <v>-3013.1742382066927</v>
      </c>
      <c r="H36" s="229"/>
    </row>
    <row r="37" spans="2:8" ht="15" x14ac:dyDescent="0.25">
      <c r="B37" s="224"/>
      <c r="C37" s="1" t="s">
        <v>162</v>
      </c>
      <c r="D37" s="172">
        <v>0</v>
      </c>
      <c r="E37" s="41"/>
      <c r="F37" s="173">
        <f>0</f>
        <v>0</v>
      </c>
      <c r="H37" s="225"/>
    </row>
    <row r="38" spans="2:8" ht="15" x14ac:dyDescent="0.25">
      <c r="B38" s="224"/>
      <c r="C38" s="1" t="s">
        <v>1</v>
      </c>
      <c r="D38" s="55">
        <f>SUM(D35:D37)</f>
        <v>661769</v>
      </c>
      <c r="E38" s="41"/>
      <c r="F38" s="41">
        <f>SUM(F35:F37)</f>
        <v>-90386.895537092816</v>
      </c>
      <c r="H38" s="225"/>
    </row>
    <row r="39" spans="2:8" ht="15" x14ac:dyDescent="0.25">
      <c r="B39" s="224"/>
      <c r="C39" s="1"/>
      <c r="D39" s="55"/>
      <c r="E39" s="41"/>
      <c r="F39" s="55"/>
      <c r="H39" s="225"/>
    </row>
    <row r="40" spans="2:8" ht="15" x14ac:dyDescent="0.25">
      <c r="B40" s="224"/>
      <c r="C40" s="1" t="s">
        <v>150</v>
      </c>
      <c r="D40" s="12"/>
      <c r="E40" s="41"/>
      <c r="F40" s="228"/>
      <c r="H40" s="225"/>
    </row>
    <row r="41" spans="2:8" ht="15" x14ac:dyDescent="0.25">
      <c r="B41" s="224"/>
      <c r="C41" s="1" t="s">
        <v>151</v>
      </c>
      <c r="D41" s="12"/>
      <c r="E41" s="41"/>
      <c r="F41" s="228">
        <f>-F38</f>
        <v>90386.895537092816</v>
      </c>
      <c r="H41" s="225"/>
    </row>
    <row r="42" spans="2:8" ht="15" x14ac:dyDescent="0.25">
      <c r="B42" s="224"/>
      <c r="C42" s="1" t="s">
        <v>152</v>
      </c>
      <c r="D42" s="12"/>
      <c r="E42" s="12"/>
      <c r="F42" s="16">
        <f>'Existing Billing Analysis'!E8</f>
        <v>33111</v>
      </c>
      <c r="H42" s="225"/>
    </row>
    <row r="43" spans="2:8" ht="15" x14ac:dyDescent="0.25">
      <c r="B43" s="224"/>
      <c r="C43" s="1" t="s">
        <v>160</v>
      </c>
      <c r="D43" s="12"/>
      <c r="E43" s="41"/>
      <c r="F43" s="228">
        <f>ROUND(F41/F42,2)</f>
        <v>2.73</v>
      </c>
      <c r="H43" s="225"/>
    </row>
    <row r="44" spans="2:8" ht="15" thickBot="1" x14ac:dyDescent="0.25">
      <c r="B44" s="230"/>
      <c r="C44" s="231"/>
      <c r="D44" s="232"/>
      <c r="E44" s="232"/>
      <c r="F44" s="231"/>
      <c r="G44" s="231"/>
      <c r="H44" s="233"/>
    </row>
  </sheetData>
  <mergeCells count="3">
    <mergeCell ref="C5:H5"/>
    <mergeCell ref="C6:H6"/>
    <mergeCell ref="C3:H3"/>
  </mergeCells>
  <printOptions horizontalCentered="1" verticalCentered="1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4D66-267B-47C6-8691-0B7760DD7D72}">
  <sheetPr>
    <pageSetUpPr fitToPage="1"/>
  </sheetPr>
  <dimension ref="A1:R52"/>
  <sheetViews>
    <sheetView zoomScaleNormal="100" workbookViewId="0">
      <selection sqref="A1:M50"/>
    </sheetView>
  </sheetViews>
  <sheetFormatPr defaultRowHeight="15.75" x14ac:dyDescent="0.25"/>
  <cols>
    <col min="1" max="1" width="2" style="262" customWidth="1"/>
    <col min="2" max="3" width="1.88671875" style="262" customWidth="1"/>
    <col min="4" max="4" width="27.44140625" style="49" customWidth="1"/>
    <col min="5" max="5" width="8.33203125" style="49" customWidth="1"/>
    <col min="6" max="6" width="10.6640625" style="260" customWidth="1"/>
    <col min="7" max="7" width="6.109375" style="49" customWidth="1"/>
    <col min="8" max="8" width="9.33203125" style="300" customWidth="1"/>
    <col min="9" max="9" width="6.109375" style="262" customWidth="1"/>
    <col min="10" max="10" width="9.33203125" style="300" customWidth="1"/>
    <col min="11" max="11" width="10.6640625" style="262" customWidth="1"/>
    <col min="12" max="12" width="1.88671875" style="262" customWidth="1"/>
    <col min="13" max="13" width="2.44140625" style="262" customWidth="1"/>
    <col min="14" max="14" width="8.88671875" style="262"/>
    <col min="15" max="18" width="8.88671875" style="49"/>
    <col min="19" max="16384" width="8.88671875" style="262"/>
  </cols>
  <sheetData>
    <row r="1" spans="1:13" x14ac:dyDescent="0.25">
      <c r="A1" s="49"/>
      <c r="B1" s="49"/>
      <c r="C1" s="259"/>
      <c r="D1" s="259"/>
      <c r="E1" s="259"/>
      <c r="G1" s="261"/>
      <c r="H1" s="184"/>
      <c r="I1" s="261"/>
      <c r="J1" s="184"/>
      <c r="K1" s="259"/>
      <c r="L1" s="259"/>
      <c r="M1" s="259"/>
    </row>
    <row r="2" spans="1:13" x14ac:dyDescent="0.25">
      <c r="A2" s="49"/>
      <c r="B2" s="263"/>
      <c r="C2" s="264"/>
      <c r="D2" s="264"/>
      <c r="E2" s="264"/>
      <c r="F2" s="265"/>
      <c r="G2" s="266"/>
      <c r="H2" s="267"/>
      <c r="I2" s="266"/>
      <c r="J2" s="267"/>
      <c r="K2" s="264"/>
      <c r="L2" s="268"/>
      <c r="M2" s="269"/>
    </row>
    <row r="3" spans="1:13" ht="18.75" x14ac:dyDescent="0.3">
      <c r="A3" s="49"/>
      <c r="B3" s="270"/>
      <c r="C3" s="373" t="s">
        <v>6</v>
      </c>
      <c r="D3" s="373"/>
      <c r="E3" s="373"/>
      <c r="F3" s="373"/>
      <c r="G3" s="373"/>
      <c r="H3" s="373"/>
      <c r="I3" s="373"/>
      <c r="J3" s="373"/>
      <c r="K3" s="373"/>
      <c r="L3" s="271"/>
      <c r="M3" s="269"/>
    </row>
    <row r="4" spans="1:13" ht="18.75" x14ac:dyDescent="0.3">
      <c r="A4" s="49"/>
      <c r="B4" s="270"/>
      <c r="C4" s="374" t="s">
        <v>194</v>
      </c>
      <c r="D4" s="374"/>
      <c r="E4" s="374"/>
      <c r="F4" s="374"/>
      <c r="G4" s="374"/>
      <c r="H4" s="374"/>
      <c r="I4" s="374"/>
      <c r="J4" s="374"/>
      <c r="K4" s="374"/>
      <c r="L4" s="271"/>
      <c r="M4" s="269"/>
    </row>
    <row r="5" spans="1:13" x14ac:dyDescent="0.25">
      <c r="A5" s="49"/>
      <c r="B5" s="270"/>
      <c r="C5" s="371" t="s">
        <v>80</v>
      </c>
      <c r="D5" s="371"/>
      <c r="E5" s="371"/>
      <c r="F5" s="371"/>
      <c r="G5" s="371"/>
      <c r="H5" s="371"/>
      <c r="I5" s="371"/>
      <c r="J5" s="371"/>
      <c r="K5" s="371"/>
      <c r="L5" s="271"/>
      <c r="M5" s="269"/>
    </row>
    <row r="6" spans="1:13" x14ac:dyDescent="0.25">
      <c r="A6" s="49"/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5"/>
      <c r="M6" s="269"/>
    </row>
    <row r="7" spans="1:13" x14ac:dyDescent="0.25">
      <c r="A7" s="49"/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1"/>
      <c r="M7" s="269"/>
    </row>
    <row r="8" spans="1:13" x14ac:dyDescent="0.25">
      <c r="A8" s="49"/>
      <c r="B8" s="270"/>
      <c r="C8" s="259"/>
      <c r="D8" s="259"/>
      <c r="E8" s="259"/>
      <c r="G8" s="261"/>
      <c r="H8" s="184"/>
      <c r="I8" s="261"/>
      <c r="J8" s="184"/>
      <c r="K8" s="276" t="s">
        <v>106</v>
      </c>
      <c r="L8" s="271"/>
      <c r="M8" s="269"/>
    </row>
    <row r="9" spans="1:13" x14ac:dyDescent="0.25">
      <c r="A9" s="49"/>
      <c r="B9" s="270"/>
      <c r="C9" s="277"/>
      <c r="D9" s="277"/>
      <c r="E9" s="277" t="s">
        <v>195</v>
      </c>
      <c r="F9" s="278" t="s">
        <v>226</v>
      </c>
      <c r="G9" s="372" t="s">
        <v>227</v>
      </c>
      <c r="H9" s="372"/>
      <c r="I9" s="372" t="s">
        <v>9</v>
      </c>
      <c r="J9" s="372"/>
      <c r="K9" s="276" t="s">
        <v>196</v>
      </c>
      <c r="L9" s="271"/>
      <c r="M9" s="269"/>
    </row>
    <row r="10" spans="1:13" ht="18" x14ac:dyDescent="0.4">
      <c r="A10" s="49"/>
      <c r="B10" s="270"/>
      <c r="C10" s="276"/>
      <c r="D10" s="280" t="s">
        <v>228</v>
      </c>
      <c r="E10" s="276" t="s">
        <v>197</v>
      </c>
      <c r="F10" s="281" t="s">
        <v>230</v>
      </c>
      <c r="G10" s="279" t="s">
        <v>229</v>
      </c>
      <c r="H10" s="276" t="s">
        <v>198</v>
      </c>
      <c r="I10" s="279" t="s">
        <v>229</v>
      </c>
      <c r="J10" s="276" t="s">
        <v>198</v>
      </c>
      <c r="K10" s="276" t="s">
        <v>149</v>
      </c>
      <c r="L10" s="271"/>
      <c r="M10" s="269"/>
    </row>
    <row r="11" spans="1:13" x14ac:dyDescent="0.25">
      <c r="A11" s="49"/>
      <c r="B11" s="270"/>
      <c r="C11" s="282" t="s">
        <v>199</v>
      </c>
      <c r="D11" s="259"/>
      <c r="E11" s="283"/>
      <c r="G11" s="261"/>
      <c r="H11" s="284"/>
      <c r="I11" s="261"/>
      <c r="J11" s="284"/>
      <c r="K11" s="207"/>
      <c r="L11" s="271"/>
      <c r="M11" s="269"/>
    </row>
    <row r="12" spans="1:13" x14ac:dyDescent="0.25">
      <c r="A12" s="49"/>
      <c r="B12" s="270"/>
      <c r="C12" s="282"/>
      <c r="D12" s="259" t="s">
        <v>200</v>
      </c>
      <c r="E12" s="283" t="s">
        <v>201</v>
      </c>
      <c r="F12" s="285">
        <v>45025.520000000004</v>
      </c>
      <c r="G12" s="286" t="s">
        <v>201</v>
      </c>
      <c r="H12" s="195">
        <v>1758.72</v>
      </c>
      <c r="I12" s="261">
        <v>37.5</v>
      </c>
      <c r="J12" s="63">
        <f>F12/I12</f>
        <v>1200.6805333333334</v>
      </c>
      <c r="K12" s="62">
        <f>J12-H12</f>
        <v>-558.03946666666661</v>
      </c>
      <c r="L12" s="271"/>
      <c r="M12" s="269"/>
    </row>
    <row r="13" spans="1:13" x14ac:dyDescent="0.25">
      <c r="A13" s="49"/>
      <c r="B13" s="270"/>
      <c r="C13" s="282"/>
      <c r="D13" s="259" t="s">
        <v>202</v>
      </c>
      <c r="E13" s="283"/>
      <c r="F13" s="285"/>
      <c r="G13" s="286"/>
      <c r="H13" s="63"/>
      <c r="I13" s="261">
        <v>10</v>
      </c>
      <c r="J13" s="63"/>
      <c r="K13" s="62"/>
      <c r="L13" s="271"/>
      <c r="M13" s="269"/>
    </row>
    <row r="14" spans="1:13" x14ac:dyDescent="0.25">
      <c r="A14" s="49"/>
      <c r="B14" s="270"/>
      <c r="C14" s="259"/>
      <c r="D14" s="259" t="s">
        <v>203</v>
      </c>
      <c r="E14" s="283" t="s">
        <v>201</v>
      </c>
      <c r="F14" s="285">
        <v>133081.85999999999</v>
      </c>
      <c r="G14" s="286" t="s">
        <v>201</v>
      </c>
      <c r="H14" s="195">
        <v>4242.53</v>
      </c>
      <c r="I14" s="261">
        <v>22.5</v>
      </c>
      <c r="J14" s="63">
        <f>F14/I14</f>
        <v>5914.7493333333323</v>
      </c>
      <c r="K14" s="62">
        <f>J14-H14</f>
        <v>1672.2193333333325</v>
      </c>
      <c r="L14" s="271"/>
      <c r="M14" s="269"/>
    </row>
    <row r="15" spans="1:13" x14ac:dyDescent="0.25">
      <c r="A15" s="49"/>
      <c r="B15" s="270"/>
      <c r="C15" s="259"/>
      <c r="D15" s="259" t="s">
        <v>204</v>
      </c>
      <c r="E15" s="283" t="s">
        <v>201</v>
      </c>
      <c r="F15" s="285">
        <v>88993.74</v>
      </c>
      <c r="G15" s="286" t="s">
        <v>201</v>
      </c>
      <c r="H15" s="195">
        <v>14629.9</v>
      </c>
      <c r="I15" s="261">
        <v>12.5</v>
      </c>
      <c r="J15" s="63">
        <f t="shared" ref="J15" si="0">F15/I15</f>
        <v>7119.4992000000002</v>
      </c>
      <c r="K15" s="62">
        <f t="shared" ref="K15" si="1">J15-H15</f>
        <v>-7510.4007999999994</v>
      </c>
      <c r="L15" s="271"/>
      <c r="M15" s="269"/>
    </row>
    <row r="16" spans="1:13" x14ac:dyDescent="0.25">
      <c r="A16" s="49"/>
      <c r="B16" s="270"/>
      <c r="C16" s="259"/>
      <c r="D16" s="259" t="s">
        <v>205</v>
      </c>
      <c r="E16" s="283"/>
      <c r="F16" s="285"/>
      <c r="G16" s="286"/>
      <c r="H16" s="63"/>
      <c r="I16" s="261">
        <v>17.5</v>
      </c>
      <c r="J16" s="63"/>
      <c r="K16" s="62"/>
      <c r="L16" s="271"/>
      <c r="M16" s="269"/>
    </row>
    <row r="17" spans="1:13" x14ac:dyDescent="0.25">
      <c r="A17" s="49"/>
      <c r="B17" s="270"/>
      <c r="C17" s="259"/>
      <c r="D17" s="259"/>
      <c r="E17" s="283"/>
      <c r="F17" s="285"/>
      <c r="G17" s="286"/>
      <c r="H17" s="63"/>
      <c r="I17" s="261"/>
      <c r="J17" s="63"/>
      <c r="K17" s="62"/>
      <c r="L17" s="271"/>
      <c r="M17" s="269"/>
    </row>
    <row r="18" spans="1:13" x14ac:dyDescent="0.25">
      <c r="A18" s="49"/>
      <c r="B18" s="270"/>
      <c r="C18" s="282" t="s">
        <v>206</v>
      </c>
      <c r="D18" s="259"/>
      <c r="E18" s="283"/>
      <c r="F18" s="285"/>
      <c r="G18" s="286"/>
      <c r="H18" s="63"/>
      <c r="I18" s="261"/>
      <c r="J18" s="63"/>
      <c r="K18" s="62"/>
      <c r="L18" s="271"/>
      <c r="M18" s="269"/>
    </row>
    <row r="19" spans="1:13" x14ac:dyDescent="0.25">
      <c r="A19" s="49"/>
      <c r="B19" s="270"/>
      <c r="C19" s="259"/>
      <c r="D19" s="259" t="s">
        <v>207</v>
      </c>
      <c r="E19" s="283"/>
      <c r="F19" s="285"/>
      <c r="G19" s="286"/>
      <c r="H19" s="63"/>
      <c r="I19" s="261">
        <v>62.5</v>
      </c>
      <c r="J19" s="63"/>
      <c r="K19" s="62"/>
      <c r="L19" s="271"/>
      <c r="M19" s="269"/>
    </row>
    <row r="20" spans="1:13" x14ac:dyDescent="0.25">
      <c r="A20" s="49"/>
      <c r="B20" s="270"/>
      <c r="C20" s="259"/>
      <c r="D20" s="259" t="s">
        <v>208</v>
      </c>
      <c r="E20" s="283"/>
      <c r="F20" s="285"/>
      <c r="G20" s="286"/>
      <c r="H20" s="63"/>
      <c r="I20" s="261">
        <v>62.5</v>
      </c>
      <c r="J20" s="63"/>
      <c r="K20" s="62"/>
      <c r="L20" s="271"/>
      <c r="M20" s="269"/>
    </row>
    <row r="21" spans="1:13" x14ac:dyDescent="0.25">
      <c r="A21" s="49"/>
      <c r="B21" s="270"/>
      <c r="C21" s="276"/>
      <c r="D21" s="276"/>
      <c r="E21" s="276"/>
      <c r="F21" s="287"/>
      <c r="G21" s="279"/>
      <c r="H21" s="288"/>
      <c r="I21" s="279"/>
      <c r="J21" s="288"/>
      <c r="K21" s="276"/>
      <c r="L21" s="271"/>
      <c r="M21" s="269"/>
    </row>
    <row r="22" spans="1:13" x14ac:dyDescent="0.25">
      <c r="A22" s="49"/>
      <c r="B22" s="270"/>
      <c r="C22" s="282" t="s">
        <v>209</v>
      </c>
      <c r="D22" s="259"/>
      <c r="E22" s="283"/>
      <c r="G22" s="289"/>
      <c r="H22" s="284"/>
      <c r="I22" s="289"/>
      <c r="J22" s="284"/>
      <c r="K22" s="207"/>
      <c r="L22" s="271"/>
      <c r="M22" s="269"/>
    </row>
    <row r="23" spans="1:13" x14ac:dyDescent="0.25">
      <c r="A23" s="49"/>
      <c r="B23" s="270"/>
      <c r="C23" s="282"/>
      <c r="D23" s="259" t="s">
        <v>200</v>
      </c>
      <c r="E23" s="283"/>
      <c r="F23" s="285"/>
      <c r="G23" s="286"/>
      <c r="H23" s="63"/>
      <c r="I23" s="261">
        <v>37.5</v>
      </c>
      <c r="J23" s="63"/>
      <c r="K23" s="62"/>
      <c r="L23" s="271"/>
      <c r="M23" s="269"/>
    </row>
    <row r="24" spans="1:13" x14ac:dyDescent="0.25">
      <c r="A24" s="49"/>
      <c r="B24" s="270"/>
      <c r="C24" s="259"/>
      <c r="D24" s="259" t="s">
        <v>210</v>
      </c>
      <c r="E24" s="283"/>
      <c r="G24" s="286"/>
      <c r="H24" s="63"/>
      <c r="I24" s="261">
        <v>10</v>
      </c>
      <c r="J24" s="284"/>
      <c r="K24" s="62"/>
      <c r="L24" s="271"/>
      <c r="M24" s="269"/>
    </row>
    <row r="25" spans="1:13" x14ac:dyDescent="0.25">
      <c r="A25" s="49"/>
      <c r="B25" s="270"/>
      <c r="C25" s="259"/>
      <c r="D25" s="259" t="s">
        <v>211</v>
      </c>
      <c r="E25" s="283" t="s">
        <v>201</v>
      </c>
      <c r="F25" s="260">
        <v>31479.63</v>
      </c>
      <c r="G25" s="286" t="s">
        <v>201</v>
      </c>
      <c r="H25" s="195">
        <v>899.42</v>
      </c>
      <c r="I25" s="261">
        <v>20</v>
      </c>
      <c r="J25" s="284">
        <f>F25/I25</f>
        <v>1573.9815000000001</v>
      </c>
      <c r="K25" s="62">
        <f>J25-H25</f>
        <v>674.56150000000014</v>
      </c>
      <c r="L25" s="271"/>
      <c r="M25" s="269"/>
    </row>
    <row r="26" spans="1:13" x14ac:dyDescent="0.25">
      <c r="A26" s="49"/>
      <c r="B26" s="270"/>
      <c r="C26" s="276"/>
      <c r="D26" s="276"/>
      <c r="E26" s="276"/>
      <c r="G26" s="286"/>
      <c r="H26" s="284"/>
      <c r="I26" s="289"/>
      <c r="J26" s="284"/>
      <c r="K26" s="207"/>
      <c r="L26" s="271"/>
      <c r="M26" s="269"/>
    </row>
    <row r="27" spans="1:13" x14ac:dyDescent="0.25">
      <c r="A27" s="49"/>
      <c r="B27" s="270"/>
      <c r="C27" s="282" t="s">
        <v>212</v>
      </c>
      <c r="D27" s="259"/>
      <c r="E27" s="283"/>
      <c r="G27" s="286"/>
      <c r="H27" s="284"/>
      <c r="I27" s="261"/>
      <c r="J27" s="284"/>
      <c r="K27" s="207"/>
      <c r="L27" s="271"/>
      <c r="M27" s="269"/>
    </row>
    <row r="28" spans="1:13" x14ac:dyDescent="0.25">
      <c r="A28" s="49"/>
      <c r="B28" s="270"/>
      <c r="C28" s="282"/>
      <c r="D28" s="259" t="s">
        <v>213</v>
      </c>
      <c r="E28" s="283" t="s">
        <v>201</v>
      </c>
      <c r="F28" s="285">
        <v>41067.4</v>
      </c>
      <c r="G28" s="286" t="s">
        <v>201</v>
      </c>
      <c r="H28" s="195">
        <v>821.35</v>
      </c>
      <c r="I28" s="261">
        <v>50</v>
      </c>
      <c r="J28" s="63">
        <f>H28</f>
        <v>821.35</v>
      </c>
      <c r="K28" s="62">
        <f>J28-H28</f>
        <v>0</v>
      </c>
      <c r="L28" s="271"/>
      <c r="M28" s="269"/>
    </row>
    <row r="29" spans="1:13" x14ac:dyDescent="0.25">
      <c r="A29" s="49"/>
      <c r="B29" s="270"/>
      <c r="C29" s="282"/>
      <c r="D29" s="259" t="s">
        <v>214</v>
      </c>
      <c r="E29" s="283" t="s">
        <v>201</v>
      </c>
      <c r="F29" s="285">
        <v>3874089.44</v>
      </c>
      <c r="G29" s="286" t="s">
        <v>201</v>
      </c>
      <c r="H29" s="195">
        <v>61668.05000000001</v>
      </c>
      <c r="I29" s="261">
        <v>62.5</v>
      </c>
      <c r="J29" s="63">
        <f t="shared" ref="J29:J35" si="2">F29/I29</f>
        <v>61985.431039999996</v>
      </c>
      <c r="K29" s="62">
        <f t="shared" ref="K29:K35" si="3">J29-H29</f>
        <v>317.38103999998566</v>
      </c>
      <c r="L29" s="271"/>
      <c r="M29" s="269"/>
    </row>
    <row r="30" spans="1:13" x14ac:dyDescent="0.25">
      <c r="A30" s="49"/>
      <c r="B30" s="270"/>
      <c r="C30" s="282"/>
      <c r="D30" s="259" t="s">
        <v>215</v>
      </c>
      <c r="E30" s="283" t="s">
        <v>201</v>
      </c>
      <c r="F30" s="285">
        <v>1096559.7999999998</v>
      </c>
      <c r="G30" s="286" t="s">
        <v>201</v>
      </c>
      <c r="H30" s="195">
        <v>27676.959999999999</v>
      </c>
      <c r="I30" s="261">
        <v>40</v>
      </c>
      <c r="J30" s="63">
        <f t="shared" si="2"/>
        <v>27413.994999999995</v>
      </c>
      <c r="K30" s="62">
        <f t="shared" si="3"/>
        <v>-262.96500000000378</v>
      </c>
      <c r="L30" s="271"/>
      <c r="M30" s="269"/>
    </row>
    <row r="31" spans="1:13" x14ac:dyDescent="0.25">
      <c r="A31" s="49"/>
      <c r="B31" s="270"/>
      <c r="C31" s="282"/>
      <c r="D31" s="259" t="s">
        <v>255</v>
      </c>
      <c r="E31" s="283" t="s">
        <v>201</v>
      </c>
      <c r="F31" s="285">
        <v>169215.57</v>
      </c>
      <c r="G31" s="286" t="s">
        <v>201</v>
      </c>
      <c r="H31" s="195">
        <v>4485.6100000000006</v>
      </c>
      <c r="I31" s="261">
        <v>45</v>
      </c>
      <c r="J31" s="63">
        <f t="shared" ref="J31" si="4">F31/I31</f>
        <v>3760.346</v>
      </c>
      <c r="K31" s="62">
        <f t="shared" ref="K31" si="5">J31-H31</f>
        <v>-725.26400000000058</v>
      </c>
      <c r="L31" s="271"/>
      <c r="M31" s="269"/>
    </row>
    <row r="32" spans="1:13" x14ac:dyDescent="0.25">
      <c r="A32" s="49"/>
      <c r="B32" s="270"/>
      <c r="C32" s="282"/>
      <c r="D32" s="259" t="s">
        <v>216</v>
      </c>
      <c r="E32" s="283"/>
      <c r="F32" s="285"/>
      <c r="G32" s="286"/>
      <c r="H32" s="63"/>
      <c r="I32" s="261">
        <v>20</v>
      </c>
      <c r="J32" s="63"/>
      <c r="K32" s="62"/>
      <c r="L32" s="271"/>
      <c r="M32" s="269"/>
    </row>
    <row r="33" spans="1:14" x14ac:dyDescent="0.25">
      <c r="A33" s="49"/>
      <c r="B33" s="270"/>
      <c r="C33" s="282"/>
      <c r="D33" s="259" t="s">
        <v>217</v>
      </c>
      <c r="E33" s="283"/>
      <c r="F33" s="285"/>
      <c r="G33" s="286"/>
      <c r="H33" s="63"/>
      <c r="I33" s="261">
        <v>37.5</v>
      </c>
      <c r="J33" s="63"/>
      <c r="K33" s="62"/>
      <c r="L33" s="271"/>
      <c r="M33" s="269"/>
    </row>
    <row r="34" spans="1:14" x14ac:dyDescent="0.25">
      <c r="A34" s="49"/>
      <c r="B34" s="270"/>
      <c r="C34" s="282"/>
      <c r="D34" s="259" t="s">
        <v>218</v>
      </c>
      <c r="E34" s="283"/>
      <c r="F34" s="285"/>
      <c r="G34" s="286"/>
      <c r="H34" s="63"/>
      <c r="I34" s="261">
        <v>40</v>
      </c>
      <c r="J34" s="63"/>
      <c r="K34" s="62"/>
      <c r="L34" s="271"/>
      <c r="M34" s="269"/>
    </row>
    <row r="35" spans="1:14" x14ac:dyDescent="0.25">
      <c r="A35" s="49"/>
      <c r="B35" s="270"/>
      <c r="C35" s="282"/>
      <c r="D35" s="259" t="s">
        <v>219</v>
      </c>
      <c r="E35" s="283" t="s">
        <v>201</v>
      </c>
      <c r="F35" s="285">
        <v>1149590.2900000003</v>
      </c>
      <c r="G35" s="286" t="s">
        <v>201</v>
      </c>
      <c r="H35" s="195">
        <v>25735.929999999993</v>
      </c>
      <c r="I35" s="261">
        <v>45</v>
      </c>
      <c r="J35" s="63">
        <f t="shared" si="2"/>
        <v>25546.450888888896</v>
      </c>
      <c r="K35" s="62">
        <f t="shared" si="3"/>
        <v>-189.47911111109715</v>
      </c>
      <c r="L35" s="271"/>
      <c r="M35" s="269"/>
    </row>
    <row r="36" spans="1:14" x14ac:dyDescent="0.25">
      <c r="A36" s="49"/>
      <c r="B36" s="270"/>
      <c r="C36" s="282"/>
      <c r="D36" s="259" t="s">
        <v>292</v>
      </c>
      <c r="E36" s="283" t="s">
        <v>201</v>
      </c>
      <c r="F36" s="285">
        <f>'[2]Table 1'!$G$251</f>
        <v>1778783.62</v>
      </c>
      <c r="G36" s="286" t="s">
        <v>201</v>
      </c>
      <c r="H36" s="195">
        <v>0</v>
      </c>
      <c r="I36" s="261">
        <v>45</v>
      </c>
      <c r="J36" s="63">
        <f t="shared" ref="J36" si="6">F36/I36</f>
        <v>39528.524888888889</v>
      </c>
      <c r="K36" s="62">
        <f t="shared" ref="K36" si="7">J36-H36</f>
        <v>39528.524888888889</v>
      </c>
      <c r="L36" s="271"/>
      <c r="M36" s="269"/>
    </row>
    <row r="37" spans="1:14" x14ac:dyDescent="0.25">
      <c r="A37" s="49"/>
      <c r="B37" s="270"/>
      <c r="C37" s="282"/>
      <c r="D37" s="259" t="s">
        <v>293</v>
      </c>
      <c r="E37" s="283" t="s">
        <v>201</v>
      </c>
      <c r="F37" s="285">
        <f>'[2]Table 1'!$G$259</f>
        <v>413744</v>
      </c>
      <c r="G37" s="286" t="s">
        <v>201</v>
      </c>
      <c r="H37" s="195">
        <v>0</v>
      </c>
      <c r="I37" s="261">
        <v>20</v>
      </c>
      <c r="J37" s="63">
        <f t="shared" ref="J37" si="8">F37/I37</f>
        <v>20687.2</v>
      </c>
      <c r="K37" s="62">
        <f t="shared" ref="K37" si="9">J37-H37</f>
        <v>20687.2</v>
      </c>
      <c r="L37" s="271"/>
      <c r="M37" s="269"/>
    </row>
    <row r="38" spans="1:14" x14ac:dyDescent="0.25">
      <c r="A38" s="49"/>
      <c r="B38" s="270"/>
      <c r="C38" s="282"/>
      <c r="E38" s="283"/>
      <c r="G38" s="286"/>
      <c r="H38" s="284"/>
      <c r="I38" s="289"/>
      <c r="J38" s="284"/>
      <c r="K38" s="62"/>
      <c r="L38" s="271"/>
      <c r="M38" s="269"/>
    </row>
    <row r="39" spans="1:14" x14ac:dyDescent="0.25">
      <c r="A39" s="49"/>
      <c r="B39" s="270"/>
      <c r="C39" s="282" t="s">
        <v>220</v>
      </c>
      <c r="E39" s="283"/>
      <c r="G39" s="286"/>
      <c r="H39" s="284"/>
      <c r="I39" s="290"/>
      <c r="J39" s="284"/>
      <c r="K39" s="207"/>
      <c r="L39" s="271"/>
      <c r="M39" s="269"/>
    </row>
    <row r="40" spans="1:14" x14ac:dyDescent="0.25">
      <c r="A40" s="49"/>
      <c r="B40" s="270"/>
      <c r="C40" s="259"/>
      <c r="D40" s="49" t="s">
        <v>221</v>
      </c>
      <c r="E40" s="283" t="s">
        <v>201</v>
      </c>
      <c r="F40" s="260">
        <v>48710.75</v>
      </c>
      <c r="G40" s="286" t="s">
        <v>201</v>
      </c>
      <c r="H40" s="311">
        <v>8729.1500000000015</v>
      </c>
      <c r="I40" s="290">
        <v>7</v>
      </c>
      <c r="J40" s="63">
        <f t="shared" ref="J40" si="10">F40/I40</f>
        <v>6958.6785714285716</v>
      </c>
      <c r="K40" s="207">
        <f>J40-H40</f>
        <v>-1770.4714285714299</v>
      </c>
      <c r="L40" s="271"/>
      <c r="M40" s="269"/>
    </row>
    <row r="41" spans="1:14" x14ac:dyDescent="0.25">
      <c r="A41" s="49"/>
      <c r="B41" s="270"/>
      <c r="C41" s="259"/>
      <c r="D41" s="259"/>
      <c r="E41" s="259"/>
      <c r="G41" s="207"/>
      <c r="H41" s="63"/>
      <c r="I41" s="207"/>
      <c r="J41" s="291"/>
      <c r="K41" s="207"/>
      <c r="L41" s="271"/>
      <c r="M41" s="269"/>
    </row>
    <row r="42" spans="1:14" x14ac:dyDescent="0.25">
      <c r="A42" s="49"/>
      <c r="B42" s="270"/>
      <c r="C42" s="292" t="s">
        <v>20</v>
      </c>
      <c r="F42" s="293">
        <f>SUM(F12:F41)</f>
        <v>8870341.620000001</v>
      </c>
      <c r="G42" s="294"/>
      <c r="H42" s="293">
        <f>SUM(H12:H41)</f>
        <v>150647.61999999997</v>
      </c>
      <c r="I42" s="295"/>
      <c r="J42" s="293">
        <f>SUM(J12:J41)</f>
        <v>202510.88695587305</v>
      </c>
      <c r="K42" s="295">
        <f>SUM(K12:K41)</f>
        <v>51863.266955873012</v>
      </c>
      <c r="L42" s="271"/>
      <c r="M42" s="269"/>
      <c r="N42" s="123"/>
    </row>
    <row r="43" spans="1:14" x14ac:dyDescent="0.25">
      <c r="A43" s="49"/>
      <c r="B43" s="273"/>
      <c r="C43" s="296"/>
      <c r="D43" s="296"/>
      <c r="E43" s="296"/>
      <c r="F43" s="297"/>
      <c r="G43" s="296"/>
      <c r="H43" s="298"/>
      <c r="I43" s="296"/>
      <c r="J43" s="298"/>
      <c r="K43" s="296"/>
      <c r="L43" s="275"/>
      <c r="M43" s="299"/>
    </row>
    <row r="44" spans="1:14" x14ac:dyDescent="0.25">
      <c r="A44" s="49"/>
      <c r="B44" s="49"/>
      <c r="C44" s="259"/>
      <c r="D44" s="259"/>
      <c r="E44" s="259"/>
      <c r="G44" s="259"/>
      <c r="H44" s="291"/>
      <c r="I44" s="259"/>
      <c r="J44" s="291"/>
      <c r="K44" s="259"/>
      <c r="L44" s="259"/>
      <c r="M44" s="259"/>
    </row>
    <row r="45" spans="1:14" x14ac:dyDescent="0.25">
      <c r="D45" s="259" t="s">
        <v>222</v>
      </c>
    </row>
    <row r="46" spans="1:14" x14ac:dyDescent="0.25">
      <c r="D46" s="259"/>
    </row>
    <row r="48" spans="1:14" x14ac:dyDescent="0.25">
      <c r="D48" s="49" t="s">
        <v>223</v>
      </c>
      <c r="F48" s="260">
        <f>J42</f>
        <v>202510.88695587305</v>
      </c>
    </row>
    <row r="49" spans="4:11" ht="18" x14ac:dyDescent="0.4">
      <c r="D49" s="49" t="s">
        <v>224</v>
      </c>
      <c r="F49" s="301">
        <f>SAO!C37</f>
        <v>150611</v>
      </c>
      <c r="J49" s="302"/>
    </row>
    <row r="50" spans="4:11" x14ac:dyDescent="0.25">
      <c r="D50" s="49" t="s">
        <v>225</v>
      </c>
      <c r="F50" s="260">
        <f>F48-F49</f>
        <v>51899.886955873051</v>
      </c>
      <c r="G50" s="123"/>
    </row>
    <row r="52" spans="4:11" x14ac:dyDescent="0.25">
      <c r="F52" s="293"/>
      <c r="G52" s="294"/>
      <c r="H52" s="293"/>
      <c r="I52" s="295"/>
      <c r="J52" s="293"/>
      <c r="K52" s="295"/>
    </row>
  </sheetData>
  <mergeCells count="5">
    <mergeCell ref="C5:K5"/>
    <mergeCell ref="G9:H9"/>
    <mergeCell ref="I9:J9"/>
    <mergeCell ref="C3:K3"/>
    <mergeCell ref="C4:K4"/>
  </mergeCells>
  <printOptions horizontalCentered="1" verticalCentered="1"/>
  <pageMargins left="0.7" right="0.7" top="0.75" bottom="0.75" header="0.3" footer="0.3"/>
  <pageSetup scale="77" fitToHeight="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N23"/>
  <sheetViews>
    <sheetView showGridLines="0" topLeftCell="B1" workbookViewId="0">
      <selection activeCell="C25" sqref="C25"/>
    </sheetView>
  </sheetViews>
  <sheetFormatPr defaultColWidth="8.77734375" defaultRowHeight="15" x14ac:dyDescent="0.25"/>
  <cols>
    <col min="1" max="1" width="1.77734375" style="60" customWidth="1"/>
    <col min="2" max="2" width="33" style="60" bestFit="1" customWidth="1"/>
    <col min="3" max="3" width="14" style="88" customWidth="1"/>
    <col min="4" max="13" width="10.44140625" style="88" customWidth="1"/>
    <col min="14" max="14" width="0.77734375" style="60" customWidth="1"/>
    <col min="15" max="15" width="1.5546875" style="60" customWidth="1"/>
    <col min="16" max="16384" width="8.77734375" style="60"/>
  </cols>
  <sheetData>
    <row r="1" spans="2:14" x14ac:dyDescent="0.25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2"/>
    </row>
    <row r="2" spans="2:14" x14ac:dyDescent="0.25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2:14" ht="18.75" x14ac:dyDescent="0.3">
      <c r="B3" s="375" t="s">
        <v>126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67"/>
      <c r="N3" s="68"/>
    </row>
    <row r="4" spans="2:14" ht="18.75" x14ac:dyDescent="0.3">
      <c r="B4" s="377" t="s">
        <v>44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69"/>
      <c r="N4" s="68"/>
    </row>
    <row r="5" spans="2:14" ht="15.75" x14ac:dyDescent="0.25">
      <c r="B5" s="379" t="s">
        <v>80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67"/>
      <c r="N5" s="68"/>
    </row>
    <row r="6" spans="2:14" ht="15.75" x14ac:dyDescent="0.25">
      <c r="B6" s="381" t="s">
        <v>178</v>
      </c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63"/>
      <c r="N6" s="68"/>
    </row>
    <row r="7" spans="2:14" ht="15.75" thickBot="1" x14ac:dyDescent="0.3">
      <c r="B7" s="7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8"/>
    </row>
    <row r="8" spans="2:14" x14ac:dyDescent="0.25">
      <c r="B8" s="234"/>
      <c r="C8" s="71"/>
      <c r="D8" s="65"/>
      <c r="E8" s="71"/>
      <c r="F8" s="72"/>
      <c r="G8" s="71"/>
      <c r="H8" s="72"/>
      <c r="I8" s="71"/>
      <c r="J8" s="72"/>
      <c r="K8" s="71"/>
      <c r="L8" s="72"/>
      <c r="M8" s="65"/>
      <c r="N8" s="66"/>
    </row>
    <row r="9" spans="2:14" x14ac:dyDescent="0.25">
      <c r="B9" s="73"/>
      <c r="C9" s="383">
        <v>2026</v>
      </c>
      <c r="D9" s="384"/>
      <c r="E9" s="383">
        <v>2027</v>
      </c>
      <c r="F9" s="384"/>
      <c r="G9" s="383">
        <v>2028</v>
      </c>
      <c r="H9" s="384"/>
      <c r="I9" s="383">
        <v>2029</v>
      </c>
      <c r="J9" s="384"/>
      <c r="K9" s="383">
        <v>2030</v>
      </c>
      <c r="L9" s="384"/>
      <c r="M9" s="63"/>
      <c r="N9" s="68"/>
    </row>
    <row r="10" spans="2:14" ht="17.25" x14ac:dyDescent="0.25">
      <c r="B10" s="73"/>
      <c r="C10" s="74"/>
      <c r="D10" s="75" t="s">
        <v>45</v>
      </c>
      <c r="E10" s="76"/>
      <c r="F10" s="75" t="s">
        <v>45</v>
      </c>
      <c r="G10" s="76"/>
      <c r="H10" s="75" t="s">
        <v>45</v>
      </c>
      <c r="I10" s="76"/>
      <c r="J10" s="75" t="s">
        <v>45</v>
      </c>
      <c r="K10" s="76"/>
      <c r="L10" s="75" t="s">
        <v>45</v>
      </c>
      <c r="M10" s="63"/>
      <c r="N10" s="68"/>
    </row>
    <row r="11" spans="2:14" x14ac:dyDescent="0.25">
      <c r="B11" s="73"/>
      <c r="C11" s="236" t="s">
        <v>46</v>
      </c>
      <c r="D11" s="237" t="s">
        <v>47</v>
      </c>
      <c r="E11" s="238" t="s">
        <v>46</v>
      </c>
      <c r="F11" s="237" t="s">
        <v>47</v>
      </c>
      <c r="G11" s="238" t="s">
        <v>46</v>
      </c>
      <c r="H11" s="237" t="s">
        <v>47</v>
      </c>
      <c r="I11" s="238" t="s">
        <v>46</v>
      </c>
      <c r="J11" s="237" t="s">
        <v>47</v>
      </c>
      <c r="K11" s="238" t="s">
        <v>46</v>
      </c>
      <c r="L11" s="237" t="s">
        <v>47</v>
      </c>
      <c r="M11" s="236" t="s">
        <v>20</v>
      </c>
      <c r="N11" s="68"/>
    </row>
    <row r="12" spans="2:14" x14ac:dyDescent="0.25">
      <c r="B12" s="77" t="s">
        <v>164</v>
      </c>
      <c r="C12" s="235">
        <v>32500</v>
      </c>
      <c r="D12" s="242">
        <v>48187.5</v>
      </c>
      <c r="E12" s="235">
        <v>34000</v>
      </c>
      <c r="F12" s="242">
        <v>47125</v>
      </c>
      <c r="G12" s="235">
        <v>35500</v>
      </c>
      <c r="H12" s="242">
        <v>46015.63</v>
      </c>
      <c r="I12" s="235">
        <v>37000</v>
      </c>
      <c r="J12" s="242">
        <v>44859.38</v>
      </c>
      <c r="K12" s="235">
        <v>38500</v>
      </c>
      <c r="L12" s="242">
        <v>43656.25</v>
      </c>
      <c r="M12" s="78">
        <f t="shared" ref="M12:M13" si="0">SUM(C12:L12)</f>
        <v>407343.76</v>
      </c>
      <c r="N12" s="68"/>
    </row>
    <row r="13" spans="2:14" x14ac:dyDescent="0.25">
      <c r="B13" s="77" t="s">
        <v>165</v>
      </c>
      <c r="C13" s="239">
        <v>38000</v>
      </c>
      <c r="D13" s="240">
        <v>57475</v>
      </c>
      <c r="E13" s="239">
        <v>39000</v>
      </c>
      <c r="F13" s="240">
        <v>56572</v>
      </c>
      <c r="G13" s="239">
        <v>40000</v>
      </c>
      <c r="H13" s="240">
        <v>55646</v>
      </c>
      <c r="I13" s="239">
        <v>41000</v>
      </c>
      <c r="J13" s="241">
        <v>54696</v>
      </c>
      <c r="K13" s="239">
        <v>42000</v>
      </c>
      <c r="L13" s="241">
        <v>53722</v>
      </c>
      <c r="M13" s="245">
        <f t="shared" si="0"/>
        <v>478111</v>
      </c>
      <c r="N13" s="79"/>
    </row>
    <row r="14" spans="2:14" x14ac:dyDescent="0.25">
      <c r="B14" s="77" t="s">
        <v>1</v>
      </c>
      <c r="C14" s="243">
        <f>SUM(C12:C13)</f>
        <v>70500</v>
      </c>
      <c r="D14" s="244">
        <f>SUM(D12:D13)</f>
        <v>105662.5</v>
      </c>
      <c r="E14" s="243">
        <f t="shared" ref="E14:L14" si="1">SUM(E12:E13)</f>
        <v>73000</v>
      </c>
      <c r="F14" s="244">
        <f t="shared" si="1"/>
        <v>103697</v>
      </c>
      <c r="G14" s="243">
        <f t="shared" si="1"/>
        <v>75500</v>
      </c>
      <c r="H14" s="244">
        <f t="shared" si="1"/>
        <v>101661.63</v>
      </c>
      <c r="I14" s="243">
        <f t="shared" si="1"/>
        <v>78000</v>
      </c>
      <c r="J14" s="244">
        <f t="shared" si="1"/>
        <v>99555.38</v>
      </c>
      <c r="K14" s="243">
        <f t="shared" si="1"/>
        <v>80500</v>
      </c>
      <c r="L14" s="244">
        <f t="shared" si="1"/>
        <v>97378.25</v>
      </c>
      <c r="M14" s="246">
        <f>SUM(M12:M13)</f>
        <v>885454.76</v>
      </c>
      <c r="N14" s="247"/>
    </row>
    <row r="15" spans="2:14" x14ac:dyDescent="0.25">
      <c r="B15" s="80"/>
      <c r="C15" s="67"/>
      <c r="D15" s="67"/>
      <c r="E15" s="67"/>
      <c r="F15" s="67"/>
      <c r="G15" s="67"/>
      <c r="H15" s="67"/>
      <c r="I15" s="67"/>
      <c r="J15" s="81"/>
      <c r="K15" s="81"/>
      <c r="L15" s="81"/>
      <c r="M15" s="67"/>
      <c r="N15" s="68"/>
    </row>
    <row r="16" spans="2:14" x14ac:dyDescent="0.25">
      <c r="B16" s="82"/>
      <c r="C16" s="83"/>
      <c r="D16" s="67"/>
      <c r="E16" s="83"/>
      <c r="F16" s="83"/>
      <c r="G16" s="83"/>
      <c r="H16" s="83"/>
      <c r="I16" s="67" t="s">
        <v>48</v>
      </c>
      <c r="J16" s="63"/>
      <c r="K16" s="67"/>
      <c r="L16" s="83"/>
      <c r="M16" s="83">
        <f>M14/5</f>
        <v>177090.95199999999</v>
      </c>
      <c r="N16" s="68"/>
    </row>
    <row r="17" spans="2:14" x14ac:dyDescent="0.25">
      <c r="B17" s="84"/>
      <c r="C17" s="67"/>
      <c r="D17" s="63"/>
      <c r="E17" s="67"/>
      <c r="F17" s="67"/>
      <c r="G17" s="67"/>
      <c r="H17" s="67"/>
      <c r="I17" s="67"/>
      <c r="J17" s="63"/>
      <c r="K17" s="63"/>
      <c r="L17" s="67"/>
      <c r="M17" s="85"/>
      <c r="N17" s="68"/>
    </row>
    <row r="18" spans="2:14" x14ac:dyDescent="0.25">
      <c r="B18" s="82"/>
      <c r="C18" s="67"/>
      <c r="D18" s="67"/>
      <c r="E18" s="67"/>
      <c r="F18" s="67"/>
      <c r="G18" s="67"/>
      <c r="H18" s="67"/>
      <c r="I18" s="67" t="s">
        <v>49</v>
      </c>
      <c r="J18" s="63"/>
      <c r="K18" s="67"/>
      <c r="L18" s="67"/>
      <c r="M18" s="83">
        <f>M16*$B$23</f>
        <v>35418.190399999999</v>
      </c>
      <c r="N18" s="68"/>
    </row>
    <row r="19" spans="2:14" x14ac:dyDescent="0.25"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79"/>
    </row>
    <row r="22" spans="2:14" x14ac:dyDescent="0.25">
      <c r="B22" s="60" t="s">
        <v>58</v>
      </c>
      <c r="M22" s="89"/>
    </row>
    <row r="23" spans="2:14" x14ac:dyDescent="0.25">
      <c r="B23" s="90">
        <v>0.2</v>
      </c>
    </row>
  </sheetData>
  <mergeCells count="9">
    <mergeCell ref="B3:L3"/>
    <mergeCell ref="B4:L4"/>
    <mergeCell ref="B5:L5"/>
    <mergeCell ref="B6:L6"/>
    <mergeCell ref="C9:D9"/>
    <mergeCell ref="E9:F9"/>
    <mergeCell ref="G9:H9"/>
    <mergeCell ref="I9:J9"/>
    <mergeCell ref="K9:L9"/>
  </mergeCells>
  <pageMargins left="0.7" right="0.7" top="0.75" bottom="0.75" header="0.3" footer="0.3"/>
  <pageSetup scale="4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B56D-C709-4B50-AF3D-F7AB7B39738A}">
  <dimension ref="A1:B7"/>
  <sheetViews>
    <sheetView workbookViewId="0">
      <selection activeCell="B4" sqref="B4"/>
    </sheetView>
  </sheetViews>
  <sheetFormatPr defaultRowHeight="15" x14ac:dyDescent="0.25"/>
  <cols>
    <col min="1" max="1" width="20.5546875" style="49" customWidth="1"/>
    <col min="2" max="2" width="12.5546875" style="49" customWidth="1"/>
    <col min="3" max="16384" width="8.88671875" style="49"/>
  </cols>
  <sheetData>
    <row r="1" spans="1:2" x14ac:dyDescent="0.25">
      <c r="A1" s="49" t="s">
        <v>179</v>
      </c>
    </row>
    <row r="3" spans="1:2" x14ac:dyDescent="0.25">
      <c r="A3" s="49" t="s">
        <v>180</v>
      </c>
      <c r="B3" s="251">
        <v>29432</v>
      </c>
    </row>
    <row r="5" spans="1:2" x14ac:dyDescent="0.25">
      <c r="A5" s="49" t="s">
        <v>181</v>
      </c>
      <c r="B5" s="251">
        <f>ROUND(B3*0.3,0)</f>
        <v>8830</v>
      </c>
    </row>
    <row r="6" spans="1:2" ht="17.25" x14ac:dyDescent="0.4">
      <c r="A6" s="49" t="s">
        <v>182</v>
      </c>
      <c r="B6" s="252">
        <f>ROUND(B3*0.7,0)</f>
        <v>20602</v>
      </c>
    </row>
    <row r="7" spans="1:2" x14ac:dyDescent="0.25">
      <c r="B7" s="251">
        <f>SUM(B5:B6)</f>
        <v>29432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11CB-4786-49ED-84DB-B7097166E3AD}">
  <dimension ref="A1:B7"/>
  <sheetViews>
    <sheetView workbookViewId="0">
      <selection activeCell="E12" sqref="E12"/>
    </sheetView>
  </sheetViews>
  <sheetFormatPr defaultRowHeight="15" x14ac:dyDescent="0.25"/>
  <cols>
    <col min="1" max="1" width="20.5546875" style="49" customWidth="1"/>
    <col min="2" max="2" width="12.5546875" style="249" customWidth="1"/>
    <col min="3" max="16384" width="8.88671875" style="49"/>
  </cols>
  <sheetData>
    <row r="1" spans="1:2" x14ac:dyDescent="0.25">
      <c r="A1" s="49" t="s">
        <v>173</v>
      </c>
    </row>
    <row r="3" spans="1:2" x14ac:dyDescent="0.25">
      <c r="A3" s="49" t="s">
        <v>174</v>
      </c>
      <c r="B3" s="249">
        <v>15000</v>
      </c>
    </row>
    <row r="4" spans="1:2" x14ac:dyDescent="0.25">
      <c r="A4" s="49" t="s">
        <v>175</v>
      </c>
      <c r="B4" s="309">
        <v>15000</v>
      </c>
    </row>
    <row r="5" spans="1:2" x14ac:dyDescent="0.25">
      <c r="A5" s="49" t="s">
        <v>1</v>
      </c>
      <c r="B5" s="249">
        <f>B3+B4</f>
        <v>30000</v>
      </c>
    </row>
    <row r="6" spans="1:2" x14ac:dyDescent="0.25">
      <c r="A6" s="49" t="s">
        <v>176</v>
      </c>
      <c r="B6" s="250">
        <v>3</v>
      </c>
    </row>
    <row r="7" spans="1:2" x14ac:dyDescent="0.25">
      <c r="A7" s="49" t="s">
        <v>177</v>
      </c>
      <c r="B7" s="249">
        <f>B5/B6</f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SAO</vt:lpstr>
      <vt:lpstr>Revenue Requirement</vt:lpstr>
      <vt:lpstr>Wages</vt:lpstr>
      <vt:lpstr>Medical</vt:lpstr>
      <vt:lpstr>Water Loss Surcharge</vt:lpstr>
      <vt:lpstr>Depreciation</vt:lpstr>
      <vt:lpstr>Debt Service</vt:lpstr>
      <vt:lpstr>Tap Fees</vt:lpstr>
      <vt:lpstr>Rate Case Expenses</vt:lpstr>
      <vt:lpstr>Rates</vt:lpstr>
      <vt:lpstr>Bills</vt:lpstr>
      <vt:lpstr>Bills with Surcharge</vt:lpstr>
      <vt:lpstr>Existing Billing Analysis</vt:lpstr>
      <vt:lpstr>Proposed Billing Analysis</vt:lpstr>
      <vt:lpstr>Bills!Print_Area</vt:lpstr>
      <vt:lpstr>'Bills with Surcharge'!Print_Area</vt:lpstr>
      <vt:lpstr>'Debt Service'!Print_Area</vt:lpstr>
      <vt:lpstr>Depreciation!Print_Area</vt:lpstr>
      <vt:lpstr>'Existing Billing Analysis'!Print_Area</vt:lpstr>
      <vt:lpstr>'Proposed Billing Analysis'!Print_Area</vt:lpstr>
      <vt:lpstr>Rates!Print_Area</vt:lpstr>
      <vt:lpstr>'Revenue Requirement'!Print_Area</vt:lpstr>
      <vt:lpstr>SAO!Print_Area</vt:lpstr>
      <vt:lpstr>'Water Loss Surcharge'!Print_Area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Tina Frederick</cp:lastModifiedBy>
  <cp:lastPrinted>2025-07-22T21:13:35Z</cp:lastPrinted>
  <dcterms:created xsi:type="dcterms:W3CDTF">2016-05-18T14:12:06Z</dcterms:created>
  <dcterms:modified xsi:type="dcterms:W3CDTF">2025-08-01T00:54:55Z</dcterms:modified>
</cp:coreProperties>
</file>